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showInkAnnotation="0" codeName="ThisWorkbook" autoCompressPictures="0"/>
  <mc:AlternateContent xmlns:mc="http://schemas.openxmlformats.org/markup-compatibility/2006">
    <mc:Choice Requires="x15">
      <x15ac:absPath xmlns:x15ac="http://schemas.microsoft.com/office/spreadsheetml/2010/11/ac" url="C:\Users\Kent\Documents\Files\Social\Verity Security\ESPM\"/>
    </mc:Choice>
  </mc:AlternateContent>
  <bookViews>
    <workbookView xWindow="0" yWindow="0" windowWidth="28800" windowHeight="13275" tabRatio="877" activeTab="1"/>
  </bookViews>
  <sheets>
    <sheet name="Dashboard" sheetId="18" r:id="rId1"/>
    <sheet name="Descriptions" sheetId="20" r:id="rId2"/>
    <sheet name="Key" sheetId="21" r:id="rId3"/>
    <sheet name="PCI Score" sheetId="25" r:id="rId4"/>
    <sheet name="Quick" sheetId="22" r:id="rId5"/>
    <sheet name="License" sheetId="34" r:id="rId6"/>
    <sheet name="Instructions" sheetId="35" r:id="rId7"/>
  </sheets>
  <definedNames>
    <definedName name="_xlnm._FilterDatabase" localSheetId="1" hidden="1">Descriptions!$A$1:$AF$2205</definedName>
  </definedNames>
  <calcPr calcId="162913"/>
</workbook>
</file>

<file path=xl/calcChain.xml><?xml version="1.0" encoding="utf-8"?>
<calcChain xmlns="http://schemas.openxmlformats.org/spreadsheetml/2006/main">
  <c r="O469" i="20" l="1"/>
  <c r="L469" i="20" s="1"/>
  <c r="O2040" i="20"/>
  <c r="L2040" i="20" s="1"/>
  <c r="O2116" i="20"/>
  <c r="L2116" i="20" s="1"/>
  <c r="O709" i="20"/>
  <c r="L709" i="20" s="1"/>
  <c r="O903" i="20"/>
  <c r="L903" i="20" s="1"/>
  <c r="O1130" i="20"/>
  <c r="L1130" i="20" s="1"/>
  <c r="O813" i="20"/>
  <c r="L813" i="20" s="1"/>
  <c r="O558" i="20"/>
  <c r="L558" i="20" s="1"/>
  <c r="O1012" i="20"/>
  <c r="L1012" i="20" s="1"/>
  <c r="O607" i="20"/>
  <c r="L607" i="20" s="1"/>
  <c r="O1581" i="20"/>
  <c r="L1581" i="20" s="1"/>
  <c r="O60" i="20"/>
  <c r="L60" i="20" s="1"/>
  <c r="O164" i="20"/>
  <c r="L164" i="20" s="1"/>
  <c r="O872" i="20"/>
  <c r="L872" i="20" s="1"/>
  <c r="O904" i="20"/>
  <c r="L904" i="20" s="1"/>
  <c r="O873" i="20"/>
  <c r="L873" i="20" s="1"/>
  <c r="O470" i="20"/>
  <c r="L470" i="20" s="1"/>
  <c r="O531" i="20"/>
  <c r="L531" i="20" s="1"/>
  <c r="O762" i="20"/>
  <c r="L762" i="20" s="1"/>
  <c r="O664" i="20"/>
  <c r="L664" i="20" s="1"/>
  <c r="O1841" i="20"/>
  <c r="L1841" i="20" s="1"/>
  <c r="O535" i="20"/>
  <c r="L535" i="20" s="1"/>
  <c r="O2031" i="20"/>
  <c r="L2031" i="20" s="1"/>
  <c r="O532" i="20"/>
  <c r="L532" i="20" s="1"/>
  <c r="O1734" i="20"/>
  <c r="L1734" i="20" s="1"/>
  <c r="O588" i="20"/>
  <c r="L588" i="20" s="1"/>
  <c r="O763" i="20"/>
  <c r="L763" i="20" s="1"/>
  <c r="O684" i="20"/>
  <c r="L684" i="20" s="1"/>
  <c r="O533" i="20"/>
  <c r="L533" i="20" s="1"/>
  <c r="O764" i="20"/>
  <c r="L764" i="20" s="1"/>
  <c r="O390" i="20"/>
  <c r="L390" i="20" s="1"/>
  <c r="O413" i="20"/>
  <c r="L413" i="20" s="1"/>
  <c r="O425" i="20"/>
  <c r="L425" i="20" s="1"/>
  <c r="O608" i="20"/>
  <c r="L608" i="20" s="1"/>
  <c r="O710" i="20"/>
  <c r="L710" i="20" s="1"/>
  <c r="O711" i="20"/>
  <c r="L711" i="20" s="1"/>
  <c r="O61" i="20"/>
  <c r="L61" i="20" s="1"/>
  <c r="O383" i="20"/>
  <c r="L383" i="20" s="1"/>
  <c r="O241" i="20"/>
  <c r="L241" i="20" s="1"/>
  <c r="O1013" i="20"/>
  <c r="L1013" i="20" s="1"/>
  <c r="O62" i="20"/>
  <c r="L62" i="20" s="1"/>
  <c r="O1014" i="20"/>
  <c r="L1014" i="20" s="1"/>
  <c r="O534" i="20"/>
  <c r="L534" i="20" s="1"/>
  <c r="O767" i="20"/>
  <c r="L767" i="20" s="1"/>
  <c r="O910" i="20"/>
  <c r="L910" i="20" s="1"/>
  <c r="O768" i="20"/>
  <c r="L768" i="20" s="1"/>
  <c r="O765" i="20"/>
  <c r="L765" i="20" s="1"/>
  <c r="O665" i="20"/>
  <c r="L665" i="20" s="1"/>
  <c r="O1315" i="20"/>
  <c r="L1315" i="20" s="1"/>
  <c r="O766" i="20"/>
  <c r="L766" i="20" s="1"/>
  <c r="O666" i="20"/>
  <c r="L666" i="20" s="1"/>
  <c r="O667" i="20"/>
  <c r="L667" i="20" s="1"/>
  <c r="O471" i="20"/>
  <c r="L471" i="20" s="1"/>
  <c r="O681" i="20"/>
  <c r="L681" i="20" s="1"/>
  <c r="O472" i="20"/>
  <c r="L472" i="20" s="1"/>
  <c r="O1015" i="20"/>
  <c r="L1015" i="20" s="1"/>
  <c r="O1924" i="20"/>
  <c r="L1924" i="20" s="1"/>
  <c r="O1732" i="20"/>
  <c r="L1732" i="20" s="1"/>
  <c r="O1648" i="20"/>
  <c r="L1648" i="20" s="1"/>
  <c r="O814" i="20"/>
  <c r="L814" i="20" s="1"/>
  <c r="O815" i="20"/>
  <c r="L815" i="20" s="1"/>
  <c r="O1059" i="20"/>
  <c r="L1059" i="20" s="1"/>
  <c r="O1925" i="20"/>
  <c r="L1925" i="20" s="1"/>
  <c r="O1649" i="20"/>
  <c r="L1649" i="20" s="1"/>
  <c r="O1926" i="20"/>
  <c r="L1926" i="20" s="1"/>
  <c r="O40" i="20"/>
  <c r="L40" i="20" s="1"/>
  <c r="O63" i="20"/>
  <c r="L63" i="20" s="1"/>
  <c r="O1813" i="20"/>
  <c r="L1813" i="20" s="1"/>
  <c r="O712" i="20"/>
  <c r="L712" i="20" s="1"/>
  <c r="O1316" i="20"/>
  <c r="L1316" i="20" s="1"/>
  <c r="O713" i="20"/>
  <c r="L713" i="20" s="1"/>
  <c r="O609" i="20"/>
  <c r="L609" i="20" s="1"/>
  <c r="O271" i="20"/>
  <c r="L271" i="20" s="1"/>
  <c r="O1814" i="20"/>
  <c r="L1814" i="20" s="1"/>
  <c r="O1060" i="20"/>
  <c r="L1060" i="20" s="1"/>
  <c r="O1927" i="20"/>
  <c r="L1927" i="20" s="1"/>
  <c r="O1702" i="20"/>
  <c r="L1702" i="20" s="1"/>
  <c r="O1650" i="20"/>
  <c r="L1650" i="20" s="1"/>
  <c r="O41" i="20"/>
  <c r="L41" i="20" s="1"/>
  <c r="O682" i="20"/>
  <c r="L682" i="20" s="1"/>
  <c r="O668" i="20"/>
  <c r="L668" i="20" s="1"/>
  <c r="O669" i="20"/>
  <c r="L669" i="20" s="1"/>
  <c r="O670" i="20"/>
  <c r="L670" i="20" s="1"/>
  <c r="O671" i="20"/>
  <c r="L671" i="20" s="1"/>
  <c r="O1703" i="20"/>
  <c r="L1703" i="20" s="1"/>
  <c r="O714" i="20"/>
  <c r="L714" i="20" s="1"/>
  <c r="O672" i="20"/>
  <c r="L672" i="20" s="1"/>
  <c r="O673" i="20"/>
  <c r="L673" i="20" s="1"/>
  <c r="O473" i="20"/>
  <c r="L473" i="20" s="1"/>
  <c r="O674" i="20"/>
  <c r="L674" i="20" s="1"/>
  <c r="O1842" i="20"/>
  <c r="L1842" i="20" s="1"/>
  <c r="O1928" i="20"/>
  <c r="L1928" i="20" s="1"/>
  <c r="O610" i="20"/>
  <c r="L610" i="20" s="1"/>
  <c r="O816" i="20"/>
  <c r="L816" i="20" s="1"/>
  <c r="O1843" i="20"/>
  <c r="L1843" i="20" s="1"/>
  <c r="O1929" i="20"/>
  <c r="L1929" i="20" s="1"/>
  <c r="O1930" i="20"/>
  <c r="L1930" i="20" s="1"/>
  <c r="O1931" i="20"/>
  <c r="L1931" i="20" s="1"/>
  <c r="O1844" i="20"/>
  <c r="L1844" i="20" s="1"/>
  <c r="O165" i="20"/>
  <c r="L165" i="20" s="1"/>
  <c r="O166" i="20"/>
  <c r="L166" i="20" s="1"/>
  <c r="O167" i="20"/>
  <c r="L167" i="20" s="1"/>
  <c r="O168" i="20"/>
  <c r="L168" i="20" s="1"/>
  <c r="O169" i="20"/>
  <c r="L169" i="20" s="1"/>
  <c r="O170" i="20"/>
  <c r="L170" i="20" s="1"/>
  <c r="O171" i="20"/>
  <c r="L171" i="20" s="1"/>
  <c r="O172" i="20"/>
  <c r="L172" i="20" s="1"/>
  <c r="O173" i="20"/>
  <c r="L173" i="20" s="1"/>
  <c r="O174" i="20"/>
  <c r="L174" i="20" s="1"/>
  <c r="O175" i="20"/>
  <c r="L175" i="20" s="1"/>
  <c r="O787" i="20"/>
  <c r="L787" i="20" s="1"/>
  <c r="O788" i="20"/>
  <c r="L788" i="20" s="1"/>
  <c r="O1785" i="20"/>
  <c r="L1785" i="20" s="1"/>
  <c r="O789" i="20"/>
  <c r="L789" i="20" s="1"/>
  <c r="O1845" i="20"/>
  <c r="L1845" i="20" s="1"/>
  <c r="O851" i="20"/>
  <c r="L851" i="20" s="1"/>
  <c r="O847" i="20"/>
  <c r="L847" i="20" s="1"/>
  <c r="O848" i="20"/>
  <c r="L848" i="20" s="1"/>
  <c r="O817" i="20"/>
  <c r="L817" i="20" s="1"/>
  <c r="O1786" i="20"/>
  <c r="L1786" i="20" s="1"/>
  <c r="O790" i="20"/>
  <c r="L790" i="20" s="1"/>
  <c r="O1748" i="20"/>
  <c r="L1748" i="20" s="1"/>
  <c r="O1733" i="20"/>
  <c r="L1733" i="20" s="1"/>
  <c r="O176" i="20"/>
  <c r="L176" i="20" s="1"/>
  <c r="O1061" i="20"/>
  <c r="L1061" i="20" s="1"/>
  <c r="O933" i="20"/>
  <c r="L933" i="20" s="1"/>
  <c r="O1062" i="20"/>
  <c r="L1062" i="20" s="1"/>
  <c r="O934" i="20"/>
  <c r="L934" i="20" s="1"/>
  <c r="O1063" i="20"/>
  <c r="L1063" i="20" s="1"/>
  <c r="O1386" i="20"/>
  <c r="L1386" i="20" s="1"/>
  <c r="O1338" i="20"/>
  <c r="L1338" i="20" s="1"/>
  <c r="O1527" i="20"/>
  <c r="L1527" i="20" s="1"/>
  <c r="O1528" i="20"/>
  <c r="L1528" i="20" s="1"/>
  <c r="O1774" i="20"/>
  <c r="L1774" i="20" s="1"/>
  <c r="O675" i="20"/>
  <c r="L675" i="20" s="1"/>
  <c r="O1974" i="20"/>
  <c r="L1974" i="20" s="1"/>
  <c r="O1016" i="20"/>
  <c r="L1016" i="20" s="1"/>
  <c r="O1017" i="20"/>
  <c r="L1017" i="20" s="1"/>
  <c r="O1018" i="20"/>
  <c r="L1018" i="20" s="1"/>
  <c r="O1529" i="20"/>
  <c r="L1529" i="20" s="1"/>
  <c r="O1530" i="20"/>
  <c r="L1530" i="20" s="1"/>
  <c r="O1531" i="20"/>
  <c r="L1531" i="20" s="1"/>
  <c r="O611" i="20"/>
  <c r="L611" i="20" s="1"/>
  <c r="O966" i="20"/>
  <c r="L966" i="20" s="1"/>
  <c r="O242" i="20"/>
  <c r="L242" i="20" s="1"/>
  <c r="O761" i="20"/>
  <c r="L761" i="20" s="1"/>
  <c r="O1897" i="20"/>
  <c r="L1897" i="20" s="1"/>
  <c r="O1532" i="20"/>
  <c r="L1532" i="20" s="1"/>
  <c r="O2001" i="20"/>
  <c r="L2001" i="20" s="1"/>
  <c r="O1533" i="20"/>
  <c r="L1533" i="20" s="1"/>
  <c r="O1534" i="20"/>
  <c r="L1534" i="20" s="1"/>
  <c r="O1775" i="20"/>
  <c r="L1775" i="20" s="1"/>
  <c r="O967" i="20"/>
  <c r="L967" i="20" s="1"/>
  <c r="O968" i="20"/>
  <c r="L968" i="20" s="1"/>
  <c r="O969" i="20"/>
  <c r="L969" i="20" s="1"/>
  <c r="O970" i="20"/>
  <c r="L970" i="20" s="1"/>
  <c r="O2045" i="20"/>
  <c r="L2045" i="20" s="1"/>
  <c r="O2074" i="20"/>
  <c r="L2074" i="20" s="1"/>
  <c r="O1725" i="20"/>
  <c r="L1725" i="20" s="1"/>
  <c r="O1535" i="20"/>
  <c r="L1535" i="20" s="1"/>
  <c r="O1536" i="20"/>
  <c r="L1536" i="20" s="1"/>
  <c r="O1537" i="20"/>
  <c r="L1537" i="20" s="1"/>
  <c r="O1538" i="20"/>
  <c r="L1538" i="20" s="1"/>
  <c r="O1539" i="20"/>
  <c r="L1539" i="20" s="1"/>
  <c r="O1540" i="20"/>
  <c r="L1540" i="20" s="1"/>
  <c r="O1541" i="20"/>
  <c r="L1541" i="20" s="1"/>
  <c r="O1542" i="20"/>
  <c r="L1542" i="20" s="1"/>
  <c r="O1543" i="20"/>
  <c r="L1543" i="20" s="1"/>
  <c r="O1544" i="20"/>
  <c r="L1544" i="20" s="1"/>
  <c r="O1545" i="20"/>
  <c r="L1545" i="20" s="1"/>
  <c r="O1546" i="20"/>
  <c r="L1546" i="20" s="1"/>
  <c r="O1547" i="20"/>
  <c r="L1547" i="20" s="1"/>
  <c r="O1548" i="20"/>
  <c r="L1548" i="20" s="1"/>
  <c r="O1549" i="20"/>
  <c r="L1549" i="20" s="1"/>
  <c r="O1550" i="20"/>
  <c r="L1550" i="20" s="1"/>
  <c r="O1551" i="20"/>
  <c r="L1551" i="20" s="1"/>
  <c r="O1552" i="20"/>
  <c r="L1552" i="20" s="1"/>
  <c r="O1553" i="20"/>
  <c r="L1553" i="20" s="1"/>
  <c r="O1554" i="20"/>
  <c r="L1554" i="20" s="1"/>
  <c r="O1555" i="20"/>
  <c r="L1555" i="20" s="1"/>
  <c r="O1556" i="20"/>
  <c r="L1556" i="20" s="1"/>
  <c r="O177" i="20"/>
  <c r="L177" i="20" s="1"/>
  <c r="O283" i="20"/>
  <c r="L283" i="20" s="1"/>
  <c r="O284" i="20"/>
  <c r="L284" i="20" s="1"/>
  <c r="O285" i="20"/>
  <c r="L285" i="20" s="1"/>
  <c r="O286" i="20"/>
  <c r="L286" i="20" s="1"/>
  <c r="O1319" i="20"/>
  <c r="L1319" i="20" s="1"/>
  <c r="O715" i="20"/>
  <c r="L715" i="20" s="1"/>
  <c r="O739" i="20"/>
  <c r="L739" i="20" s="1"/>
  <c r="O716" i="20"/>
  <c r="L716" i="20" s="1"/>
  <c r="O743" i="20"/>
  <c r="L743" i="20" s="1"/>
  <c r="O742" i="20"/>
  <c r="L742" i="20" s="1"/>
  <c r="O1417" i="20"/>
  <c r="L1417" i="20" s="1"/>
  <c r="O1424" i="20"/>
  <c r="L1424" i="20" s="1"/>
  <c r="O833" i="20"/>
  <c r="L833" i="20" s="1"/>
  <c r="O287" i="20"/>
  <c r="L287" i="20" s="1"/>
  <c r="O288" i="20"/>
  <c r="L288" i="20" s="1"/>
  <c r="O289" i="20"/>
  <c r="L289" i="20" s="1"/>
  <c r="O290" i="20"/>
  <c r="L290" i="20" s="1"/>
  <c r="O291" i="20"/>
  <c r="L291" i="20" s="1"/>
  <c r="O292" i="20"/>
  <c r="L292" i="20" s="1"/>
  <c r="O42" i="20"/>
  <c r="L42" i="20" s="1"/>
  <c r="O1317" i="20"/>
  <c r="L1317" i="20" s="1"/>
  <c r="O178" i="20"/>
  <c r="L178" i="20" s="1"/>
  <c r="O1846" i="20"/>
  <c r="L1846" i="20" s="1"/>
  <c r="O1847" i="20"/>
  <c r="L1847" i="20" s="1"/>
  <c r="O1848" i="20"/>
  <c r="L1848" i="20" s="1"/>
  <c r="O1849" i="20"/>
  <c r="L1849" i="20" s="1"/>
  <c r="O1850" i="20"/>
  <c r="L1850" i="20" s="1"/>
  <c r="O1099" i="20"/>
  <c r="L1099" i="20" s="1"/>
  <c r="O1100" i="20"/>
  <c r="L1100" i="20" s="1"/>
  <c r="O1131" i="20"/>
  <c r="L1131" i="20" s="1"/>
  <c r="O1101" i="20"/>
  <c r="L1101" i="20" s="1"/>
  <c r="O1102" i="20"/>
  <c r="L1102" i="20" s="1"/>
  <c r="O1103" i="20"/>
  <c r="L1103" i="20" s="1"/>
  <c r="O1132" i="20"/>
  <c r="L1132" i="20" s="1"/>
  <c r="O1133" i="20"/>
  <c r="L1133" i="20" s="1"/>
  <c r="O1134" i="20"/>
  <c r="L1134" i="20" s="1"/>
  <c r="O1135" i="20"/>
  <c r="L1135" i="20" s="1"/>
  <c r="O1136" i="20"/>
  <c r="L1136" i="20" s="1"/>
  <c r="O1137" i="20"/>
  <c r="L1137" i="20" s="1"/>
  <c r="O1138" i="20"/>
  <c r="L1138" i="20" s="1"/>
  <c r="O1139" i="20"/>
  <c r="L1139" i="20" s="1"/>
  <c r="O1140" i="20"/>
  <c r="L1140" i="20" s="1"/>
  <c r="O1141" i="20"/>
  <c r="L1141" i="20" s="1"/>
  <c r="O1142" i="20"/>
  <c r="L1142" i="20" s="1"/>
  <c r="O1143" i="20"/>
  <c r="L1143" i="20" s="1"/>
  <c r="O1144" i="20"/>
  <c r="L1144" i="20" s="1"/>
  <c r="O1145" i="20"/>
  <c r="L1145" i="20" s="1"/>
  <c r="O1146" i="20"/>
  <c r="L1146" i="20" s="1"/>
  <c r="O1147" i="20"/>
  <c r="L1147" i="20" s="1"/>
  <c r="O1148" i="20"/>
  <c r="L1148" i="20" s="1"/>
  <c r="O1149" i="20"/>
  <c r="L1149" i="20" s="1"/>
  <c r="O1150" i="20"/>
  <c r="L1150" i="20" s="1"/>
  <c r="O1151" i="20"/>
  <c r="L1151" i="20" s="1"/>
  <c r="O1152" i="20"/>
  <c r="L1152" i="20" s="1"/>
  <c r="O1153" i="20"/>
  <c r="L1153" i="20" s="1"/>
  <c r="O1154" i="20"/>
  <c r="L1154" i="20" s="1"/>
  <c r="O1155" i="20"/>
  <c r="L1155" i="20" s="1"/>
  <c r="O1156" i="20"/>
  <c r="L1156" i="20" s="1"/>
  <c r="O1157" i="20"/>
  <c r="L1157" i="20" s="1"/>
  <c r="O8" i="20"/>
  <c r="L8" i="20" s="1"/>
  <c r="O935" i="20"/>
  <c r="L935" i="20" s="1"/>
  <c r="O9" i="20"/>
  <c r="L9" i="20" s="1"/>
  <c r="O936" i="20"/>
  <c r="L936" i="20" s="1"/>
  <c r="O1932" i="20"/>
  <c r="L1932" i="20" s="1"/>
  <c r="O10" i="20"/>
  <c r="L10" i="20" s="1"/>
  <c r="O1933" i="20"/>
  <c r="L1933" i="20" s="1"/>
  <c r="O937" i="20"/>
  <c r="L937" i="20" s="1"/>
  <c r="O80" i="20"/>
  <c r="L80" i="20" s="1"/>
  <c r="O938" i="20"/>
  <c r="L938" i="20" s="1"/>
  <c r="O939" i="20"/>
  <c r="L939" i="20" s="1"/>
  <c r="O940" i="20"/>
  <c r="L940" i="20" s="1"/>
  <c r="O1158" i="20"/>
  <c r="L1158" i="20" s="1"/>
  <c r="O11" i="20"/>
  <c r="L11" i="20" s="1"/>
  <c r="O941" i="20"/>
  <c r="L941" i="20" s="1"/>
  <c r="O942" i="20"/>
  <c r="L942" i="20" s="1"/>
  <c r="O12" i="20"/>
  <c r="L12" i="20" s="1"/>
  <c r="O31" i="20"/>
  <c r="L31" i="20" s="1"/>
  <c r="O943" i="20"/>
  <c r="L943" i="20" s="1"/>
  <c r="O1159" i="20"/>
  <c r="L1159" i="20" s="1"/>
  <c r="O1160" i="20"/>
  <c r="L1160" i="20" s="1"/>
  <c r="O1457" i="20"/>
  <c r="L1457" i="20" s="1"/>
  <c r="O2139" i="20"/>
  <c r="L2139" i="20" s="1"/>
  <c r="O2140" i="20"/>
  <c r="L2140" i="20" s="1"/>
  <c r="O2141" i="20"/>
  <c r="L2141" i="20" s="1"/>
  <c r="O2142" i="20"/>
  <c r="L2142" i="20" s="1"/>
  <c r="O136" i="20"/>
  <c r="L136" i="20" s="1"/>
  <c r="O2198" i="20"/>
  <c r="L2198" i="20" s="1"/>
  <c r="O2199" i="20"/>
  <c r="L2199" i="20" s="1"/>
  <c r="O137" i="20"/>
  <c r="L137" i="20" s="1"/>
  <c r="O111" i="20"/>
  <c r="L111" i="20" s="1"/>
  <c r="O138" i="20"/>
  <c r="L138" i="20" s="1"/>
  <c r="O139" i="20"/>
  <c r="L139" i="20" s="1"/>
  <c r="O83" i="20"/>
  <c r="L83" i="20" s="1"/>
  <c r="O140" i="20"/>
  <c r="L140" i="20" s="1"/>
  <c r="O141" i="20"/>
  <c r="L141" i="20" s="1"/>
  <c r="O142" i="20"/>
  <c r="L142" i="20" s="1"/>
  <c r="O100" i="20"/>
  <c r="L100" i="20" s="1"/>
  <c r="O64" i="20"/>
  <c r="L64" i="20" s="1"/>
  <c r="O69" i="20"/>
  <c r="L69" i="20" s="1"/>
  <c r="O120" i="20"/>
  <c r="L120" i="20" s="1"/>
  <c r="O2063" i="20"/>
  <c r="L2063" i="20" s="1"/>
  <c r="O2064" i="20"/>
  <c r="L2064" i="20" s="1"/>
  <c r="O2065" i="20"/>
  <c r="L2065" i="20" s="1"/>
  <c r="O1180" i="20"/>
  <c r="L1180" i="20" s="1"/>
  <c r="O1181" i="20"/>
  <c r="L1181" i="20" s="1"/>
  <c r="O1182" i="20"/>
  <c r="L1182" i="20" s="1"/>
  <c r="O1183" i="20"/>
  <c r="L1183" i="20" s="1"/>
  <c r="O1184" i="20"/>
  <c r="L1184" i="20" s="1"/>
  <c r="O1339" i="20"/>
  <c r="L1339" i="20" s="1"/>
  <c r="O1340" i="20"/>
  <c r="L1340" i="20" s="1"/>
  <c r="O1341" i="20"/>
  <c r="L1341" i="20" s="1"/>
  <c r="O1342" i="20"/>
  <c r="L1342" i="20" s="1"/>
  <c r="O2200" i="20"/>
  <c r="L2200" i="20" s="1"/>
  <c r="O2201" i="20"/>
  <c r="L2201" i="20" s="1"/>
  <c r="O2202" i="20"/>
  <c r="L2202" i="20" s="1"/>
  <c r="O2203" i="20"/>
  <c r="L2203" i="20" s="1"/>
  <c r="O2204" i="20"/>
  <c r="L2204" i="20" s="1"/>
  <c r="O2205" i="20"/>
  <c r="L2205" i="20" s="1"/>
  <c r="O121" i="20"/>
  <c r="L121" i="20" s="1"/>
  <c r="O1704" i="20"/>
  <c r="L1704" i="20" s="1"/>
  <c r="O1705" i="20"/>
  <c r="L1705" i="20" s="1"/>
  <c r="O1706" i="20"/>
  <c r="L1706" i="20" s="1"/>
  <c r="O1707" i="20"/>
  <c r="L1707" i="20" s="1"/>
  <c r="O1708" i="20"/>
  <c r="L1708" i="20" s="1"/>
  <c r="O1343" i="20"/>
  <c r="L1343" i="20" s="1"/>
  <c r="O1344" i="20"/>
  <c r="L1344" i="20" s="1"/>
  <c r="O1345" i="20"/>
  <c r="L1345" i="20" s="1"/>
  <c r="O1346" i="20"/>
  <c r="L1346" i="20" s="1"/>
  <c r="O1347" i="20"/>
  <c r="L1347" i="20" s="1"/>
  <c r="O1348" i="20"/>
  <c r="L1348" i="20" s="1"/>
  <c r="O1349" i="20"/>
  <c r="L1349" i="20" s="1"/>
  <c r="O179" i="20"/>
  <c r="L179" i="20" s="1"/>
  <c r="O180" i="20"/>
  <c r="L180" i="20" s="1"/>
  <c r="O181" i="20"/>
  <c r="L181" i="20" s="1"/>
  <c r="O182" i="20"/>
  <c r="L182" i="20" s="1"/>
  <c r="O183" i="20"/>
  <c r="L183" i="20" s="1"/>
  <c r="O184" i="20"/>
  <c r="L184" i="20" s="1"/>
  <c r="O474" i="20"/>
  <c r="L474" i="20" s="1"/>
  <c r="O475" i="20"/>
  <c r="L475" i="20" s="1"/>
  <c r="O476" i="20"/>
  <c r="L476" i="20" s="1"/>
  <c r="O477" i="20"/>
  <c r="L477" i="20" s="1"/>
  <c r="O478" i="20"/>
  <c r="L478" i="20" s="1"/>
  <c r="O479" i="20"/>
  <c r="L479" i="20" s="1"/>
  <c r="O480" i="20"/>
  <c r="L480" i="20" s="1"/>
  <c r="O481" i="20"/>
  <c r="L481" i="20" s="1"/>
  <c r="O482" i="20"/>
  <c r="L482" i="20" s="1"/>
  <c r="O483" i="20"/>
  <c r="L483" i="20" s="1"/>
  <c r="O484" i="20"/>
  <c r="L484" i="20" s="1"/>
  <c r="O485" i="20"/>
  <c r="L485" i="20" s="1"/>
  <c r="O486" i="20"/>
  <c r="L486" i="20" s="1"/>
  <c r="O487" i="20"/>
  <c r="L487" i="20" s="1"/>
  <c r="O488" i="20"/>
  <c r="L488" i="20" s="1"/>
  <c r="O489" i="20"/>
  <c r="L489" i="20" s="1"/>
  <c r="O490" i="20"/>
  <c r="L490" i="20" s="1"/>
  <c r="O491" i="20"/>
  <c r="L491" i="20" s="1"/>
  <c r="O492" i="20"/>
  <c r="L492" i="20" s="1"/>
  <c r="O493" i="20"/>
  <c r="L493" i="20" s="1"/>
  <c r="O494" i="20"/>
  <c r="L494" i="20" s="1"/>
  <c r="O495" i="20"/>
  <c r="L495" i="20" s="1"/>
  <c r="O496" i="20"/>
  <c r="L496" i="20" s="1"/>
  <c r="O497" i="20"/>
  <c r="L497" i="20" s="1"/>
  <c r="O498" i="20"/>
  <c r="L498" i="20" s="1"/>
  <c r="O499" i="20"/>
  <c r="L499" i="20" s="1"/>
  <c r="O500" i="20"/>
  <c r="L500" i="20" s="1"/>
  <c r="O501" i="20"/>
  <c r="L501" i="20" s="1"/>
  <c r="O502" i="20"/>
  <c r="L502" i="20" s="1"/>
  <c r="O503" i="20"/>
  <c r="L503" i="20" s="1"/>
  <c r="O504" i="20"/>
  <c r="L504" i="20" s="1"/>
  <c r="O505" i="20"/>
  <c r="L505" i="20" s="1"/>
  <c r="O506" i="20"/>
  <c r="L506" i="20" s="1"/>
  <c r="O507" i="20"/>
  <c r="L507" i="20" s="1"/>
  <c r="O508" i="20"/>
  <c r="L508" i="20" s="1"/>
  <c r="O509" i="20"/>
  <c r="L509" i="20" s="1"/>
  <c r="O510" i="20"/>
  <c r="L510" i="20" s="1"/>
  <c r="O511" i="20"/>
  <c r="L511" i="20" s="1"/>
  <c r="O512" i="20"/>
  <c r="L512" i="20" s="1"/>
  <c r="O513" i="20"/>
  <c r="L513" i="20" s="1"/>
  <c r="O514" i="20"/>
  <c r="L514" i="20" s="1"/>
  <c r="O515" i="20"/>
  <c r="L515" i="20" s="1"/>
  <c r="O516" i="20"/>
  <c r="L516" i="20" s="1"/>
  <c r="O517" i="20"/>
  <c r="L517" i="20" s="1"/>
  <c r="O518" i="20"/>
  <c r="L518" i="20" s="1"/>
  <c r="O519" i="20"/>
  <c r="L519" i="20" s="1"/>
  <c r="O520" i="20"/>
  <c r="L520" i="20" s="1"/>
  <c r="O521" i="20"/>
  <c r="L521" i="20" s="1"/>
  <c r="O522" i="20"/>
  <c r="L522" i="20" s="1"/>
  <c r="O523" i="20"/>
  <c r="L523" i="20" s="1"/>
  <c r="O524" i="20"/>
  <c r="L524" i="20" s="1"/>
  <c r="O525" i="20"/>
  <c r="L525" i="20" s="1"/>
  <c r="O526" i="20"/>
  <c r="L526" i="20" s="1"/>
  <c r="O527" i="20"/>
  <c r="L527" i="20" s="1"/>
  <c r="O528" i="20"/>
  <c r="L528" i="20" s="1"/>
  <c r="O185" i="20"/>
  <c r="L185" i="20" s="1"/>
  <c r="O186" i="20"/>
  <c r="L186" i="20" s="1"/>
  <c r="O187" i="20"/>
  <c r="L187" i="20" s="1"/>
  <c r="O188" i="20"/>
  <c r="L188" i="20" s="1"/>
  <c r="O189" i="20"/>
  <c r="L189" i="20" s="1"/>
  <c r="O190" i="20"/>
  <c r="L190" i="20" s="1"/>
  <c r="O1458" i="20"/>
  <c r="L1458" i="20" s="1"/>
  <c r="O2143" i="20"/>
  <c r="L2143" i="20" s="1"/>
  <c r="O2144" i="20"/>
  <c r="L2144" i="20" s="1"/>
  <c r="O2145" i="20"/>
  <c r="L2145" i="20" s="1"/>
  <c r="O1185" i="20"/>
  <c r="L1185" i="20" s="1"/>
  <c r="O1186" i="20"/>
  <c r="L1186" i="20" s="1"/>
  <c r="O1187" i="20"/>
  <c r="L1187" i="20" s="1"/>
  <c r="O1749" i="20"/>
  <c r="L1749" i="20" s="1"/>
  <c r="O1750" i="20"/>
  <c r="L1750" i="20" s="1"/>
  <c r="O1751" i="20"/>
  <c r="L1751" i="20" s="1"/>
  <c r="O1752" i="20"/>
  <c r="L1752" i="20" s="1"/>
  <c r="O1753" i="20"/>
  <c r="L1753" i="20" s="1"/>
  <c r="O2111" i="20"/>
  <c r="L2111" i="20" s="1"/>
  <c r="O1776" i="20"/>
  <c r="L1776" i="20" s="1"/>
  <c r="O1787" i="20"/>
  <c r="L1787" i="20" s="1"/>
  <c r="O1777" i="20"/>
  <c r="L1777" i="20" s="1"/>
  <c r="O1778" i="20"/>
  <c r="L1778" i="20" s="1"/>
  <c r="O1754" i="20"/>
  <c r="L1754" i="20" s="1"/>
  <c r="O1779" i="20"/>
  <c r="L1779" i="20" s="1"/>
  <c r="O1793" i="20"/>
  <c r="L1793" i="20" s="1"/>
  <c r="O2075" i="20"/>
  <c r="L2075" i="20" s="1"/>
  <c r="O2076" i="20"/>
  <c r="L2076" i="20" s="1"/>
  <c r="O2077" i="20"/>
  <c r="L2077" i="20" s="1"/>
  <c r="O2078" i="20"/>
  <c r="L2078" i="20" s="1"/>
  <c r="O2146" i="20"/>
  <c r="L2146" i="20" s="1"/>
  <c r="O2147" i="20"/>
  <c r="L2147" i="20" s="1"/>
  <c r="O2148" i="20"/>
  <c r="L2148" i="20" s="1"/>
  <c r="O1161" i="20"/>
  <c r="L1161" i="20" s="1"/>
  <c r="O2149" i="20"/>
  <c r="L2149" i="20" s="1"/>
  <c r="O2150" i="20"/>
  <c r="L2150" i="20" s="1"/>
  <c r="O2151" i="20"/>
  <c r="L2151" i="20" s="1"/>
  <c r="O2152" i="20"/>
  <c r="L2152" i="20" s="1"/>
  <c r="O2153" i="20"/>
  <c r="L2153" i="20" s="1"/>
  <c r="O191" i="20"/>
  <c r="L191" i="20" s="1"/>
  <c r="O1469" i="20"/>
  <c r="L1469" i="20" s="1"/>
  <c r="O1470" i="20"/>
  <c r="L1470" i="20" s="1"/>
  <c r="O1471" i="20"/>
  <c r="L1471" i="20" s="1"/>
  <c r="O1472" i="20"/>
  <c r="L1472" i="20" s="1"/>
  <c r="O1473" i="20"/>
  <c r="L1473" i="20" s="1"/>
  <c r="O1474" i="20"/>
  <c r="L1474" i="20" s="1"/>
  <c r="O1475" i="20"/>
  <c r="L1475" i="20" s="1"/>
  <c r="O1498" i="20"/>
  <c r="L1498" i="20" s="1"/>
  <c r="O1499" i="20"/>
  <c r="L1499" i="20" s="1"/>
  <c r="O1500" i="20"/>
  <c r="L1500" i="20" s="1"/>
  <c r="O1501" i="20"/>
  <c r="L1501" i="20" s="1"/>
  <c r="O1502" i="20"/>
  <c r="L1502" i="20" s="1"/>
  <c r="O1503" i="20"/>
  <c r="L1503" i="20" s="1"/>
  <c r="O1504" i="20"/>
  <c r="L1504" i="20" s="1"/>
  <c r="O1505" i="20"/>
  <c r="L1505" i="20" s="1"/>
  <c r="O1476" i="20"/>
  <c r="L1476" i="20" s="1"/>
  <c r="O1477" i="20"/>
  <c r="L1477" i="20" s="1"/>
  <c r="O1486" i="20"/>
  <c r="L1486" i="20" s="1"/>
  <c r="O1478" i="20"/>
  <c r="L1478" i="20" s="1"/>
  <c r="O1479" i="20"/>
  <c r="L1479" i="20" s="1"/>
  <c r="O1480" i="20"/>
  <c r="L1480" i="20" s="1"/>
  <c r="O1481" i="20"/>
  <c r="L1481" i="20" s="1"/>
  <c r="O1482" i="20"/>
  <c r="L1482" i="20" s="1"/>
  <c r="O1483" i="20"/>
  <c r="L1483" i="20" s="1"/>
  <c r="O1484" i="20"/>
  <c r="L1484" i="20" s="1"/>
  <c r="O192" i="20"/>
  <c r="L192" i="20" s="1"/>
  <c r="O1582" i="20"/>
  <c r="L1582" i="20" s="1"/>
  <c r="O1162" i="20"/>
  <c r="L1162" i="20" s="1"/>
  <c r="O1583" i="20"/>
  <c r="L1583" i="20" s="1"/>
  <c r="O1584" i="20"/>
  <c r="L1584" i="20" s="1"/>
  <c r="O1585" i="20"/>
  <c r="L1585" i="20" s="1"/>
  <c r="O1586" i="20"/>
  <c r="L1586" i="20" s="1"/>
  <c r="O1587" i="20"/>
  <c r="L1587" i="20" s="1"/>
  <c r="O944" i="20"/>
  <c r="L944" i="20" s="1"/>
  <c r="O945" i="20"/>
  <c r="L945" i="20" s="1"/>
  <c r="O946" i="20"/>
  <c r="L946" i="20" s="1"/>
  <c r="O947" i="20"/>
  <c r="L947" i="20" s="1"/>
  <c r="O948" i="20"/>
  <c r="L948" i="20" s="1"/>
  <c r="O949" i="20"/>
  <c r="L949" i="20" s="1"/>
  <c r="O1588" i="20"/>
  <c r="L1588" i="20" s="1"/>
  <c r="O1589" i="20"/>
  <c r="L1589" i="20" s="1"/>
  <c r="O1590" i="20"/>
  <c r="L1590" i="20" s="1"/>
  <c r="O1163" i="20"/>
  <c r="L1163" i="20" s="1"/>
  <c r="O1164" i="20"/>
  <c r="L1164" i="20" s="1"/>
  <c r="O1165" i="20"/>
  <c r="L1165" i="20" s="1"/>
  <c r="O1166" i="20"/>
  <c r="L1166" i="20" s="1"/>
  <c r="O1167" i="20"/>
  <c r="L1167" i="20" s="1"/>
  <c r="O193" i="20"/>
  <c r="L193" i="20" s="1"/>
  <c r="O1364" i="20"/>
  <c r="L1364" i="20" s="1"/>
  <c r="O122" i="20"/>
  <c r="L122" i="20" s="1"/>
  <c r="O123" i="20"/>
  <c r="L123" i="20" s="1"/>
  <c r="O124" i="20"/>
  <c r="L124" i="20" s="1"/>
  <c r="O1365" i="20"/>
  <c r="L1365" i="20" s="1"/>
  <c r="O1366" i="20"/>
  <c r="L1366" i="20" s="1"/>
  <c r="O1367" i="20"/>
  <c r="L1367" i="20" s="1"/>
  <c r="O1368" i="20"/>
  <c r="L1368" i="20" s="1"/>
  <c r="O1369" i="20"/>
  <c r="L1369" i="20" s="1"/>
  <c r="O1370" i="20"/>
  <c r="L1370" i="20" s="1"/>
  <c r="O1371" i="20"/>
  <c r="L1371" i="20" s="1"/>
  <c r="O1372" i="20"/>
  <c r="L1372" i="20" s="1"/>
  <c r="O1373" i="20"/>
  <c r="L1373" i="20" s="1"/>
  <c r="O1374" i="20"/>
  <c r="L1374" i="20" s="1"/>
  <c r="O1375" i="20"/>
  <c r="L1375" i="20" s="1"/>
  <c r="O1376" i="20"/>
  <c r="L1376" i="20" s="1"/>
  <c r="O950" i="20"/>
  <c r="L950" i="20" s="1"/>
  <c r="O971" i="20"/>
  <c r="L971" i="20" s="1"/>
  <c r="O1377" i="20"/>
  <c r="L1377" i="20" s="1"/>
  <c r="O1378" i="20"/>
  <c r="L1378" i="20" s="1"/>
  <c r="O1019" i="20"/>
  <c r="L1019" i="20" s="1"/>
  <c r="O1020" i="20"/>
  <c r="L1020" i="20" s="1"/>
  <c r="O559" i="20"/>
  <c r="L559" i="20" s="1"/>
  <c r="O560" i="20"/>
  <c r="L560" i="20" s="1"/>
  <c r="O561" i="20"/>
  <c r="L561" i="20" s="1"/>
  <c r="O562" i="20"/>
  <c r="L562" i="20" s="1"/>
  <c r="O1824" i="20"/>
  <c r="L1824" i="20" s="1"/>
  <c r="O563" i="20"/>
  <c r="L563" i="20" s="1"/>
  <c r="O564" i="20"/>
  <c r="L564" i="20" s="1"/>
  <c r="O565" i="20"/>
  <c r="L565" i="20" s="1"/>
  <c r="O566" i="20"/>
  <c r="L566" i="20" s="1"/>
  <c r="O567" i="20"/>
  <c r="L567" i="20" s="1"/>
  <c r="O568" i="20"/>
  <c r="L568" i="20" s="1"/>
  <c r="O569" i="20"/>
  <c r="L569" i="20" s="1"/>
  <c r="O570" i="20"/>
  <c r="L570" i="20" s="1"/>
  <c r="O571" i="20"/>
  <c r="L571" i="20" s="1"/>
  <c r="O572" i="20"/>
  <c r="L572" i="20" s="1"/>
  <c r="O573" i="20"/>
  <c r="L573" i="20" s="1"/>
  <c r="O574" i="20"/>
  <c r="L574" i="20" s="1"/>
  <c r="O575" i="20"/>
  <c r="L575" i="20" s="1"/>
  <c r="O576" i="20"/>
  <c r="L576" i="20" s="1"/>
  <c r="O1825" i="20"/>
  <c r="L1825" i="20" s="1"/>
  <c r="O577" i="20"/>
  <c r="L577" i="20" s="1"/>
  <c r="O578" i="20"/>
  <c r="L578" i="20" s="1"/>
  <c r="O579" i="20"/>
  <c r="L579" i="20" s="1"/>
  <c r="O580" i="20"/>
  <c r="L580" i="20" s="1"/>
  <c r="O125" i="20"/>
  <c r="L125" i="20" s="1"/>
  <c r="O143" i="20"/>
  <c r="L143" i="20" s="1"/>
  <c r="O126" i="20"/>
  <c r="L126" i="20" s="1"/>
  <c r="O194" i="20"/>
  <c r="L194" i="20" s="1"/>
  <c r="O1418" i="20"/>
  <c r="L1418" i="20" s="1"/>
  <c r="O1419" i="20"/>
  <c r="L1419" i="20" s="1"/>
  <c r="O794" i="20"/>
  <c r="L794" i="20" s="1"/>
  <c r="O685" i="20"/>
  <c r="L685" i="20" s="1"/>
  <c r="O1284" i="20"/>
  <c r="L1284" i="20" s="1"/>
  <c r="O101" i="20"/>
  <c r="L101" i="20" s="1"/>
  <c r="O128" i="20"/>
  <c r="L128" i="20" s="1"/>
  <c r="O144" i="20"/>
  <c r="L144" i="20" s="1"/>
  <c r="O246" i="20"/>
  <c r="L246" i="20" s="1"/>
  <c r="O195" i="20"/>
  <c r="L195" i="20" s="1"/>
  <c r="O686" i="20"/>
  <c r="L686" i="20" s="1"/>
  <c r="O112" i="20"/>
  <c r="L112" i="20" s="1"/>
  <c r="O342" i="20"/>
  <c r="L342" i="20" s="1"/>
  <c r="O791" i="20"/>
  <c r="L791" i="20" s="1"/>
  <c r="O1188" i="20"/>
  <c r="L1188" i="20" s="1"/>
  <c r="O338" i="20"/>
  <c r="L338" i="20" s="1"/>
  <c r="O339" i="20"/>
  <c r="L339" i="20" s="1"/>
  <c r="O247" i="20"/>
  <c r="L247" i="20" s="1"/>
  <c r="O275" i="20"/>
  <c r="L275" i="20" s="1"/>
  <c r="O365" i="20"/>
  <c r="L365" i="20" s="1"/>
  <c r="O13" i="20"/>
  <c r="L13" i="20" s="1"/>
  <c r="O1420" i="20"/>
  <c r="L1420" i="20" s="1"/>
  <c r="O351" i="20"/>
  <c r="L351" i="20" s="1"/>
  <c r="O102" i="20"/>
  <c r="L102" i="20" s="1"/>
  <c r="O272" i="20"/>
  <c r="L272" i="20" s="1"/>
  <c r="O196" i="20"/>
  <c r="L196" i="20" s="1"/>
  <c r="O1206" i="20"/>
  <c r="L1206" i="20" s="1"/>
  <c r="O1021" i="20"/>
  <c r="L1021" i="20" s="1"/>
  <c r="O1022" i="20"/>
  <c r="L1022" i="20" s="1"/>
  <c r="O1023" i="20"/>
  <c r="L1023" i="20" s="1"/>
  <c r="O1024" i="20"/>
  <c r="L1024" i="20" s="1"/>
  <c r="O1207" i="20"/>
  <c r="L1207" i="20" s="1"/>
  <c r="O1208" i="20"/>
  <c r="L1208" i="20" s="1"/>
  <c r="O1209" i="20"/>
  <c r="L1209" i="20" s="1"/>
  <c r="O1210" i="20"/>
  <c r="L1210" i="20" s="1"/>
  <c r="O1025" i="20"/>
  <c r="L1025" i="20" s="1"/>
  <c r="O1026" i="20"/>
  <c r="L1026" i="20" s="1"/>
  <c r="O1027" i="20"/>
  <c r="L1027" i="20" s="1"/>
  <c r="O84" i="20"/>
  <c r="L84" i="20" s="1"/>
  <c r="O243" i="20"/>
  <c r="L243" i="20" s="1"/>
  <c r="O1214" i="20"/>
  <c r="L1214" i="20" s="1"/>
  <c r="O197" i="20"/>
  <c r="L197" i="20" s="1"/>
  <c r="O65" i="20"/>
  <c r="L65" i="20" s="1"/>
  <c r="O349" i="20"/>
  <c r="L349" i="20" s="1"/>
  <c r="O293" i="20"/>
  <c r="L293" i="20" s="1"/>
  <c r="O294" i="20"/>
  <c r="L294" i="20" s="1"/>
  <c r="O295" i="20"/>
  <c r="L295" i="20" s="1"/>
  <c r="O296" i="20"/>
  <c r="L296" i="20" s="1"/>
  <c r="O297" i="20"/>
  <c r="L297" i="20" s="1"/>
  <c r="O298" i="20"/>
  <c r="L298" i="20" s="1"/>
  <c r="O299" i="20"/>
  <c r="L299" i="20" s="1"/>
  <c r="O300" i="20"/>
  <c r="L300" i="20" s="1"/>
  <c r="O301" i="20"/>
  <c r="L301" i="20" s="1"/>
  <c r="O302" i="20"/>
  <c r="L302" i="20" s="1"/>
  <c r="O303" i="20"/>
  <c r="L303" i="20" s="1"/>
  <c r="O198" i="20"/>
  <c r="L198" i="20" s="1"/>
  <c r="O1168" i="20"/>
  <c r="L1168" i="20" s="1"/>
  <c r="O1245" i="20"/>
  <c r="L1245" i="20" s="1"/>
  <c r="O1169" i="20"/>
  <c r="L1169" i="20" s="1"/>
  <c r="O1170" i="20"/>
  <c r="L1170" i="20" s="1"/>
  <c r="O1171" i="20"/>
  <c r="L1171" i="20" s="1"/>
  <c r="O1172" i="20"/>
  <c r="L1172" i="20" s="1"/>
  <c r="O1173" i="20"/>
  <c r="L1173" i="20" s="1"/>
  <c r="O304" i="20"/>
  <c r="L304" i="20" s="1"/>
  <c r="O305" i="20"/>
  <c r="L305" i="20" s="1"/>
  <c r="O306" i="20"/>
  <c r="L306" i="20" s="1"/>
  <c r="O307" i="20"/>
  <c r="L307" i="20" s="1"/>
  <c r="O308" i="20"/>
  <c r="L308" i="20" s="1"/>
  <c r="O309" i="20"/>
  <c r="L309" i="20" s="1"/>
  <c r="O310" i="20"/>
  <c r="L310" i="20" s="1"/>
  <c r="O311" i="20"/>
  <c r="L311" i="20" s="1"/>
  <c r="O1246" i="20"/>
  <c r="L1246" i="20" s="1"/>
  <c r="O391" i="20"/>
  <c r="L391" i="20" s="1"/>
  <c r="O951" i="20"/>
  <c r="L951" i="20" s="1"/>
  <c r="O1064" i="20"/>
  <c r="L1064" i="20" s="1"/>
  <c r="O1105" i="20"/>
  <c r="L1105" i="20" s="1"/>
  <c r="O1225" i="20"/>
  <c r="L1225" i="20" s="1"/>
  <c r="O1957" i="20"/>
  <c r="L1957" i="20" s="1"/>
  <c r="O414" i="20"/>
  <c r="L414" i="20" s="1"/>
  <c r="O426" i="20"/>
  <c r="L426" i="20" s="1"/>
  <c r="O145" i="20"/>
  <c r="L145" i="20" s="1"/>
  <c r="O395" i="20"/>
  <c r="L395" i="20" s="1"/>
  <c r="O972" i="20"/>
  <c r="L972" i="20" s="1"/>
  <c r="O45" i="20"/>
  <c r="L45" i="20" s="1"/>
  <c r="O396" i="20"/>
  <c r="L396" i="20" s="1"/>
  <c r="O1898" i="20"/>
  <c r="L1898" i="20" s="1"/>
  <c r="O1958" i="20"/>
  <c r="L1958" i="20" s="1"/>
  <c r="O2030" i="20"/>
  <c r="L2030" i="20" s="1"/>
  <c r="O397" i="20"/>
  <c r="L397" i="20" s="1"/>
  <c r="O415" i="20"/>
  <c r="L415" i="20" s="1"/>
  <c r="O1065" i="20"/>
  <c r="L1065" i="20" s="1"/>
  <c r="O312" i="20"/>
  <c r="L312" i="20" s="1"/>
  <c r="O416" i="20"/>
  <c r="L416" i="20" s="1"/>
  <c r="O427" i="20"/>
  <c r="L427" i="20" s="1"/>
  <c r="O1899" i="20"/>
  <c r="L1899" i="20" s="1"/>
  <c r="O1318" i="20"/>
  <c r="L1318" i="20" s="1"/>
  <c r="O127" i="20"/>
  <c r="L127" i="20" s="1"/>
  <c r="O1247" i="20"/>
  <c r="L1247" i="20" s="1"/>
  <c r="O1248" i="20"/>
  <c r="L1248" i="20" s="1"/>
  <c r="O1249" i="20"/>
  <c r="L1249" i="20" s="1"/>
  <c r="O1250" i="20"/>
  <c r="L1250" i="20" s="1"/>
  <c r="O1251" i="20"/>
  <c r="L1251" i="20" s="1"/>
  <c r="O1252" i="20"/>
  <c r="L1252" i="20" s="1"/>
  <c r="O1253" i="20"/>
  <c r="L1253" i="20" s="1"/>
  <c r="O1254" i="20"/>
  <c r="L1254" i="20" s="1"/>
  <c r="O1255" i="20"/>
  <c r="L1255" i="20" s="1"/>
  <c r="O1256" i="20"/>
  <c r="L1256" i="20" s="1"/>
  <c r="O1257" i="20"/>
  <c r="L1257" i="20" s="1"/>
  <c r="O1258" i="20"/>
  <c r="L1258" i="20" s="1"/>
  <c r="O792" i="20"/>
  <c r="L792" i="20" s="1"/>
  <c r="O1259" i="20"/>
  <c r="L1259" i="20" s="1"/>
  <c r="O1260" i="20"/>
  <c r="L1260" i="20" s="1"/>
  <c r="O1261" i="20"/>
  <c r="L1261" i="20" s="1"/>
  <c r="O1262" i="20"/>
  <c r="L1262" i="20" s="1"/>
  <c r="O1263" i="20"/>
  <c r="L1263" i="20" s="1"/>
  <c r="O1264" i="20"/>
  <c r="L1264" i="20" s="1"/>
  <c r="O1265" i="20"/>
  <c r="L1265" i="20" s="1"/>
  <c r="O1266" i="20"/>
  <c r="L1266" i="20" s="1"/>
  <c r="O1066" i="20"/>
  <c r="L1066" i="20" s="1"/>
  <c r="O1267" i="20"/>
  <c r="L1267" i="20" s="1"/>
  <c r="O1815" i="20"/>
  <c r="L1815" i="20" s="1"/>
  <c r="O1067" i="20"/>
  <c r="L1067" i="20" s="1"/>
  <c r="O849" i="20"/>
  <c r="L849" i="20" s="1"/>
  <c r="O1485" i="20"/>
  <c r="L1485" i="20" s="1"/>
  <c r="O1387" i="20"/>
  <c r="L1387" i="20" s="1"/>
  <c r="O1934" i="20"/>
  <c r="L1934" i="20" s="1"/>
  <c r="O66" i="20"/>
  <c r="L66" i="20" s="1"/>
  <c r="O1421" i="20"/>
  <c r="L1421" i="20" s="1"/>
  <c r="O1211" i="20"/>
  <c r="L1211" i="20" s="1"/>
  <c r="O1212" i="20"/>
  <c r="L1212" i="20" s="1"/>
  <c r="O1268" i="20"/>
  <c r="L1268" i="20" s="1"/>
  <c r="O1269" i="20"/>
  <c r="L1269" i="20" s="1"/>
  <c r="O1270" i="20"/>
  <c r="L1270" i="20" s="1"/>
  <c r="O1271" i="20"/>
  <c r="L1271" i="20" s="1"/>
  <c r="O1272" i="20"/>
  <c r="L1272" i="20" s="1"/>
  <c r="O1273" i="20"/>
  <c r="L1273" i="20" s="1"/>
  <c r="O1274" i="20"/>
  <c r="L1274" i="20" s="1"/>
  <c r="O1275" i="20"/>
  <c r="L1275" i="20" s="1"/>
  <c r="O1276" i="20"/>
  <c r="L1276" i="20" s="1"/>
  <c r="O1277" i="20"/>
  <c r="L1277" i="20" s="1"/>
  <c r="O1278" i="20"/>
  <c r="L1278" i="20" s="1"/>
  <c r="O1279" i="20"/>
  <c r="L1279" i="20" s="1"/>
  <c r="O1280" i="20"/>
  <c r="L1280" i="20" s="1"/>
  <c r="O313" i="20"/>
  <c r="L313" i="20" s="1"/>
  <c r="O1281" i="20"/>
  <c r="L1281" i="20" s="1"/>
  <c r="O47" i="20"/>
  <c r="L47" i="20" s="1"/>
  <c r="O825" i="20"/>
  <c r="L825" i="20" s="1"/>
  <c r="O350" i="20"/>
  <c r="L350" i="20" s="1"/>
  <c r="O48" i="20"/>
  <c r="L48" i="20" s="1"/>
  <c r="O826" i="20"/>
  <c r="L826" i="20" s="1"/>
  <c r="O260" i="20"/>
  <c r="L260" i="20" s="1"/>
  <c r="O244" i="20"/>
  <c r="L244" i="20" s="1"/>
  <c r="O262" i="20"/>
  <c r="L262" i="20" s="1"/>
  <c r="O199" i="20"/>
  <c r="L199" i="20" s="1"/>
  <c r="O744" i="20"/>
  <c r="L744" i="20" s="1"/>
  <c r="O745" i="20"/>
  <c r="L745" i="20" s="1"/>
  <c r="O746" i="20"/>
  <c r="L746" i="20" s="1"/>
  <c r="O1425" i="20"/>
  <c r="L1425" i="20" s="1"/>
  <c r="O1426" i="20"/>
  <c r="L1426" i="20" s="1"/>
  <c r="O1657" i="20"/>
  <c r="L1657" i="20" s="1"/>
  <c r="O1658" i="20"/>
  <c r="L1658" i="20" s="1"/>
  <c r="O1028" i="20"/>
  <c r="L1028" i="20" s="1"/>
  <c r="O129" i="20"/>
  <c r="L129" i="20" s="1"/>
  <c r="O1659" i="20"/>
  <c r="L1659" i="20" s="1"/>
  <c r="O1660" i="20"/>
  <c r="L1660" i="20" s="1"/>
  <c r="O1661" i="20"/>
  <c r="L1661" i="20" s="1"/>
  <c r="O1040" i="20"/>
  <c r="L1040" i="20" s="1"/>
  <c r="O1084" i="20"/>
  <c r="L1084" i="20" s="1"/>
  <c r="O1662" i="20"/>
  <c r="L1662" i="20" s="1"/>
  <c r="O1881" i="20"/>
  <c r="L1881" i="20" s="1"/>
  <c r="O1882" i="20"/>
  <c r="L1882" i="20" s="1"/>
  <c r="O1883" i="20"/>
  <c r="L1883" i="20" s="1"/>
  <c r="O1884" i="20"/>
  <c r="L1884" i="20" s="1"/>
  <c r="O1885" i="20"/>
  <c r="L1885" i="20" s="1"/>
  <c r="O1886" i="20"/>
  <c r="L1886" i="20" s="1"/>
  <c r="O1714" i="20"/>
  <c r="L1714" i="20" s="1"/>
  <c r="O1663" i="20"/>
  <c r="L1663" i="20" s="1"/>
  <c r="O1664" i="20"/>
  <c r="L1664" i="20" s="1"/>
  <c r="O1709" i="20"/>
  <c r="L1709" i="20" s="1"/>
  <c r="O1085" i="20"/>
  <c r="L1085" i="20" s="1"/>
  <c r="O1086" i="20"/>
  <c r="L1086" i="20" s="1"/>
  <c r="O973" i="20"/>
  <c r="L973" i="20" s="1"/>
  <c r="O911" i="20"/>
  <c r="L911" i="20" s="1"/>
  <c r="O912" i="20"/>
  <c r="L912" i="20" s="1"/>
  <c r="O913" i="20"/>
  <c r="L913" i="20" s="1"/>
  <c r="O914" i="20"/>
  <c r="L914" i="20" s="1"/>
  <c r="O148" i="20"/>
  <c r="L148" i="20" s="1"/>
  <c r="O67" i="20"/>
  <c r="L67" i="20" s="1"/>
  <c r="O1756" i="20"/>
  <c r="L1756" i="20" s="1"/>
  <c r="O1665" i="20"/>
  <c r="L1665" i="20" s="1"/>
  <c r="O874" i="20"/>
  <c r="L874" i="20" s="1"/>
  <c r="O875" i="20"/>
  <c r="L875" i="20" s="1"/>
  <c r="O876" i="20"/>
  <c r="L876" i="20" s="1"/>
  <c r="O146" i="20"/>
  <c r="L146" i="20" s="1"/>
  <c r="O147" i="20"/>
  <c r="L147" i="20" s="1"/>
  <c r="O1651" i="20"/>
  <c r="L1651" i="20" s="1"/>
  <c r="O1652" i="20"/>
  <c r="L1652" i="20" s="1"/>
  <c r="O1653" i="20"/>
  <c r="L1653" i="20" s="1"/>
  <c r="O1654" i="20"/>
  <c r="L1654" i="20" s="1"/>
  <c r="O1422" i="20"/>
  <c r="L1422" i="20" s="1"/>
  <c r="O1655" i="20"/>
  <c r="L1655" i="20" s="1"/>
  <c r="O1427" i="20"/>
  <c r="L1427" i="20" s="1"/>
  <c r="O1428" i="20"/>
  <c r="L1428" i="20" s="1"/>
  <c r="O1429" i="20"/>
  <c r="L1429" i="20" s="1"/>
  <c r="O1430" i="20"/>
  <c r="L1430" i="20" s="1"/>
  <c r="O1431" i="20"/>
  <c r="L1431" i="20" s="1"/>
  <c r="O1029" i="20"/>
  <c r="L1029" i="20" s="1"/>
  <c r="O1030" i="20"/>
  <c r="L1030" i="20" s="1"/>
  <c r="O1031" i="20"/>
  <c r="L1031" i="20" s="1"/>
  <c r="O1032" i="20"/>
  <c r="L1032" i="20" s="1"/>
  <c r="O1666" i="20"/>
  <c r="L1666" i="20" s="1"/>
  <c r="O1432" i="20"/>
  <c r="L1432" i="20" s="1"/>
  <c r="O1433" i="20"/>
  <c r="L1433" i="20" s="1"/>
  <c r="O1434" i="20"/>
  <c r="L1434" i="20" s="1"/>
  <c r="O1435" i="20"/>
  <c r="L1435" i="20" s="1"/>
  <c r="O1876" i="20"/>
  <c r="L1876" i="20" s="1"/>
  <c r="O2189" i="20"/>
  <c r="L2189" i="20" s="1"/>
  <c r="O2190" i="20"/>
  <c r="L2190" i="20" s="1"/>
  <c r="O1667" i="20"/>
  <c r="L1667" i="20" s="1"/>
  <c r="O1668" i="20"/>
  <c r="L1668" i="20" s="1"/>
  <c r="O1436" i="20"/>
  <c r="L1436" i="20" s="1"/>
  <c r="O1669" i="20"/>
  <c r="L1669" i="20" s="1"/>
  <c r="O1670" i="20"/>
  <c r="L1670" i="20" s="1"/>
  <c r="O1671" i="20"/>
  <c r="L1671" i="20" s="1"/>
  <c r="O1672" i="20"/>
  <c r="L1672" i="20" s="1"/>
  <c r="O1673" i="20"/>
  <c r="L1673" i="20" s="1"/>
  <c r="O1715" i="20"/>
  <c r="L1715" i="20" s="1"/>
  <c r="O1716" i="20"/>
  <c r="L1716" i="20" s="1"/>
  <c r="O1717" i="20"/>
  <c r="L1717" i="20" s="1"/>
  <c r="O1718" i="20"/>
  <c r="L1718" i="20" s="1"/>
  <c r="O1719" i="20"/>
  <c r="L1719" i="20" s="1"/>
  <c r="O1595" i="20"/>
  <c r="L1595" i="20" s="1"/>
  <c r="O1720" i="20"/>
  <c r="L1720" i="20" s="1"/>
  <c r="O1565" i="20"/>
  <c r="L1565" i="20" s="1"/>
  <c r="O1674" i="20"/>
  <c r="L1674" i="20" s="1"/>
  <c r="O819" i="20"/>
  <c r="L819" i="20" s="1"/>
  <c r="O1675" i="20"/>
  <c r="L1675" i="20" s="1"/>
  <c r="O1887" i="20"/>
  <c r="L1887" i="20" s="1"/>
  <c r="O974" i="20"/>
  <c r="L974" i="20" s="1"/>
  <c r="O975" i="20"/>
  <c r="L975" i="20" s="1"/>
  <c r="O976" i="20"/>
  <c r="L976" i="20" s="1"/>
  <c r="O977" i="20"/>
  <c r="L977" i="20" s="1"/>
  <c r="O979" i="20"/>
  <c r="L979" i="20" s="1"/>
  <c r="O717" i="20"/>
  <c r="L717" i="20" s="1"/>
  <c r="O1710" i="20"/>
  <c r="L1710" i="20" s="1"/>
  <c r="O1711" i="20"/>
  <c r="L1711" i="20" s="1"/>
  <c r="O718" i="20"/>
  <c r="L718" i="20" s="1"/>
  <c r="O719" i="20"/>
  <c r="L719" i="20" s="1"/>
  <c r="O720" i="20"/>
  <c r="L720" i="20" s="1"/>
  <c r="O721" i="20"/>
  <c r="L721" i="20" s="1"/>
  <c r="O722" i="20"/>
  <c r="L722" i="20" s="1"/>
  <c r="O723" i="20"/>
  <c r="L723" i="20" s="1"/>
  <c r="O724" i="20"/>
  <c r="L724" i="20" s="1"/>
  <c r="O725" i="20"/>
  <c r="L725" i="20" s="1"/>
  <c r="O726" i="20"/>
  <c r="L726" i="20" s="1"/>
  <c r="O727" i="20"/>
  <c r="L727" i="20" s="1"/>
  <c r="O1712" i="20"/>
  <c r="L1712" i="20" s="1"/>
  <c r="O728" i="20"/>
  <c r="L728" i="20" s="1"/>
  <c r="O729" i="20"/>
  <c r="L729" i="20" s="1"/>
  <c r="O730" i="20"/>
  <c r="L730" i="20" s="1"/>
  <c r="O731" i="20"/>
  <c r="L731" i="20" s="1"/>
  <c r="O732" i="20"/>
  <c r="L732" i="20" s="1"/>
  <c r="O733" i="20"/>
  <c r="L733" i="20" s="1"/>
  <c r="O734" i="20"/>
  <c r="L734" i="20" s="1"/>
  <c r="O1713" i="20"/>
  <c r="L1713" i="20" s="1"/>
  <c r="O735" i="20"/>
  <c r="L735" i="20" s="1"/>
  <c r="O736" i="20"/>
  <c r="L736" i="20" s="1"/>
  <c r="O737" i="20"/>
  <c r="L737" i="20" s="1"/>
  <c r="O905" i="20"/>
  <c r="L905" i="20" s="1"/>
  <c r="O906" i="20"/>
  <c r="L906" i="20" s="1"/>
  <c r="O907" i="20"/>
  <c r="L907" i="20" s="1"/>
  <c r="O908" i="20"/>
  <c r="L908" i="20" s="1"/>
  <c r="O909" i="20"/>
  <c r="L909" i="20" s="1"/>
  <c r="O200" i="20"/>
  <c r="L200" i="20" s="1"/>
  <c r="O201" i="20"/>
  <c r="L201" i="20" s="1"/>
  <c r="O202" i="20"/>
  <c r="L202" i="20" s="1"/>
  <c r="O1087" i="20"/>
  <c r="L1087" i="20" s="1"/>
  <c r="O1088" i="20"/>
  <c r="L1088" i="20" s="1"/>
  <c r="O1089" i="20"/>
  <c r="L1089" i="20" s="1"/>
  <c r="O1090" i="20"/>
  <c r="L1090" i="20" s="1"/>
  <c r="O1091" i="20"/>
  <c r="L1091" i="20" s="1"/>
  <c r="O1092" i="20"/>
  <c r="L1092" i="20" s="1"/>
  <c r="O1993" i="20"/>
  <c r="L1993" i="20" s="1"/>
  <c r="O954" i="20"/>
  <c r="L954" i="20" s="1"/>
  <c r="O2180" i="20"/>
  <c r="L2180" i="20" s="1"/>
  <c r="O2181" i="20"/>
  <c r="L2181" i="20" s="1"/>
  <c r="O2182" i="20"/>
  <c r="L2182" i="20" s="1"/>
  <c r="O2183" i="20"/>
  <c r="L2183" i="20" s="1"/>
  <c r="O2184" i="20"/>
  <c r="L2184" i="20" s="1"/>
  <c r="O1174" i="20"/>
  <c r="L1174" i="20" s="1"/>
  <c r="O1175" i="20"/>
  <c r="L1175" i="20" s="1"/>
  <c r="O1041" i="20"/>
  <c r="L1041" i="20" s="1"/>
  <c r="O1042" i="20"/>
  <c r="L1042" i="20" s="1"/>
  <c r="O2161" i="20"/>
  <c r="L2161" i="20" s="1"/>
  <c r="O314" i="20"/>
  <c r="L314" i="20" s="1"/>
  <c r="O315" i="20"/>
  <c r="L315" i="20" s="1"/>
  <c r="O316" i="20"/>
  <c r="L316" i="20" s="1"/>
  <c r="O317" i="20"/>
  <c r="L317" i="20" s="1"/>
  <c r="O318" i="20"/>
  <c r="L318" i="20" s="1"/>
  <c r="O319" i="20"/>
  <c r="L319" i="20" s="1"/>
  <c r="O1867" i="20"/>
  <c r="L1867" i="20" s="1"/>
  <c r="O1868" i="20"/>
  <c r="L1868" i="20" s="1"/>
  <c r="O1869" i="20"/>
  <c r="L1869" i="20" s="1"/>
  <c r="O1870" i="20"/>
  <c r="L1870" i="20" s="1"/>
  <c r="O1871" i="20"/>
  <c r="L1871" i="20" s="1"/>
  <c r="O1872" i="20"/>
  <c r="L1872" i="20" s="1"/>
  <c r="O1873" i="20"/>
  <c r="L1873" i="20" s="1"/>
  <c r="O1874" i="20"/>
  <c r="L1874" i="20" s="1"/>
  <c r="O1875" i="20"/>
  <c r="L1875" i="20" s="1"/>
  <c r="O320" i="20"/>
  <c r="L320" i="20" s="1"/>
  <c r="O321" i="20"/>
  <c r="L321" i="20" s="1"/>
  <c r="O322" i="20"/>
  <c r="L322" i="20" s="1"/>
  <c r="O323" i="20"/>
  <c r="L323" i="20" s="1"/>
  <c r="O324" i="20"/>
  <c r="L324" i="20" s="1"/>
  <c r="O325" i="20"/>
  <c r="L325" i="20" s="1"/>
  <c r="O326" i="20"/>
  <c r="L326" i="20" s="1"/>
  <c r="O327" i="20"/>
  <c r="L327" i="20" s="1"/>
  <c r="O328" i="20"/>
  <c r="L328" i="20" s="1"/>
  <c r="O329" i="20"/>
  <c r="L329" i="20" s="1"/>
  <c r="O330" i="20"/>
  <c r="L330" i="20" s="1"/>
  <c r="O1033" i="20"/>
  <c r="L1033" i="20" s="1"/>
  <c r="O1034" i="20"/>
  <c r="L1034" i="20" s="1"/>
  <c r="O331" i="20"/>
  <c r="L331" i="20" s="1"/>
  <c r="O1035" i="20"/>
  <c r="L1035" i="20" s="1"/>
  <c r="O1036" i="20"/>
  <c r="L1036" i="20" s="1"/>
  <c r="O1440" i="20"/>
  <c r="L1440" i="20" s="1"/>
  <c r="O1037" i="20"/>
  <c r="L1037" i="20" s="1"/>
  <c r="O332" i="20"/>
  <c r="L332" i="20" s="1"/>
  <c r="O333" i="20"/>
  <c r="L333" i="20" s="1"/>
  <c r="O334" i="20"/>
  <c r="L334" i="20" s="1"/>
  <c r="O1038" i="20"/>
  <c r="L1038" i="20" s="1"/>
  <c r="O1755" i="20"/>
  <c r="L1755" i="20" s="1"/>
  <c r="O2092" i="20"/>
  <c r="L2092" i="20" s="1"/>
  <c r="O343" i="20"/>
  <c r="L343" i="20" s="1"/>
  <c r="O1735" i="20"/>
  <c r="L1735" i="20" s="1"/>
  <c r="O1566" i="20"/>
  <c r="L1566" i="20" s="1"/>
  <c r="O1780" i="20"/>
  <c r="L1780" i="20" s="1"/>
  <c r="O1068" i="20"/>
  <c r="L1068" i="20" s="1"/>
  <c r="O1069" i="20"/>
  <c r="L1069" i="20" s="1"/>
  <c r="O1070" i="20"/>
  <c r="L1070" i="20" s="1"/>
  <c r="O1071" i="20"/>
  <c r="L1071" i="20" s="1"/>
  <c r="O1072" i="20"/>
  <c r="L1072" i="20" s="1"/>
  <c r="O1073" i="20"/>
  <c r="L1073" i="20" s="1"/>
  <c r="O1074" i="20"/>
  <c r="L1074" i="20" s="1"/>
  <c r="O1075" i="20"/>
  <c r="L1075" i="20" s="1"/>
  <c r="O1076" i="20"/>
  <c r="L1076" i="20" s="1"/>
  <c r="O1077" i="20"/>
  <c r="L1077" i="20" s="1"/>
  <c r="O1078" i="20"/>
  <c r="L1078" i="20" s="1"/>
  <c r="O1079" i="20"/>
  <c r="L1079" i="20" s="1"/>
  <c r="O1080" i="20"/>
  <c r="L1080" i="20" s="1"/>
  <c r="O1081" i="20"/>
  <c r="L1081" i="20" s="1"/>
  <c r="O1082" i="20"/>
  <c r="L1082" i="20" s="1"/>
  <c r="O1083" i="20"/>
  <c r="L1083" i="20" s="1"/>
  <c r="O1757" i="20"/>
  <c r="L1757" i="20" s="1"/>
  <c r="O1816" i="20"/>
  <c r="L1816" i="20" s="1"/>
  <c r="O1758" i="20"/>
  <c r="L1758" i="20" s="1"/>
  <c r="O1759" i="20"/>
  <c r="L1759" i="20" s="1"/>
  <c r="O203" i="20"/>
  <c r="L203" i="20" s="1"/>
  <c r="O204" i="20"/>
  <c r="L204" i="20" s="1"/>
  <c r="O205" i="20"/>
  <c r="L205" i="20" s="1"/>
  <c r="O206" i="20"/>
  <c r="L206" i="20" s="1"/>
  <c r="O207" i="20"/>
  <c r="L207" i="20" s="1"/>
  <c r="O208" i="20"/>
  <c r="L208" i="20" s="1"/>
  <c r="O209" i="20"/>
  <c r="L209" i="20" s="1"/>
  <c r="O163" i="20"/>
  <c r="L163" i="20" s="1"/>
  <c r="O965" i="20"/>
  <c r="L965" i="20" s="1"/>
  <c r="O1792" i="20"/>
  <c r="L1792" i="20" s="1"/>
  <c r="O1646" i="20"/>
  <c r="L1646" i="20" s="1"/>
  <c r="O1647" i="20"/>
  <c r="L1647" i="20" s="1"/>
  <c r="O760" i="20"/>
  <c r="L760" i="20" s="1"/>
  <c r="O468" i="20"/>
  <c r="L468" i="20" s="1"/>
  <c r="O683" i="20"/>
  <c r="L683" i="20" s="1"/>
  <c r="O56" i="20"/>
  <c r="L56" i="20" s="1"/>
  <c r="O659" i="20"/>
  <c r="L659" i="20" s="1"/>
  <c r="O660" i="20"/>
  <c r="L660" i="20" s="1"/>
  <c r="O661" i="20"/>
  <c r="L661" i="20" s="1"/>
  <c r="O57" i="20"/>
  <c r="L57" i="20" s="1"/>
  <c r="O662" i="20"/>
  <c r="L662" i="20" s="1"/>
  <c r="O58" i="20"/>
  <c r="L58" i="20" s="1"/>
  <c r="O1057" i="20"/>
  <c r="L1057" i="20" s="1"/>
  <c r="O59" i="20"/>
  <c r="L59" i="20" s="1"/>
  <c r="O1058" i="20"/>
  <c r="L1058" i="20" s="1"/>
  <c r="O606" i="20"/>
  <c r="L606" i="20" s="1"/>
  <c r="O1812" i="20"/>
  <c r="L1812" i="20" s="1"/>
  <c r="O1923" i="20"/>
  <c r="L1923" i="20" s="1"/>
  <c r="O902" i="20"/>
  <c r="L902" i="20" s="1"/>
  <c r="O1701" i="20"/>
  <c r="L1701" i="20" s="1"/>
  <c r="O663" i="20"/>
  <c r="L663" i="20" s="1"/>
  <c r="O1363" i="20"/>
  <c r="L1363" i="20" s="1"/>
  <c r="O786" i="20"/>
  <c r="L786" i="20" s="1"/>
  <c r="F209" i="20"/>
  <c r="D209" i="20"/>
  <c r="F208" i="20"/>
  <c r="D208" i="20"/>
  <c r="F207" i="20"/>
  <c r="D207" i="20"/>
  <c r="F206" i="20"/>
  <c r="D206" i="20"/>
  <c r="F205" i="20"/>
  <c r="D205" i="20"/>
  <c r="F204" i="20"/>
  <c r="D204" i="20"/>
  <c r="F203" i="20"/>
  <c r="D203" i="20"/>
  <c r="F1759" i="20"/>
  <c r="D1759" i="20"/>
  <c r="F1758" i="20"/>
  <c r="D1758" i="20"/>
  <c r="F1816" i="20"/>
  <c r="A1816" i="20" s="1"/>
  <c r="D1816" i="20"/>
  <c r="F1757" i="20"/>
  <c r="D1757" i="20"/>
  <c r="F1083" i="20"/>
  <c r="D1083" i="20"/>
  <c r="F1082" i="20"/>
  <c r="D1082" i="20"/>
  <c r="F1081" i="20"/>
  <c r="A1081" i="20" s="1"/>
  <c r="D1081" i="20"/>
  <c r="F1080" i="20"/>
  <c r="D1080" i="20"/>
  <c r="F1079" i="20"/>
  <c r="D1079" i="20"/>
  <c r="F1078" i="20"/>
  <c r="D1078" i="20"/>
  <c r="F1077" i="20"/>
  <c r="D1077" i="20"/>
  <c r="F1076" i="20"/>
  <c r="D1076" i="20"/>
  <c r="F1075" i="20"/>
  <c r="D1075" i="20"/>
  <c r="F1074" i="20"/>
  <c r="D1074" i="20"/>
  <c r="F1073" i="20"/>
  <c r="D1073" i="20"/>
  <c r="F1072" i="20"/>
  <c r="D1072" i="20"/>
  <c r="F1071" i="20"/>
  <c r="D1071" i="20"/>
  <c r="F1070" i="20"/>
  <c r="D1070" i="20"/>
  <c r="F1069" i="20"/>
  <c r="D1069" i="20"/>
  <c r="F1068" i="20"/>
  <c r="D1068" i="20"/>
  <c r="F1780" i="20"/>
  <c r="D1780" i="20"/>
  <c r="F1566" i="20"/>
  <c r="D1566" i="20"/>
  <c r="F1735" i="20"/>
  <c r="D1735" i="20"/>
  <c r="F343" i="20"/>
  <c r="D343" i="20"/>
  <c r="F2092" i="20"/>
  <c r="D2092" i="20"/>
  <c r="F1755" i="20"/>
  <c r="D1755" i="20"/>
  <c r="F1038" i="20"/>
  <c r="D1038" i="20"/>
  <c r="F334" i="20"/>
  <c r="D334" i="20"/>
  <c r="F333" i="20"/>
  <c r="D333" i="20"/>
  <c r="F332" i="20"/>
  <c r="D332" i="20"/>
  <c r="F1037" i="20"/>
  <c r="D1037" i="20"/>
  <c r="F1440" i="20"/>
  <c r="D1440" i="20"/>
  <c r="F1036" i="20"/>
  <c r="D1036" i="20"/>
  <c r="F1035" i="20"/>
  <c r="D1035" i="20"/>
  <c r="F331" i="20"/>
  <c r="A331" i="20" s="1"/>
  <c r="D331" i="20"/>
  <c r="F1034" i="20"/>
  <c r="D1034" i="20"/>
  <c r="F1033" i="20"/>
  <c r="D1033" i="20"/>
  <c r="F330" i="20"/>
  <c r="D330" i="20"/>
  <c r="F329" i="20"/>
  <c r="D329" i="20"/>
  <c r="F328" i="20"/>
  <c r="D328" i="20"/>
  <c r="F327" i="20"/>
  <c r="D327" i="20"/>
  <c r="F326" i="20"/>
  <c r="D326" i="20"/>
  <c r="F325" i="20"/>
  <c r="D325" i="20"/>
  <c r="F324" i="20"/>
  <c r="D324" i="20"/>
  <c r="F323" i="20"/>
  <c r="D323" i="20"/>
  <c r="F322" i="20"/>
  <c r="D322" i="20"/>
  <c r="F321" i="20"/>
  <c r="D321" i="20"/>
  <c r="F320" i="20"/>
  <c r="D320" i="20"/>
  <c r="F1875" i="20"/>
  <c r="D1875" i="20"/>
  <c r="F1874" i="20"/>
  <c r="D1874" i="20"/>
  <c r="F1873" i="20"/>
  <c r="D1873" i="20"/>
  <c r="F1872" i="20"/>
  <c r="D1872" i="20"/>
  <c r="F1871" i="20"/>
  <c r="D1871" i="20"/>
  <c r="F1870" i="20"/>
  <c r="D1870" i="20"/>
  <c r="F1869" i="20"/>
  <c r="D1869" i="20"/>
  <c r="F1868" i="20"/>
  <c r="D1868" i="20"/>
  <c r="F1867" i="20"/>
  <c r="D1867" i="20"/>
  <c r="F319" i="20"/>
  <c r="D319" i="20"/>
  <c r="F318" i="20"/>
  <c r="D318" i="20"/>
  <c r="F317" i="20"/>
  <c r="D317" i="20"/>
  <c r="F316" i="20"/>
  <c r="D316" i="20"/>
  <c r="F315" i="20"/>
  <c r="D315" i="20"/>
  <c r="F314" i="20"/>
  <c r="D314" i="20"/>
  <c r="F2161" i="20"/>
  <c r="D2161" i="20"/>
  <c r="F1042" i="20"/>
  <c r="D1042" i="20"/>
  <c r="F1041" i="20"/>
  <c r="D1041" i="20"/>
  <c r="F1175" i="20"/>
  <c r="D1175" i="20"/>
  <c r="F1174" i="20"/>
  <c r="D1174" i="20"/>
  <c r="F2184" i="20"/>
  <c r="D2184" i="20"/>
  <c r="F2183" i="20"/>
  <c r="D2183" i="20"/>
  <c r="F2182" i="20"/>
  <c r="D2182" i="20"/>
  <c r="F2181" i="20"/>
  <c r="D2181" i="20"/>
  <c r="F2180" i="20"/>
  <c r="D2180" i="20"/>
  <c r="F954" i="20"/>
  <c r="D954" i="20"/>
  <c r="F1993" i="20"/>
  <c r="D1993" i="20"/>
  <c r="F1092" i="20"/>
  <c r="D1092" i="20"/>
  <c r="F1091" i="20"/>
  <c r="D1091" i="20"/>
  <c r="F1090" i="20"/>
  <c r="D1090" i="20"/>
  <c r="F1089" i="20"/>
  <c r="D1089" i="20"/>
  <c r="F1088" i="20"/>
  <c r="D1088" i="20"/>
  <c r="F1087" i="20"/>
  <c r="D1087" i="20"/>
  <c r="F202" i="20"/>
  <c r="D202" i="20"/>
  <c r="F201" i="20"/>
  <c r="D201" i="20"/>
  <c r="F200" i="20"/>
  <c r="D200" i="20"/>
  <c r="F909" i="20"/>
  <c r="D909" i="20"/>
  <c r="F908" i="20"/>
  <c r="D908" i="20"/>
  <c r="F907" i="20"/>
  <c r="D907" i="20"/>
  <c r="F906" i="20"/>
  <c r="D906" i="20"/>
  <c r="F905" i="20"/>
  <c r="D905" i="20"/>
  <c r="F737" i="20"/>
  <c r="D737" i="20"/>
  <c r="F736" i="20"/>
  <c r="D736" i="20"/>
  <c r="F735" i="20"/>
  <c r="D735" i="20"/>
  <c r="F1713" i="20"/>
  <c r="D1713" i="20"/>
  <c r="F734" i="20"/>
  <c r="D734" i="20"/>
  <c r="F733" i="20"/>
  <c r="D733" i="20"/>
  <c r="F732" i="20"/>
  <c r="D732" i="20"/>
  <c r="F731" i="20"/>
  <c r="D731" i="20"/>
  <c r="F730" i="20"/>
  <c r="D730" i="20"/>
  <c r="F729" i="20"/>
  <c r="D729" i="20"/>
  <c r="F728" i="20"/>
  <c r="D728" i="20"/>
  <c r="F1712" i="20"/>
  <c r="D1712" i="20"/>
  <c r="F727" i="20"/>
  <c r="D727" i="20"/>
  <c r="F726" i="20"/>
  <c r="D726" i="20"/>
  <c r="F725" i="20"/>
  <c r="D725" i="20"/>
  <c r="F724" i="20"/>
  <c r="D724" i="20"/>
  <c r="F723" i="20"/>
  <c r="D723" i="20"/>
  <c r="F722" i="20"/>
  <c r="D722" i="20"/>
  <c r="F721" i="20"/>
  <c r="D721" i="20"/>
  <c r="F720" i="20"/>
  <c r="D720" i="20"/>
  <c r="F719" i="20"/>
  <c r="D719" i="20"/>
  <c r="F718" i="20"/>
  <c r="D718" i="20"/>
  <c r="F1711" i="20"/>
  <c r="D1711" i="20"/>
  <c r="F1710" i="20"/>
  <c r="D1710" i="20"/>
  <c r="F717" i="20"/>
  <c r="D717" i="20"/>
  <c r="F979" i="20"/>
  <c r="D979" i="20"/>
  <c r="F977" i="20"/>
  <c r="D977" i="20"/>
  <c r="F976" i="20"/>
  <c r="D976" i="20"/>
  <c r="F975" i="20"/>
  <c r="D975" i="20"/>
  <c r="F974" i="20"/>
  <c r="D974" i="20"/>
  <c r="F1887" i="20"/>
  <c r="D1887" i="20"/>
  <c r="F1675" i="20"/>
  <c r="D1675" i="20"/>
  <c r="F819" i="20"/>
  <c r="D819" i="20"/>
  <c r="F1674" i="20"/>
  <c r="D1674" i="20"/>
  <c r="F1565" i="20"/>
  <c r="D1565" i="20"/>
  <c r="F1720" i="20"/>
  <c r="A1720" i="20" s="1"/>
  <c r="D1720" i="20"/>
  <c r="F1595" i="20"/>
  <c r="D1595" i="20"/>
  <c r="F1719" i="20"/>
  <c r="D1719" i="20"/>
  <c r="F1718" i="20"/>
  <c r="D1718" i="20"/>
  <c r="F1717" i="20"/>
  <c r="D1717" i="20"/>
  <c r="F1716" i="20"/>
  <c r="D1716" i="20"/>
  <c r="F1715" i="20"/>
  <c r="D1715" i="20"/>
  <c r="F1673" i="20"/>
  <c r="D1673" i="20"/>
  <c r="F1672" i="20"/>
  <c r="A1672" i="20" s="1"/>
  <c r="D1672" i="20"/>
  <c r="F1671" i="20"/>
  <c r="D1671" i="20"/>
  <c r="F1670" i="20"/>
  <c r="A1670" i="20" s="1"/>
  <c r="D1670" i="20"/>
  <c r="F1669" i="20"/>
  <c r="D1669" i="20"/>
  <c r="F1436" i="20"/>
  <c r="D1436" i="20"/>
  <c r="F1668" i="20"/>
  <c r="D1668" i="20"/>
  <c r="F1667" i="20"/>
  <c r="D1667" i="20"/>
  <c r="F2190" i="20"/>
  <c r="D2190" i="20"/>
  <c r="F2189" i="20"/>
  <c r="A2189" i="20" s="1"/>
  <c r="D2189" i="20"/>
  <c r="F1876" i="20"/>
  <c r="D1876" i="20"/>
  <c r="F1435" i="20"/>
  <c r="A1435" i="20" s="1"/>
  <c r="D1435" i="20"/>
  <c r="F1434" i="20"/>
  <c r="D1434" i="20"/>
  <c r="F1433" i="20"/>
  <c r="A1433" i="20" s="1"/>
  <c r="D1433" i="20"/>
  <c r="F1432" i="20"/>
  <c r="D1432" i="20"/>
  <c r="F1666" i="20"/>
  <c r="D1666" i="20"/>
  <c r="F1032" i="20"/>
  <c r="D1032" i="20"/>
  <c r="F1031" i="20"/>
  <c r="D1031" i="20"/>
  <c r="F1030" i="20"/>
  <c r="D1030" i="20"/>
  <c r="F1029" i="20"/>
  <c r="D1029" i="20"/>
  <c r="F1431" i="20"/>
  <c r="D1431" i="20"/>
  <c r="F1430" i="20"/>
  <c r="D1430" i="20"/>
  <c r="F1429" i="20"/>
  <c r="D1429" i="20"/>
  <c r="F1428" i="20"/>
  <c r="D1428" i="20"/>
  <c r="F1427" i="20"/>
  <c r="D1427" i="20"/>
  <c r="F1655" i="20"/>
  <c r="D1655" i="20"/>
  <c r="F1422" i="20"/>
  <c r="D1422" i="20"/>
  <c r="F1654" i="20"/>
  <c r="D1654" i="20"/>
  <c r="F1653" i="20"/>
  <c r="D1653" i="20"/>
  <c r="F1652" i="20"/>
  <c r="D1652" i="20"/>
  <c r="F1651" i="20"/>
  <c r="D1651" i="20"/>
  <c r="F147" i="20"/>
  <c r="D147" i="20"/>
  <c r="F146" i="20"/>
  <c r="D146" i="20"/>
  <c r="F876" i="20"/>
  <c r="D876" i="20"/>
  <c r="F875" i="20"/>
  <c r="D875" i="20"/>
  <c r="F874" i="20"/>
  <c r="D874" i="20"/>
  <c r="F1665" i="20"/>
  <c r="D1665" i="20"/>
  <c r="F1756" i="20"/>
  <c r="D1756" i="20"/>
  <c r="F67" i="20"/>
  <c r="D67" i="20"/>
  <c r="F148" i="20"/>
  <c r="A148" i="20" s="1"/>
  <c r="D148" i="20"/>
  <c r="F914" i="20"/>
  <c r="D914" i="20"/>
  <c r="F913" i="20"/>
  <c r="D913" i="20"/>
  <c r="F912" i="20"/>
  <c r="D912" i="20"/>
  <c r="F911" i="20"/>
  <c r="A911" i="20" s="1"/>
  <c r="D911" i="20"/>
  <c r="F973" i="20"/>
  <c r="D973" i="20"/>
  <c r="F1086" i="20"/>
  <c r="A1086" i="20" s="1"/>
  <c r="D1086" i="20"/>
  <c r="F1085" i="20"/>
  <c r="D1085" i="20"/>
  <c r="F1709" i="20"/>
  <c r="D1709" i="20"/>
  <c r="F1664" i="20"/>
  <c r="D1664" i="20"/>
  <c r="F1663" i="20"/>
  <c r="A1663" i="20" s="1"/>
  <c r="D1663" i="20"/>
  <c r="F1714" i="20"/>
  <c r="D1714" i="20"/>
  <c r="F1886" i="20"/>
  <c r="A1886" i="20" s="1"/>
  <c r="D1886" i="20"/>
  <c r="F1885" i="20"/>
  <c r="D1885" i="20"/>
  <c r="F1884" i="20"/>
  <c r="D1884" i="20"/>
  <c r="F1883" i="20"/>
  <c r="D1883" i="20"/>
  <c r="F1882" i="20"/>
  <c r="D1882" i="20"/>
  <c r="F1881" i="20"/>
  <c r="D1881" i="20"/>
  <c r="F1662" i="20"/>
  <c r="D1662" i="20"/>
  <c r="F1084" i="20"/>
  <c r="D1084" i="20"/>
  <c r="F1040" i="20"/>
  <c r="D1040" i="20"/>
  <c r="F1661" i="20"/>
  <c r="D1661" i="20"/>
  <c r="F1660" i="20"/>
  <c r="D1660" i="20"/>
  <c r="F1659" i="20"/>
  <c r="D1659" i="20"/>
  <c r="F129" i="20"/>
  <c r="D129" i="20"/>
  <c r="F1028" i="20"/>
  <c r="D1028" i="20"/>
  <c r="F1658" i="20"/>
  <c r="D1658" i="20"/>
  <c r="F1657" i="20"/>
  <c r="D1657" i="20"/>
  <c r="F1426" i="20"/>
  <c r="D1426" i="20"/>
  <c r="F1425" i="20"/>
  <c r="D1425" i="20"/>
  <c r="F746" i="20"/>
  <c r="D746" i="20"/>
  <c r="F745" i="20"/>
  <c r="D745" i="20"/>
  <c r="F744" i="20"/>
  <c r="D744" i="20"/>
  <c r="F199" i="20"/>
  <c r="D199" i="20"/>
  <c r="F262" i="20"/>
  <c r="D262" i="20"/>
  <c r="F244" i="20"/>
  <c r="D244" i="20"/>
  <c r="F260" i="20"/>
  <c r="D260" i="20"/>
  <c r="F826" i="20"/>
  <c r="D826" i="20"/>
  <c r="F48" i="20"/>
  <c r="D48" i="20"/>
  <c r="F350" i="20"/>
  <c r="D350" i="20"/>
  <c r="F825" i="20"/>
  <c r="D825" i="20"/>
  <c r="F47" i="20"/>
  <c r="D47" i="20"/>
  <c r="F1281" i="20"/>
  <c r="A1281" i="20" s="1"/>
  <c r="D1281" i="20"/>
  <c r="F313" i="20"/>
  <c r="D313" i="20"/>
  <c r="F1280" i="20"/>
  <c r="D1280" i="20"/>
  <c r="F1279" i="20"/>
  <c r="D1279" i="20"/>
  <c r="F1278" i="20"/>
  <c r="D1278" i="20"/>
  <c r="F1277" i="20"/>
  <c r="D1277" i="20"/>
  <c r="F1276" i="20"/>
  <c r="D1276" i="20"/>
  <c r="F1275" i="20"/>
  <c r="D1275" i="20"/>
  <c r="F1274" i="20"/>
  <c r="D1274" i="20"/>
  <c r="F1273" i="20"/>
  <c r="D1273" i="20"/>
  <c r="F1272" i="20"/>
  <c r="D1272" i="20"/>
  <c r="F1271" i="20"/>
  <c r="D1271" i="20"/>
  <c r="F1270" i="20"/>
  <c r="D1270" i="20"/>
  <c r="F1269" i="20"/>
  <c r="D1269" i="20"/>
  <c r="F1268" i="20"/>
  <c r="D1268" i="20"/>
  <c r="F1212" i="20"/>
  <c r="D1212" i="20"/>
  <c r="F1211" i="20"/>
  <c r="D1211" i="20"/>
  <c r="F1421" i="20"/>
  <c r="D1421" i="20"/>
  <c r="F66" i="20"/>
  <c r="D66" i="20"/>
  <c r="F1934" i="20"/>
  <c r="D1934" i="20"/>
  <c r="F1387" i="20"/>
  <c r="D1387" i="20"/>
  <c r="F1485" i="20"/>
  <c r="D1485" i="20"/>
  <c r="F849" i="20"/>
  <c r="D849" i="20"/>
  <c r="F1067" i="20"/>
  <c r="D1067" i="20"/>
  <c r="F1815" i="20"/>
  <c r="D1815" i="20"/>
  <c r="F1267" i="20"/>
  <c r="D1267" i="20"/>
  <c r="F1066" i="20"/>
  <c r="D1066" i="20"/>
  <c r="F1266" i="20"/>
  <c r="D1266" i="20"/>
  <c r="F1265" i="20"/>
  <c r="D1265" i="20"/>
  <c r="F1264" i="20"/>
  <c r="D1264" i="20"/>
  <c r="F1263" i="20"/>
  <c r="D1263" i="20"/>
  <c r="F1262" i="20"/>
  <c r="D1262" i="20"/>
  <c r="F1261" i="20"/>
  <c r="D1261" i="20"/>
  <c r="F1260" i="20"/>
  <c r="D1260" i="20"/>
  <c r="F1259" i="20"/>
  <c r="D1259" i="20"/>
  <c r="F792" i="20"/>
  <c r="D792" i="20"/>
  <c r="F1258" i="20"/>
  <c r="D1258" i="20"/>
  <c r="F1257" i="20"/>
  <c r="D1257" i="20"/>
  <c r="F1256" i="20"/>
  <c r="D1256" i="20"/>
  <c r="F1255" i="20"/>
  <c r="D1255" i="20"/>
  <c r="F1254" i="20"/>
  <c r="D1254" i="20"/>
  <c r="F1253" i="20"/>
  <c r="D1253" i="20"/>
  <c r="F1252" i="20"/>
  <c r="D1252" i="20"/>
  <c r="F1251" i="20"/>
  <c r="D1251" i="20"/>
  <c r="F1250" i="20"/>
  <c r="D1250" i="20"/>
  <c r="F1249" i="20"/>
  <c r="D1249" i="20"/>
  <c r="F1248" i="20"/>
  <c r="D1248" i="20"/>
  <c r="F1247" i="20"/>
  <c r="D1247" i="20"/>
  <c r="F127" i="20"/>
  <c r="D127" i="20"/>
  <c r="F1318" i="20"/>
  <c r="D1318" i="20"/>
  <c r="F1899" i="20"/>
  <c r="D1899" i="20"/>
  <c r="F427" i="20"/>
  <c r="D427" i="20"/>
  <c r="F416" i="20"/>
  <c r="D416" i="20"/>
  <c r="F312" i="20"/>
  <c r="D312" i="20"/>
  <c r="F1065" i="20"/>
  <c r="D1065" i="20"/>
  <c r="F415" i="20"/>
  <c r="D415" i="20"/>
  <c r="F397" i="20"/>
  <c r="D397" i="20"/>
  <c r="F2030" i="20"/>
  <c r="D2030" i="20"/>
  <c r="F1958" i="20"/>
  <c r="A1958" i="20" s="1"/>
  <c r="D1958" i="20"/>
  <c r="F1898" i="20"/>
  <c r="D1898" i="20"/>
  <c r="F396" i="20"/>
  <c r="D396" i="20"/>
  <c r="F45" i="20"/>
  <c r="D45" i="20"/>
  <c r="F972" i="20"/>
  <c r="A972" i="20" s="1"/>
  <c r="D972" i="20"/>
  <c r="F395" i="20"/>
  <c r="D395" i="20"/>
  <c r="F145" i="20"/>
  <c r="D145" i="20"/>
  <c r="F426" i="20"/>
  <c r="D426" i="20"/>
  <c r="F414" i="20"/>
  <c r="D414" i="20"/>
  <c r="F1957" i="20"/>
  <c r="D1957" i="20"/>
  <c r="F1225" i="20"/>
  <c r="D1225" i="20"/>
  <c r="F1105" i="20"/>
  <c r="D1105" i="20"/>
  <c r="F1064" i="20"/>
  <c r="D1064" i="20"/>
  <c r="F951" i="20"/>
  <c r="D951" i="20"/>
  <c r="F391" i="20"/>
  <c r="D391" i="20"/>
  <c r="F1246" i="20"/>
  <c r="D1246" i="20"/>
  <c r="F311" i="20"/>
  <c r="D311" i="20"/>
  <c r="F310" i="20"/>
  <c r="D310" i="20"/>
  <c r="F309" i="20"/>
  <c r="D309" i="20"/>
  <c r="F308" i="20"/>
  <c r="D308" i="20"/>
  <c r="F307" i="20"/>
  <c r="D307" i="20"/>
  <c r="F306" i="20"/>
  <c r="D306" i="20"/>
  <c r="F305" i="20"/>
  <c r="D305" i="20"/>
  <c r="F304" i="20"/>
  <c r="D304" i="20"/>
  <c r="F1173" i="20"/>
  <c r="D1173" i="20"/>
  <c r="F1172" i="20"/>
  <c r="D1172" i="20"/>
  <c r="F1171" i="20"/>
  <c r="D1171" i="20"/>
  <c r="F1170" i="20"/>
  <c r="D1170" i="20"/>
  <c r="F1169" i="20"/>
  <c r="D1169" i="20"/>
  <c r="F1245" i="20"/>
  <c r="D1245" i="20"/>
  <c r="F1168" i="20"/>
  <c r="D1168" i="20"/>
  <c r="F198" i="20"/>
  <c r="D198" i="20"/>
  <c r="F303" i="20"/>
  <c r="D303" i="20"/>
  <c r="F302" i="20"/>
  <c r="D302" i="20"/>
  <c r="F301" i="20"/>
  <c r="D301" i="20"/>
  <c r="F300" i="20"/>
  <c r="D300" i="20"/>
  <c r="F299" i="20"/>
  <c r="D299" i="20"/>
  <c r="F298" i="20"/>
  <c r="D298" i="20"/>
  <c r="F297" i="20"/>
  <c r="D297" i="20"/>
  <c r="F296" i="20"/>
  <c r="D296" i="20"/>
  <c r="F295" i="20"/>
  <c r="D295" i="20"/>
  <c r="F294" i="20"/>
  <c r="D294" i="20"/>
  <c r="F293" i="20"/>
  <c r="A293" i="20" s="1"/>
  <c r="D293" i="20"/>
  <c r="F349" i="20"/>
  <c r="D349" i="20"/>
  <c r="F65" i="20"/>
  <c r="D65" i="20"/>
  <c r="F197" i="20"/>
  <c r="D197" i="20"/>
  <c r="F1214" i="20"/>
  <c r="D1214" i="20"/>
  <c r="F243" i="20"/>
  <c r="D243" i="20"/>
  <c r="F84" i="20"/>
  <c r="D84" i="20"/>
  <c r="F1027" i="20"/>
  <c r="D1027" i="20"/>
  <c r="F1026" i="20"/>
  <c r="D1026" i="20"/>
  <c r="F1025" i="20"/>
  <c r="D1025" i="20"/>
  <c r="F1210" i="20"/>
  <c r="D1210" i="20"/>
  <c r="F1209" i="20"/>
  <c r="D1209" i="20"/>
  <c r="F1208" i="20"/>
  <c r="D1208" i="20"/>
  <c r="F1207" i="20"/>
  <c r="D1207" i="20"/>
  <c r="F1024" i="20"/>
  <c r="D1024" i="20"/>
  <c r="F1023" i="20"/>
  <c r="D1023" i="20"/>
  <c r="F1022" i="20"/>
  <c r="D1022" i="20"/>
  <c r="F1021" i="20"/>
  <c r="D1021" i="20"/>
  <c r="F1206" i="20"/>
  <c r="A1206" i="20" s="1"/>
  <c r="D1206" i="20"/>
  <c r="F196" i="20"/>
  <c r="D196" i="20"/>
  <c r="F272" i="20"/>
  <c r="D272" i="20"/>
  <c r="F102" i="20"/>
  <c r="D102" i="20"/>
  <c r="F351" i="20"/>
  <c r="D351" i="20"/>
  <c r="F1420" i="20"/>
  <c r="D1420" i="20"/>
  <c r="F13" i="20"/>
  <c r="D13" i="20"/>
  <c r="F365" i="20"/>
  <c r="D365" i="20"/>
  <c r="F275" i="20"/>
  <c r="D275" i="20"/>
  <c r="F247" i="20"/>
  <c r="D247" i="20"/>
  <c r="F339" i="20"/>
  <c r="D339" i="20"/>
  <c r="F338" i="20"/>
  <c r="D338" i="20"/>
  <c r="F1188" i="20"/>
  <c r="D1188" i="20"/>
  <c r="F791" i="20"/>
  <c r="D791" i="20"/>
  <c r="F342" i="20"/>
  <c r="D342" i="20"/>
  <c r="F112" i="20"/>
  <c r="D112" i="20"/>
  <c r="F686" i="20"/>
  <c r="D686" i="20"/>
  <c r="F195" i="20"/>
  <c r="D195" i="20"/>
  <c r="F246" i="20"/>
  <c r="D246" i="20"/>
  <c r="F144" i="20"/>
  <c r="D144" i="20"/>
  <c r="F128" i="20"/>
  <c r="D128" i="20"/>
  <c r="F101" i="20"/>
  <c r="D101" i="20"/>
  <c r="F1284" i="20"/>
  <c r="D1284" i="20"/>
  <c r="F685" i="20"/>
  <c r="D685" i="20"/>
  <c r="F794" i="20"/>
  <c r="D794" i="20"/>
  <c r="F1419" i="20"/>
  <c r="D1419" i="20"/>
  <c r="F1418" i="20"/>
  <c r="D1418" i="20"/>
  <c r="F194" i="20"/>
  <c r="D194" i="20"/>
  <c r="F126" i="20"/>
  <c r="D126" i="20"/>
  <c r="F143" i="20"/>
  <c r="D143" i="20"/>
  <c r="F125" i="20"/>
  <c r="D125" i="20"/>
  <c r="F580" i="20"/>
  <c r="D580" i="20"/>
  <c r="F579" i="20"/>
  <c r="D579" i="20"/>
  <c r="F578" i="20"/>
  <c r="D578" i="20"/>
  <c r="F577" i="20"/>
  <c r="D577" i="20"/>
  <c r="F1825" i="20"/>
  <c r="D1825" i="20"/>
  <c r="F576" i="20"/>
  <c r="D576" i="20"/>
  <c r="F575" i="20"/>
  <c r="D575" i="20"/>
  <c r="F574" i="20"/>
  <c r="D574" i="20"/>
  <c r="F573" i="20"/>
  <c r="D573" i="20"/>
  <c r="F572" i="20"/>
  <c r="D572" i="20"/>
  <c r="F571" i="20"/>
  <c r="D571" i="20"/>
  <c r="F570" i="20"/>
  <c r="D570" i="20"/>
  <c r="F569" i="20"/>
  <c r="D569" i="20"/>
  <c r="F568" i="20"/>
  <c r="D568" i="20"/>
  <c r="F567" i="20"/>
  <c r="D567" i="20"/>
  <c r="F566" i="20"/>
  <c r="D566" i="20"/>
  <c r="F565" i="20"/>
  <c r="D565" i="20"/>
  <c r="F564" i="20"/>
  <c r="D564" i="20"/>
  <c r="F563" i="20"/>
  <c r="D563" i="20"/>
  <c r="F1824" i="20"/>
  <c r="D1824" i="20"/>
  <c r="F562" i="20"/>
  <c r="D562" i="20"/>
  <c r="F561" i="20"/>
  <c r="D561" i="20"/>
  <c r="F560" i="20"/>
  <c r="D560" i="20"/>
  <c r="F559" i="20"/>
  <c r="D559" i="20"/>
  <c r="F1020" i="20"/>
  <c r="D1020" i="20"/>
  <c r="F1019" i="20"/>
  <c r="D1019" i="20"/>
  <c r="F1378" i="20"/>
  <c r="D1378" i="20"/>
  <c r="F1377" i="20"/>
  <c r="A1377" i="20" s="1"/>
  <c r="D1377" i="20"/>
  <c r="F971" i="20"/>
  <c r="D971" i="20"/>
  <c r="F950" i="20"/>
  <c r="D950" i="20"/>
  <c r="F1376" i="20"/>
  <c r="D1376" i="20"/>
  <c r="F1375" i="20"/>
  <c r="D1375" i="20"/>
  <c r="F1374" i="20"/>
  <c r="D1374" i="20"/>
  <c r="F1373" i="20"/>
  <c r="D1373" i="20"/>
  <c r="F1372" i="20"/>
  <c r="D1372" i="20"/>
  <c r="F1371" i="20"/>
  <c r="D1371" i="20"/>
  <c r="F1370" i="20"/>
  <c r="D1370" i="20"/>
  <c r="F1369" i="20"/>
  <c r="D1369" i="20"/>
  <c r="F1368" i="20"/>
  <c r="D1368" i="20"/>
  <c r="F1367" i="20"/>
  <c r="D1367" i="20"/>
  <c r="F1366" i="20"/>
  <c r="D1366" i="20"/>
  <c r="F1365" i="20"/>
  <c r="D1365" i="20"/>
  <c r="F124" i="20"/>
  <c r="D124" i="20"/>
  <c r="F123" i="20"/>
  <c r="D123" i="20"/>
  <c r="A123" i="20" s="1"/>
  <c r="F122" i="20"/>
  <c r="D122" i="20"/>
  <c r="A122" i="20" s="1"/>
  <c r="F1364" i="20"/>
  <c r="D1364" i="20"/>
  <c r="F193" i="20"/>
  <c r="D193" i="20"/>
  <c r="A193" i="20" s="1"/>
  <c r="F1167" i="20"/>
  <c r="D1167" i="20"/>
  <c r="F1166" i="20"/>
  <c r="D1166" i="20"/>
  <c r="A1166" i="20" s="1"/>
  <c r="F1165" i="20"/>
  <c r="D1165" i="20"/>
  <c r="F1164" i="20"/>
  <c r="D1164" i="20"/>
  <c r="F1163" i="20"/>
  <c r="D1163" i="20"/>
  <c r="F1590" i="20"/>
  <c r="D1590" i="20"/>
  <c r="F1589" i="20"/>
  <c r="D1589" i="20"/>
  <c r="F1588" i="20"/>
  <c r="D1588" i="20"/>
  <c r="F949" i="20"/>
  <c r="D949" i="20"/>
  <c r="F948" i="20"/>
  <c r="D948" i="20"/>
  <c r="F947" i="20"/>
  <c r="D947" i="20"/>
  <c r="F946" i="20"/>
  <c r="D946" i="20"/>
  <c r="F945" i="20"/>
  <c r="D945" i="20"/>
  <c r="F944" i="20"/>
  <c r="D944" i="20"/>
  <c r="F1587" i="20"/>
  <c r="D1587" i="20"/>
  <c r="F1586" i="20"/>
  <c r="D1586" i="20"/>
  <c r="F1585" i="20"/>
  <c r="D1585" i="20"/>
  <c r="A1585" i="20" s="1"/>
  <c r="F1584" i="20"/>
  <c r="D1584" i="20"/>
  <c r="A1584" i="20" s="1"/>
  <c r="F1583" i="20"/>
  <c r="D1583" i="20"/>
  <c r="F1162" i="20"/>
  <c r="D1162" i="20"/>
  <c r="F1582" i="20"/>
  <c r="D1582" i="20"/>
  <c r="F192" i="20"/>
  <c r="D192" i="20"/>
  <c r="F1484" i="20"/>
  <c r="D1484" i="20"/>
  <c r="F1483" i="20"/>
  <c r="D1483" i="20"/>
  <c r="F1482" i="20"/>
  <c r="D1482" i="20"/>
  <c r="F1481" i="20"/>
  <c r="D1481" i="20"/>
  <c r="F1480" i="20"/>
  <c r="D1480" i="20"/>
  <c r="F1479" i="20"/>
  <c r="D1479" i="20"/>
  <c r="F1478" i="20"/>
  <c r="D1478" i="20"/>
  <c r="F1486" i="20"/>
  <c r="D1486" i="20"/>
  <c r="F1477" i="20"/>
  <c r="D1477" i="20"/>
  <c r="F1476" i="20"/>
  <c r="D1476" i="20"/>
  <c r="F1505" i="20"/>
  <c r="D1505" i="20"/>
  <c r="F1504" i="20"/>
  <c r="D1504" i="20"/>
  <c r="F1503" i="20"/>
  <c r="D1503" i="20"/>
  <c r="A1503" i="20" s="1"/>
  <c r="F1502" i="20"/>
  <c r="D1502" i="20"/>
  <c r="F1501" i="20"/>
  <c r="D1501" i="20"/>
  <c r="F1500" i="20"/>
  <c r="D1500" i="20"/>
  <c r="F1499" i="20"/>
  <c r="D1499" i="20"/>
  <c r="F1498" i="20"/>
  <c r="D1498" i="20"/>
  <c r="F1475" i="20"/>
  <c r="D1475" i="20"/>
  <c r="F1474" i="20"/>
  <c r="D1474" i="20"/>
  <c r="F1473" i="20"/>
  <c r="D1473" i="20"/>
  <c r="F1472" i="20"/>
  <c r="D1472" i="20"/>
  <c r="F1471" i="20"/>
  <c r="D1471" i="20"/>
  <c r="F1470" i="20"/>
  <c r="D1470" i="20"/>
  <c r="A1470" i="20" s="1"/>
  <c r="F1469" i="20"/>
  <c r="D1469" i="20"/>
  <c r="F191" i="20"/>
  <c r="D191" i="20"/>
  <c r="F2153" i="20"/>
  <c r="D2153" i="20"/>
  <c r="F2152" i="20"/>
  <c r="D2152" i="20"/>
  <c r="F2151" i="20"/>
  <c r="D2151" i="20"/>
  <c r="F2150" i="20"/>
  <c r="D2150" i="20"/>
  <c r="F2149" i="20"/>
  <c r="D2149" i="20"/>
  <c r="F1161" i="20"/>
  <c r="D1161" i="20"/>
  <c r="F2148" i="20"/>
  <c r="D2148" i="20"/>
  <c r="F2147" i="20"/>
  <c r="D2147" i="20"/>
  <c r="F2146" i="20"/>
  <c r="D2146" i="20"/>
  <c r="F2078" i="20"/>
  <c r="D2078" i="20"/>
  <c r="F2077" i="20"/>
  <c r="D2077" i="20"/>
  <c r="F2076" i="20"/>
  <c r="D2076" i="20"/>
  <c r="F2075" i="20"/>
  <c r="D2075" i="20"/>
  <c r="F1793" i="20"/>
  <c r="D1793" i="20"/>
  <c r="F1779" i="20"/>
  <c r="D1779" i="20"/>
  <c r="F1754" i="20"/>
  <c r="D1754" i="20"/>
  <c r="F1778" i="20"/>
  <c r="D1778" i="20"/>
  <c r="F1777" i="20"/>
  <c r="D1777" i="20"/>
  <c r="A1777" i="20" s="1"/>
  <c r="F1787" i="20"/>
  <c r="D1787" i="20"/>
  <c r="F1776" i="20"/>
  <c r="D1776" i="20"/>
  <c r="F2111" i="20"/>
  <c r="D2111" i="20"/>
  <c r="F1753" i="20"/>
  <c r="D1753" i="20"/>
  <c r="A1753" i="20" s="1"/>
  <c r="F1752" i="20"/>
  <c r="D1752" i="20"/>
  <c r="F1751" i="20"/>
  <c r="D1751" i="20"/>
  <c r="F1750" i="20"/>
  <c r="D1750" i="20"/>
  <c r="F1749" i="20"/>
  <c r="D1749" i="20"/>
  <c r="A1749" i="20" s="1"/>
  <c r="F1187" i="20"/>
  <c r="D1187" i="20"/>
  <c r="F1186" i="20"/>
  <c r="D1186" i="20"/>
  <c r="F1185" i="20"/>
  <c r="D1185" i="20"/>
  <c r="F2145" i="20"/>
  <c r="D2145" i="20"/>
  <c r="F2144" i="20"/>
  <c r="D2144" i="20"/>
  <c r="F2143" i="20"/>
  <c r="D2143" i="20"/>
  <c r="F1458" i="20"/>
  <c r="D1458" i="20"/>
  <c r="A1458" i="20" s="1"/>
  <c r="F190" i="20"/>
  <c r="D190" i="20"/>
  <c r="F189" i="20"/>
  <c r="D189" i="20"/>
  <c r="F188" i="20"/>
  <c r="D188" i="20"/>
  <c r="F187" i="20"/>
  <c r="D187" i="20"/>
  <c r="F186" i="20"/>
  <c r="D186" i="20"/>
  <c r="F185" i="20"/>
  <c r="D185" i="20"/>
  <c r="F528" i="20"/>
  <c r="D528" i="20"/>
  <c r="F527" i="20"/>
  <c r="D527" i="20"/>
  <c r="F526" i="20"/>
  <c r="D526" i="20"/>
  <c r="F525" i="20"/>
  <c r="D525" i="20"/>
  <c r="A525" i="20" s="1"/>
  <c r="F524" i="20"/>
  <c r="D524" i="20"/>
  <c r="F523" i="20"/>
  <c r="D523" i="20"/>
  <c r="F522" i="20"/>
  <c r="D522" i="20"/>
  <c r="F521" i="20"/>
  <c r="D521" i="20"/>
  <c r="F520" i="20"/>
  <c r="D520" i="20"/>
  <c r="F519" i="20"/>
  <c r="D519" i="20"/>
  <c r="A519" i="20" s="1"/>
  <c r="F518" i="20"/>
  <c r="D518" i="20"/>
  <c r="F517" i="20"/>
  <c r="D517" i="20"/>
  <c r="F516" i="20"/>
  <c r="D516" i="20"/>
  <c r="F515" i="20"/>
  <c r="D515" i="20"/>
  <c r="A515" i="20" s="1"/>
  <c r="F514" i="20"/>
  <c r="D514" i="20"/>
  <c r="F513" i="20"/>
  <c r="D513" i="20"/>
  <c r="F512" i="20"/>
  <c r="D512" i="20"/>
  <c r="F511" i="20"/>
  <c r="D511" i="20"/>
  <c r="F510" i="20"/>
  <c r="D510" i="20"/>
  <c r="F509" i="20"/>
  <c r="D509" i="20"/>
  <c r="F508" i="20"/>
  <c r="D508" i="20"/>
  <c r="F507" i="20"/>
  <c r="D507" i="20"/>
  <c r="A507" i="20" s="1"/>
  <c r="F506" i="20"/>
  <c r="D506" i="20"/>
  <c r="F505" i="20"/>
  <c r="D505" i="20"/>
  <c r="F504" i="20"/>
  <c r="D504" i="20"/>
  <c r="F503" i="20"/>
  <c r="D503" i="20"/>
  <c r="F502" i="20"/>
  <c r="D502" i="20"/>
  <c r="F501" i="20"/>
  <c r="D501" i="20"/>
  <c r="F500" i="20"/>
  <c r="D500" i="20"/>
  <c r="F499" i="20"/>
  <c r="D499" i="20"/>
  <c r="F498" i="20"/>
  <c r="D498" i="20"/>
  <c r="F497" i="20"/>
  <c r="D497" i="20"/>
  <c r="F496" i="20"/>
  <c r="D496" i="20"/>
  <c r="F495" i="20"/>
  <c r="D495" i="20"/>
  <c r="F494" i="20"/>
  <c r="D494" i="20"/>
  <c r="F493" i="20"/>
  <c r="D493" i="20"/>
  <c r="F492" i="20"/>
  <c r="D492" i="20"/>
  <c r="F491" i="20"/>
  <c r="D491" i="20"/>
  <c r="F490" i="20"/>
  <c r="D490" i="20"/>
  <c r="F489" i="20"/>
  <c r="D489" i="20"/>
  <c r="F488" i="20"/>
  <c r="D488" i="20"/>
  <c r="A488" i="20" s="1"/>
  <c r="F487" i="20"/>
  <c r="D487" i="20"/>
  <c r="F486" i="20"/>
  <c r="D486" i="20"/>
  <c r="F485" i="20"/>
  <c r="D485" i="20"/>
  <c r="F484" i="20"/>
  <c r="D484" i="20"/>
  <c r="F483" i="20"/>
  <c r="D483" i="20"/>
  <c r="F482" i="20"/>
  <c r="D482" i="20"/>
  <c r="F481" i="20"/>
  <c r="D481" i="20"/>
  <c r="F480" i="20"/>
  <c r="D480" i="20"/>
  <c r="A480" i="20" s="1"/>
  <c r="F479" i="20"/>
  <c r="D479" i="20"/>
  <c r="F478" i="20"/>
  <c r="D478" i="20"/>
  <c r="F477" i="20"/>
  <c r="D477" i="20"/>
  <c r="F476" i="20"/>
  <c r="D476" i="20"/>
  <c r="F475" i="20"/>
  <c r="D475" i="20"/>
  <c r="F474" i="20"/>
  <c r="D474" i="20"/>
  <c r="F184" i="20"/>
  <c r="D184" i="20"/>
  <c r="F183" i="20"/>
  <c r="D183" i="20"/>
  <c r="F182" i="20"/>
  <c r="D182" i="20"/>
  <c r="A182" i="20" s="1"/>
  <c r="F181" i="20"/>
  <c r="D181" i="20"/>
  <c r="F180" i="20"/>
  <c r="D180" i="20"/>
  <c r="F179" i="20"/>
  <c r="D179" i="20"/>
  <c r="F1349" i="20"/>
  <c r="D1349" i="20"/>
  <c r="F1348" i="20"/>
  <c r="D1348" i="20"/>
  <c r="F1347" i="20"/>
  <c r="D1347" i="20"/>
  <c r="F1346" i="20"/>
  <c r="D1346" i="20"/>
  <c r="F1345" i="20"/>
  <c r="D1345" i="20"/>
  <c r="F1344" i="20"/>
  <c r="D1344" i="20"/>
  <c r="F1343" i="20"/>
  <c r="D1343" i="20"/>
  <c r="A1343" i="20" s="1"/>
  <c r="F1708" i="20"/>
  <c r="D1708" i="20"/>
  <c r="F1707" i="20"/>
  <c r="D1707" i="20"/>
  <c r="F1706" i="20"/>
  <c r="D1706" i="20"/>
  <c r="F1705" i="20"/>
  <c r="D1705" i="20"/>
  <c r="F1704" i="20"/>
  <c r="D1704" i="20"/>
  <c r="F121" i="20"/>
  <c r="D121" i="20"/>
  <c r="F2205" i="20"/>
  <c r="D2205" i="20"/>
  <c r="F2204" i="20"/>
  <c r="D2204" i="20"/>
  <c r="A2204" i="20" s="1"/>
  <c r="F2203" i="20"/>
  <c r="D2203" i="20"/>
  <c r="F2202" i="20"/>
  <c r="D2202" i="20"/>
  <c r="F2201" i="20"/>
  <c r="D2201" i="20"/>
  <c r="F2200" i="20"/>
  <c r="D2200" i="20"/>
  <c r="F1342" i="20"/>
  <c r="D1342" i="20"/>
  <c r="F1341" i="20"/>
  <c r="D1341" i="20"/>
  <c r="A1341" i="20" s="1"/>
  <c r="F1340" i="20"/>
  <c r="D1340" i="20"/>
  <c r="F1339" i="20"/>
  <c r="D1339" i="20"/>
  <c r="F1184" i="20"/>
  <c r="D1184" i="20"/>
  <c r="F1183" i="20"/>
  <c r="D1183" i="20"/>
  <c r="F1182" i="20"/>
  <c r="D1182" i="20"/>
  <c r="F1181" i="20"/>
  <c r="D1181" i="20"/>
  <c r="F1180" i="20"/>
  <c r="D1180" i="20"/>
  <c r="F2065" i="20"/>
  <c r="D2065" i="20"/>
  <c r="A2065" i="20" s="1"/>
  <c r="F2064" i="20"/>
  <c r="D2064" i="20"/>
  <c r="F2063" i="20"/>
  <c r="D2063" i="20"/>
  <c r="A2063" i="20" s="1"/>
  <c r="F120" i="20"/>
  <c r="D120" i="20"/>
  <c r="F69" i="20"/>
  <c r="D69" i="20"/>
  <c r="F64" i="20"/>
  <c r="D64" i="20"/>
  <c r="F100" i="20"/>
  <c r="D100" i="20"/>
  <c r="F142" i="20"/>
  <c r="D142" i="20"/>
  <c r="F141" i="20"/>
  <c r="D141" i="20"/>
  <c r="F140" i="20"/>
  <c r="D140" i="20"/>
  <c r="F83" i="20"/>
  <c r="D83" i="20"/>
  <c r="F139" i="20"/>
  <c r="D139" i="20"/>
  <c r="F138" i="20"/>
  <c r="D138" i="20"/>
  <c r="F111" i="20"/>
  <c r="D111" i="20"/>
  <c r="F137" i="20"/>
  <c r="D137" i="20"/>
  <c r="F2199" i="20"/>
  <c r="D2199" i="20"/>
  <c r="F2198" i="20"/>
  <c r="D2198" i="20"/>
  <c r="F136" i="20"/>
  <c r="D136" i="20"/>
  <c r="F2142" i="20"/>
  <c r="D2142" i="20"/>
  <c r="F2141" i="20"/>
  <c r="D2141" i="20"/>
  <c r="F2140" i="20"/>
  <c r="D2140" i="20"/>
  <c r="F2139" i="20"/>
  <c r="D2139" i="20"/>
  <c r="F1457" i="20"/>
  <c r="D1457" i="20"/>
  <c r="F1160" i="20"/>
  <c r="D1160" i="20"/>
  <c r="F1159" i="20"/>
  <c r="D1159" i="20"/>
  <c r="F943" i="20"/>
  <c r="D943" i="20"/>
  <c r="F31" i="20"/>
  <c r="D31" i="20"/>
  <c r="F12" i="20"/>
  <c r="D12" i="20"/>
  <c r="A12" i="20" s="1"/>
  <c r="F942" i="20"/>
  <c r="D942" i="20"/>
  <c r="F941" i="20"/>
  <c r="D941" i="20"/>
  <c r="F11" i="20"/>
  <c r="D11" i="20"/>
  <c r="F1158" i="20"/>
  <c r="D1158" i="20"/>
  <c r="A1158" i="20" s="1"/>
  <c r="F940" i="20"/>
  <c r="D940" i="20"/>
  <c r="F939" i="20"/>
  <c r="D939" i="20"/>
  <c r="F938" i="20"/>
  <c r="D938" i="20"/>
  <c r="A938" i="20" s="1"/>
  <c r="F80" i="20"/>
  <c r="D80" i="20"/>
  <c r="F937" i="20"/>
  <c r="D937" i="20"/>
  <c r="F1933" i="20"/>
  <c r="D1933" i="20"/>
  <c r="F10" i="20"/>
  <c r="D10" i="20"/>
  <c r="F1932" i="20"/>
  <c r="D1932" i="20"/>
  <c r="F936" i="20"/>
  <c r="D936" i="20"/>
  <c r="F9" i="20"/>
  <c r="D9" i="20"/>
  <c r="F935" i="20"/>
  <c r="D935" i="20"/>
  <c r="A935" i="20" s="1"/>
  <c r="F8" i="20"/>
  <c r="D8" i="20"/>
  <c r="F1157" i="20"/>
  <c r="D1157" i="20"/>
  <c r="A1157" i="20" s="1"/>
  <c r="F1156" i="20"/>
  <c r="D1156" i="20"/>
  <c r="F1155" i="20"/>
  <c r="D1155" i="20"/>
  <c r="F1154" i="20"/>
  <c r="D1154" i="20"/>
  <c r="F1153" i="20"/>
  <c r="D1153" i="20"/>
  <c r="F1152" i="20"/>
  <c r="A1152" i="20" s="1"/>
  <c r="D1152" i="20"/>
  <c r="F1151" i="20"/>
  <c r="D1151" i="20"/>
  <c r="F1150" i="20"/>
  <c r="D1150" i="20"/>
  <c r="F1149" i="20"/>
  <c r="D1149" i="20"/>
  <c r="F1148" i="20"/>
  <c r="D1148" i="20"/>
  <c r="A1148" i="20" s="1"/>
  <c r="F1147" i="20"/>
  <c r="D1147" i="20"/>
  <c r="F1146" i="20"/>
  <c r="D1146" i="20"/>
  <c r="F1145" i="20"/>
  <c r="D1145" i="20"/>
  <c r="F1144" i="20"/>
  <c r="D1144" i="20"/>
  <c r="A1144" i="20" s="1"/>
  <c r="F1143" i="20"/>
  <c r="D1143" i="20"/>
  <c r="F1142" i="20"/>
  <c r="D1142" i="20"/>
  <c r="F1141" i="20"/>
  <c r="D1141" i="20"/>
  <c r="F1140" i="20"/>
  <c r="D1140" i="20"/>
  <c r="F1139" i="20"/>
  <c r="D1139" i="20"/>
  <c r="F1138" i="20"/>
  <c r="D1138" i="20"/>
  <c r="F1137" i="20"/>
  <c r="D1137" i="20"/>
  <c r="F1136" i="20"/>
  <c r="D1136" i="20"/>
  <c r="F1135" i="20"/>
  <c r="D1135" i="20"/>
  <c r="F1134" i="20"/>
  <c r="D1134" i="20"/>
  <c r="F1133" i="20"/>
  <c r="D1133" i="20"/>
  <c r="F1132" i="20"/>
  <c r="D1132" i="20"/>
  <c r="F1103" i="20"/>
  <c r="D1103" i="20"/>
  <c r="F1102" i="20"/>
  <c r="D1102" i="20"/>
  <c r="F1101" i="20"/>
  <c r="D1101" i="20"/>
  <c r="F1131" i="20"/>
  <c r="D1131" i="20"/>
  <c r="F1100" i="20"/>
  <c r="D1100" i="20"/>
  <c r="F1099" i="20"/>
  <c r="D1099" i="20"/>
  <c r="F1850" i="20"/>
  <c r="D1850" i="20"/>
  <c r="F1849" i="20"/>
  <c r="D1849" i="20"/>
  <c r="F1848" i="20"/>
  <c r="D1848" i="20"/>
  <c r="F1847" i="20"/>
  <c r="D1847" i="20"/>
  <c r="F1846" i="20"/>
  <c r="D1846" i="20"/>
  <c r="F178" i="20"/>
  <c r="D178" i="20"/>
  <c r="F1317" i="20"/>
  <c r="D1317" i="20"/>
  <c r="F42" i="20"/>
  <c r="D42" i="20"/>
  <c r="F292" i="20"/>
  <c r="D292" i="20"/>
  <c r="F291" i="20"/>
  <c r="D291" i="20"/>
  <c r="F290" i="20"/>
  <c r="D290" i="20"/>
  <c r="A290" i="20" s="1"/>
  <c r="F289" i="20"/>
  <c r="D289" i="20"/>
  <c r="A289" i="20" s="1"/>
  <c r="F288" i="20"/>
  <c r="D288" i="20"/>
  <c r="F287" i="20"/>
  <c r="D287" i="20"/>
  <c r="F833" i="20"/>
  <c r="D833" i="20"/>
  <c r="F1424" i="20"/>
  <c r="D1424" i="20"/>
  <c r="F1417" i="20"/>
  <c r="D1417" i="20"/>
  <c r="F742" i="20"/>
  <c r="D742" i="20"/>
  <c r="F743" i="20"/>
  <c r="D743" i="20"/>
  <c r="F716" i="20"/>
  <c r="D716" i="20"/>
  <c r="F739" i="20"/>
  <c r="D739" i="20"/>
  <c r="F715" i="20"/>
  <c r="D715" i="20"/>
  <c r="F1319" i="20"/>
  <c r="D1319" i="20"/>
  <c r="F286" i="20"/>
  <c r="D286" i="20"/>
  <c r="A286" i="20" s="1"/>
  <c r="F285" i="20"/>
  <c r="D285" i="20"/>
  <c r="F284" i="20"/>
  <c r="D284" i="20"/>
  <c r="F283" i="20"/>
  <c r="D283" i="20"/>
  <c r="F177" i="20"/>
  <c r="D177" i="20"/>
  <c r="F1556" i="20"/>
  <c r="D1556" i="20"/>
  <c r="F1555" i="20"/>
  <c r="D1555" i="20"/>
  <c r="F1554" i="20"/>
  <c r="D1554" i="20"/>
  <c r="F1553" i="20"/>
  <c r="D1553" i="20"/>
  <c r="F1552" i="20"/>
  <c r="D1552" i="20"/>
  <c r="F1551" i="20"/>
  <c r="D1551" i="20"/>
  <c r="F1550" i="20"/>
  <c r="D1550" i="20"/>
  <c r="A1550" i="20" s="1"/>
  <c r="F1549" i="20"/>
  <c r="D1549" i="20"/>
  <c r="A1549" i="20" s="1"/>
  <c r="F1548" i="20"/>
  <c r="D1548" i="20"/>
  <c r="F1547" i="20"/>
  <c r="D1547" i="20"/>
  <c r="F1546" i="20"/>
  <c r="D1546" i="20"/>
  <c r="F1545" i="20"/>
  <c r="D1545" i="20"/>
  <c r="F1544" i="20"/>
  <c r="D1544" i="20"/>
  <c r="F1543" i="20"/>
  <c r="D1543" i="20"/>
  <c r="F1542" i="20"/>
  <c r="D1542" i="20"/>
  <c r="A1542" i="20" s="1"/>
  <c r="F1541" i="20"/>
  <c r="D1541" i="20"/>
  <c r="A1541" i="20" s="1"/>
  <c r="F1540" i="20"/>
  <c r="D1540" i="20"/>
  <c r="F1539" i="20"/>
  <c r="D1539" i="20"/>
  <c r="F1538" i="20"/>
  <c r="D1538" i="20"/>
  <c r="F1537" i="20"/>
  <c r="D1537" i="20"/>
  <c r="F1536" i="20"/>
  <c r="D1536" i="20"/>
  <c r="F1535" i="20"/>
  <c r="D1535" i="20"/>
  <c r="F1725" i="20"/>
  <c r="D1725" i="20"/>
  <c r="A1725" i="20" s="1"/>
  <c r="F2074" i="20"/>
  <c r="D2074" i="20"/>
  <c r="F2045" i="20"/>
  <c r="D2045" i="20"/>
  <c r="F970" i="20"/>
  <c r="D970" i="20"/>
  <c r="F969" i="20"/>
  <c r="D969" i="20"/>
  <c r="F968" i="20"/>
  <c r="D968" i="20"/>
  <c r="F967" i="20"/>
  <c r="D967" i="20"/>
  <c r="F1775" i="20"/>
  <c r="D1775" i="20"/>
  <c r="F1534" i="20"/>
  <c r="D1534" i="20"/>
  <c r="F1533" i="20"/>
  <c r="D1533" i="20"/>
  <c r="F2001" i="20"/>
  <c r="D2001" i="20"/>
  <c r="F1532" i="20"/>
  <c r="D1532" i="20"/>
  <c r="F1897" i="20"/>
  <c r="D1897" i="20"/>
  <c r="F761" i="20"/>
  <c r="D761" i="20"/>
  <c r="F242" i="20"/>
  <c r="D242" i="20"/>
  <c r="F966" i="20"/>
  <c r="D966" i="20"/>
  <c r="F611" i="20"/>
  <c r="D611" i="20"/>
  <c r="F1531" i="20"/>
  <c r="D1531" i="20"/>
  <c r="A1531" i="20" s="1"/>
  <c r="F1530" i="20"/>
  <c r="D1530" i="20"/>
  <c r="F1529" i="20"/>
  <c r="D1529" i="20"/>
  <c r="F1018" i="20"/>
  <c r="D1018" i="20"/>
  <c r="F1017" i="20"/>
  <c r="D1017" i="20"/>
  <c r="F1016" i="20"/>
  <c r="D1016" i="20"/>
  <c r="A1016" i="20" s="1"/>
  <c r="F1974" i="20"/>
  <c r="D1974" i="20"/>
  <c r="F675" i="20"/>
  <c r="D675" i="20"/>
  <c r="F1774" i="20"/>
  <c r="D1774" i="20"/>
  <c r="A1774" i="20" s="1"/>
  <c r="F1528" i="20"/>
  <c r="D1528" i="20"/>
  <c r="F1527" i="20"/>
  <c r="D1527" i="20"/>
  <c r="F1338" i="20"/>
  <c r="D1338" i="20"/>
  <c r="F1386" i="20"/>
  <c r="D1386" i="20"/>
  <c r="F1063" i="20"/>
  <c r="D1063" i="20"/>
  <c r="A1063" i="20" s="1"/>
  <c r="F934" i="20"/>
  <c r="D934" i="20"/>
  <c r="F1062" i="20"/>
  <c r="D1062" i="20"/>
  <c r="F933" i="20"/>
  <c r="D933" i="20"/>
  <c r="F1061" i="20"/>
  <c r="D1061" i="20"/>
  <c r="F176" i="20"/>
  <c r="D176" i="20"/>
  <c r="F1733" i="20"/>
  <c r="D1733" i="20"/>
  <c r="F1748" i="20"/>
  <c r="D1748" i="20"/>
  <c r="F790" i="20"/>
  <c r="D790" i="20"/>
  <c r="F1786" i="20"/>
  <c r="D1786" i="20"/>
  <c r="F817" i="20"/>
  <c r="D817" i="20"/>
  <c r="A817" i="20" s="1"/>
  <c r="F848" i="20"/>
  <c r="D848" i="20"/>
  <c r="F847" i="20"/>
  <c r="D847" i="20"/>
  <c r="F851" i="20"/>
  <c r="D851" i="20"/>
  <c r="F1845" i="20"/>
  <c r="D1845" i="20"/>
  <c r="F789" i="20"/>
  <c r="D789" i="20"/>
  <c r="F1785" i="20"/>
  <c r="D1785" i="20"/>
  <c r="F788" i="20"/>
  <c r="D788" i="20"/>
  <c r="F787" i="20"/>
  <c r="D787" i="20"/>
  <c r="F175" i="20"/>
  <c r="D175" i="20"/>
  <c r="F174" i="20"/>
  <c r="D174" i="20"/>
  <c r="F173" i="20"/>
  <c r="D173" i="20"/>
  <c r="F172" i="20"/>
  <c r="D172" i="20"/>
  <c r="F171" i="20"/>
  <c r="D171" i="20"/>
  <c r="F170" i="20"/>
  <c r="D170" i="20"/>
  <c r="F169" i="20"/>
  <c r="D169" i="20"/>
  <c r="F168" i="20"/>
  <c r="D168" i="20"/>
  <c r="F167" i="20"/>
  <c r="D167" i="20"/>
  <c r="F166" i="20"/>
  <c r="D166" i="20"/>
  <c r="F165" i="20"/>
  <c r="D165" i="20"/>
  <c r="F1844" i="20"/>
  <c r="D1844" i="20"/>
  <c r="F1931" i="20"/>
  <c r="D1931" i="20"/>
  <c r="F1930" i="20"/>
  <c r="D1930" i="20"/>
  <c r="F1929" i="20"/>
  <c r="D1929" i="20"/>
  <c r="F1843" i="20"/>
  <c r="D1843" i="20"/>
  <c r="F816" i="20"/>
  <c r="D816" i="20"/>
  <c r="F610" i="20"/>
  <c r="D610" i="20"/>
  <c r="F1928" i="20"/>
  <c r="D1928" i="20"/>
  <c r="F1842" i="20"/>
  <c r="D1842" i="20"/>
  <c r="F674" i="20"/>
  <c r="D674" i="20"/>
  <c r="F473" i="20"/>
  <c r="D473" i="20"/>
  <c r="F673" i="20"/>
  <c r="A673" i="20" s="1"/>
  <c r="D673" i="20"/>
  <c r="F672" i="20"/>
  <c r="D672" i="20"/>
  <c r="F714" i="20"/>
  <c r="D714" i="20"/>
  <c r="F1703" i="20"/>
  <c r="D1703" i="20"/>
  <c r="F671" i="20"/>
  <c r="D671" i="20"/>
  <c r="F670" i="20"/>
  <c r="D670" i="20"/>
  <c r="F669" i="20"/>
  <c r="D669" i="20"/>
  <c r="F668" i="20"/>
  <c r="A668" i="20" s="1"/>
  <c r="D668" i="20"/>
  <c r="F682" i="20"/>
  <c r="D682" i="20"/>
  <c r="F41" i="20"/>
  <c r="D41" i="20"/>
  <c r="F1650" i="20"/>
  <c r="D1650" i="20"/>
  <c r="F1702" i="20"/>
  <c r="D1702" i="20"/>
  <c r="F1927" i="20"/>
  <c r="D1927" i="20"/>
  <c r="F1060" i="20"/>
  <c r="D1060" i="20"/>
  <c r="F1814" i="20"/>
  <c r="D1814" i="20"/>
  <c r="F271" i="20"/>
  <c r="A271" i="20" s="1"/>
  <c r="D271" i="20"/>
  <c r="F609" i="20"/>
  <c r="D609" i="20"/>
  <c r="F713" i="20"/>
  <c r="D713" i="20"/>
  <c r="F1316" i="20"/>
  <c r="D1316" i="20"/>
  <c r="F712" i="20"/>
  <c r="D712" i="20"/>
  <c r="F1813" i="20"/>
  <c r="D1813" i="20"/>
  <c r="F63" i="20"/>
  <c r="D63" i="20"/>
  <c r="F40" i="20"/>
  <c r="D40" i="20"/>
  <c r="F1926" i="20"/>
  <c r="A1926" i="20" s="1"/>
  <c r="D1926" i="20"/>
  <c r="F1649" i="20"/>
  <c r="D1649" i="20"/>
  <c r="F1925" i="20"/>
  <c r="D1925" i="20"/>
  <c r="F1059" i="20"/>
  <c r="D1059" i="20"/>
  <c r="A1059" i="20" s="1"/>
  <c r="F815" i="20"/>
  <c r="D815" i="20"/>
  <c r="F814" i="20"/>
  <c r="D814" i="20"/>
  <c r="F1648" i="20"/>
  <c r="D1648" i="20"/>
  <c r="F1732" i="20"/>
  <c r="D1732" i="20"/>
  <c r="F1924" i="20"/>
  <c r="D1924" i="20"/>
  <c r="A1924" i="20" s="1"/>
  <c r="F1015" i="20"/>
  <c r="D1015" i="20"/>
  <c r="F472" i="20"/>
  <c r="D472" i="20"/>
  <c r="F681" i="20"/>
  <c r="D681" i="20"/>
  <c r="F471" i="20"/>
  <c r="D471" i="20"/>
  <c r="F667" i="20"/>
  <c r="D667" i="20"/>
  <c r="F666" i="20"/>
  <c r="D666" i="20"/>
  <c r="F766" i="20"/>
  <c r="D766" i="20"/>
  <c r="F1315" i="20"/>
  <c r="D1315" i="20"/>
  <c r="F665" i="20"/>
  <c r="D665" i="20"/>
  <c r="F765" i="20"/>
  <c r="D765" i="20"/>
  <c r="F768" i="20"/>
  <c r="D768" i="20"/>
  <c r="A768" i="20" s="1"/>
  <c r="F910" i="20"/>
  <c r="D910" i="20"/>
  <c r="F767" i="20"/>
  <c r="D767" i="20"/>
  <c r="F534" i="20"/>
  <c r="D534" i="20"/>
  <c r="F1014" i="20"/>
  <c r="D1014" i="20"/>
  <c r="F62" i="20"/>
  <c r="D62" i="20"/>
  <c r="F1013" i="20"/>
  <c r="D1013" i="20"/>
  <c r="F241" i="20"/>
  <c r="D241" i="20"/>
  <c r="F383" i="20"/>
  <c r="D383" i="20"/>
  <c r="A383" i="20" s="1"/>
  <c r="F61" i="20"/>
  <c r="D61" i="20"/>
  <c r="F711" i="20"/>
  <c r="D711" i="20"/>
  <c r="F710" i="20"/>
  <c r="D710" i="20"/>
  <c r="F608" i="20"/>
  <c r="D608" i="20"/>
  <c r="F425" i="20"/>
  <c r="D425" i="20"/>
  <c r="A425" i="20" s="1"/>
  <c r="F413" i="20"/>
  <c r="D413" i="20"/>
  <c r="F390" i="20"/>
  <c r="D390" i="20"/>
  <c r="A390" i="20" s="1"/>
  <c r="F764" i="20"/>
  <c r="D764" i="20"/>
  <c r="F533" i="20"/>
  <c r="D533" i="20"/>
  <c r="F684" i="20"/>
  <c r="D684" i="20"/>
  <c r="F763" i="20"/>
  <c r="D763" i="20"/>
  <c r="F588" i="20"/>
  <c r="D588" i="20"/>
  <c r="F1734" i="20"/>
  <c r="D1734" i="20"/>
  <c r="F532" i="20"/>
  <c r="D532" i="20"/>
  <c r="F2031" i="20"/>
  <c r="D2031" i="20"/>
  <c r="A2031" i="20" s="1"/>
  <c r="F535" i="20"/>
  <c r="D535" i="20"/>
  <c r="F1841" i="20"/>
  <c r="D1841" i="20"/>
  <c r="F664" i="20"/>
  <c r="D664" i="20"/>
  <c r="A664" i="20" s="1"/>
  <c r="F762" i="20"/>
  <c r="D762" i="20"/>
  <c r="F531" i="20"/>
  <c r="D531" i="20"/>
  <c r="F470" i="20"/>
  <c r="D470" i="20"/>
  <c r="F873" i="20"/>
  <c r="D873" i="20"/>
  <c r="F904" i="20"/>
  <c r="D904" i="20"/>
  <c r="F872" i="20"/>
  <c r="D872" i="20"/>
  <c r="F164" i="20"/>
  <c r="D164" i="20"/>
  <c r="F60" i="20"/>
  <c r="D60" i="20"/>
  <c r="F1581" i="20"/>
  <c r="D1581" i="20"/>
  <c r="F607" i="20"/>
  <c r="D607" i="20"/>
  <c r="F1012" i="20"/>
  <c r="D1012" i="20"/>
  <c r="F558" i="20"/>
  <c r="D558" i="20"/>
  <c r="F813" i="20"/>
  <c r="D813" i="20"/>
  <c r="F1130" i="20"/>
  <c r="D1130" i="20"/>
  <c r="F903" i="20"/>
  <c r="D903" i="20"/>
  <c r="F709" i="20"/>
  <c r="D709" i="20"/>
  <c r="F2116" i="20"/>
  <c r="D2116" i="20"/>
  <c r="F2040" i="20"/>
  <c r="D2040" i="20"/>
  <c r="F469" i="20"/>
  <c r="D469" i="20"/>
  <c r="F786" i="20"/>
  <c r="D786" i="20"/>
  <c r="F1363" i="20"/>
  <c r="D1363" i="20"/>
  <c r="F663" i="20"/>
  <c r="D663" i="20"/>
  <c r="F1701" i="20"/>
  <c r="D1701" i="20"/>
  <c r="F902" i="20"/>
  <c r="D902" i="20"/>
  <c r="F1923" i="20"/>
  <c r="D1923" i="20"/>
  <c r="F1812" i="20"/>
  <c r="D1812" i="20"/>
  <c r="F606" i="20"/>
  <c r="D606" i="20"/>
  <c r="F1058" i="20"/>
  <c r="D1058" i="20"/>
  <c r="F59" i="20"/>
  <c r="D59" i="20"/>
  <c r="F1057" i="20"/>
  <c r="D1057" i="20"/>
  <c r="F58" i="20"/>
  <c r="D58" i="20"/>
  <c r="F662" i="20"/>
  <c r="D662" i="20"/>
  <c r="F57" i="20"/>
  <c r="D57" i="20"/>
  <c r="F661" i="20"/>
  <c r="D661" i="20"/>
  <c r="F660" i="20"/>
  <c r="D660" i="20"/>
  <c r="F659" i="20"/>
  <c r="D659" i="20"/>
  <c r="F56" i="20"/>
  <c r="D56" i="20"/>
  <c r="A56" i="20" s="1"/>
  <c r="F683" i="20"/>
  <c r="D683" i="20"/>
  <c r="A683" i="20" s="1"/>
  <c r="F468" i="20"/>
  <c r="D468" i="20"/>
  <c r="F760" i="20"/>
  <c r="D760" i="20"/>
  <c r="F1647" i="20"/>
  <c r="D1647" i="20"/>
  <c r="F1646" i="20"/>
  <c r="D1646" i="20"/>
  <c r="F1792" i="20"/>
  <c r="D1792" i="20"/>
  <c r="A1792" i="20" s="1"/>
  <c r="F965" i="20"/>
  <c r="D965" i="20"/>
  <c r="F163" i="20"/>
  <c r="D163" i="20"/>
  <c r="A242" i="20" l="1"/>
  <c r="A1544" i="20"/>
  <c r="A1552" i="20"/>
  <c r="A1417" i="20"/>
  <c r="A2205" i="20"/>
  <c r="A565" i="20"/>
  <c r="A573" i="20"/>
  <c r="A1825" i="20"/>
  <c r="A580" i="20"/>
  <c r="A194" i="20"/>
  <c r="A685" i="20"/>
  <c r="A144" i="20"/>
  <c r="A112" i="20"/>
  <c r="A102" i="20"/>
  <c r="A243" i="20"/>
  <c r="A312" i="20"/>
  <c r="A1249" i="20"/>
  <c r="A350" i="20"/>
  <c r="A745" i="20"/>
  <c r="A1659" i="20"/>
  <c r="A1883" i="20"/>
  <c r="A875" i="20"/>
  <c r="A1422" i="20"/>
  <c r="A1432" i="20"/>
  <c r="A975" i="20"/>
  <c r="A168" i="20"/>
  <c r="A1185" i="20"/>
  <c r="A1824" i="20"/>
  <c r="A566" i="20"/>
  <c r="A570" i="20"/>
  <c r="A246" i="20"/>
  <c r="A339" i="20"/>
  <c r="A272" i="20"/>
  <c r="A305" i="20"/>
  <c r="A309" i="20"/>
  <c r="A145" i="20"/>
  <c r="A397" i="20"/>
  <c r="A2092" i="20"/>
  <c r="A1075" i="20"/>
  <c r="A197" i="20"/>
  <c r="A207" i="20"/>
  <c r="A660" i="20"/>
  <c r="A469" i="20"/>
  <c r="A1012" i="20"/>
  <c r="A1477" i="20"/>
  <c r="A1587" i="20"/>
  <c r="A947" i="20"/>
  <c r="A1210" i="20"/>
  <c r="A65" i="20"/>
  <c r="A1169" i="20"/>
  <c r="A979" i="20"/>
  <c r="A1993" i="20"/>
  <c r="A1175" i="20"/>
  <c r="A318" i="20"/>
  <c r="A325" i="20"/>
  <c r="A786" i="20"/>
  <c r="A1161" i="20"/>
  <c r="A396" i="20"/>
  <c r="A1257" i="20"/>
  <c r="A1260" i="20"/>
  <c r="A1485" i="20"/>
  <c r="A1421" i="20"/>
  <c r="A723" i="20"/>
  <c r="A730" i="20"/>
  <c r="A737" i="20"/>
  <c r="A1074" i="20"/>
  <c r="A1078" i="20"/>
  <c r="A470" i="20"/>
  <c r="A1734" i="20"/>
  <c r="A611" i="20"/>
  <c r="A1159" i="20"/>
  <c r="A475" i="20"/>
  <c r="A499" i="20"/>
  <c r="A2111" i="20"/>
  <c r="A2153" i="20"/>
  <c r="A1501" i="20"/>
  <c r="A1254" i="20"/>
  <c r="A1815" i="20"/>
  <c r="A1270" i="20"/>
  <c r="A1274" i="20"/>
  <c r="A1278" i="20"/>
  <c r="A1884" i="20"/>
  <c r="A1087" i="20"/>
  <c r="A316" i="20"/>
  <c r="A323" i="20"/>
  <c r="A327" i="20"/>
  <c r="A1033" i="20"/>
  <c r="A1130" i="20"/>
  <c r="A872" i="20"/>
  <c r="A535" i="20"/>
  <c r="A1315" i="20"/>
  <c r="A170" i="20"/>
  <c r="A174" i="20"/>
  <c r="A1785" i="20"/>
  <c r="A847" i="20"/>
  <c r="A1147" i="20"/>
  <c r="A1751" i="20"/>
  <c r="A1505" i="20"/>
  <c r="A1478" i="20"/>
  <c r="A1482" i="20"/>
  <c r="A295" i="20"/>
  <c r="A826" i="20"/>
  <c r="A1425" i="20"/>
  <c r="A1661" i="20"/>
  <c r="A1881" i="20"/>
  <c r="A1653" i="20"/>
  <c r="A1032" i="20"/>
  <c r="A977" i="20"/>
  <c r="A59" i="20"/>
  <c r="A1923" i="20"/>
  <c r="A1363" i="20"/>
  <c r="A178" i="20"/>
  <c r="A1140" i="20"/>
  <c r="A31" i="20"/>
  <c r="A1457" i="20"/>
  <c r="A2142" i="20"/>
  <c r="A2077" i="20"/>
  <c r="A2151" i="20"/>
  <c r="A577" i="20"/>
  <c r="A1418" i="20"/>
  <c r="A1208" i="20"/>
  <c r="A300" i="20"/>
  <c r="A1899" i="20"/>
  <c r="A1256" i="20"/>
  <c r="A849" i="20"/>
  <c r="A241" i="20"/>
  <c r="A765" i="20"/>
  <c r="A1925" i="20"/>
  <c r="A175" i="20"/>
  <c r="A933" i="20"/>
  <c r="A1386" i="20"/>
  <c r="A1536" i="20"/>
  <c r="A292" i="20"/>
  <c r="A1137" i="20"/>
  <c r="A1141" i="20"/>
  <c r="A1149" i="20"/>
  <c r="A9" i="20"/>
  <c r="A939" i="20"/>
  <c r="A941" i="20"/>
  <c r="A140" i="20"/>
  <c r="A64" i="20"/>
  <c r="A1182" i="20"/>
  <c r="A478" i="20"/>
  <c r="A482" i="20"/>
  <c r="A486" i="20"/>
  <c r="A490" i="20"/>
  <c r="A498" i="20"/>
  <c r="A502" i="20"/>
  <c r="A506" i="20"/>
  <c r="A510" i="20"/>
  <c r="A514" i="20"/>
  <c r="A522" i="20"/>
  <c r="A1583" i="20"/>
  <c r="A567" i="20"/>
  <c r="A571" i="20"/>
  <c r="A575" i="20"/>
  <c r="A143" i="20"/>
  <c r="A101" i="20"/>
  <c r="A1719" i="20"/>
  <c r="A662" i="20"/>
  <c r="A904" i="20"/>
  <c r="A62" i="20"/>
  <c r="A173" i="20"/>
  <c r="A1062" i="20"/>
  <c r="A675" i="20"/>
  <c r="A1537" i="20"/>
  <c r="A285" i="20"/>
  <c r="A739" i="20"/>
  <c r="A291" i="20"/>
  <c r="A1136" i="20"/>
  <c r="A1151" i="20"/>
  <c r="A940" i="20"/>
  <c r="A942" i="20"/>
  <c r="A141" i="20"/>
  <c r="A69" i="20"/>
  <c r="A1340" i="20"/>
  <c r="A1344" i="20"/>
  <c r="A1348" i="20"/>
  <c r="A181" i="20"/>
  <c r="A474" i="20"/>
  <c r="A528" i="20"/>
  <c r="A2143" i="20"/>
  <c r="A2075" i="20"/>
  <c r="A1500" i="20"/>
  <c r="A1484" i="20"/>
  <c r="A125" i="20"/>
  <c r="A1284" i="20"/>
  <c r="A1207" i="20"/>
  <c r="A299" i="20"/>
  <c r="A310" i="20"/>
  <c r="A395" i="20"/>
  <c r="A127" i="20"/>
  <c r="A1277" i="20"/>
  <c r="A313" i="20"/>
  <c r="A147" i="20"/>
  <c r="A1428" i="20"/>
  <c r="A1079" i="20"/>
  <c r="A606" i="20"/>
  <c r="A681" i="20"/>
  <c r="A1481" i="20"/>
  <c r="A303" i="20"/>
  <c r="A726" i="20"/>
  <c r="A1869" i="20"/>
  <c r="A321" i="20"/>
  <c r="A716" i="20"/>
  <c r="A1156" i="20"/>
  <c r="A1349" i="20"/>
  <c r="A479" i="20"/>
  <c r="A487" i="20"/>
  <c r="A518" i="20"/>
  <c r="A191" i="20"/>
  <c r="A1366" i="20"/>
  <c r="A1370" i="20"/>
  <c r="A1374" i="20"/>
  <c r="A971" i="20"/>
  <c r="A1214" i="20"/>
  <c r="A1170" i="20"/>
  <c r="A304" i="20"/>
  <c r="A1065" i="20"/>
  <c r="A48" i="20"/>
  <c r="A262" i="20"/>
  <c r="A746" i="20"/>
  <c r="A1658" i="20"/>
  <c r="A1660" i="20"/>
  <c r="A1662" i="20"/>
  <c r="A1085" i="20"/>
  <c r="A1668" i="20"/>
  <c r="A1716" i="20"/>
  <c r="A819" i="20"/>
  <c r="A1090" i="20"/>
  <c r="A2183" i="20"/>
  <c r="A315" i="20"/>
  <c r="A326" i="20"/>
  <c r="A163" i="20"/>
  <c r="A1646" i="20"/>
  <c r="A1057" i="20"/>
  <c r="A663" i="20"/>
  <c r="A472" i="20"/>
  <c r="A1316" i="20"/>
  <c r="A1650" i="20"/>
  <c r="A171" i="20"/>
  <c r="A848" i="20"/>
  <c r="A1539" i="20"/>
  <c r="A283" i="20"/>
  <c r="A1319" i="20"/>
  <c r="A743" i="20"/>
  <c r="A2203" i="20"/>
  <c r="A1346" i="20"/>
  <c r="A526" i="20"/>
  <c r="A186" i="20"/>
  <c r="A190" i="20"/>
  <c r="A2145" i="20"/>
  <c r="A1502" i="20"/>
  <c r="A949" i="20"/>
  <c r="A1163" i="20"/>
  <c r="A1167" i="20"/>
  <c r="A1020" i="20"/>
  <c r="A562" i="20"/>
  <c r="A297" i="20"/>
  <c r="A308" i="20"/>
  <c r="A1246" i="20"/>
  <c r="A1105" i="20"/>
  <c r="A1248" i="20"/>
  <c r="A1279" i="20"/>
  <c r="A1756" i="20"/>
  <c r="A1652" i="20"/>
  <c r="A1031" i="20"/>
  <c r="A976" i="20"/>
  <c r="A713" i="20"/>
  <c r="A41" i="20"/>
  <c r="A1371" i="20"/>
  <c r="A275" i="20"/>
  <c r="A301" i="20"/>
  <c r="A1252" i="20"/>
  <c r="A720" i="20"/>
  <c r="A724" i="20"/>
  <c r="A1712" i="20"/>
  <c r="A1713" i="20"/>
  <c r="A1867" i="20"/>
  <c r="A937" i="20"/>
  <c r="A2064" i="20"/>
  <c r="A493" i="20"/>
  <c r="A520" i="20"/>
  <c r="A187" i="20"/>
  <c r="A1750" i="20"/>
  <c r="A2152" i="20"/>
  <c r="A1473" i="20"/>
  <c r="A391" i="20"/>
  <c r="A1263" i="20"/>
  <c r="A1268" i="20"/>
  <c r="A760" i="20"/>
  <c r="A57" i="20"/>
  <c r="A903" i="20"/>
  <c r="A60" i="20"/>
  <c r="A764" i="20"/>
  <c r="A873" i="20"/>
  <c r="A659" i="20"/>
  <c r="A58" i="20"/>
  <c r="A902" i="20"/>
  <c r="A2116" i="20"/>
  <c r="A1841" i="20"/>
  <c r="A813" i="20"/>
  <c r="A413" i="20"/>
  <c r="A1647" i="20"/>
  <c r="A709" i="20"/>
  <c r="A665" i="20"/>
  <c r="A667" i="20"/>
  <c r="A682" i="20"/>
  <c r="A671" i="20"/>
  <c r="A1928" i="20"/>
  <c r="A165" i="20"/>
  <c r="A787" i="20"/>
  <c r="A1748" i="20"/>
  <c r="A1018" i="20"/>
  <c r="A1533" i="20"/>
  <c r="A2074" i="20"/>
  <c r="A1543" i="20"/>
  <c r="A1547" i="20"/>
  <c r="A1848" i="20"/>
  <c r="A1135" i="20"/>
  <c r="A8" i="20"/>
  <c r="A1183" i="20"/>
  <c r="A1706" i="20"/>
  <c r="A483" i="20"/>
  <c r="A491" i="20"/>
  <c r="A513" i="20"/>
  <c r="A517" i="20"/>
  <c r="A524" i="20"/>
  <c r="A1787" i="20"/>
  <c r="A2147" i="20"/>
  <c r="A1471" i="20"/>
  <c r="A1475" i="20"/>
  <c r="A1504" i="20"/>
  <c r="A1486" i="20"/>
  <c r="A561" i="20"/>
  <c r="A564" i="20"/>
  <c r="A1188" i="20"/>
  <c r="A1023" i="20"/>
  <c r="A1026" i="20"/>
  <c r="A349" i="20"/>
  <c r="A296" i="20"/>
  <c r="A45" i="20"/>
  <c r="A2030" i="20"/>
  <c r="A1258" i="20"/>
  <c r="A1261" i="20"/>
  <c r="A1269" i="20"/>
  <c r="A1272" i="20"/>
  <c r="A1276" i="20"/>
  <c r="A825" i="20"/>
  <c r="A914" i="20"/>
  <c r="A876" i="20"/>
  <c r="A1655" i="20"/>
  <c r="A1675" i="20"/>
  <c r="A717" i="20"/>
  <c r="A719" i="20"/>
  <c r="A727" i="20"/>
  <c r="A734" i="20"/>
  <c r="A202" i="20"/>
  <c r="A1089" i="20"/>
  <c r="A2182" i="20"/>
  <c r="A314" i="20"/>
  <c r="A1873" i="20"/>
  <c r="A1083" i="20"/>
  <c r="A684" i="20"/>
  <c r="A710" i="20"/>
  <c r="A471" i="20"/>
  <c r="A814" i="20"/>
  <c r="A63" i="20"/>
  <c r="A1703" i="20"/>
  <c r="A473" i="20"/>
  <c r="A610" i="20"/>
  <c r="A1930" i="20"/>
  <c r="A169" i="20"/>
  <c r="A1733" i="20"/>
  <c r="A1974" i="20"/>
  <c r="A1529" i="20"/>
  <c r="A1897" i="20"/>
  <c r="A1534" i="20"/>
  <c r="A969" i="20"/>
  <c r="A1548" i="20"/>
  <c r="A1424" i="20"/>
  <c r="A1131" i="20"/>
  <c r="A1132" i="20"/>
  <c r="A1932" i="20"/>
  <c r="A943" i="20"/>
  <c r="A136" i="20"/>
  <c r="A111" i="20"/>
  <c r="A2202" i="20"/>
  <c r="A121" i="20"/>
  <c r="A1707" i="20"/>
  <c r="A477" i="20"/>
  <c r="A1779" i="20"/>
  <c r="A1498" i="20"/>
  <c r="A1582" i="20"/>
  <c r="A948" i="20"/>
  <c r="A1589" i="20"/>
  <c r="A1165" i="20"/>
  <c r="A1365" i="20"/>
  <c r="A572" i="20"/>
  <c r="A579" i="20"/>
  <c r="A365" i="20"/>
  <c r="A1027" i="20"/>
  <c r="A1173" i="20"/>
  <c r="A307" i="20"/>
  <c r="A1318" i="20"/>
  <c r="A792" i="20"/>
  <c r="A1262" i="20"/>
  <c r="A1266" i="20"/>
  <c r="A1387" i="20"/>
  <c r="A1211" i="20"/>
  <c r="A744" i="20"/>
  <c r="A129" i="20"/>
  <c r="A1882" i="20"/>
  <c r="A1709" i="20"/>
  <c r="A1887" i="20"/>
  <c r="A731" i="20"/>
  <c r="A909" i="20"/>
  <c r="A954" i="20"/>
  <c r="A1041" i="20"/>
  <c r="A322" i="20"/>
  <c r="A329" i="20"/>
  <c r="A1038" i="20"/>
  <c r="A206" i="20"/>
  <c r="A711" i="20"/>
  <c r="A1649" i="20"/>
  <c r="A1813" i="20"/>
  <c r="A816" i="20"/>
  <c r="A167" i="20"/>
  <c r="A966" i="20"/>
  <c r="A970" i="20"/>
  <c r="A1545" i="20"/>
  <c r="A1556" i="20"/>
  <c r="A1850" i="20"/>
  <c r="A1101" i="20"/>
  <c r="A1133" i="20"/>
  <c r="A1153" i="20"/>
  <c r="A1704" i="20"/>
  <c r="A1708" i="20"/>
  <c r="A485" i="20"/>
  <c r="A497" i="20"/>
  <c r="A501" i="20"/>
  <c r="A189" i="20"/>
  <c r="A2078" i="20"/>
  <c r="A1162" i="20"/>
  <c r="A945" i="20"/>
  <c r="A1369" i="20"/>
  <c r="A1373" i="20"/>
  <c r="A569" i="20"/>
  <c r="A794" i="20"/>
  <c r="A13" i="20"/>
  <c r="A1021" i="20"/>
  <c r="A1168" i="20"/>
  <c r="A1064" i="20"/>
  <c r="A1253" i="20"/>
  <c r="A1934" i="20"/>
  <c r="A1212" i="20"/>
  <c r="A244" i="20"/>
  <c r="A1657" i="20"/>
  <c r="A1084" i="20"/>
  <c r="A1714" i="20"/>
  <c r="A67" i="20"/>
  <c r="A874" i="20"/>
  <c r="A1029" i="20"/>
  <c r="A1666" i="20"/>
  <c r="A1667" i="20"/>
  <c r="A1715" i="20"/>
  <c r="A1674" i="20"/>
  <c r="A1711" i="20"/>
  <c r="A732" i="20"/>
  <c r="A200" i="20"/>
  <c r="A1091" i="20"/>
  <c r="A2184" i="20"/>
  <c r="A1871" i="20"/>
  <c r="A332" i="20"/>
  <c r="A1755" i="20"/>
  <c r="A1735" i="20"/>
  <c r="A1069" i="20"/>
  <c r="A1073" i="20"/>
  <c r="A1077" i="20"/>
  <c r="A762" i="20"/>
  <c r="A61" i="20"/>
  <c r="A767" i="20"/>
  <c r="A666" i="20"/>
  <c r="A712" i="20"/>
  <c r="A1927" i="20"/>
  <c r="A670" i="20"/>
  <c r="A672" i="20"/>
  <c r="A1842" i="20"/>
  <c r="A1843" i="20"/>
  <c r="A790" i="20"/>
  <c r="A1061" i="20"/>
  <c r="A1017" i="20"/>
  <c r="A967" i="20"/>
  <c r="A2045" i="20"/>
  <c r="A177" i="20"/>
  <c r="A287" i="20"/>
  <c r="A1160" i="20"/>
  <c r="A2199" i="20"/>
  <c r="A494" i="20"/>
  <c r="A505" i="20"/>
  <c r="A509" i="20"/>
  <c r="A523" i="20"/>
  <c r="A1187" i="20"/>
  <c r="A2146" i="20"/>
  <c r="A2149" i="20"/>
  <c r="A1474" i="20"/>
  <c r="A1480" i="20"/>
  <c r="A946" i="20"/>
  <c r="A950" i="20"/>
  <c r="A1019" i="20"/>
  <c r="A686" i="20"/>
  <c r="A1420" i="20"/>
  <c r="A1022" i="20"/>
  <c r="A1025" i="20"/>
  <c r="A1245" i="20"/>
  <c r="A1171" i="20"/>
  <c r="A414" i="20"/>
  <c r="A1264" i="20"/>
  <c r="A1267" i="20"/>
  <c r="A913" i="20"/>
  <c r="A1651" i="20"/>
  <c r="A1429" i="20"/>
  <c r="A1876" i="20"/>
  <c r="A1671" i="20"/>
  <c r="A1595" i="20"/>
  <c r="A722" i="20"/>
  <c r="A729" i="20"/>
  <c r="A736" i="20"/>
  <c r="A208" i="20"/>
  <c r="A907" i="20"/>
  <c r="A201" i="20"/>
  <c r="A333" i="20"/>
  <c r="A1780" i="20"/>
  <c r="A205" i="20"/>
  <c r="A1812" i="20"/>
  <c r="A607" i="20"/>
  <c r="A588" i="20"/>
  <c r="A1014" i="20"/>
  <c r="A1732" i="20"/>
  <c r="A1814" i="20"/>
  <c r="A166" i="20"/>
  <c r="A789" i="20"/>
  <c r="A1338" i="20"/>
  <c r="A1532" i="20"/>
  <c r="A1540" i="20"/>
  <c r="A1553" i="20"/>
  <c r="A833" i="20"/>
  <c r="A1846" i="20"/>
  <c r="A1145" i="20"/>
  <c r="A2140" i="20"/>
  <c r="A2198" i="20"/>
  <c r="A138" i="20"/>
  <c r="A180" i="20"/>
  <c r="A476" i="20"/>
  <c r="A1581" i="20"/>
  <c r="A763" i="20"/>
  <c r="A534" i="20"/>
  <c r="A1648" i="20"/>
  <c r="A1060" i="20"/>
  <c r="A1931" i="20"/>
  <c r="A1845" i="20"/>
  <c r="A934" i="20"/>
  <c r="A1527" i="20"/>
  <c r="A2001" i="20"/>
  <c r="A1554" i="20"/>
  <c r="A742" i="20"/>
  <c r="A1139" i="20"/>
  <c r="A1155" i="20"/>
  <c r="A936" i="20"/>
  <c r="A11" i="20"/>
  <c r="A1339" i="20"/>
  <c r="A1775" i="20"/>
  <c r="A2200" i="20"/>
  <c r="A965" i="20"/>
  <c r="A661" i="20"/>
  <c r="A1058" i="20"/>
  <c r="A2040" i="20"/>
  <c r="A558" i="20"/>
  <c r="A531" i="20"/>
  <c r="A532" i="20"/>
  <c r="A608" i="20"/>
  <c r="A1013" i="20"/>
  <c r="A766" i="20"/>
  <c r="A1015" i="20"/>
  <c r="A40" i="20"/>
  <c r="A609" i="20"/>
  <c r="A669" i="20"/>
  <c r="A1844" i="20"/>
  <c r="A788" i="20"/>
  <c r="A851" i="20"/>
  <c r="A1528" i="20"/>
  <c r="A761" i="20"/>
  <c r="A1538" i="20"/>
  <c r="A1551" i="20"/>
  <c r="A1555" i="20"/>
  <c r="A288" i="20"/>
  <c r="A1317" i="20"/>
  <c r="A1143" i="20"/>
  <c r="A1150" i="20"/>
  <c r="A80" i="20"/>
  <c r="A2201" i="20"/>
  <c r="A714" i="20"/>
  <c r="A1929" i="20"/>
  <c r="A1535" i="20"/>
  <c r="A1100" i="20"/>
  <c r="A10" i="20"/>
  <c r="A468" i="20"/>
  <c r="A1701" i="20"/>
  <c r="A164" i="20"/>
  <c r="A533" i="20"/>
  <c r="A910" i="20"/>
  <c r="A815" i="20"/>
  <c r="A1702" i="20"/>
  <c r="A674" i="20"/>
  <c r="A172" i="20"/>
  <c r="A1786" i="20"/>
  <c r="A176" i="20"/>
  <c r="A1530" i="20"/>
  <c r="A968" i="20"/>
  <c r="A1546" i="20"/>
  <c r="A284" i="20"/>
  <c r="A715" i="20"/>
  <c r="A1849" i="20"/>
  <c r="A1103" i="20"/>
  <c r="A1933" i="20"/>
  <c r="A183" i="20"/>
  <c r="A179" i="20"/>
  <c r="A504" i="20"/>
  <c r="A185" i="20"/>
  <c r="A1752" i="20"/>
  <c r="A1754" i="20"/>
  <c r="A1476" i="20"/>
  <c r="A192" i="20"/>
  <c r="A1586" i="20"/>
  <c r="A1590" i="20"/>
  <c r="A1367" i="20"/>
  <c r="A559" i="20"/>
  <c r="A1419" i="20"/>
  <c r="A1024" i="20"/>
  <c r="A298" i="20"/>
  <c r="A306" i="20"/>
  <c r="A1250" i="20"/>
  <c r="A1273" i="20"/>
  <c r="A47" i="20"/>
  <c r="A1885" i="20"/>
  <c r="A912" i="20"/>
  <c r="A1665" i="20"/>
  <c r="A1654" i="20"/>
  <c r="A1431" i="20"/>
  <c r="A1669" i="20"/>
  <c r="A718" i="20"/>
  <c r="A725" i="20"/>
  <c r="A733" i="20"/>
  <c r="A906" i="20"/>
  <c r="A2181" i="20"/>
  <c r="A1868" i="20"/>
  <c r="A1875" i="20"/>
  <c r="A1440" i="20"/>
  <c r="A1566" i="20"/>
  <c r="A1076" i="20"/>
  <c r="A1758" i="20"/>
  <c r="A2139" i="20"/>
  <c r="A83" i="20"/>
  <c r="A1347" i="20"/>
  <c r="A481" i="20"/>
  <c r="A495" i="20"/>
  <c r="A511" i="20"/>
  <c r="A1186" i="20"/>
  <c r="A1469" i="20"/>
  <c r="A1479" i="20"/>
  <c r="A1364" i="20"/>
  <c r="A1368" i="20"/>
  <c r="A560" i="20"/>
  <c r="A568" i="20"/>
  <c r="A574" i="20"/>
  <c r="A126" i="20"/>
  <c r="A338" i="20"/>
  <c r="A302" i="20"/>
  <c r="A426" i="20"/>
  <c r="A1898" i="20"/>
  <c r="A1251" i="20"/>
  <c r="A1259" i="20"/>
  <c r="A1265" i="20"/>
  <c r="A66" i="20"/>
  <c r="A1280" i="20"/>
  <c r="A1426" i="20"/>
  <c r="A1664" i="20"/>
  <c r="A146" i="20"/>
  <c r="A1717" i="20"/>
  <c r="A728" i="20"/>
  <c r="A1042" i="20"/>
  <c r="A320" i="20"/>
  <c r="A330" i="20"/>
  <c r="A1037" i="20"/>
  <c r="A334" i="20"/>
  <c r="A1070" i="20"/>
  <c r="A1080" i="20"/>
  <c r="A1759" i="20"/>
  <c r="A209" i="20"/>
  <c r="A319" i="20"/>
  <c r="A1757" i="20"/>
  <c r="A489" i="20"/>
  <c r="A496" i="20"/>
  <c r="A512" i="20"/>
  <c r="A521" i="20"/>
  <c r="A527" i="20"/>
  <c r="A2144" i="20"/>
  <c r="A1793" i="20"/>
  <c r="A1483" i="20"/>
  <c r="A944" i="20"/>
  <c r="A1588" i="20"/>
  <c r="A1375" i="20"/>
  <c r="A563" i="20"/>
  <c r="A578" i="20"/>
  <c r="A342" i="20"/>
  <c r="A351" i="20"/>
  <c r="A84" i="20"/>
  <c r="A1225" i="20"/>
  <c r="A416" i="20"/>
  <c r="A1255" i="20"/>
  <c r="A1067" i="20"/>
  <c r="A1271" i="20"/>
  <c r="A973" i="20"/>
  <c r="A1030" i="20"/>
  <c r="A1434" i="20"/>
  <c r="A1718" i="20"/>
  <c r="A974" i="20"/>
  <c r="A1710" i="20"/>
  <c r="A908" i="20"/>
  <c r="A1088" i="20"/>
  <c r="A2161" i="20"/>
  <c r="A1870" i="20"/>
  <c r="A324" i="20"/>
  <c r="A1035" i="20"/>
  <c r="A343" i="20"/>
  <c r="A1071" i="20"/>
  <c r="A203" i="20"/>
  <c r="A1181" i="20"/>
  <c r="A1705" i="20"/>
  <c r="A1345" i="20"/>
  <c r="A184" i="20"/>
  <c r="A503" i="20"/>
  <c r="A516" i="20"/>
  <c r="A188" i="20"/>
  <c r="A1778" i="20"/>
  <c r="A2148" i="20"/>
  <c r="A1499" i="20"/>
  <c r="A1376" i="20"/>
  <c r="A576" i="20"/>
  <c r="A128" i="20"/>
  <c r="A791" i="20"/>
  <c r="A294" i="20"/>
  <c r="A198" i="20"/>
  <c r="A1172" i="20"/>
  <c r="A311" i="20"/>
  <c r="A1957" i="20"/>
  <c r="A427" i="20"/>
  <c r="A1066" i="20"/>
  <c r="A260" i="20"/>
  <c r="A1040" i="20"/>
  <c r="A1430" i="20"/>
  <c r="A1436" i="20"/>
  <c r="A1565" i="20"/>
  <c r="A721" i="20"/>
  <c r="A905" i="20"/>
  <c r="A2180" i="20"/>
  <c r="A317" i="20"/>
  <c r="A1874" i="20"/>
  <c r="A328" i="20"/>
  <c r="A1036" i="20"/>
  <c r="A1072" i="20"/>
  <c r="A1082" i="20"/>
  <c r="A204" i="20"/>
  <c r="A1847" i="20"/>
  <c r="A1134" i="20"/>
  <c r="A1146" i="20"/>
  <c r="A100" i="20"/>
  <c r="A120" i="20"/>
  <c r="A1342" i="20"/>
  <c r="A500" i="20"/>
  <c r="A2150" i="20"/>
  <c r="A1372" i="20"/>
  <c r="A196" i="20"/>
  <c r="A415" i="20"/>
  <c r="A199" i="20"/>
  <c r="A2190" i="20"/>
  <c r="A1092" i="20"/>
  <c r="A1099" i="20"/>
  <c r="A1138" i="20"/>
  <c r="A137" i="20"/>
  <c r="A139" i="20"/>
  <c r="A1180" i="20"/>
  <c r="A492" i="20"/>
  <c r="A2076" i="20"/>
  <c r="A124" i="20"/>
  <c r="A247" i="20"/>
  <c r="A42" i="20"/>
  <c r="A1142" i="20"/>
  <c r="A1154" i="20"/>
  <c r="A1184" i="20"/>
  <c r="A508" i="20"/>
  <c r="A1472" i="20"/>
  <c r="A1378" i="20"/>
  <c r="A1209" i="20"/>
  <c r="A1247" i="20"/>
  <c r="A1028" i="20"/>
  <c r="A1673" i="20"/>
  <c r="A1174" i="20"/>
  <c r="A1102" i="20"/>
  <c r="A2141" i="20"/>
  <c r="A142" i="20"/>
  <c r="A484" i="20"/>
  <c r="A1776" i="20"/>
  <c r="A1164" i="20"/>
  <c r="A195" i="20"/>
  <c r="A951" i="20"/>
  <c r="A1275" i="20"/>
  <c r="A1427" i="20"/>
  <c r="A735" i="20"/>
  <c r="A1872" i="20"/>
  <c r="A1034" i="20"/>
  <c r="A1068" i="20"/>
  <c r="O806" i="20"/>
  <c r="O1983" i="20" l="1"/>
  <c r="L1983" i="20" s="1"/>
  <c r="F1983" i="20"/>
  <c r="D1983" i="20"/>
  <c r="O2126" i="20"/>
  <c r="L2126" i="20" s="1"/>
  <c r="F2126" i="20"/>
  <c r="D2126" i="20"/>
  <c r="O2138" i="20"/>
  <c r="L2138" i="20" s="1"/>
  <c r="F2138" i="20"/>
  <c r="D2138" i="20"/>
  <c r="O432" i="20"/>
  <c r="L432" i="20" s="1"/>
  <c r="F432" i="20"/>
  <c r="D432" i="20"/>
  <c r="O431" i="20"/>
  <c r="L431" i="20" s="1"/>
  <c r="F431" i="20"/>
  <c r="D431" i="20"/>
  <c r="O1807" i="20"/>
  <c r="L1807" i="20" s="1"/>
  <c r="F1807" i="20"/>
  <c r="D1807" i="20"/>
  <c r="O1806" i="20"/>
  <c r="L1806" i="20" s="1"/>
  <c r="F1806" i="20"/>
  <c r="D1806" i="20"/>
  <c r="O978" i="20"/>
  <c r="L978" i="20" s="1"/>
  <c r="F978" i="20"/>
  <c r="D978" i="20"/>
  <c r="O931" i="20"/>
  <c r="L931" i="20" s="1"/>
  <c r="F931" i="20"/>
  <c r="D931" i="20"/>
  <c r="O898" i="20"/>
  <c r="L898" i="20" s="1"/>
  <c r="F898" i="20"/>
  <c r="D898" i="20"/>
  <c r="O897" i="20"/>
  <c r="L897" i="20" s="1"/>
  <c r="F897" i="20"/>
  <c r="D897" i="20"/>
  <c r="O895" i="20"/>
  <c r="L895" i="20" s="1"/>
  <c r="F895" i="20"/>
  <c r="D895" i="20"/>
  <c r="O869" i="20"/>
  <c r="L869" i="20" s="1"/>
  <c r="F869" i="20"/>
  <c r="D869" i="20"/>
  <c r="O870" i="20"/>
  <c r="L870" i="20" s="1"/>
  <c r="F870" i="20"/>
  <c r="D870" i="20"/>
  <c r="O256" i="20"/>
  <c r="L256" i="20" s="1"/>
  <c r="F256" i="20"/>
  <c r="D256" i="20"/>
  <c r="O677" i="20"/>
  <c r="L677" i="20" s="1"/>
  <c r="F677" i="20"/>
  <c r="D677" i="20"/>
  <c r="O602" i="20"/>
  <c r="L602" i="20" s="1"/>
  <c r="F602" i="20"/>
  <c r="D602" i="20"/>
  <c r="O925" i="20"/>
  <c r="L925" i="20" s="1"/>
  <c r="F925" i="20"/>
  <c r="D925" i="20"/>
  <c r="O2179" i="20"/>
  <c r="L2179" i="20" s="1"/>
  <c r="F2179" i="20"/>
  <c r="D2179" i="20"/>
  <c r="O2178" i="20"/>
  <c r="L2178" i="20" s="1"/>
  <c r="F2178" i="20"/>
  <c r="D2178" i="20"/>
  <c r="O2172" i="20"/>
  <c r="L2172" i="20" s="1"/>
  <c r="F2172" i="20"/>
  <c r="D2172" i="20"/>
  <c r="O364" i="20"/>
  <c r="L364" i="20" s="1"/>
  <c r="F364" i="20"/>
  <c r="D364" i="20"/>
  <c r="O268" i="20"/>
  <c r="L268" i="20" s="1"/>
  <c r="F268" i="20"/>
  <c r="D268" i="20"/>
  <c r="O236" i="20"/>
  <c r="L236" i="20" s="1"/>
  <c r="F236" i="20"/>
  <c r="D236" i="20"/>
  <c r="O233" i="20"/>
  <c r="L233" i="20" s="1"/>
  <c r="F233" i="20"/>
  <c r="D233" i="20"/>
  <c r="O240" i="20"/>
  <c r="L240" i="20" s="1"/>
  <c r="F240" i="20"/>
  <c r="D240" i="20"/>
  <c r="A1983" i="20" l="1"/>
  <c r="A2138" i="20"/>
  <c r="A2126" i="20"/>
  <c r="A431" i="20"/>
  <c r="A1806" i="20"/>
  <c r="A432" i="20"/>
  <c r="A1807" i="20"/>
  <c r="A978" i="20"/>
  <c r="A931" i="20"/>
  <c r="A897" i="20"/>
  <c r="A869" i="20"/>
  <c r="A898" i="20"/>
  <c r="A895" i="20"/>
  <c r="A870" i="20"/>
  <c r="A256" i="20"/>
  <c r="A677" i="20"/>
  <c r="A602" i="20"/>
  <c r="A925" i="20"/>
  <c r="A2172" i="20"/>
  <c r="A2178" i="20"/>
  <c r="A2179" i="20"/>
  <c r="A236" i="20"/>
  <c r="A268" i="20"/>
  <c r="A364" i="20"/>
  <c r="A240" i="20"/>
  <c r="A233" i="20"/>
  <c r="O105" i="20" l="1"/>
  <c r="L105" i="20" s="1"/>
  <c r="F105" i="20"/>
  <c r="D105" i="20"/>
  <c r="O1353" i="20"/>
  <c r="L1353" i="20" s="1"/>
  <c r="F1353" i="20"/>
  <c r="D1353" i="20"/>
  <c r="O1447" i="20"/>
  <c r="L1447" i="20" s="1"/>
  <c r="F1447" i="20"/>
  <c r="D1447" i="20"/>
  <c r="O1965" i="20"/>
  <c r="L1965" i="20" s="1"/>
  <c r="F1965" i="20"/>
  <c r="D1965" i="20"/>
  <c r="O1742" i="20"/>
  <c r="L1742" i="20" s="1"/>
  <c r="F1742" i="20"/>
  <c r="D1742" i="20"/>
  <c r="O824" i="20"/>
  <c r="L824" i="20" s="1"/>
  <c r="F824" i="20"/>
  <c r="D824" i="20"/>
  <c r="F2195" i="20"/>
  <c r="O1324" i="20"/>
  <c r="L1324" i="20" s="1"/>
  <c r="F1324" i="20"/>
  <c r="D1324" i="20"/>
  <c r="O594" i="20"/>
  <c r="L594" i="20" s="1"/>
  <c r="F594" i="20"/>
  <c r="D594" i="20"/>
  <c r="O2016" i="20"/>
  <c r="L2016" i="20" s="1"/>
  <c r="F2016" i="20"/>
  <c r="D2016" i="20"/>
  <c r="O2054" i="20"/>
  <c r="L2054" i="20" s="1"/>
  <c r="F2054" i="20"/>
  <c r="D2054" i="20"/>
  <c r="O1743" i="20"/>
  <c r="L1743" i="20" s="1"/>
  <c r="F1743" i="20"/>
  <c r="D1743" i="20"/>
  <c r="O115" i="20"/>
  <c r="L115" i="20" s="1"/>
  <c r="F115" i="20"/>
  <c r="D115" i="20"/>
  <c r="O1352" i="20"/>
  <c r="L1352" i="20" s="1"/>
  <c r="F1352" i="20"/>
  <c r="D1352" i="20"/>
  <c r="D1489" i="20"/>
  <c r="F1489" i="20"/>
  <c r="O1489" i="20"/>
  <c r="L1489" i="20" s="1"/>
  <c r="F410" i="20"/>
  <c r="D410" i="20"/>
  <c r="F409" i="20"/>
  <c r="D409" i="20"/>
  <c r="F408" i="20"/>
  <c r="D408" i="20"/>
  <c r="F422" i="20"/>
  <c r="D422" i="20"/>
  <c r="F421" i="20"/>
  <c r="D421" i="20"/>
  <c r="F406" i="20"/>
  <c r="D406" i="20"/>
  <c r="F405" i="20"/>
  <c r="D405" i="20"/>
  <c r="O1991" i="20"/>
  <c r="L1991" i="20" s="1"/>
  <c r="F1991" i="20"/>
  <c r="D1991" i="20"/>
  <c r="O1609" i="20"/>
  <c r="L1609" i="20" s="1"/>
  <c r="F1609" i="20"/>
  <c r="D1609" i="20"/>
  <c r="O1449" i="20"/>
  <c r="L1449" i="20" s="1"/>
  <c r="F1449" i="20"/>
  <c r="D1449" i="20"/>
  <c r="A105" i="20" l="1"/>
  <c r="A1353" i="20"/>
  <c r="A1447" i="20"/>
  <c r="A1742" i="20"/>
  <c r="A1324" i="20"/>
  <c r="A1965" i="20"/>
  <c r="A824" i="20"/>
  <c r="A594" i="20"/>
  <c r="A115" i="20"/>
  <c r="A2016" i="20"/>
  <c r="A2054" i="20"/>
  <c r="A1743" i="20"/>
  <c r="A1352" i="20"/>
  <c r="A1489" i="20"/>
  <c r="A1991" i="20"/>
  <c r="A1449" i="20"/>
  <c r="A1609" i="20"/>
  <c r="O1295" i="20"/>
  <c r="L1295" i="20" s="1"/>
  <c r="F1295" i="20"/>
  <c r="D1295" i="20"/>
  <c r="K16" i="22"/>
  <c r="G23" i="35"/>
  <c r="F23" i="35"/>
  <c r="E23" i="35"/>
  <c r="D23" i="35"/>
  <c r="C23" i="35"/>
  <c r="A1295" i="20" l="1"/>
  <c r="H23" i="35"/>
  <c r="F1112" i="20"/>
  <c r="D1112" i="20"/>
  <c r="O1862" i="20"/>
  <c r="L1862" i="20" s="1"/>
  <c r="F1862" i="20"/>
  <c r="D1862" i="20"/>
  <c r="O1114" i="20"/>
  <c r="L1114" i="20" s="1"/>
  <c r="F1114" i="20"/>
  <c r="D1114" i="20"/>
  <c r="F801" i="20"/>
  <c r="D801" i="20"/>
  <c r="F1236" i="20"/>
  <c r="D1236" i="20"/>
  <c r="F1237" i="20"/>
  <c r="D1237" i="20"/>
  <c r="F1235" i="20"/>
  <c r="D1235" i="20"/>
  <c r="F1234" i="20"/>
  <c r="D1234" i="20"/>
  <c r="F1233" i="20"/>
  <c r="D1233" i="20"/>
  <c r="F621" i="20"/>
  <c r="D621" i="20"/>
  <c r="F853" i="20"/>
  <c r="D853" i="20"/>
  <c r="F449" i="20"/>
  <c r="D449" i="20"/>
  <c r="F1839" i="20"/>
  <c r="D1839" i="20"/>
  <c r="F620" i="20"/>
  <c r="D620" i="20"/>
  <c r="F447" i="20"/>
  <c r="D447" i="20"/>
  <c r="O1921" i="20"/>
  <c r="L1921" i="20" s="1"/>
  <c r="F1921" i="20"/>
  <c r="D1921" i="20"/>
  <c r="F800" i="20"/>
  <c r="D800" i="20"/>
  <c r="F774" i="20"/>
  <c r="D774" i="20"/>
  <c r="F799" i="20"/>
  <c r="D799" i="20"/>
  <c r="O1697" i="20"/>
  <c r="L1697" i="20" s="1"/>
  <c r="F1697" i="20"/>
  <c r="D1697" i="20"/>
  <c r="F1808" i="20"/>
  <c r="F1336" i="20"/>
  <c r="D1336" i="20"/>
  <c r="F1922" i="20"/>
  <c r="D1922" i="20"/>
  <c r="F1952" i="20"/>
  <c r="D1952" i="20"/>
  <c r="F1951" i="20"/>
  <c r="D1951" i="20"/>
  <c r="F1955" i="20"/>
  <c r="D1955" i="20"/>
  <c r="F1956" i="20"/>
  <c r="D1956" i="20"/>
  <c r="F1954" i="20"/>
  <c r="D1954" i="20"/>
  <c r="F1953" i="20"/>
  <c r="D1953" i="20"/>
  <c r="F1950" i="20"/>
  <c r="D1950" i="20"/>
  <c r="O1218" i="20"/>
  <c r="L1218" i="20" s="1"/>
  <c r="F1218" i="20"/>
  <c r="D1218" i="20"/>
  <c r="F1639" i="20"/>
  <c r="D1639" i="20"/>
  <c r="O1772" i="20"/>
  <c r="L1772" i="20" s="1"/>
  <c r="F1772" i="20"/>
  <c r="D1772" i="20"/>
  <c r="O1456" i="20"/>
  <c r="L1456" i="20" s="1"/>
  <c r="F1456" i="20"/>
  <c r="D1456" i="20"/>
  <c r="F1579" i="20"/>
  <c r="D1579" i="20"/>
  <c r="O1635" i="20"/>
  <c r="L1635" i="20" s="1"/>
  <c r="F1635" i="20"/>
  <c r="D1635" i="20"/>
  <c r="O1769" i="20"/>
  <c r="L1769" i="20" s="1"/>
  <c r="F1769" i="20"/>
  <c r="D1769" i="20"/>
  <c r="A1114" i="20" l="1"/>
  <c r="A1862" i="20"/>
  <c r="A1921" i="20"/>
  <c r="A1697" i="20"/>
  <c r="A1218" i="20"/>
  <c r="A1772" i="20"/>
  <c r="A1456" i="20"/>
  <c r="A1635" i="20"/>
  <c r="A1769" i="20"/>
  <c r="O33" i="20" l="1"/>
  <c r="L33" i="20" s="1"/>
  <c r="F33" i="20"/>
  <c r="D33" i="20"/>
  <c r="O25" i="20"/>
  <c r="L25" i="20" s="1"/>
  <c r="F25" i="20"/>
  <c r="D25" i="20"/>
  <c r="A25" i="20" l="1"/>
  <c r="A33" i="20"/>
  <c r="O32" i="20" l="1"/>
  <c r="L32" i="20" s="1"/>
  <c r="F32" i="20"/>
  <c r="D32" i="20"/>
  <c r="A32" i="20" l="1"/>
  <c r="F1413" i="20"/>
  <c r="D1413" i="20"/>
  <c r="F55" i="20"/>
  <c r="D55" i="20"/>
  <c r="F1314" i="20"/>
  <c r="D1314" i="20"/>
  <c r="F1313" i="20"/>
  <c r="D1313" i="20"/>
  <c r="F110" i="20"/>
  <c r="D110" i="20"/>
  <c r="F79" i="20"/>
  <c r="D79" i="20"/>
  <c r="F900" i="20"/>
  <c r="D900" i="20"/>
  <c r="F1443" i="20" l="1"/>
  <c r="D1443" i="20"/>
  <c r="F1300" i="20"/>
  <c r="D1300" i="20"/>
  <c r="F1299" i="20"/>
  <c r="D1299" i="20"/>
  <c r="F1298" i="20"/>
  <c r="D1298" i="20"/>
  <c r="O796" i="20"/>
  <c r="L796" i="20" s="1"/>
  <c r="F796" i="20"/>
  <c r="D796" i="20"/>
  <c r="O1121" i="20"/>
  <c r="L1121" i="20" s="1"/>
  <c r="F1121" i="20"/>
  <c r="D1121" i="20"/>
  <c r="O457" i="20"/>
  <c r="L457" i="20" s="1"/>
  <c r="F457" i="20"/>
  <c r="D457" i="20"/>
  <c r="D1611" i="20"/>
  <c r="F1611" i="20"/>
  <c r="O1611" i="20"/>
  <c r="L1611" i="20" s="1"/>
  <c r="W9" i="18"/>
  <c r="W10" i="18"/>
  <c r="W11" i="18"/>
  <c r="W12" i="18"/>
  <c r="W13" i="18"/>
  <c r="W14" i="18"/>
  <c r="W16" i="18"/>
  <c r="W17" i="18"/>
  <c r="W18" i="18"/>
  <c r="W19" i="18"/>
  <c r="W20" i="18"/>
  <c r="W21" i="18"/>
  <c r="W22" i="18"/>
  <c r="W23" i="18"/>
  <c r="W24" i="18"/>
  <c r="W25" i="18"/>
  <c r="W26" i="18"/>
  <c r="W27" i="18"/>
  <c r="W28" i="18"/>
  <c r="O857" i="20"/>
  <c r="L857" i="20" s="1"/>
  <c r="F857" i="20"/>
  <c r="D857" i="20"/>
  <c r="F1199" i="20"/>
  <c r="D1199" i="20"/>
  <c r="F1198" i="20"/>
  <c r="D1198" i="20"/>
  <c r="F1197" i="20"/>
  <c r="D1197" i="20"/>
  <c r="O2129" i="20"/>
  <c r="L2129" i="20" s="1"/>
  <c r="F2129" i="20"/>
  <c r="D2129" i="20"/>
  <c r="F1940" i="20"/>
  <c r="D1940" i="20"/>
  <c r="F1939" i="20"/>
  <c r="D1939" i="20"/>
  <c r="F1938" i="20"/>
  <c r="D1938" i="20"/>
  <c r="F1011" i="20"/>
  <c r="D1011" i="20"/>
  <c r="F1455" i="20"/>
  <c r="D1455" i="20"/>
  <c r="F54" i="20"/>
  <c r="D54" i="20"/>
  <c r="F708" i="20"/>
  <c r="D708" i="20"/>
  <c r="F812" i="20"/>
  <c r="D812" i="20"/>
  <c r="F846" i="20"/>
  <c r="D846" i="20"/>
  <c r="F1412" i="20"/>
  <c r="D1412" i="20"/>
  <c r="F108" i="20"/>
  <c r="D108" i="20"/>
  <c r="F2026" i="20"/>
  <c r="D2026" i="20"/>
  <c r="F1746" i="20"/>
  <c r="D1746" i="20"/>
  <c r="F657" i="20"/>
  <c r="D657" i="20"/>
  <c r="F1723" i="20"/>
  <c r="D1723" i="20"/>
  <c r="F374" i="20"/>
  <c r="D374" i="20"/>
  <c r="F2027" i="20"/>
  <c r="D2027" i="20"/>
  <c r="F656" i="20"/>
  <c r="D656" i="20"/>
  <c r="F1411" i="20"/>
  <c r="D1411" i="20"/>
  <c r="F109" i="20"/>
  <c r="D109" i="20"/>
  <c r="F107" i="20"/>
  <c r="D107" i="20"/>
  <c r="F99" i="20"/>
  <c r="D99" i="20"/>
  <c r="F901" i="20"/>
  <c r="D901" i="20"/>
  <c r="F373" i="20"/>
  <c r="D373" i="20"/>
  <c r="F899" i="20"/>
  <c r="D899" i="20"/>
  <c r="F2024" i="20"/>
  <c r="D2024" i="20"/>
  <c r="F1526" i="20"/>
  <c r="D1526" i="20"/>
  <c r="F655" i="20"/>
  <c r="D655" i="20"/>
  <c r="F1630" i="20"/>
  <c r="D1630" i="20"/>
  <c r="F1010" i="20"/>
  <c r="D1010" i="20"/>
  <c r="F267" i="20"/>
  <c r="D267" i="20"/>
  <c r="F599" i="20"/>
  <c r="D599" i="20"/>
  <c r="F598" i="20"/>
  <c r="D598" i="20"/>
  <c r="F1306" i="20"/>
  <c r="D1306" i="20"/>
  <c r="F637" i="20"/>
  <c r="D637" i="20"/>
  <c r="F703" i="20"/>
  <c r="D703" i="20"/>
  <c r="F2002" i="20"/>
  <c r="D2002" i="20"/>
  <c r="F223" i="20"/>
  <c r="D223" i="20"/>
  <c r="F2025" i="20"/>
  <c r="D2025" i="20"/>
  <c r="F157" i="20"/>
  <c r="D157" i="20"/>
  <c r="F828" i="20"/>
  <c r="D828" i="20"/>
  <c r="O265" i="20"/>
  <c r="L265" i="20" s="1"/>
  <c r="F265" i="20"/>
  <c r="D265" i="20"/>
  <c r="O418" i="20"/>
  <c r="L418" i="20" s="1"/>
  <c r="F418" i="20"/>
  <c r="D418" i="20"/>
  <c r="O625" i="20"/>
  <c r="L625" i="20" s="1"/>
  <c r="F625" i="20"/>
  <c r="D625" i="20"/>
  <c r="F73" i="20"/>
  <c r="D73" i="20"/>
  <c r="F1963" i="20"/>
  <c r="D1963" i="20"/>
  <c r="A796" i="20" l="1"/>
  <c r="A457" i="20"/>
  <c r="A1121" i="20"/>
  <c r="A1611" i="20"/>
  <c r="A812" i="20"/>
  <c r="A857" i="20"/>
  <c r="A2129" i="20"/>
  <c r="A54" i="20"/>
  <c r="A1313" i="20"/>
  <c r="A846" i="20"/>
  <c r="A900" i="20"/>
  <c r="A267" i="20"/>
  <c r="A2026" i="20"/>
  <c r="A1314" i="20"/>
  <c r="A1455" i="20"/>
  <c r="A598" i="20"/>
  <c r="A2002" i="20"/>
  <c r="A2024" i="20"/>
  <c r="A901" i="20"/>
  <c r="A1411" i="20"/>
  <c r="A110" i="20"/>
  <c r="A2027" i="20"/>
  <c r="A223" i="20"/>
  <c r="A1306" i="20"/>
  <c r="A1010" i="20"/>
  <c r="A1526" i="20"/>
  <c r="A373" i="20"/>
  <c r="A109" i="20"/>
  <c r="A374" i="20"/>
  <c r="A1746" i="20"/>
  <c r="A1412" i="20"/>
  <c r="A1413" i="20"/>
  <c r="A55" i="20"/>
  <c r="A703" i="20"/>
  <c r="A599" i="20"/>
  <c r="A1630" i="20"/>
  <c r="A899" i="20"/>
  <c r="A99" i="20"/>
  <c r="A656" i="20"/>
  <c r="A1723" i="20"/>
  <c r="A108" i="20"/>
  <c r="A79" i="20"/>
  <c r="A708" i="20"/>
  <c r="A1011" i="20"/>
  <c r="A637" i="20"/>
  <c r="A655" i="20"/>
  <c r="A107" i="20"/>
  <c r="A657" i="20"/>
  <c r="A2025" i="20"/>
  <c r="A265" i="20"/>
  <c r="A828" i="20"/>
  <c r="A157" i="20"/>
  <c r="A418" i="20"/>
  <c r="A625" i="20"/>
  <c r="A1963" i="20"/>
  <c r="A73" i="20"/>
  <c r="O22" i="20"/>
  <c r="L22" i="20" s="1"/>
  <c r="F22" i="20"/>
  <c r="D22" i="20"/>
  <c r="O6" i="20"/>
  <c r="L6" i="20" s="1"/>
  <c r="F6" i="20"/>
  <c r="D6" i="20"/>
  <c r="D17" i="20"/>
  <c r="F17" i="20"/>
  <c r="O17" i="20"/>
  <c r="L17" i="20" s="1"/>
  <c r="O19" i="20"/>
  <c r="L19" i="20" s="1"/>
  <c r="F19" i="20"/>
  <c r="D19" i="20"/>
  <c r="D806" i="20"/>
  <c r="L806" i="20"/>
  <c r="F806" i="20"/>
  <c r="X11" i="18"/>
  <c r="V11" i="18"/>
  <c r="U11" i="18"/>
  <c r="T11" i="18"/>
  <c r="S11" i="18"/>
  <c r="R11" i="18"/>
  <c r="O384" i="20"/>
  <c r="L384" i="20" s="1"/>
  <c r="F384" i="20"/>
  <c r="D384" i="20"/>
  <c r="F2193" i="20"/>
  <c r="F2192" i="20"/>
  <c r="F2191" i="20"/>
  <c r="F2185" i="20"/>
  <c r="F2175" i="20"/>
  <c r="F2174" i="20"/>
  <c r="F2173" i="20"/>
  <c r="F2167" i="20"/>
  <c r="F2162" i="20"/>
  <c r="F2157" i="20"/>
  <c r="F1840" i="20"/>
  <c r="F990" i="20"/>
  <c r="F622" i="20"/>
  <c r="F1949" i="20"/>
  <c r="F2039" i="20"/>
  <c r="F776" i="20"/>
  <c r="F429" i="20"/>
  <c r="F362" i="20"/>
  <c r="F219" i="20"/>
  <c r="F2062" i="20"/>
  <c r="F2061" i="20"/>
  <c r="F1094" i="20"/>
  <c r="F1811" i="20"/>
  <c r="F1416" i="20"/>
  <c r="F1232" i="20"/>
  <c r="F775" i="20"/>
  <c r="F773" i="20"/>
  <c r="F798" i="20"/>
  <c r="F446" i="20"/>
  <c r="F445" i="20"/>
  <c r="F444" i="20"/>
  <c r="F885" i="20"/>
  <c r="F756" i="20"/>
  <c r="F755" i="20"/>
  <c r="F443" i="20"/>
  <c r="F441" i="20"/>
  <c r="F697" i="20"/>
  <c r="F1645" i="20"/>
  <c r="F1644" i="20"/>
  <c r="F754" i="20"/>
  <c r="F753" i="20"/>
  <c r="F540" i="20"/>
  <c r="F1810" i="20"/>
  <c r="F752" i="20"/>
  <c r="F1700" i="20"/>
  <c r="F840" i="20"/>
  <c r="F556" i="20"/>
  <c r="F16" i="20"/>
  <c r="F924" i="20"/>
  <c r="F923" i="20"/>
  <c r="F1999" i="20"/>
  <c r="F1593" i="20"/>
  <c r="F1592" i="20"/>
  <c r="F70" i="20"/>
  <c r="F1329" i="20"/>
  <c r="F1463" i="20"/>
  <c r="F555" i="20"/>
  <c r="F554" i="20"/>
  <c r="F1913" i="20"/>
  <c r="F1822" i="20"/>
  <c r="F553" i="20"/>
  <c r="F600" i="20"/>
  <c r="F464" i="20"/>
  <c r="F463" i="20"/>
  <c r="F462" i="20"/>
  <c r="F461" i="20"/>
  <c r="F758" i="20"/>
  <c r="F460" i="20"/>
  <c r="F648" i="20"/>
  <c r="F647" i="20"/>
  <c r="F646" i="20"/>
  <c r="F1494" i="20"/>
  <c r="F597" i="20"/>
  <c r="F645" i="20"/>
  <c r="F1196" i="20"/>
  <c r="F644" i="20"/>
  <c r="F459" i="20"/>
  <c r="F458" i="20"/>
  <c r="F1625" i="20"/>
  <c r="F643" i="20"/>
  <c r="F1624" i="20"/>
  <c r="F642" i="20"/>
  <c r="F641" i="20"/>
  <c r="F640" i="20"/>
  <c r="F639" i="20"/>
  <c r="F1405" i="20"/>
  <c r="F1404" i="20"/>
  <c r="F1403" i="20"/>
  <c r="F359" i="20"/>
  <c r="F1402" i="20"/>
  <c r="F1401" i="20"/>
  <c r="F1400" i="20"/>
  <c r="F1399" i="20"/>
  <c r="F1398" i="20"/>
  <c r="F1397" i="20"/>
  <c r="F1305" i="20"/>
  <c r="F347" i="20"/>
  <c r="F1304" i="20"/>
  <c r="F1303" i="20"/>
  <c r="F1302" i="20"/>
  <c r="F995" i="20"/>
  <c r="F994" i="20"/>
  <c r="F638" i="20"/>
  <c r="F1095" i="20"/>
  <c r="F1238" i="20"/>
  <c r="F1122" i="20"/>
  <c r="F1858" i="20"/>
  <c r="F1998" i="20"/>
  <c r="F1857" i="20"/>
  <c r="F892" i="20"/>
  <c r="F1623" i="20"/>
  <c r="F1622" i="20"/>
  <c r="F1621" i="20"/>
  <c r="F1620" i="20"/>
  <c r="F1619" i="20"/>
  <c r="F1618" i="20"/>
  <c r="F1617" i="20"/>
  <c r="F1616" i="20"/>
  <c r="F1615" i="20"/>
  <c r="F1614" i="20"/>
  <c r="F1613" i="20"/>
  <c r="F867" i="20"/>
  <c r="F922" i="20"/>
  <c r="F921" i="20"/>
  <c r="F891" i="20"/>
  <c r="F1612" i="20"/>
  <c r="F1120" i="20"/>
  <c r="F1119" i="20"/>
  <c r="F890" i="20"/>
  <c r="F1118" i="20"/>
  <c r="F1610" i="20"/>
  <c r="F1117" i="20"/>
  <c r="F636" i="20"/>
  <c r="F44" i="20"/>
  <c r="F1893" i="20"/>
  <c r="F387" i="20"/>
  <c r="F400" i="20"/>
  <c r="F393" i="20"/>
  <c r="F778" i="20"/>
  <c r="F777" i="20"/>
  <c r="F1829" i="20"/>
  <c r="F452" i="20"/>
  <c r="F2014" i="20"/>
  <c r="F2082" i="20"/>
  <c r="F2069" i="20"/>
  <c r="F2013" i="20"/>
  <c r="F1990" i="20"/>
  <c r="F1964" i="20"/>
  <c r="F1905" i="20"/>
  <c r="F1892" i="20"/>
  <c r="F1828" i="20"/>
  <c r="F1802" i="20"/>
  <c r="F626" i="20"/>
  <c r="F593" i="20"/>
  <c r="F28" i="20"/>
  <c r="F704" i="20"/>
  <c r="F227" i="20"/>
  <c r="F952" i="20"/>
  <c r="F75" i="20"/>
  <c r="F74" i="20"/>
  <c r="F451" i="20"/>
  <c r="F1568" i="20"/>
  <c r="F624" i="20"/>
  <c r="F2096" i="20"/>
  <c r="F2101" i="20"/>
  <c r="F2068" i="20"/>
  <c r="F1002" i="20"/>
  <c r="F843" i="20"/>
  <c r="F2197" i="20"/>
  <c r="F2196" i="20"/>
  <c r="F2156" i="20"/>
  <c r="F2155" i="20"/>
  <c r="F2188" i="20"/>
  <c r="F2128" i="20"/>
  <c r="F1454" i="20"/>
  <c r="F2127" i="20"/>
  <c r="F2117" i="20"/>
  <c r="F2187" i="20"/>
  <c r="F2186" i="20"/>
  <c r="F2177" i="20"/>
  <c r="F2176" i="20"/>
  <c r="F2112" i="20"/>
  <c r="F2164" i="20"/>
  <c r="F2107" i="20"/>
  <c r="F2171" i="20"/>
  <c r="F2170" i="20"/>
  <c r="F2169" i="20"/>
  <c r="F2168" i="20"/>
  <c r="F2165" i="20"/>
  <c r="F2166" i="20"/>
  <c r="F2163" i="20"/>
  <c r="F2106" i="20"/>
  <c r="F2159" i="20"/>
  <c r="F2105" i="20"/>
  <c r="F2160" i="20"/>
  <c r="F2158" i="20"/>
  <c r="F2099" i="20"/>
  <c r="F2095" i="20"/>
  <c r="F2154" i="20"/>
  <c r="F2022" i="20"/>
  <c r="F1450" i="20"/>
  <c r="F371" i="20"/>
  <c r="F2136" i="20"/>
  <c r="F2137" i="20"/>
  <c r="F2094" i="20"/>
  <c r="F2093" i="20"/>
  <c r="F2091" i="20"/>
  <c r="F360" i="20"/>
  <c r="F2125" i="20"/>
  <c r="F2124" i="20"/>
  <c r="F2086" i="20"/>
  <c r="F2115" i="20"/>
  <c r="F2081" i="20"/>
  <c r="F2110" i="20"/>
  <c r="F2135" i="20"/>
  <c r="F2134" i="20"/>
  <c r="F2133" i="20"/>
  <c r="F2132" i="20"/>
  <c r="F2194" i="20"/>
  <c r="F2131" i="20"/>
  <c r="F2130" i="20"/>
  <c r="F2066" i="20"/>
  <c r="F2050" i="20"/>
  <c r="F2047" i="20"/>
  <c r="F2104" i="20"/>
  <c r="F2103" i="20"/>
  <c r="F2046" i="20"/>
  <c r="F2098" i="20"/>
  <c r="F2043" i="20"/>
  <c r="F2042" i="20"/>
  <c r="F2033" i="20"/>
  <c r="F2005" i="20"/>
  <c r="F2090" i="20"/>
  <c r="F1423" i="20"/>
  <c r="F1904" i="20"/>
  <c r="F1891" i="20"/>
  <c r="F1763" i="20"/>
  <c r="F2089" i="20"/>
  <c r="F2004" i="20"/>
  <c r="F254" i="20"/>
  <c r="F2123" i="20"/>
  <c r="F2003" i="20"/>
  <c r="F2079" i="20"/>
  <c r="F2114" i="20"/>
  <c r="F2102" i="20"/>
  <c r="F2113" i="20"/>
  <c r="F1994" i="20"/>
  <c r="F2080" i="20"/>
  <c r="F2109" i="20"/>
  <c r="F2097" i="20"/>
  <c r="F2108" i="20"/>
  <c r="F2060" i="20"/>
  <c r="F1987" i="20"/>
  <c r="F2049" i="20"/>
  <c r="F1741" i="20"/>
  <c r="F2052" i="20"/>
  <c r="F2048" i="20"/>
  <c r="F1984" i="20"/>
  <c r="F1975" i="20"/>
  <c r="F2012" i="20"/>
  <c r="F1962" i="20"/>
  <c r="F1961" i="20"/>
  <c r="F1960" i="20"/>
  <c r="F2041" i="20"/>
  <c r="F1959" i="20"/>
  <c r="F2032" i="20"/>
  <c r="F1935" i="20"/>
  <c r="F2023" i="20"/>
  <c r="F2088" i="20"/>
  <c r="F2087" i="20"/>
  <c r="F2021" i="20"/>
  <c r="F2100" i="20"/>
  <c r="F2019" i="20"/>
  <c r="F2085" i="20"/>
  <c r="F2083" i="20"/>
  <c r="F1900" i="20"/>
  <c r="F1888" i="20"/>
  <c r="F1177" i="20"/>
  <c r="F2073" i="20"/>
  <c r="F2072" i="20"/>
  <c r="F2071" i="20"/>
  <c r="F2070" i="20"/>
  <c r="F2000" i="20"/>
  <c r="F1877" i="20"/>
  <c r="F1992" i="20"/>
  <c r="F2059" i="20"/>
  <c r="F2058" i="20"/>
  <c r="F2057" i="20"/>
  <c r="F2056" i="20"/>
  <c r="F2055" i="20"/>
  <c r="F2034" i="20"/>
  <c r="F2053" i="20"/>
  <c r="F1851" i="20"/>
  <c r="F1986" i="20"/>
  <c r="F1826" i="20"/>
  <c r="F1982" i="20"/>
  <c r="F1981" i="20"/>
  <c r="F257" i="20"/>
  <c r="F1817" i="20"/>
  <c r="F1970" i="20"/>
  <c r="F1971" i="20"/>
  <c r="F1973" i="20"/>
  <c r="F1972" i="20"/>
  <c r="F1969" i="20"/>
  <c r="F1796" i="20"/>
  <c r="F1795" i="20"/>
  <c r="F1794" i="20"/>
  <c r="F2044" i="20"/>
  <c r="F1945" i="20"/>
  <c r="F1946" i="20"/>
  <c r="F1788" i="20"/>
  <c r="F1915" i="20"/>
  <c r="F2051" i="20"/>
  <c r="F2037" i="20"/>
  <c r="F2036" i="20"/>
  <c r="F2084" i="20"/>
  <c r="F2035" i="20"/>
  <c r="F1916" i="20"/>
  <c r="F1914" i="20"/>
  <c r="F1442" i="20"/>
  <c r="F370" i="20"/>
  <c r="F2011" i="20"/>
  <c r="F2018" i="20"/>
  <c r="F2017" i="20"/>
  <c r="F1781" i="20"/>
  <c r="F1895" i="20"/>
  <c r="F1896" i="20"/>
  <c r="F1760" i="20"/>
  <c r="F1880" i="20"/>
  <c r="F1736" i="20"/>
  <c r="F1861" i="20"/>
  <c r="F1859" i="20"/>
  <c r="F1860" i="20"/>
  <c r="F1728" i="20"/>
  <c r="F1835" i="20"/>
  <c r="F1727" i="20"/>
  <c r="F1823" i="20"/>
  <c r="F1726" i="20"/>
  <c r="F1003" i="20"/>
  <c r="F1943" i="20"/>
  <c r="F2020" i="20"/>
  <c r="F1996" i="20"/>
  <c r="F1676" i="20"/>
  <c r="F2122" i="20"/>
  <c r="F1942" i="20"/>
  <c r="F1941" i="20"/>
  <c r="F1596" i="20"/>
  <c r="F1438" i="20"/>
  <c r="F1567" i="20"/>
  <c r="F2121" i="20"/>
  <c r="F1221" i="20"/>
  <c r="F1791" i="20"/>
  <c r="F1721" i="20"/>
  <c r="F1784" i="20"/>
  <c r="F2120" i="20"/>
  <c r="F1220" i="20"/>
  <c r="F1768" i="20"/>
  <c r="F1767" i="20"/>
  <c r="F1980" i="20"/>
  <c r="F1104" i="20"/>
  <c r="F2119" i="20"/>
  <c r="F1744" i="20"/>
  <c r="F2038" i="20"/>
  <c r="F1745" i="20"/>
  <c r="F747" i="20"/>
  <c r="F1730" i="20"/>
  <c r="F1968" i="20"/>
  <c r="F1193" i="20"/>
  <c r="F1966" i="20"/>
  <c r="F1508" i="20"/>
  <c r="F1507" i="20"/>
  <c r="F1506" i="20"/>
  <c r="F1219" i="20"/>
  <c r="F2010" i="20"/>
  <c r="F15" i="20"/>
  <c r="F1691" i="20"/>
  <c r="F1690" i="20"/>
  <c r="F1694" i="20"/>
  <c r="F1693" i="20"/>
  <c r="F1944" i="20"/>
  <c r="F2015" i="20"/>
  <c r="F1487" i="20"/>
  <c r="F2009" i="20"/>
  <c r="F1979" i="20"/>
  <c r="F1740" i="20"/>
  <c r="F1656" i="20"/>
  <c r="F1628" i="20"/>
  <c r="F1627" i="20"/>
  <c r="F1912" i="20"/>
  <c r="F1911" i="20"/>
  <c r="F1910" i="20"/>
  <c r="F1909" i="20"/>
  <c r="F1820" i="20"/>
  <c r="F1908" i="20"/>
  <c r="F1907" i="20"/>
  <c r="F1906" i="20"/>
  <c r="F1050" i="20"/>
  <c r="F1626" i="20"/>
  <c r="F1629" i="20"/>
  <c r="F1461" i="20"/>
  <c r="F1894" i="20"/>
  <c r="F1578" i="20"/>
  <c r="F1890" i="20"/>
  <c r="F1576" i="20"/>
  <c r="F1879" i="20"/>
  <c r="F1572" i="20"/>
  <c r="F1321" i="20"/>
  <c r="F450" i="20"/>
  <c r="F1575" i="20"/>
  <c r="F1574" i="20"/>
  <c r="F1573" i="20"/>
  <c r="F1856" i="20"/>
  <c r="F1855" i="20"/>
  <c r="F1577" i="20"/>
  <c r="F1460" i="20"/>
  <c r="F1522" i="20"/>
  <c r="F623" i="20"/>
  <c r="F1521" i="20"/>
  <c r="F1834" i="20"/>
  <c r="F1833" i="20"/>
  <c r="F1832" i="20"/>
  <c r="F1831" i="20"/>
  <c r="F1830" i="20"/>
  <c r="F1525" i="20"/>
  <c r="F1524" i="20"/>
  <c r="F1821" i="20"/>
  <c r="F1819" i="20"/>
  <c r="F1523" i="20"/>
  <c r="F1563" i="20"/>
  <c r="F1805" i="20"/>
  <c r="F1804" i="20"/>
  <c r="F1967" i="20"/>
  <c r="F1393" i="20"/>
  <c r="F1803" i="20"/>
  <c r="F1562" i="20"/>
  <c r="F1459" i="20"/>
  <c r="F1441" i="20"/>
  <c r="F1437" i="20"/>
  <c r="F1497" i="20"/>
  <c r="F1495" i="20"/>
  <c r="F1496" i="20"/>
  <c r="F1388" i="20"/>
  <c r="F1466" i="20"/>
  <c r="F1465" i="20"/>
  <c r="F1464" i="20"/>
  <c r="F1468" i="20"/>
  <c r="F1467" i="20"/>
  <c r="F1379" i="20"/>
  <c r="F1351" i="20"/>
  <c r="F1320" i="20"/>
  <c r="F1452" i="20"/>
  <c r="F1790" i="20"/>
  <c r="F1561" i="20"/>
  <c r="F1451" i="20"/>
  <c r="F1560" i="20"/>
  <c r="F1559" i="20"/>
  <c r="F1453" i="20"/>
  <c r="F1783" i="20"/>
  <c r="F1285" i="20"/>
  <c r="F1558" i="20"/>
  <c r="F1517" i="20"/>
  <c r="F1439" i="20"/>
  <c r="F1226" i="20"/>
  <c r="F1766" i="20"/>
  <c r="F1765" i="20"/>
  <c r="F1764" i="20"/>
  <c r="F1408" i="20"/>
  <c r="F1516" i="20"/>
  <c r="F1515" i="20"/>
  <c r="F1514" i="20"/>
  <c r="F1513" i="20"/>
  <c r="F1407" i="20"/>
  <c r="F1409" i="20"/>
  <c r="F1410" i="20"/>
  <c r="F1444" i="20"/>
  <c r="F1215" i="20"/>
  <c r="F1512" i="20"/>
  <c r="F1511" i="20"/>
  <c r="F702" i="20"/>
  <c r="F1383" i="20"/>
  <c r="F1689" i="20"/>
  <c r="F1382" i="20"/>
  <c r="F1385" i="20"/>
  <c r="F1384" i="20"/>
  <c r="F1189" i="20"/>
  <c r="F1359" i="20"/>
  <c r="F1358" i="20"/>
  <c r="F1361" i="20"/>
  <c r="F1357" i="20"/>
  <c r="F1360" i="20"/>
  <c r="F1176" i="20"/>
  <c r="F1331" i="20"/>
  <c r="F1333" i="20"/>
  <c r="F1332" i="20"/>
  <c r="F1330" i="20"/>
  <c r="F1108" i="20"/>
  <c r="F1310" i="20"/>
  <c r="F1312" i="20"/>
  <c r="F1309" i="20"/>
  <c r="F1308" i="20"/>
  <c r="F1307" i="20"/>
  <c r="F1311" i="20"/>
  <c r="F1643" i="20"/>
  <c r="F619" i="20"/>
  <c r="F862" i="20"/>
  <c r="F618" i="20"/>
  <c r="F696" i="20"/>
  <c r="F884" i="20"/>
  <c r="F695" i="20"/>
  <c r="F440" i="20"/>
  <c r="F1688" i="20"/>
  <c r="F1107" i="20"/>
  <c r="F1283" i="20"/>
  <c r="F1282" i="20"/>
  <c r="F1801" i="20"/>
  <c r="F1686" i="20"/>
  <c r="F1687" i="20"/>
  <c r="F701" i="20"/>
  <c r="F1685" i="20"/>
  <c r="F700" i="20"/>
  <c r="F1684" i="20"/>
  <c r="F699" i="20"/>
  <c r="F698" i="20"/>
  <c r="F1242" i="20"/>
  <c r="F1241" i="20"/>
  <c r="F1240" i="20"/>
  <c r="F1239" i="20"/>
  <c r="F928" i="20"/>
  <c r="F865" i="20"/>
  <c r="F1608" i="20"/>
  <c r="F1607" i="20"/>
  <c r="F1606" i="20"/>
  <c r="F1605" i="20"/>
  <c r="F1603" i="20"/>
  <c r="F1683" i="20"/>
  <c r="F1682" i="20"/>
  <c r="F1297" i="20"/>
  <c r="F38" i="20"/>
  <c r="F72" i="20"/>
  <c r="F1604" i="20"/>
  <c r="F37" i="20"/>
  <c r="F36" i="20"/>
  <c r="F1296" i="20"/>
  <c r="F399" i="20"/>
  <c r="F1243" i="20"/>
  <c r="F1244" i="20"/>
  <c r="F1106" i="20"/>
  <c r="F1224" i="20"/>
  <c r="F1223" i="20"/>
  <c r="F1093" i="20"/>
  <c r="F1203" i="20"/>
  <c r="F1570" i="20"/>
  <c r="F991" i="20"/>
  <c r="F1569" i="20"/>
  <c r="F823" i="20"/>
  <c r="F1192" i="20"/>
  <c r="F772" i="20"/>
  <c r="F836" i="20"/>
  <c r="F154" i="20"/>
  <c r="F225" i="20"/>
  <c r="F356" i="20"/>
  <c r="F153" i="20"/>
  <c r="F1201" i="20"/>
  <c r="F1204" i="20"/>
  <c r="F1202" i="20"/>
  <c r="F1200" i="20"/>
  <c r="F1205" i="20"/>
  <c r="F1043" i="20"/>
  <c r="F1179" i="20"/>
  <c r="F980" i="20"/>
  <c r="F1123" i="20"/>
  <c r="F1124" i="20"/>
  <c r="F1128" i="20"/>
  <c r="F1125" i="20"/>
  <c r="F1520" i="20"/>
  <c r="F1519" i="20"/>
  <c r="F1518" i="20"/>
  <c r="F152" i="20"/>
  <c r="F224" i="20"/>
  <c r="F2008" i="20"/>
  <c r="F1989" i="20"/>
  <c r="F1978" i="20"/>
  <c r="F989" i="20"/>
  <c r="F988" i="20"/>
  <c r="F987" i="20"/>
  <c r="F986" i="20"/>
  <c r="F1903" i="20"/>
  <c r="F1127" i="20"/>
  <c r="F1129" i="20"/>
  <c r="F955" i="20"/>
  <c r="F1493" i="20"/>
  <c r="F1492" i="20"/>
  <c r="F1491" i="20"/>
  <c r="F1490" i="20"/>
  <c r="F1488" i="20"/>
  <c r="F1580" i="20"/>
  <c r="F1782" i="20"/>
  <c r="F915" i="20"/>
  <c r="F879" i="20"/>
  <c r="F1096" i="20"/>
  <c r="F1098" i="20"/>
  <c r="F1097" i="20"/>
  <c r="F1462" i="20"/>
  <c r="F1920" i="20"/>
  <c r="F856" i="20"/>
  <c r="F1056" i="20"/>
  <c r="F1055" i="20"/>
  <c r="F1328" i="20"/>
  <c r="F1448" i="20"/>
  <c r="F1739" i="20"/>
  <c r="F985" i="20"/>
  <c r="F1054" i="20"/>
  <c r="F1044" i="20"/>
  <c r="F882" i="20"/>
  <c r="F2007" i="20"/>
  <c r="F1995" i="20"/>
  <c r="F1988" i="20"/>
  <c r="F1977" i="20"/>
  <c r="F1902" i="20"/>
  <c r="F1889" i="20"/>
  <c r="F1800" i="20"/>
  <c r="F1222" i="20"/>
  <c r="F855" i="20"/>
  <c r="F1039" i="20"/>
  <c r="F1007" i="20"/>
  <c r="F1395" i="20"/>
  <c r="F1394" i="20"/>
  <c r="F1789" i="20"/>
  <c r="F1396" i="20"/>
  <c r="F1391" i="20"/>
  <c r="F861" i="20"/>
  <c r="F1001" i="20"/>
  <c r="F999" i="20"/>
  <c r="F1008" i="20"/>
  <c r="F1005" i="20"/>
  <c r="F1381" i="20"/>
  <c r="F1380" i="20"/>
  <c r="F51" i="20"/>
  <c r="F1004" i="20"/>
  <c r="F1000" i="20"/>
  <c r="F650" i="20"/>
  <c r="F1006" i="20"/>
  <c r="F1356" i="20"/>
  <c r="F1355" i="20"/>
  <c r="F957" i="20"/>
  <c r="F1445" i="20"/>
  <c r="F1762" i="20"/>
  <c r="F805" i="20"/>
  <c r="F1738" i="20"/>
  <c r="F997" i="20"/>
  <c r="F996" i="20"/>
  <c r="F1009" i="20"/>
  <c r="F854" i="20"/>
  <c r="F1327" i="20"/>
  <c r="F1326" i="20"/>
  <c r="F1325" i="20"/>
  <c r="F1446" i="20"/>
  <c r="F1323" i="20"/>
  <c r="F984" i="20"/>
  <c r="F982" i="20"/>
  <c r="F355" i="20"/>
  <c r="F1350" i="20"/>
  <c r="F964" i="20"/>
  <c r="F963" i="20"/>
  <c r="F962" i="20"/>
  <c r="F961" i="20"/>
  <c r="F834" i="20"/>
  <c r="F1301" i="20"/>
  <c r="F953" i="20"/>
  <c r="F932" i="20"/>
  <c r="F926" i="20"/>
  <c r="F927" i="20"/>
  <c r="F930" i="20"/>
  <c r="F827" i="20"/>
  <c r="F896" i="20"/>
  <c r="F1692" i="20"/>
  <c r="F1937" i="20"/>
  <c r="F1406" i="20"/>
  <c r="F929" i="20"/>
  <c r="F1681" i="20"/>
  <c r="F1799" i="20"/>
  <c r="F1729" i="20"/>
  <c r="F998" i="20"/>
  <c r="F893" i="20"/>
  <c r="F820" i="20"/>
  <c r="F877" i="20"/>
  <c r="F878" i="20"/>
  <c r="F1390" i="20"/>
  <c r="F1190" i="20"/>
  <c r="F868" i="20"/>
  <c r="F1178" i="20"/>
  <c r="F1798" i="20"/>
  <c r="F871" i="20"/>
  <c r="F795" i="20"/>
  <c r="F771" i="20"/>
  <c r="F770" i="20"/>
  <c r="F850" i="20"/>
  <c r="F1116" i="20"/>
  <c r="F1115" i="20"/>
  <c r="F1976" i="20"/>
  <c r="F1510" i="20"/>
  <c r="F2067" i="20"/>
  <c r="F2006" i="20"/>
  <c r="F1699" i="20"/>
  <c r="F1919" i="20"/>
  <c r="F1049" i="20"/>
  <c r="F592" i="20"/>
  <c r="F1698" i="20"/>
  <c r="F1642" i="20"/>
  <c r="F1641" i="20"/>
  <c r="F1392" i="20"/>
  <c r="F1773" i="20"/>
  <c r="F1761" i="20"/>
  <c r="F844" i="20"/>
  <c r="F842" i="20"/>
  <c r="F841" i="20"/>
  <c r="F658" i="20"/>
  <c r="F1737" i="20"/>
  <c r="F845" i="20"/>
  <c r="F769" i="20"/>
  <c r="F1053" i="20"/>
  <c r="F1052" i="20"/>
  <c r="F1051" i="20"/>
  <c r="F1696" i="20"/>
  <c r="F1564" i="20"/>
  <c r="F1287" i="20"/>
  <c r="F1557" i="20"/>
  <c r="F832" i="20"/>
  <c r="F830" i="20"/>
  <c r="F831" i="20"/>
  <c r="F687" i="20"/>
  <c r="F612" i="20"/>
  <c r="F818" i="20"/>
  <c r="F793" i="20"/>
  <c r="F808" i="20"/>
  <c r="F811" i="20"/>
  <c r="F810" i="20"/>
  <c r="F809" i="20"/>
  <c r="F993" i="20"/>
  <c r="F992" i="20"/>
  <c r="F1509" i="20"/>
  <c r="F1827" i="20"/>
  <c r="F1809" i="20"/>
  <c r="F807" i="20"/>
  <c r="F589" i="20"/>
  <c r="F782" i="20"/>
  <c r="F784" i="20"/>
  <c r="F783" i="20"/>
  <c r="F960" i="20"/>
  <c r="F959" i="20"/>
  <c r="F958" i="20"/>
  <c r="F1797" i="20"/>
  <c r="F541" i="20"/>
  <c r="F785" i="20"/>
  <c r="F918" i="20"/>
  <c r="F536" i="20"/>
  <c r="F435" i="20"/>
  <c r="F434" i="20"/>
  <c r="F740" i="20"/>
  <c r="F741" i="20"/>
  <c r="F738" i="20"/>
  <c r="F920" i="20"/>
  <c r="F1195" i="20"/>
  <c r="F919" i="20"/>
  <c r="F917" i="20"/>
  <c r="F1591" i="20"/>
  <c r="F1594" i="20"/>
  <c r="F707" i="20"/>
  <c r="F706" i="20"/>
  <c r="F705" i="20"/>
  <c r="F433" i="20"/>
  <c r="F680" i="20"/>
  <c r="F676" i="20"/>
  <c r="F1213" i="20"/>
  <c r="F467" i="20"/>
  <c r="F889" i="20"/>
  <c r="F888" i="20"/>
  <c r="F887" i="20"/>
  <c r="F420" i="20"/>
  <c r="F886" i="20"/>
  <c r="F653" i="20"/>
  <c r="F651" i="20"/>
  <c r="F1191" i="20"/>
  <c r="F1602" i="20"/>
  <c r="F822" i="20"/>
  <c r="F654" i="20"/>
  <c r="F652" i="20"/>
  <c r="F759" i="20"/>
  <c r="F864" i="20"/>
  <c r="F863" i="20"/>
  <c r="F538" i="20"/>
  <c r="F649" i="20"/>
  <c r="F428" i="20"/>
  <c r="F603" i="20"/>
  <c r="F894" i="20"/>
  <c r="F601" i="20"/>
  <c r="F605" i="20"/>
  <c r="F419" i="20"/>
  <c r="F804" i="20"/>
  <c r="F839" i="20"/>
  <c r="F838" i="20"/>
  <c r="F837" i="20"/>
  <c r="F1901" i="20"/>
  <c r="F781" i="20"/>
  <c r="F1362" i="20"/>
  <c r="F583" i="20"/>
  <c r="F581" i="20"/>
  <c r="F679" i="20"/>
  <c r="F627" i="20"/>
  <c r="F829" i="20"/>
  <c r="F1640" i="20"/>
  <c r="F1818" i="20"/>
  <c r="F1571" i="20"/>
  <c r="F582" i="20"/>
  <c r="F404" i="20"/>
  <c r="F403" i="20"/>
  <c r="F537" i="20"/>
  <c r="F222" i="20"/>
  <c r="F616" i="20"/>
  <c r="F694" i="20"/>
  <c r="F448" i="20"/>
  <c r="F587" i="20"/>
  <c r="F585" i="20"/>
  <c r="F584" i="20"/>
  <c r="F586" i="20"/>
  <c r="F557" i="20"/>
  <c r="F398" i="20"/>
  <c r="F678" i="20"/>
  <c r="F530" i="20"/>
  <c r="F542" i="20"/>
  <c r="F780" i="20"/>
  <c r="F779" i="20"/>
  <c r="F803" i="20"/>
  <c r="F802" i="20"/>
  <c r="F591" i="20"/>
  <c r="F615" i="20"/>
  <c r="F529" i="20"/>
  <c r="F465" i="20"/>
  <c r="F466" i="20"/>
  <c r="F392" i="20"/>
  <c r="F386" i="20"/>
  <c r="F797" i="20"/>
  <c r="F1231" i="20"/>
  <c r="F1337" i="20"/>
  <c r="F1695" i="20"/>
  <c r="F385" i="20"/>
  <c r="F377" i="20"/>
  <c r="F376" i="20"/>
  <c r="F375" i="20"/>
  <c r="F372" i="20"/>
  <c r="F368" i="20"/>
  <c r="F1680" i="20"/>
  <c r="F590" i="20"/>
  <c r="F442" i="20"/>
  <c r="F264" i="20"/>
  <c r="F438" i="20"/>
  <c r="F835" i="20"/>
  <c r="F1601" i="20"/>
  <c r="F1600" i="20"/>
  <c r="F1599" i="20"/>
  <c r="F221" i="20"/>
  <c r="F367" i="20"/>
  <c r="F366" i="20"/>
  <c r="F1126" i="20"/>
  <c r="F1936" i="20"/>
  <c r="F361" i="20"/>
  <c r="F352" i="20"/>
  <c r="F353" i="20"/>
  <c r="F348" i="20"/>
  <c r="F344" i="20"/>
  <c r="F340" i="20"/>
  <c r="F336" i="20"/>
  <c r="F633" i="20"/>
  <c r="F632" i="20"/>
  <c r="F1229" i="20"/>
  <c r="F1286" i="20"/>
  <c r="F1228" i="20"/>
  <c r="F1389" i="20"/>
  <c r="F335" i="20"/>
  <c r="F282" i="20"/>
  <c r="F278" i="20"/>
  <c r="F277" i="20"/>
  <c r="F866" i="20"/>
  <c r="F596" i="20"/>
  <c r="F402" i="20"/>
  <c r="F401" i="20"/>
  <c r="F595" i="20"/>
  <c r="F628" i="20"/>
  <c r="F1216" i="20"/>
  <c r="F2118" i="20"/>
  <c r="F276" i="20"/>
  <c r="F274" i="20"/>
  <c r="F273" i="20"/>
  <c r="F270" i="20"/>
  <c r="F269" i="20"/>
  <c r="F424" i="20"/>
  <c r="F263" i="20"/>
  <c r="F261" i="20"/>
  <c r="F253" i="20"/>
  <c r="F258" i="20"/>
  <c r="F552" i="20"/>
  <c r="F551" i="20"/>
  <c r="F550" i="20"/>
  <c r="F549" i="20"/>
  <c r="F548" i="20"/>
  <c r="F547" i="20"/>
  <c r="F546" i="20"/>
  <c r="F545" i="20"/>
  <c r="F544" i="20"/>
  <c r="F543" i="20"/>
  <c r="F1227" i="20"/>
  <c r="F220" i="20"/>
  <c r="F1878" i="20"/>
  <c r="F1985" i="20"/>
  <c r="F1854" i="20"/>
  <c r="F1853" i="20"/>
  <c r="F255" i="20"/>
  <c r="F412" i="20"/>
  <c r="F430" i="20"/>
  <c r="F757" i="20"/>
  <c r="F634" i="20"/>
  <c r="F456" i="20"/>
  <c r="F630" i="20"/>
  <c r="F455" i="20"/>
  <c r="F454" i="20"/>
  <c r="F453" i="20"/>
  <c r="F629" i="20"/>
  <c r="F1852" i="20"/>
  <c r="F1335" i="20"/>
  <c r="F1334" i="20"/>
  <c r="F1113" i="20"/>
  <c r="F1322" i="20"/>
  <c r="F693" i="20"/>
  <c r="F1724" i="20"/>
  <c r="F692" i="20"/>
  <c r="F1918" i="20"/>
  <c r="F1638" i="20"/>
  <c r="F1637" i="20"/>
  <c r="F1838" i="20"/>
  <c r="F1866" i="20"/>
  <c r="F1636" i="20"/>
  <c r="F1865" i="20"/>
  <c r="F1864" i="20"/>
  <c r="F1863" i="20"/>
  <c r="F983" i="20"/>
  <c r="F1048" i="20"/>
  <c r="F1731" i="20"/>
  <c r="F1634" i="20"/>
  <c r="F1837" i="20"/>
  <c r="F1230" i="20"/>
  <c r="F1633" i="20"/>
  <c r="F1111" i="20"/>
  <c r="F1771" i="20"/>
  <c r="F1770" i="20"/>
  <c r="F2029" i="20"/>
  <c r="F956" i="20"/>
  <c r="F1294" i="20"/>
  <c r="F1293" i="20"/>
  <c r="F1747" i="20"/>
  <c r="F1632" i="20"/>
  <c r="F439" i="20"/>
  <c r="F751" i="20"/>
  <c r="F750" i="20"/>
  <c r="F382" i="20"/>
  <c r="F381" i="20"/>
  <c r="F380" i="20"/>
  <c r="F379" i="20"/>
  <c r="F378" i="20"/>
  <c r="F218" i="20"/>
  <c r="F852" i="20"/>
  <c r="F259" i="20"/>
  <c r="F369" i="20"/>
  <c r="F1917" i="20"/>
  <c r="F539" i="20"/>
  <c r="F248" i="20"/>
  <c r="F1997" i="20"/>
  <c r="F635" i="20"/>
  <c r="F363" i="20"/>
  <c r="F358" i="20"/>
  <c r="F357" i="20"/>
  <c r="F981" i="20"/>
  <c r="F249" i="20"/>
  <c r="F437" i="20"/>
  <c r="F245" i="20"/>
  <c r="F346" i="20"/>
  <c r="F345" i="20"/>
  <c r="F266" i="20"/>
  <c r="F881" i="20"/>
  <c r="F1354" i="20"/>
  <c r="F341" i="20"/>
  <c r="F1836" i="20"/>
  <c r="F1679" i="20"/>
  <c r="F417" i="20"/>
  <c r="F337" i="20"/>
  <c r="F1678" i="20"/>
  <c r="F217" i="20"/>
  <c r="F234" i="20"/>
  <c r="F159" i="20"/>
  <c r="F631" i="20"/>
  <c r="F281" i="20"/>
  <c r="F280" i="20"/>
  <c r="F252" i="20"/>
  <c r="F279" i="20"/>
  <c r="F617" i="20"/>
  <c r="F354" i="20"/>
  <c r="F2028" i="20"/>
  <c r="F1948" i="20"/>
  <c r="F27" i="20"/>
  <c r="F1415" i="20"/>
  <c r="F1947" i="20"/>
  <c r="F1217" i="20"/>
  <c r="F232" i="20"/>
  <c r="F231" i="20"/>
  <c r="F114" i="20"/>
  <c r="F238" i="20"/>
  <c r="F239" i="20"/>
  <c r="F98" i="20"/>
  <c r="F97" i="20"/>
  <c r="F160" i="20"/>
  <c r="F237" i="20"/>
  <c r="F235" i="20"/>
  <c r="F604" i="20"/>
  <c r="F214" i="20"/>
  <c r="F213" i="20"/>
  <c r="F212" i="20"/>
  <c r="F210" i="20"/>
  <c r="F211" i="20"/>
  <c r="F161" i="20"/>
  <c r="F250" i="20"/>
  <c r="F162" i="20"/>
  <c r="F156" i="20"/>
  <c r="F1414" i="20"/>
  <c r="F151" i="20"/>
  <c r="F1598" i="20"/>
  <c r="F614" i="20"/>
  <c r="F860" i="20"/>
  <c r="F859" i="20"/>
  <c r="F858" i="20"/>
  <c r="F150" i="20"/>
  <c r="F149" i="20"/>
  <c r="F135" i="20"/>
  <c r="F130" i="20"/>
  <c r="F119" i="20"/>
  <c r="F423" i="20"/>
  <c r="F388" i="20"/>
  <c r="F113" i="20"/>
  <c r="F389" i="20"/>
  <c r="F103" i="20"/>
  <c r="F228" i="20"/>
  <c r="F226" i="20"/>
  <c r="F916" i="20"/>
  <c r="F821" i="20"/>
  <c r="F394" i="20"/>
  <c r="F92" i="20"/>
  <c r="F411" i="20"/>
  <c r="F87" i="20"/>
  <c r="F86" i="20"/>
  <c r="F216" i="20"/>
  <c r="F85" i="20"/>
  <c r="F81" i="20"/>
  <c r="F155" i="20"/>
  <c r="F1292" i="20"/>
  <c r="F1291" i="20"/>
  <c r="F1047" i="20"/>
  <c r="F883" i="20"/>
  <c r="F1046" i="20"/>
  <c r="F1290" i="20"/>
  <c r="F1110" i="20"/>
  <c r="F1289" i="20"/>
  <c r="F82" i="20"/>
  <c r="F134" i="20"/>
  <c r="F133" i="20"/>
  <c r="F132" i="20"/>
  <c r="F131" i="20"/>
  <c r="F78" i="20"/>
  <c r="F71" i="20"/>
  <c r="F53" i="20"/>
  <c r="F407" i="20"/>
  <c r="F251" i="20"/>
  <c r="F118" i="20"/>
  <c r="F117" i="20"/>
  <c r="F116" i="20"/>
  <c r="F14" i="20"/>
  <c r="F49" i="20"/>
  <c r="F106" i="20"/>
  <c r="F1722" i="20"/>
  <c r="F104" i="20"/>
  <c r="F50" i="20"/>
  <c r="F96" i="20"/>
  <c r="F95" i="20"/>
  <c r="F94" i="20"/>
  <c r="F1194" i="20"/>
  <c r="F93" i="20"/>
  <c r="F46" i="20"/>
  <c r="F91" i="20"/>
  <c r="F90" i="20"/>
  <c r="F89" i="20"/>
  <c r="F158" i="20"/>
  <c r="F88" i="20"/>
  <c r="F880" i="20"/>
  <c r="F1109" i="20"/>
  <c r="F43" i="20"/>
  <c r="F39" i="20"/>
  <c r="F35" i="20"/>
  <c r="F77" i="20"/>
  <c r="F76" i="20"/>
  <c r="F436" i="20"/>
  <c r="F613" i="20"/>
  <c r="F691" i="20"/>
  <c r="F34" i="20"/>
  <c r="F52" i="20"/>
  <c r="F30" i="20"/>
  <c r="F26" i="20"/>
  <c r="F29" i="20"/>
  <c r="F229" i="20"/>
  <c r="F215" i="20"/>
  <c r="F1677" i="20"/>
  <c r="F230" i="20"/>
  <c r="F1631" i="20"/>
  <c r="F1045" i="20"/>
  <c r="F1288" i="20"/>
  <c r="F24" i="20"/>
  <c r="F1597" i="20"/>
  <c r="F690" i="20"/>
  <c r="F689" i="20"/>
  <c r="F749" i="20"/>
  <c r="F68" i="20"/>
  <c r="F748" i="20"/>
  <c r="F23" i="20"/>
  <c r="F18" i="20"/>
  <c r="F7" i="20"/>
  <c r="F21" i="20"/>
  <c r="F20" i="20"/>
  <c r="F4" i="20"/>
  <c r="F3" i="20"/>
  <c r="F5" i="20"/>
  <c r="F2" i="20"/>
  <c r="F688" i="20"/>
  <c r="O1721" i="20"/>
  <c r="L1721" i="20" s="1"/>
  <c r="O1104" i="20"/>
  <c r="L1104" i="20" s="1"/>
  <c r="O747" i="20"/>
  <c r="L747" i="20" s="1"/>
  <c r="O428" i="20"/>
  <c r="L428" i="20" s="1"/>
  <c r="O419" i="20"/>
  <c r="L419" i="20" s="1"/>
  <c r="O398" i="20"/>
  <c r="L398" i="20" s="1"/>
  <c r="O392" i="20"/>
  <c r="L392" i="20" s="1"/>
  <c r="O386" i="20"/>
  <c r="L386" i="20" s="1"/>
  <c r="O385" i="20"/>
  <c r="L385" i="20" s="1"/>
  <c r="D1721" i="20"/>
  <c r="D1104" i="20"/>
  <c r="D747" i="20"/>
  <c r="D428" i="20"/>
  <c r="D419" i="20"/>
  <c r="D398" i="20"/>
  <c r="D392" i="20"/>
  <c r="D386" i="20"/>
  <c r="D385" i="20"/>
  <c r="D990" i="20"/>
  <c r="D1840" i="20"/>
  <c r="D1949" i="20"/>
  <c r="D446" i="20"/>
  <c r="D445" i="20"/>
  <c r="D444" i="20"/>
  <c r="D885" i="20"/>
  <c r="D756" i="20"/>
  <c r="D755" i="20"/>
  <c r="D443" i="20"/>
  <c r="D441" i="20"/>
  <c r="D697" i="20"/>
  <c r="D1645" i="20"/>
  <c r="D1644" i="20"/>
  <c r="D754" i="20"/>
  <c r="D753" i="20"/>
  <c r="D540" i="20"/>
  <c r="D1810" i="20"/>
  <c r="D752" i="20"/>
  <c r="D1700" i="20"/>
  <c r="D1643" i="20"/>
  <c r="D619" i="20"/>
  <c r="D862" i="20"/>
  <c r="D618" i="20"/>
  <c r="D696" i="20"/>
  <c r="D884" i="20"/>
  <c r="D695" i="20"/>
  <c r="D440" i="20"/>
  <c r="D989" i="20"/>
  <c r="D988" i="20"/>
  <c r="D987" i="20"/>
  <c r="D986" i="20"/>
  <c r="D1580" i="20"/>
  <c r="D1920" i="20"/>
  <c r="D985" i="20"/>
  <c r="D861" i="20"/>
  <c r="D51" i="20"/>
  <c r="D984" i="20"/>
  <c r="D1699" i="20"/>
  <c r="D1919" i="20"/>
  <c r="D1049" i="20"/>
  <c r="D592" i="20"/>
  <c r="D1698" i="20"/>
  <c r="D1642" i="20"/>
  <c r="D1641" i="20"/>
  <c r="D1773" i="20"/>
  <c r="D1696" i="20"/>
  <c r="D1809" i="20"/>
  <c r="D1362" i="20"/>
  <c r="D1640" i="20"/>
  <c r="D694" i="20"/>
  <c r="D591" i="20"/>
  <c r="D1808" i="20"/>
  <c r="D1231" i="20"/>
  <c r="D1337" i="20"/>
  <c r="D1695" i="20"/>
  <c r="D1335" i="20"/>
  <c r="D1334" i="20"/>
  <c r="D1113" i="20"/>
  <c r="D1322" i="20"/>
  <c r="D693" i="20"/>
  <c r="D1724" i="20"/>
  <c r="D692" i="20"/>
  <c r="D1918" i="20"/>
  <c r="D1638" i="20"/>
  <c r="D1637" i="20"/>
  <c r="D1838" i="20"/>
  <c r="D1866" i="20"/>
  <c r="D1636" i="20"/>
  <c r="D1865" i="20"/>
  <c r="D1864" i="20"/>
  <c r="D1863" i="20"/>
  <c r="D983" i="20"/>
  <c r="D1048" i="20"/>
  <c r="D1731" i="20"/>
  <c r="D1634" i="20"/>
  <c r="D1837" i="20"/>
  <c r="D1230" i="20"/>
  <c r="D1633" i="20"/>
  <c r="D1111" i="20"/>
  <c r="D1771" i="20"/>
  <c r="D1770" i="20"/>
  <c r="D2029" i="20"/>
  <c r="D956" i="20"/>
  <c r="D1294" i="20"/>
  <c r="D1293" i="20"/>
  <c r="D1747" i="20"/>
  <c r="D1632" i="20"/>
  <c r="D439" i="20"/>
  <c r="D751" i="20"/>
  <c r="D750" i="20"/>
  <c r="D852" i="20"/>
  <c r="D1917" i="20"/>
  <c r="D539" i="20"/>
  <c r="D437" i="20"/>
  <c r="D1836" i="20"/>
  <c r="D617" i="20"/>
  <c r="D354" i="20"/>
  <c r="D2028" i="20"/>
  <c r="D1948" i="20"/>
  <c r="D27" i="20"/>
  <c r="D1415" i="20"/>
  <c r="D1947" i="20"/>
  <c r="D1217" i="20"/>
  <c r="D1414" i="20"/>
  <c r="D1292" i="20"/>
  <c r="D1291" i="20"/>
  <c r="D1047" i="20"/>
  <c r="D883" i="20"/>
  <c r="D1046" i="20"/>
  <c r="D1290" i="20"/>
  <c r="D1110" i="20"/>
  <c r="D1289" i="20"/>
  <c r="D691" i="20"/>
  <c r="D26" i="20"/>
  <c r="D1631" i="20"/>
  <c r="D1045" i="20"/>
  <c r="D1288" i="20"/>
  <c r="D7" i="20"/>
  <c r="D21" i="20"/>
  <c r="D5" i="20"/>
  <c r="D773" i="20"/>
  <c r="D775" i="20"/>
  <c r="D798" i="20"/>
  <c r="D1094" i="20"/>
  <c r="D1811" i="20"/>
  <c r="D1416" i="20"/>
  <c r="D1232" i="20"/>
  <c r="D2039" i="20"/>
  <c r="D776" i="20"/>
  <c r="D429" i="20"/>
  <c r="D362" i="20"/>
  <c r="D219" i="20"/>
  <c r="D2062" i="20"/>
  <c r="D2061" i="20"/>
  <c r="D622" i="20"/>
  <c r="D20" i="20"/>
  <c r="D749" i="20"/>
  <c r="D748" i="20"/>
  <c r="D23" i="20"/>
  <c r="O1956" i="20"/>
  <c r="L1956" i="20" s="1"/>
  <c r="O1955" i="20"/>
  <c r="L1955" i="20" s="1"/>
  <c r="O1954" i="20"/>
  <c r="L1954" i="20" s="1"/>
  <c r="O1953" i="20"/>
  <c r="L1953" i="20" s="1"/>
  <c r="O1952" i="20"/>
  <c r="L1952" i="20" s="1"/>
  <c r="O1951" i="20"/>
  <c r="L1951" i="20" s="1"/>
  <c r="O622" i="20"/>
  <c r="L622" i="20" s="1"/>
  <c r="O1950" i="20"/>
  <c r="L1950" i="20" s="1"/>
  <c r="O1949" i="20"/>
  <c r="L1949" i="20" s="1"/>
  <c r="O2039" i="20"/>
  <c r="L2039" i="20" s="1"/>
  <c r="O776" i="20"/>
  <c r="L776" i="20" s="1"/>
  <c r="O429" i="20"/>
  <c r="L429" i="20" s="1"/>
  <c r="O362" i="20"/>
  <c r="L362" i="20" s="1"/>
  <c r="O219" i="20"/>
  <c r="L219" i="20" s="1"/>
  <c r="O2062" i="20"/>
  <c r="L2062" i="20" s="1"/>
  <c r="O2061" i="20"/>
  <c r="L2061" i="20" s="1"/>
  <c r="O1237" i="20"/>
  <c r="L1237" i="20" s="1"/>
  <c r="O801" i="20"/>
  <c r="L801" i="20" s="1"/>
  <c r="O1236" i="20"/>
  <c r="L1236" i="20" s="1"/>
  <c r="O1094" i="20"/>
  <c r="L1094" i="20" s="1"/>
  <c r="O1235" i="20"/>
  <c r="L1235" i="20" s="1"/>
  <c r="O1234" i="20"/>
  <c r="L1234" i="20" s="1"/>
  <c r="O1233" i="20"/>
  <c r="L1233" i="20" s="1"/>
  <c r="O1811" i="20"/>
  <c r="L1811" i="20" s="1"/>
  <c r="O1416" i="20"/>
  <c r="L1416" i="20" s="1"/>
  <c r="O1232" i="20"/>
  <c r="L1232" i="20" s="1"/>
  <c r="O800" i="20"/>
  <c r="L800" i="20" s="1"/>
  <c r="O775" i="20"/>
  <c r="L775" i="20" s="1"/>
  <c r="O774" i="20"/>
  <c r="L774" i="20" s="1"/>
  <c r="O799" i="20"/>
  <c r="L799" i="20" s="1"/>
  <c r="O773" i="20"/>
  <c r="L773" i="20" s="1"/>
  <c r="O798" i="20"/>
  <c r="L798" i="20" s="1"/>
  <c r="O444" i="20"/>
  <c r="L444" i="20" s="1"/>
  <c r="O885" i="20"/>
  <c r="L885" i="20" s="1"/>
  <c r="O756" i="20"/>
  <c r="L756" i="20" s="1"/>
  <c r="O755" i="20"/>
  <c r="L755" i="20" s="1"/>
  <c r="O1840" i="20"/>
  <c r="L1840" i="20" s="1"/>
  <c r="O621" i="20"/>
  <c r="L621" i="20" s="1"/>
  <c r="O853" i="20"/>
  <c r="L853" i="20" s="1"/>
  <c r="O449" i="20"/>
  <c r="L449" i="20" s="1"/>
  <c r="O1839" i="20"/>
  <c r="L1839" i="20" s="1"/>
  <c r="O620" i="20"/>
  <c r="L620" i="20" s="1"/>
  <c r="O447" i="20"/>
  <c r="L447" i="20" s="1"/>
  <c r="O446" i="20"/>
  <c r="L446" i="20" s="1"/>
  <c r="O445" i="20"/>
  <c r="L445" i="20" s="1"/>
  <c r="O443" i="20"/>
  <c r="L443" i="20" s="1"/>
  <c r="O441" i="20"/>
  <c r="L441" i="20" s="1"/>
  <c r="O697" i="20"/>
  <c r="L697" i="20" s="1"/>
  <c r="O1645" i="20"/>
  <c r="L1645" i="20" s="1"/>
  <c r="O1644" i="20"/>
  <c r="L1644" i="20" s="1"/>
  <c r="O754" i="20"/>
  <c r="L754" i="20" s="1"/>
  <c r="O753" i="20"/>
  <c r="L753" i="20" s="1"/>
  <c r="O540" i="20"/>
  <c r="L540" i="20" s="1"/>
  <c r="O1810" i="20"/>
  <c r="L1810" i="20" s="1"/>
  <c r="O1922" i="20"/>
  <c r="L1922" i="20" s="1"/>
  <c r="O752" i="20"/>
  <c r="L752" i="20" s="1"/>
  <c r="O1700" i="20"/>
  <c r="L1700" i="20" s="1"/>
  <c r="O1643" i="20"/>
  <c r="L1643" i="20" s="1"/>
  <c r="O619" i="20"/>
  <c r="L619" i="20" s="1"/>
  <c r="O862" i="20"/>
  <c r="L862" i="20" s="1"/>
  <c r="O618" i="20"/>
  <c r="L618" i="20" s="1"/>
  <c r="O696" i="20"/>
  <c r="L696" i="20" s="1"/>
  <c r="O884" i="20"/>
  <c r="L884" i="20" s="1"/>
  <c r="O695" i="20"/>
  <c r="L695" i="20" s="1"/>
  <c r="O440" i="20"/>
  <c r="L440" i="20" s="1"/>
  <c r="O989" i="20"/>
  <c r="L989" i="20" s="1"/>
  <c r="O988" i="20"/>
  <c r="L988" i="20" s="1"/>
  <c r="O987" i="20"/>
  <c r="L987" i="20" s="1"/>
  <c r="O986" i="20"/>
  <c r="L986" i="20" s="1"/>
  <c r="O1580" i="20"/>
  <c r="L1580" i="20" s="1"/>
  <c r="O1920" i="20"/>
  <c r="L1920" i="20" s="1"/>
  <c r="O985" i="20"/>
  <c r="L985" i="20" s="1"/>
  <c r="O861" i="20"/>
  <c r="L861" i="20" s="1"/>
  <c r="O51" i="20"/>
  <c r="L51" i="20" s="1"/>
  <c r="O984" i="20"/>
  <c r="L984" i="20" s="1"/>
  <c r="O990" i="20"/>
  <c r="L990" i="20" s="1"/>
  <c r="O1699" i="20"/>
  <c r="L1699" i="20" s="1"/>
  <c r="O1919" i="20"/>
  <c r="L1919" i="20" s="1"/>
  <c r="O1049" i="20"/>
  <c r="L1049" i="20" s="1"/>
  <c r="O592" i="20"/>
  <c r="L592" i="20" s="1"/>
  <c r="O1698" i="20"/>
  <c r="L1698" i="20" s="1"/>
  <c r="O1642" i="20"/>
  <c r="L1642" i="20" s="1"/>
  <c r="O1641" i="20"/>
  <c r="L1641" i="20" s="1"/>
  <c r="O1773" i="20"/>
  <c r="L1773" i="20" s="1"/>
  <c r="O1696" i="20"/>
  <c r="L1696" i="20" s="1"/>
  <c r="O1809" i="20"/>
  <c r="L1809" i="20" s="1"/>
  <c r="O1362" i="20"/>
  <c r="L1362" i="20" s="1"/>
  <c r="O1640" i="20"/>
  <c r="L1640" i="20" s="1"/>
  <c r="O694" i="20"/>
  <c r="L694" i="20" s="1"/>
  <c r="O591" i="20"/>
  <c r="L591" i="20" s="1"/>
  <c r="O1808" i="20"/>
  <c r="L1808" i="20" s="1"/>
  <c r="O1231" i="20"/>
  <c r="L1231" i="20" s="1"/>
  <c r="O1337" i="20"/>
  <c r="L1337" i="20" s="1"/>
  <c r="O1695" i="20"/>
  <c r="L1695" i="20" s="1"/>
  <c r="O1336" i="20"/>
  <c r="L1336" i="20" s="1"/>
  <c r="O1335" i="20"/>
  <c r="L1335" i="20" s="1"/>
  <c r="O1334" i="20"/>
  <c r="L1334" i="20" s="1"/>
  <c r="O1113" i="20"/>
  <c r="L1113" i="20" s="1"/>
  <c r="O1322" i="20"/>
  <c r="L1322" i="20" s="1"/>
  <c r="O693" i="20"/>
  <c r="L693" i="20" s="1"/>
  <c r="O1724" i="20"/>
  <c r="L1724" i="20" s="1"/>
  <c r="O692" i="20"/>
  <c r="L692" i="20" s="1"/>
  <c r="O1918" i="20"/>
  <c r="L1918" i="20" s="1"/>
  <c r="O1639" i="20"/>
  <c r="L1639" i="20" s="1"/>
  <c r="O1638" i="20"/>
  <c r="L1638" i="20" s="1"/>
  <c r="O1637" i="20"/>
  <c r="L1637" i="20" s="1"/>
  <c r="O1838" i="20"/>
  <c r="L1838" i="20" s="1"/>
  <c r="O1866" i="20"/>
  <c r="L1866" i="20" s="1"/>
  <c r="O1636" i="20"/>
  <c r="L1636" i="20" s="1"/>
  <c r="O1579" i="20"/>
  <c r="L1579" i="20" s="1"/>
  <c r="O1865" i="20"/>
  <c r="L1865" i="20" s="1"/>
  <c r="O1864" i="20"/>
  <c r="L1864" i="20" s="1"/>
  <c r="O1863" i="20"/>
  <c r="L1863" i="20" s="1"/>
  <c r="O983" i="20"/>
  <c r="L983" i="20" s="1"/>
  <c r="O1048" i="20"/>
  <c r="L1048" i="20" s="1"/>
  <c r="O1731" i="20"/>
  <c r="L1731" i="20" s="1"/>
  <c r="O1634" i="20"/>
  <c r="L1634" i="20" s="1"/>
  <c r="O1837" i="20"/>
  <c r="L1837" i="20" s="1"/>
  <c r="O1230" i="20"/>
  <c r="L1230" i="20" s="1"/>
  <c r="O1633" i="20"/>
  <c r="L1633" i="20" s="1"/>
  <c r="O1112" i="20"/>
  <c r="L1112" i="20" s="1"/>
  <c r="O1111" i="20"/>
  <c r="L1111" i="20" s="1"/>
  <c r="O1771" i="20"/>
  <c r="L1771" i="20" s="1"/>
  <c r="O1770" i="20"/>
  <c r="L1770" i="20" s="1"/>
  <c r="O2029" i="20"/>
  <c r="L2029" i="20" s="1"/>
  <c r="O956" i="20"/>
  <c r="L956" i="20" s="1"/>
  <c r="O1294" i="20"/>
  <c r="L1294" i="20" s="1"/>
  <c r="O1293" i="20"/>
  <c r="L1293" i="20" s="1"/>
  <c r="O1747" i="20"/>
  <c r="L1747" i="20" s="1"/>
  <c r="O1632" i="20"/>
  <c r="L1632" i="20" s="1"/>
  <c r="O439" i="20"/>
  <c r="L439" i="20" s="1"/>
  <c r="O751" i="20"/>
  <c r="L751" i="20" s="1"/>
  <c r="O750" i="20"/>
  <c r="L750" i="20" s="1"/>
  <c r="O852" i="20"/>
  <c r="L852" i="20" s="1"/>
  <c r="O1917" i="20"/>
  <c r="L1917" i="20" s="1"/>
  <c r="O539" i="20"/>
  <c r="L539" i="20" s="1"/>
  <c r="O437" i="20"/>
  <c r="L437" i="20" s="1"/>
  <c r="O1836" i="20"/>
  <c r="L1836" i="20" s="1"/>
  <c r="O617" i="20"/>
  <c r="L617" i="20" s="1"/>
  <c r="O354" i="20"/>
  <c r="L354" i="20" s="1"/>
  <c r="O2028" i="20"/>
  <c r="L2028" i="20" s="1"/>
  <c r="O1948" i="20"/>
  <c r="L1948" i="20" s="1"/>
  <c r="O27" i="20"/>
  <c r="L27" i="20" s="1"/>
  <c r="O1415" i="20"/>
  <c r="L1415" i="20" s="1"/>
  <c r="O1947" i="20"/>
  <c r="L1947" i="20" s="1"/>
  <c r="O1217" i="20"/>
  <c r="L1217" i="20" s="1"/>
  <c r="O1414" i="20"/>
  <c r="L1414" i="20" s="1"/>
  <c r="O1292" i="20"/>
  <c r="L1292" i="20" s="1"/>
  <c r="O1291" i="20"/>
  <c r="L1291" i="20" s="1"/>
  <c r="O1047" i="20"/>
  <c r="L1047" i="20" s="1"/>
  <c r="O883" i="20"/>
  <c r="L883" i="20" s="1"/>
  <c r="O1046" i="20"/>
  <c r="L1046" i="20" s="1"/>
  <c r="O1290" i="20"/>
  <c r="L1290" i="20" s="1"/>
  <c r="O1110" i="20"/>
  <c r="L1110" i="20" s="1"/>
  <c r="O1289" i="20"/>
  <c r="L1289" i="20" s="1"/>
  <c r="O691" i="20"/>
  <c r="L691" i="20" s="1"/>
  <c r="O26" i="20"/>
  <c r="L26" i="20" s="1"/>
  <c r="O1631" i="20"/>
  <c r="L1631" i="20" s="1"/>
  <c r="O1045" i="20"/>
  <c r="L1045" i="20" s="1"/>
  <c r="O1288" i="20"/>
  <c r="L1288" i="20" s="1"/>
  <c r="O749" i="20"/>
  <c r="L749" i="20" s="1"/>
  <c r="O748" i="20"/>
  <c r="L748" i="20" s="1"/>
  <c r="O23" i="20"/>
  <c r="L23" i="20" s="1"/>
  <c r="O7" i="20"/>
  <c r="L7" i="20" s="1"/>
  <c r="O21" i="20"/>
  <c r="L21" i="20" s="1"/>
  <c r="O20" i="20"/>
  <c r="L20" i="20" s="1"/>
  <c r="O5" i="20"/>
  <c r="L5" i="20" s="1"/>
  <c r="D153" i="20"/>
  <c r="D152" i="20"/>
  <c r="D224" i="20"/>
  <c r="D882" i="20"/>
  <c r="D355" i="20"/>
  <c r="D1937" i="20"/>
  <c r="D1681" i="20"/>
  <c r="D1390" i="20"/>
  <c r="D1976" i="20"/>
  <c r="D1510" i="20"/>
  <c r="D1564" i="20"/>
  <c r="D1287" i="20"/>
  <c r="D1557" i="20"/>
  <c r="D1509" i="20"/>
  <c r="D1827" i="20"/>
  <c r="D1797" i="20"/>
  <c r="D541" i="20"/>
  <c r="D918" i="20"/>
  <c r="D917" i="20"/>
  <c r="D1591" i="20"/>
  <c r="D1594" i="20"/>
  <c r="D1191" i="20"/>
  <c r="D1602" i="20"/>
  <c r="D822" i="20"/>
  <c r="D538" i="20"/>
  <c r="D537" i="20"/>
  <c r="D222" i="20"/>
  <c r="D616" i="20"/>
  <c r="D448" i="20"/>
  <c r="D615" i="20"/>
  <c r="D797" i="20"/>
  <c r="D442" i="20"/>
  <c r="D264" i="20"/>
  <c r="D438" i="20"/>
  <c r="D835" i="20"/>
  <c r="D1601" i="20"/>
  <c r="D1600" i="20"/>
  <c r="D1599" i="20"/>
  <c r="D221" i="20"/>
  <c r="D1936" i="20"/>
  <c r="D1229" i="20"/>
  <c r="D1286" i="20"/>
  <c r="D1228" i="20"/>
  <c r="D1389" i="20"/>
  <c r="D1216" i="20"/>
  <c r="D1227" i="20"/>
  <c r="D220" i="20"/>
  <c r="D1878" i="20"/>
  <c r="D1985" i="20"/>
  <c r="D1853" i="20"/>
  <c r="D1852" i="20"/>
  <c r="D218" i="20"/>
  <c r="D981" i="20"/>
  <c r="A22" i="20" l="1"/>
  <c r="A17" i="20"/>
  <c r="A6" i="20"/>
  <c r="A19" i="20"/>
  <c r="A806" i="20"/>
  <c r="A384" i="20"/>
  <c r="A428" i="20"/>
  <c r="A747" i="20"/>
  <c r="A1104" i="20"/>
  <c r="A385" i="20"/>
  <c r="A1721" i="20"/>
  <c r="A392" i="20"/>
  <c r="A419" i="20"/>
  <c r="A386" i="20"/>
  <c r="A398" i="20"/>
  <c r="A1631" i="20"/>
  <c r="A1840" i="20"/>
  <c r="A1949" i="20"/>
  <c r="A990" i="20"/>
  <c r="A1289" i="20"/>
  <c r="A883" i="20"/>
  <c r="A1414" i="20"/>
  <c r="A1415" i="20"/>
  <c r="A354" i="20"/>
  <c r="A539" i="20"/>
  <c r="A751" i="20"/>
  <c r="A1293" i="20"/>
  <c r="A1770" i="20"/>
  <c r="A1633" i="20"/>
  <c r="A1731" i="20"/>
  <c r="A1864" i="20"/>
  <c r="A1866" i="20"/>
  <c r="A1639" i="20"/>
  <c r="A693" i="20"/>
  <c r="A1335" i="20"/>
  <c r="A1231" i="20"/>
  <c r="A1640" i="20"/>
  <c r="A1773" i="20"/>
  <c r="A592" i="20"/>
  <c r="A984" i="20"/>
  <c r="A1920" i="20"/>
  <c r="A988" i="20"/>
  <c r="A884" i="20"/>
  <c r="A619" i="20"/>
  <c r="A1922" i="20"/>
  <c r="A754" i="20"/>
  <c r="A441" i="20"/>
  <c r="A885" i="20"/>
  <c r="A447" i="20"/>
  <c r="A853" i="20"/>
  <c r="A51" i="20"/>
  <c r="A1580" i="20"/>
  <c r="A989" i="20"/>
  <c r="A696" i="20"/>
  <c r="A1643" i="20"/>
  <c r="A1810" i="20"/>
  <c r="A1644" i="20"/>
  <c r="A443" i="20"/>
  <c r="A444" i="20"/>
  <c r="A620" i="20"/>
  <c r="A1951" i="20"/>
  <c r="A1955" i="20"/>
  <c r="A219" i="20"/>
  <c r="A2039" i="20"/>
  <c r="A1233" i="20"/>
  <c r="A1236" i="20"/>
  <c r="A798" i="20"/>
  <c r="A773" i="20"/>
  <c r="A7" i="20"/>
  <c r="A861" i="20"/>
  <c r="A986" i="20"/>
  <c r="A440" i="20"/>
  <c r="A618" i="20"/>
  <c r="A1700" i="20"/>
  <c r="A1645" i="20"/>
  <c r="A755" i="20"/>
  <c r="A445" i="20"/>
  <c r="A1839" i="20"/>
  <c r="A852" i="20"/>
  <c r="A1637" i="20"/>
  <c r="A20" i="20"/>
  <c r="A1952" i="20"/>
  <c r="A1956" i="20"/>
  <c r="A362" i="20"/>
  <c r="A1232" i="20"/>
  <c r="A1234" i="20"/>
  <c r="A801" i="20"/>
  <c r="A774" i="20"/>
  <c r="A799" i="20"/>
  <c r="A1288" i="20"/>
  <c r="A985" i="20"/>
  <c r="A987" i="20"/>
  <c r="A695" i="20"/>
  <c r="A862" i="20"/>
  <c r="A752" i="20"/>
  <c r="A753" i="20"/>
  <c r="A697" i="20"/>
  <c r="A756" i="20"/>
  <c r="A446" i="20"/>
  <c r="A449" i="20"/>
  <c r="A748" i="20"/>
  <c r="A622" i="20"/>
  <c r="A1954" i="20"/>
  <c r="A2062" i="20"/>
  <c r="A776" i="20"/>
  <c r="A1811" i="20"/>
  <c r="A1094" i="20"/>
  <c r="A800" i="20"/>
  <c r="A21" i="20"/>
  <c r="A621" i="20"/>
  <c r="A1362" i="20"/>
  <c r="A691" i="20"/>
  <c r="A1046" i="20"/>
  <c r="A1292" i="20"/>
  <c r="A1947" i="20"/>
  <c r="A2028" i="20"/>
  <c r="A437" i="20"/>
  <c r="A750" i="20"/>
  <c r="A1747" i="20"/>
  <c r="A2029" i="20"/>
  <c r="A1112" i="20"/>
  <c r="A1634" i="20"/>
  <c r="A1863" i="20"/>
  <c r="A1636" i="20"/>
  <c r="A1638" i="20"/>
  <c r="A1724" i="20"/>
  <c r="A1334" i="20"/>
  <c r="A1337" i="20"/>
  <c r="A694" i="20"/>
  <c r="A1696" i="20"/>
  <c r="A1698" i="20"/>
  <c r="A1699" i="20"/>
  <c r="A540" i="20"/>
  <c r="A1950" i="20"/>
  <c r="A1953" i="20"/>
  <c r="A2061" i="20"/>
  <c r="A429" i="20"/>
  <c r="A1416" i="20"/>
  <c r="A1235" i="20"/>
  <c r="A1237" i="20"/>
  <c r="A775" i="20"/>
  <c r="A5" i="20"/>
  <c r="A1045" i="20"/>
  <c r="A1110" i="20"/>
  <c r="A1047" i="20"/>
  <c r="A1217" i="20"/>
  <c r="A27" i="20"/>
  <c r="A617" i="20"/>
  <c r="A1917" i="20"/>
  <c r="A439" i="20"/>
  <c r="A1294" i="20"/>
  <c r="A1771" i="20"/>
  <c r="A1230" i="20"/>
  <c r="A1048" i="20"/>
  <c r="A1865" i="20"/>
  <c r="A1838" i="20"/>
  <c r="A1918" i="20"/>
  <c r="A1322" i="20"/>
  <c r="A1336" i="20"/>
  <c r="A1808" i="20"/>
  <c r="A1641" i="20"/>
  <c r="A1049" i="20"/>
  <c r="A26" i="20"/>
  <c r="A1290" i="20"/>
  <c r="A1291" i="20"/>
  <c r="A1948" i="20"/>
  <c r="A1836" i="20"/>
  <c r="A1632" i="20"/>
  <c r="A956" i="20"/>
  <c r="A1111" i="20"/>
  <c r="A1837" i="20"/>
  <c r="A983" i="20"/>
  <c r="A1579" i="20"/>
  <c r="A692" i="20"/>
  <c r="A1113" i="20"/>
  <c r="A1695" i="20"/>
  <c r="A591" i="20"/>
  <c r="A1809" i="20"/>
  <c r="A1642" i="20"/>
  <c r="A1919" i="20"/>
  <c r="A23" i="20"/>
  <c r="A749" i="20"/>
  <c r="A1852" i="20"/>
  <c r="A220" i="20"/>
  <c r="A1389" i="20"/>
  <c r="A1936" i="20"/>
  <c r="A1601" i="20"/>
  <c r="A442" i="20"/>
  <c r="A448" i="20"/>
  <c r="A538" i="20"/>
  <c r="A1594" i="20"/>
  <c r="A541" i="20"/>
  <c r="A1557" i="20"/>
  <c r="A1976" i="20"/>
  <c r="A1681" i="20"/>
  <c r="A1853" i="20"/>
  <c r="A1228" i="20"/>
  <c r="A221" i="20"/>
  <c r="A835" i="20"/>
  <c r="A616" i="20"/>
  <c r="A822" i="20"/>
  <c r="A1591" i="20"/>
  <c r="A1797" i="20"/>
  <c r="A1287" i="20"/>
  <c r="A1937" i="20"/>
  <c r="A224" i="20"/>
  <c r="A981" i="20"/>
  <c r="A1985" i="20"/>
  <c r="A1227" i="20"/>
  <c r="A1286" i="20"/>
  <c r="A1599" i="20"/>
  <c r="A438" i="20"/>
  <c r="A797" i="20"/>
  <c r="A222" i="20"/>
  <c r="A1602" i="20"/>
  <c r="A917" i="20"/>
  <c r="A1827" i="20"/>
  <c r="A1564" i="20"/>
  <c r="A1390" i="20"/>
  <c r="A355" i="20"/>
  <c r="A152" i="20"/>
  <c r="A218" i="20"/>
  <c r="A1878" i="20"/>
  <c r="A1216" i="20"/>
  <c r="A1229" i="20"/>
  <c r="A1600" i="20"/>
  <c r="A264" i="20"/>
  <c r="A615" i="20"/>
  <c r="A537" i="20"/>
  <c r="A1191" i="20"/>
  <c r="A918" i="20"/>
  <c r="A1509" i="20"/>
  <c r="A1510" i="20"/>
  <c r="A882" i="20"/>
  <c r="A153" i="20"/>
  <c r="D881" i="20"/>
  <c r="D1678" i="20"/>
  <c r="D217" i="20"/>
  <c r="D114" i="20"/>
  <c r="D1598" i="20"/>
  <c r="D860" i="20"/>
  <c r="D859" i="20"/>
  <c r="D858" i="20"/>
  <c r="D916" i="20"/>
  <c r="D821" i="20"/>
  <c r="D216" i="20"/>
  <c r="D14" i="20"/>
  <c r="D880" i="20"/>
  <c r="D1109" i="20"/>
  <c r="D436" i="20"/>
  <c r="D613" i="20"/>
  <c r="D215" i="20"/>
  <c r="D1677" i="20"/>
  <c r="D1597" i="20"/>
  <c r="D690" i="20"/>
  <c r="D689" i="20"/>
  <c r="D688" i="20"/>
  <c r="D225" i="20"/>
  <c r="D154" i="20"/>
  <c r="D836" i="20"/>
  <c r="D772" i="20"/>
  <c r="D1192" i="20"/>
  <c r="D823" i="20"/>
  <c r="D1296" i="20"/>
  <c r="D36" i="20"/>
  <c r="D37" i="20"/>
  <c r="D1604" i="20"/>
  <c r="D72" i="20"/>
  <c r="D38" i="20"/>
  <c r="D1297" i="20"/>
  <c r="D1682" i="20"/>
  <c r="D1683" i="20"/>
  <c r="D698" i="20"/>
  <c r="D1684" i="20"/>
  <c r="D1685" i="20"/>
  <c r="D1687" i="20"/>
  <c r="D1801" i="20"/>
  <c r="D1688" i="20"/>
  <c r="D1689" i="20"/>
  <c r="D702" i="20"/>
  <c r="D1511" i="20"/>
  <c r="D1512" i="20"/>
  <c r="D1513" i="20"/>
  <c r="D1514" i="20"/>
  <c r="D1515" i="20"/>
  <c r="D1516" i="20"/>
  <c r="D1517" i="20"/>
  <c r="D1558" i="20"/>
  <c r="D1559" i="20"/>
  <c r="D1560" i="20"/>
  <c r="D1561" i="20"/>
  <c r="D1562" i="20"/>
  <c r="D1563" i="20"/>
  <c r="D623" i="20"/>
  <c r="D450" i="20"/>
  <c r="D1321" i="20"/>
  <c r="D1890" i="20"/>
  <c r="D1740" i="20"/>
  <c r="D1979" i="20"/>
  <c r="D2009" i="20"/>
  <c r="D15" i="20"/>
  <c r="D2010" i="20"/>
  <c r="D2119" i="20"/>
  <c r="D2120" i="20"/>
  <c r="A2120" i="20" s="1"/>
  <c r="D2121" i="20"/>
  <c r="D1941" i="20"/>
  <c r="D1942" i="20"/>
  <c r="D2122" i="20"/>
  <c r="D1943" i="20"/>
  <c r="D2011" i="20"/>
  <c r="D370" i="20"/>
  <c r="D1442" i="20"/>
  <c r="D2100" i="20"/>
  <c r="D2012" i="20"/>
  <c r="D2052" i="20"/>
  <c r="D2068" i="20"/>
  <c r="D624" i="20"/>
  <c r="D1568" i="20"/>
  <c r="D451" i="20"/>
  <c r="D227" i="20"/>
  <c r="D704" i="20"/>
  <c r="D28" i="20"/>
  <c r="D593" i="20"/>
  <c r="D626" i="20"/>
  <c r="D2014" i="20"/>
  <c r="D452" i="20"/>
  <c r="D1829" i="20"/>
  <c r="D777" i="20"/>
  <c r="D778" i="20"/>
  <c r="D393" i="20"/>
  <c r="D400" i="20"/>
  <c r="D387" i="20"/>
  <c r="D1893" i="20"/>
  <c r="D44" i="20"/>
  <c r="D1117" i="20"/>
  <c r="D1610" i="20"/>
  <c r="D890" i="20"/>
  <c r="D1120" i="20"/>
  <c r="D1612" i="20"/>
  <c r="D891" i="20"/>
  <c r="D921" i="20"/>
  <c r="D922" i="20"/>
  <c r="D867" i="20"/>
  <c r="D1613" i="20"/>
  <c r="D1614" i="20"/>
  <c r="D1615" i="20"/>
  <c r="D1616" i="20"/>
  <c r="D1617" i="20"/>
  <c r="D1618" i="20"/>
  <c r="D1619" i="20"/>
  <c r="D1620" i="20"/>
  <c r="D1621" i="20"/>
  <c r="D1622" i="20"/>
  <c r="D1623" i="20"/>
  <c r="D892" i="20"/>
  <c r="D1998" i="20"/>
  <c r="D1858" i="20"/>
  <c r="D1122" i="20"/>
  <c r="D1238" i="20"/>
  <c r="D1095" i="20"/>
  <c r="D638" i="20"/>
  <c r="D995" i="20"/>
  <c r="D1302" i="20"/>
  <c r="D1303" i="20"/>
  <c r="D1304" i="20"/>
  <c r="D347" i="20"/>
  <c r="D1305" i="20"/>
  <c r="D1397" i="20"/>
  <c r="D1398" i="20"/>
  <c r="D1399" i="20"/>
  <c r="D1400" i="20"/>
  <c r="D1401" i="20"/>
  <c r="D1402" i="20"/>
  <c r="D359" i="20"/>
  <c r="D1403" i="20"/>
  <c r="D1404" i="20"/>
  <c r="D1405" i="20"/>
  <c r="D639" i="20"/>
  <c r="D640" i="20"/>
  <c r="D641" i="20"/>
  <c r="D1624" i="20"/>
  <c r="D1625" i="20"/>
  <c r="D458" i="20"/>
  <c r="D459" i="20"/>
  <c r="D1196" i="20"/>
  <c r="D645" i="20"/>
  <c r="D1494" i="20"/>
  <c r="D646" i="20"/>
  <c r="D647" i="20"/>
  <c r="D648" i="20"/>
  <c r="D460" i="20"/>
  <c r="D758" i="20"/>
  <c r="D461" i="20"/>
  <c r="D462" i="20"/>
  <c r="D463" i="20"/>
  <c r="D464" i="20"/>
  <c r="D600" i="20"/>
  <c r="D555" i="20"/>
  <c r="D554" i="20"/>
  <c r="D1913" i="20"/>
  <c r="D1463" i="20"/>
  <c r="D1329" i="20"/>
  <c r="D70" i="20"/>
  <c r="D1592" i="20"/>
  <c r="D1593" i="20"/>
  <c r="D1999" i="20"/>
  <c r="D923" i="20"/>
  <c r="D924" i="20"/>
  <c r="D16" i="20"/>
  <c r="D556" i="20"/>
  <c r="D840" i="20"/>
  <c r="O1746" i="20"/>
  <c r="L1746" i="20" s="1"/>
  <c r="O2027" i="20"/>
  <c r="L2027" i="20" s="1"/>
  <c r="O657" i="20"/>
  <c r="L657" i="20" s="1"/>
  <c r="O656" i="20"/>
  <c r="L656" i="20" s="1"/>
  <c r="O1413" i="20"/>
  <c r="L1413" i="20" s="1"/>
  <c r="O1412" i="20"/>
  <c r="L1412" i="20" s="1"/>
  <c r="O2026" i="20"/>
  <c r="L2026" i="20" s="1"/>
  <c r="O1723" i="20"/>
  <c r="L1723" i="20" s="1"/>
  <c r="O1411" i="20"/>
  <c r="L1411" i="20" s="1"/>
  <c r="O2025" i="20"/>
  <c r="L2025" i="20" s="1"/>
  <c r="O1011" i="20"/>
  <c r="L1011" i="20" s="1"/>
  <c r="O1455" i="20"/>
  <c r="L1455" i="20" s="1"/>
  <c r="O55" i="20"/>
  <c r="L55" i="20" s="1"/>
  <c r="O54" i="20"/>
  <c r="L54" i="20" s="1"/>
  <c r="O708" i="20"/>
  <c r="L708" i="20" s="1"/>
  <c r="O846" i="20"/>
  <c r="L846" i="20" s="1"/>
  <c r="O1314" i="20"/>
  <c r="L1314" i="20" s="1"/>
  <c r="O1313" i="20"/>
  <c r="L1313" i="20" s="1"/>
  <c r="O110" i="20"/>
  <c r="L110" i="20" s="1"/>
  <c r="O109" i="20"/>
  <c r="L109" i="20" s="1"/>
  <c r="O812" i="20"/>
  <c r="L812" i="20" s="1"/>
  <c r="O79" i="20"/>
  <c r="L79" i="20" s="1"/>
  <c r="O108" i="20"/>
  <c r="L108" i="20" s="1"/>
  <c r="O374" i="20"/>
  <c r="L374" i="20" s="1"/>
  <c r="O107" i="20"/>
  <c r="L107" i="20" s="1"/>
  <c r="O99" i="20"/>
  <c r="L99" i="20" s="1"/>
  <c r="O901" i="20"/>
  <c r="L901" i="20" s="1"/>
  <c r="O373" i="20"/>
  <c r="L373" i="20" s="1"/>
  <c r="O900" i="20"/>
  <c r="L900" i="20" s="1"/>
  <c r="O899" i="20"/>
  <c r="L899" i="20" s="1"/>
  <c r="O2024" i="20"/>
  <c r="L2024" i="20" s="1"/>
  <c r="O1526" i="20"/>
  <c r="L1526" i="20" s="1"/>
  <c r="O655" i="20"/>
  <c r="L655" i="20" s="1"/>
  <c r="O1630" i="20"/>
  <c r="L1630" i="20" s="1"/>
  <c r="O1010" i="20"/>
  <c r="L1010" i="20" s="1"/>
  <c r="O840" i="20"/>
  <c r="L840" i="20" s="1"/>
  <c r="O556" i="20"/>
  <c r="L556" i="20" s="1"/>
  <c r="O16" i="20"/>
  <c r="L16" i="20" s="1"/>
  <c r="O541" i="20"/>
  <c r="L541" i="20" s="1"/>
  <c r="O924" i="20"/>
  <c r="L924" i="20" s="1"/>
  <c r="O923" i="20"/>
  <c r="L923" i="20" s="1"/>
  <c r="O918" i="20"/>
  <c r="L918" i="20" s="1"/>
  <c r="O1999" i="20"/>
  <c r="L1999" i="20" s="1"/>
  <c r="O917" i="20"/>
  <c r="L917" i="20" s="1"/>
  <c r="O1593" i="20"/>
  <c r="L1593" i="20" s="1"/>
  <c r="O1592" i="20"/>
  <c r="L1592" i="20" s="1"/>
  <c r="O70" i="20"/>
  <c r="L70" i="20" s="1"/>
  <c r="O1591" i="20"/>
  <c r="L1591" i="20" s="1"/>
  <c r="O1329" i="20"/>
  <c r="L1329" i="20" s="1"/>
  <c r="O1594" i="20"/>
  <c r="L1594" i="20" s="1"/>
  <c r="O1463" i="20"/>
  <c r="L1463" i="20" s="1"/>
  <c r="O1199" i="20"/>
  <c r="L1199" i="20" s="1"/>
  <c r="O1198" i="20"/>
  <c r="L1198" i="20" s="1"/>
  <c r="O1197" i="20"/>
  <c r="L1197" i="20" s="1"/>
  <c r="O1191" i="20"/>
  <c r="L1191" i="20" s="1"/>
  <c r="O1602" i="20"/>
  <c r="L1602" i="20" s="1"/>
  <c r="O822" i="20"/>
  <c r="L822" i="20" s="1"/>
  <c r="O267" i="20"/>
  <c r="L267" i="20" s="1"/>
  <c r="O555" i="20"/>
  <c r="L555" i="20" s="1"/>
  <c r="O554" i="20"/>
  <c r="L554" i="20" s="1"/>
  <c r="O1913" i="20"/>
  <c r="L1913" i="20" s="1"/>
  <c r="O538" i="20"/>
  <c r="L538" i="20" s="1"/>
  <c r="O537" i="20"/>
  <c r="L537" i="20" s="1"/>
  <c r="O222" i="20"/>
  <c r="L222" i="20" s="1"/>
  <c r="O616" i="20"/>
  <c r="L616" i="20" s="1"/>
  <c r="O448" i="20"/>
  <c r="L448" i="20" s="1"/>
  <c r="O600" i="20"/>
  <c r="L600" i="20" s="1"/>
  <c r="O615" i="20"/>
  <c r="L615" i="20" s="1"/>
  <c r="O797" i="20"/>
  <c r="L797" i="20" s="1"/>
  <c r="O599" i="20"/>
  <c r="L599" i="20" s="1"/>
  <c r="O598" i="20"/>
  <c r="L598" i="20" s="1"/>
  <c r="O464" i="20"/>
  <c r="L464" i="20" s="1"/>
  <c r="O463" i="20"/>
  <c r="L463" i="20" s="1"/>
  <c r="O462" i="20"/>
  <c r="L462" i="20" s="1"/>
  <c r="O461" i="20"/>
  <c r="L461" i="20" s="1"/>
  <c r="O758" i="20"/>
  <c r="L758" i="20" s="1"/>
  <c r="O460" i="20"/>
  <c r="L460" i="20" s="1"/>
  <c r="O442" i="20"/>
  <c r="L442" i="20" s="1"/>
  <c r="O648" i="20"/>
  <c r="L648" i="20" s="1"/>
  <c r="O647" i="20"/>
  <c r="L647" i="20" s="1"/>
  <c r="O646" i="20"/>
  <c r="L646" i="20" s="1"/>
  <c r="O1494" i="20"/>
  <c r="L1494" i="20" s="1"/>
  <c r="O645" i="20"/>
  <c r="L645" i="20" s="1"/>
  <c r="O1196" i="20"/>
  <c r="L1196" i="20" s="1"/>
  <c r="O459" i="20"/>
  <c r="L459" i="20" s="1"/>
  <c r="O458" i="20"/>
  <c r="L458" i="20" s="1"/>
  <c r="O264" i="20"/>
  <c r="L264" i="20" s="1"/>
  <c r="O438" i="20"/>
  <c r="L438" i="20" s="1"/>
  <c r="O835" i="20"/>
  <c r="L835" i="20" s="1"/>
  <c r="O1625" i="20"/>
  <c r="L1625" i="20" s="1"/>
  <c r="O1624" i="20"/>
  <c r="L1624" i="20" s="1"/>
  <c r="O1601" i="20"/>
  <c r="L1601" i="20" s="1"/>
  <c r="O641" i="20"/>
  <c r="L641" i="20" s="1"/>
  <c r="O640" i="20"/>
  <c r="L640" i="20" s="1"/>
  <c r="O639" i="20"/>
  <c r="L639" i="20" s="1"/>
  <c r="O1600" i="20"/>
  <c r="L1600" i="20" s="1"/>
  <c r="O1599" i="20"/>
  <c r="L1599" i="20" s="1"/>
  <c r="O221" i="20"/>
  <c r="L221" i="20" s="1"/>
  <c r="O1936" i="20"/>
  <c r="L1936" i="20" s="1"/>
  <c r="O1405" i="20"/>
  <c r="L1405" i="20" s="1"/>
  <c r="O1404" i="20"/>
  <c r="L1404" i="20" s="1"/>
  <c r="O1403" i="20"/>
  <c r="L1403" i="20" s="1"/>
  <c r="O359" i="20"/>
  <c r="L359" i="20" s="1"/>
  <c r="O1402" i="20"/>
  <c r="L1402" i="20" s="1"/>
  <c r="O1401" i="20"/>
  <c r="L1401" i="20" s="1"/>
  <c r="O1400" i="20"/>
  <c r="L1400" i="20" s="1"/>
  <c r="O1399" i="20"/>
  <c r="L1399" i="20" s="1"/>
  <c r="O1398" i="20"/>
  <c r="L1398" i="20" s="1"/>
  <c r="O1397" i="20"/>
  <c r="L1397" i="20" s="1"/>
  <c r="O1229" i="20"/>
  <c r="L1229" i="20" s="1"/>
  <c r="O1306" i="20"/>
  <c r="L1306" i="20" s="1"/>
  <c r="O1305" i="20"/>
  <c r="L1305" i="20" s="1"/>
  <c r="O347" i="20"/>
  <c r="L347" i="20" s="1"/>
  <c r="O1304" i="20"/>
  <c r="L1304" i="20" s="1"/>
  <c r="O1303" i="20"/>
  <c r="L1303" i="20" s="1"/>
  <c r="O1302" i="20"/>
  <c r="L1302" i="20" s="1"/>
  <c r="O995" i="20"/>
  <c r="L995" i="20" s="1"/>
  <c r="O638" i="20"/>
  <c r="L638" i="20" s="1"/>
  <c r="O1095" i="20"/>
  <c r="L1095" i="20" s="1"/>
  <c r="O1286" i="20"/>
  <c r="L1286" i="20" s="1"/>
  <c r="O1238" i="20"/>
  <c r="L1238" i="20" s="1"/>
  <c r="O1122" i="20"/>
  <c r="L1122" i="20" s="1"/>
  <c r="O1228" i="20"/>
  <c r="L1228" i="20" s="1"/>
  <c r="O1389" i="20"/>
  <c r="L1389" i="20" s="1"/>
  <c r="O1216" i="20"/>
  <c r="L1216" i="20" s="1"/>
  <c r="O1227" i="20"/>
  <c r="L1227" i="20" s="1"/>
  <c r="O220" i="20"/>
  <c r="L220" i="20" s="1"/>
  <c r="O1878" i="20"/>
  <c r="L1878" i="20" s="1"/>
  <c r="O1985" i="20"/>
  <c r="L1985" i="20" s="1"/>
  <c r="O1858" i="20"/>
  <c r="L1858" i="20" s="1"/>
  <c r="O1998" i="20"/>
  <c r="L1998" i="20" s="1"/>
  <c r="O1853" i="20"/>
  <c r="L1853" i="20" s="1"/>
  <c r="O1852" i="20"/>
  <c r="L1852" i="20" s="1"/>
  <c r="O218" i="20"/>
  <c r="L218" i="20" s="1"/>
  <c r="O981" i="20"/>
  <c r="L981" i="20" s="1"/>
  <c r="O892" i="20"/>
  <c r="L892" i="20" s="1"/>
  <c r="O881" i="20"/>
  <c r="L881" i="20" s="1"/>
  <c r="O1678" i="20"/>
  <c r="L1678" i="20" s="1"/>
  <c r="O217" i="20"/>
  <c r="L217" i="20" s="1"/>
  <c r="O1623" i="20"/>
  <c r="L1623" i="20" s="1"/>
  <c r="O1622" i="20"/>
  <c r="L1622" i="20" s="1"/>
  <c r="O1621" i="20"/>
  <c r="L1621" i="20" s="1"/>
  <c r="O1620" i="20"/>
  <c r="L1620" i="20" s="1"/>
  <c r="O1619" i="20"/>
  <c r="L1619" i="20" s="1"/>
  <c r="O1618" i="20"/>
  <c r="L1618" i="20" s="1"/>
  <c r="O1617" i="20"/>
  <c r="L1617" i="20" s="1"/>
  <c r="O1616" i="20"/>
  <c r="L1616" i="20" s="1"/>
  <c r="O114" i="20"/>
  <c r="L114" i="20" s="1"/>
  <c r="O637" i="20"/>
  <c r="L637" i="20" s="1"/>
  <c r="O1615" i="20"/>
  <c r="L1615" i="20" s="1"/>
  <c r="O1614" i="20"/>
  <c r="L1614" i="20" s="1"/>
  <c r="O1613" i="20"/>
  <c r="L1613" i="20" s="1"/>
  <c r="O1598" i="20"/>
  <c r="L1598" i="20" s="1"/>
  <c r="O867" i="20"/>
  <c r="L867" i="20" s="1"/>
  <c r="O860" i="20"/>
  <c r="L860" i="20" s="1"/>
  <c r="O859" i="20"/>
  <c r="L859" i="20" s="1"/>
  <c r="O922" i="20"/>
  <c r="L922" i="20" s="1"/>
  <c r="O921" i="20"/>
  <c r="L921" i="20" s="1"/>
  <c r="O891" i="20"/>
  <c r="L891" i="20" s="1"/>
  <c r="O858" i="20"/>
  <c r="L858" i="20" s="1"/>
  <c r="O916" i="20"/>
  <c r="L916" i="20" s="1"/>
  <c r="O821" i="20"/>
  <c r="L821" i="20" s="1"/>
  <c r="O216" i="20"/>
  <c r="L216" i="20" s="1"/>
  <c r="O14" i="20"/>
  <c r="L14" i="20" s="1"/>
  <c r="O880" i="20"/>
  <c r="L880" i="20" s="1"/>
  <c r="O1612" i="20"/>
  <c r="L1612" i="20" s="1"/>
  <c r="O1120" i="20"/>
  <c r="L1120" i="20" s="1"/>
  <c r="O890" i="20"/>
  <c r="L890" i="20" s="1"/>
  <c r="O1610" i="20"/>
  <c r="L1610" i="20" s="1"/>
  <c r="O1109" i="20"/>
  <c r="L1109" i="20" s="1"/>
  <c r="O1117" i="20"/>
  <c r="L1117" i="20" s="1"/>
  <c r="O436" i="20"/>
  <c r="L436" i="20" s="1"/>
  <c r="O613" i="20"/>
  <c r="L613" i="20" s="1"/>
  <c r="O44" i="20"/>
  <c r="L44" i="20" s="1"/>
  <c r="O1893" i="20"/>
  <c r="L1893" i="20" s="1"/>
  <c r="O387" i="20"/>
  <c r="L387" i="20" s="1"/>
  <c r="O400" i="20"/>
  <c r="L400" i="20" s="1"/>
  <c r="O393" i="20"/>
  <c r="L393" i="20" s="1"/>
  <c r="O823" i="20"/>
  <c r="L823" i="20" s="1"/>
  <c r="O1192" i="20"/>
  <c r="L1192" i="20" s="1"/>
  <c r="O778" i="20"/>
  <c r="L778" i="20" s="1"/>
  <c r="O777" i="20"/>
  <c r="L777" i="20" s="1"/>
  <c r="O772" i="20"/>
  <c r="L772" i="20" s="1"/>
  <c r="O1829" i="20"/>
  <c r="L1829" i="20" s="1"/>
  <c r="O452" i="20"/>
  <c r="L452" i="20" s="1"/>
  <c r="O2014" i="20"/>
  <c r="L2014" i="20" s="1"/>
  <c r="O157" i="20"/>
  <c r="L157" i="20" s="1"/>
  <c r="O836" i="20"/>
  <c r="L836" i="20" s="1"/>
  <c r="O828" i="20"/>
  <c r="L828" i="20" s="1"/>
  <c r="O154" i="20"/>
  <c r="L154" i="20" s="1"/>
  <c r="O626" i="20"/>
  <c r="L626" i="20" s="1"/>
  <c r="O593" i="20"/>
  <c r="L593" i="20" s="1"/>
  <c r="O28" i="20"/>
  <c r="L28" i="20" s="1"/>
  <c r="O704" i="20"/>
  <c r="L704" i="20" s="1"/>
  <c r="O227" i="20"/>
  <c r="L227" i="20" s="1"/>
  <c r="O451" i="20"/>
  <c r="L451" i="20" s="1"/>
  <c r="O1568" i="20"/>
  <c r="L1568" i="20" s="1"/>
  <c r="O624" i="20"/>
  <c r="L624" i="20" s="1"/>
  <c r="O225" i="20"/>
  <c r="L225" i="20" s="1"/>
  <c r="O73" i="20"/>
  <c r="L73" i="20" s="1"/>
  <c r="O1963" i="20"/>
  <c r="L1963" i="20" s="1"/>
  <c r="O2068" i="20"/>
  <c r="L2068" i="20" s="1"/>
  <c r="O2052" i="20"/>
  <c r="L2052" i="20" s="1"/>
  <c r="O2012" i="20"/>
  <c r="L2012" i="20" s="1"/>
  <c r="O2100" i="20"/>
  <c r="L2100" i="20" s="1"/>
  <c r="O1442" i="20"/>
  <c r="L1442" i="20" s="1"/>
  <c r="O370" i="20"/>
  <c r="L370" i="20" s="1"/>
  <c r="O153" i="20"/>
  <c r="L153" i="20" s="1"/>
  <c r="O152" i="20"/>
  <c r="L152" i="20" s="1"/>
  <c r="O224" i="20"/>
  <c r="L224" i="20" s="1"/>
  <c r="O2011" i="20"/>
  <c r="L2011" i="20" s="1"/>
  <c r="O882" i="20"/>
  <c r="L882" i="20" s="1"/>
  <c r="O703" i="20"/>
  <c r="L703" i="20" s="1"/>
  <c r="O1943" i="20"/>
  <c r="L1943" i="20" s="1"/>
  <c r="O2122" i="20"/>
  <c r="L2122" i="20" s="1"/>
  <c r="O1942" i="20"/>
  <c r="L1942" i="20" s="1"/>
  <c r="O1941" i="20"/>
  <c r="L1941" i="20" s="1"/>
  <c r="O355" i="20"/>
  <c r="L355" i="20" s="1"/>
  <c r="O2121" i="20"/>
  <c r="L2121" i="20" s="1"/>
  <c r="O2120" i="20"/>
  <c r="L2120" i="20" s="1"/>
  <c r="O2119" i="20"/>
  <c r="L2119" i="20" s="1"/>
  <c r="O1937" i="20"/>
  <c r="L1937" i="20" s="1"/>
  <c r="O2010" i="20"/>
  <c r="L2010" i="20" s="1"/>
  <c r="O15" i="20"/>
  <c r="L15" i="20" s="1"/>
  <c r="O1681" i="20"/>
  <c r="L1681" i="20" s="1"/>
  <c r="O1390" i="20"/>
  <c r="L1390" i="20" s="1"/>
  <c r="O223" i="20"/>
  <c r="L223" i="20" s="1"/>
  <c r="O2002" i="20"/>
  <c r="L2002" i="20" s="1"/>
  <c r="O1976" i="20"/>
  <c r="L1976" i="20" s="1"/>
  <c r="O2009" i="20"/>
  <c r="L2009" i="20" s="1"/>
  <c r="O1979" i="20"/>
  <c r="L1979" i="20" s="1"/>
  <c r="O1740" i="20"/>
  <c r="L1740" i="20" s="1"/>
  <c r="O1510" i="20"/>
  <c r="L1510" i="20" s="1"/>
  <c r="O1890" i="20"/>
  <c r="L1890" i="20" s="1"/>
  <c r="O1321" i="20"/>
  <c r="L1321" i="20" s="1"/>
  <c r="O450" i="20"/>
  <c r="L450" i="20" s="1"/>
  <c r="O623" i="20"/>
  <c r="L623" i="20" s="1"/>
  <c r="O1564" i="20"/>
  <c r="L1564" i="20" s="1"/>
  <c r="O1300" i="20"/>
  <c r="L1300" i="20" s="1"/>
  <c r="O1299" i="20"/>
  <c r="L1299" i="20" s="1"/>
  <c r="O1298" i="20"/>
  <c r="L1298" i="20" s="1"/>
  <c r="O1287" i="20"/>
  <c r="L1287" i="20" s="1"/>
  <c r="O1563" i="20"/>
  <c r="L1563" i="20" s="1"/>
  <c r="O1562" i="20"/>
  <c r="L1562" i="20" s="1"/>
  <c r="O1561" i="20"/>
  <c r="L1561" i="20" s="1"/>
  <c r="O1560" i="20"/>
  <c r="L1560" i="20" s="1"/>
  <c r="O1559" i="20"/>
  <c r="L1559" i="20" s="1"/>
  <c r="O1558" i="20"/>
  <c r="L1558" i="20" s="1"/>
  <c r="O1557" i="20"/>
  <c r="L1557" i="20" s="1"/>
  <c r="O1517" i="20"/>
  <c r="L1517" i="20" s="1"/>
  <c r="O1516" i="20"/>
  <c r="L1516" i="20" s="1"/>
  <c r="O1515" i="20"/>
  <c r="L1515" i="20" s="1"/>
  <c r="O1514" i="20"/>
  <c r="L1514" i="20" s="1"/>
  <c r="O1513" i="20"/>
  <c r="L1513" i="20" s="1"/>
  <c r="O1512" i="20"/>
  <c r="L1512" i="20" s="1"/>
  <c r="O1511" i="20"/>
  <c r="L1511" i="20" s="1"/>
  <c r="O1509" i="20"/>
  <c r="L1509" i="20" s="1"/>
  <c r="O1827" i="20"/>
  <c r="L1827" i="20" s="1"/>
  <c r="O1797" i="20"/>
  <c r="L1797" i="20" s="1"/>
  <c r="O215" i="20"/>
  <c r="L215" i="20" s="1"/>
  <c r="O1677" i="20"/>
  <c r="L1677" i="20" s="1"/>
  <c r="O702" i="20"/>
  <c r="L702" i="20" s="1"/>
  <c r="O1689" i="20"/>
  <c r="L1689" i="20" s="1"/>
  <c r="O1688" i="20"/>
  <c r="L1688" i="20" s="1"/>
  <c r="O1801" i="20"/>
  <c r="L1801" i="20" s="1"/>
  <c r="O1687" i="20"/>
  <c r="L1687" i="20" s="1"/>
  <c r="O1685" i="20"/>
  <c r="L1685" i="20" s="1"/>
  <c r="O1684" i="20"/>
  <c r="L1684" i="20" s="1"/>
  <c r="O1597" i="20"/>
  <c r="L1597" i="20" s="1"/>
  <c r="O698" i="20"/>
  <c r="L698" i="20" s="1"/>
  <c r="O1683" i="20"/>
  <c r="L1683" i="20" s="1"/>
  <c r="O1682" i="20"/>
  <c r="L1682" i="20" s="1"/>
  <c r="O690" i="20"/>
  <c r="L690" i="20" s="1"/>
  <c r="O1297" i="20"/>
  <c r="L1297" i="20" s="1"/>
  <c r="O38" i="20"/>
  <c r="L38" i="20" s="1"/>
  <c r="O72" i="20"/>
  <c r="L72" i="20" s="1"/>
  <c r="O1604" i="20"/>
  <c r="L1604" i="20" s="1"/>
  <c r="O37" i="20"/>
  <c r="L37" i="20" s="1"/>
  <c r="O36" i="20"/>
  <c r="L36" i="20" s="1"/>
  <c r="O1296" i="20"/>
  <c r="L1296" i="20" s="1"/>
  <c r="O689" i="20"/>
  <c r="L689" i="20" s="1"/>
  <c r="O688" i="20"/>
  <c r="L688" i="20" s="1"/>
  <c r="A600" i="20" l="1"/>
  <c r="A645" i="20"/>
  <c r="A1625" i="20"/>
  <c r="A1404" i="20"/>
  <c r="A1401" i="20"/>
  <c r="A1397" i="20"/>
  <c r="A1303" i="20"/>
  <c r="A638" i="20"/>
  <c r="A1858" i="20"/>
  <c r="A921" i="20"/>
  <c r="A890" i="20"/>
  <c r="A44" i="20"/>
  <c r="A393" i="20"/>
  <c r="A452" i="20"/>
  <c r="A1942" i="20"/>
  <c r="A2119" i="20"/>
  <c r="A554" i="20"/>
  <c r="A28" i="20"/>
  <c r="A2100" i="20"/>
  <c r="A2011" i="20"/>
  <c r="A1941" i="20"/>
  <c r="A2010" i="20"/>
  <c r="A1740" i="20"/>
  <c r="A450" i="20"/>
  <c r="A1298" i="20"/>
  <c r="A1560" i="20"/>
  <c r="A1516" i="20"/>
  <c r="A1512" i="20"/>
  <c r="A1688" i="20"/>
  <c r="A1684" i="20"/>
  <c r="A1297" i="20"/>
  <c r="A37" i="20"/>
  <c r="A823" i="20"/>
  <c r="A154" i="20"/>
  <c r="A689" i="20"/>
  <c r="A215" i="20"/>
  <c r="A880" i="20"/>
  <c r="A704" i="20"/>
  <c r="A451" i="20"/>
  <c r="A2068" i="20"/>
  <c r="A1943" i="20"/>
  <c r="A2121" i="20"/>
  <c r="A15" i="20"/>
  <c r="A623" i="20"/>
  <c r="A1563" i="20"/>
  <c r="A1559" i="20"/>
  <c r="A1511" i="20"/>
  <c r="A1801" i="20"/>
  <c r="A698" i="20"/>
  <c r="A38" i="20"/>
  <c r="A36" i="20"/>
  <c r="A1192" i="20"/>
  <c r="A225" i="20"/>
  <c r="A690" i="20"/>
  <c r="A613" i="20"/>
  <c r="A626" i="20"/>
  <c r="A227" i="20"/>
  <c r="A1568" i="20"/>
  <c r="A2052" i="20"/>
  <c r="A1442" i="20"/>
  <c r="A2009" i="20"/>
  <c r="A1890" i="20"/>
  <c r="A1300" i="20"/>
  <c r="A1562" i="20"/>
  <c r="A1558" i="20"/>
  <c r="A1514" i="20"/>
  <c r="A702" i="20"/>
  <c r="A1687" i="20"/>
  <c r="A1683" i="20"/>
  <c r="A72" i="20"/>
  <c r="A1296" i="20"/>
  <c r="A772" i="20"/>
  <c r="A1597" i="20"/>
  <c r="A436" i="20"/>
  <c r="A216" i="20"/>
  <c r="A858" i="20"/>
  <c r="A114" i="20"/>
  <c r="A461" i="20"/>
  <c r="A647" i="20"/>
  <c r="A1613" i="20"/>
  <c r="A891" i="20"/>
  <c r="A1893" i="20"/>
  <c r="A778" i="20"/>
  <c r="A2014" i="20"/>
  <c r="A867" i="20"/>
  <c r="A1612" i="20"/>
  <c r="A1610" i="20"/>
  <c r="A387" i="20"/>
  <c r="A777" i="20"/>
  <c r="A14" i="20"/>
  <c r="A1494" i="20"/>
  <c r="A458" i="20"/>
  <c r="A1623" i="20"/>
  <c r="A922" i="20"/>
  <c r="A1120" i="20"/>
  <c r="A1117" i="20"/>
  <c r="A400" i="20"/>
  <c r="A1829" i="20"/>
  <c r="A821" i="20"/>
  <c r="A859" i="20"/>
  <c r="A217" i="20"/>
  <c r="A1593" i="20"/>
  <c r="A1463" i="20"/>
  <c r="A1913" i="20"/>
  <c r="A860" i="20"/>
  <c r="A1678" i="20"/>
  <c r="A646" i="20"/>
  <c r="A459" i="20"/>
  <c r="A924" i="20"/>
  <c r="A1515" i="20"/>
  <c r="A916" i="20"/>
  <c r="A1598" i="20"/>
  <c r="A881" i="20"/>
  <c r="A70" i="20"/>
  <c r="A555" i="20"/>
  <c r="A2122" i="20"/>
  <c r="A1999" i="20"/>
  <c r="A593" i="20"/>
  <c r="A624" i="20"/>
  <c r="A2012" i="20"/>
  <c r="A370" i="20"/>
  <c r="A1979" i="20"/>
  <c r="A1321" i="20"/>
  <c r="A1299" i="20"/>
  <c r="A1561" i="20"/>
  <c r="A1517" i="20"/>
  <c r="A1513" i="20"/>
  <c r="A1689" i="20"/>
  <c r="A1685" i="20"/>
  <c r="A1682" i="20"/>
  <c r="A1604" i="20"/>
  <c r="A836" i="20"/>
  <c r="A688" i="20"/>
  <c r="A1677" i="20"/>
  <c r="A1109" i="20"/>
  <c r="A840" i="20"/>
  <c r="A923" i="20"/>
  <c r="A1199" i="20"/>
  <c r="A464" i="20"/>
  <c r="A758" i="20"/>
  <c r="A640" i="20"/>
  <c r="A1403" i="20"/>
  <c r="A1400" i="20"/>
  <c r="A1305" i="20"/>
  <c r="A1302" i="20"/>
  <c r="A1095" i="20"/>
  <c r="A1998" i="20"/>
  <c r="A1621" i="20"/>
  <c r="A1617" i="20"/>
  <c r="A556" i="20"/>
  <c r="A1198" i="20"/>
  <c r="A463" i="20"/>
  <c r="A460" i="20"/>
  <c r="A1624" i="20"/>
  <c r="A639" i="20"/>
  <c r="A359" i="20"/>
  <c r="A1399" i="20"/>
  <c r="A347" i="20"/>
  <c r="A995" i="20"/>
  <c r="A1238" i="20"/>
  <c r="A892" i="20"/>
  <c r="A1620" i="20"/>
  <c r="A1616" i="20"/>
  <c r="A16" i="20"/>
  <c r="A1329" i="20"/>
  <c r="A1197" i="20"/>
  <c r="A462" i="20"/>
  <c r="A648" i="20"/>
  <c r="A1405" i="20"/>
  <c r="A1402" i="20"/>
  <c r="A1398" i="20"/>
  <c r="A1304" i="20"/>
  <c r="A1122" i="20"/>
  <c r="A641" i="20"/>
  <c r="A1619" i="20"/>
  <c r="A1615" i="20"/>
  <c r="A1592" i="20"/>
  <c r="A1196" i="20"/>
  <c r="A1622" i="20"/>
  <c r="A1618" i="20"/>
  <c r="A1614" i="20"/>
  <c r="O88" i="20" l="1"/>
  <c r="L88" i="20" s="1"/>
  <c r="D88" i="20"/>
  <c r="O97" i="20"/>
  <c r="L97" i="20" s="1"/>
  <c r="D97" i="20"/>
  <c r="O98" i="20"/>
  <c r="L98" i="20" s="1"/>
  <c r="D98" i="20"/>
  <c r="O266" i="20"/>
  <c r="L266" i="20" s="1"/>
  <c r="D266" i="20"/>
  <c r="O410" i="20"/>
  <c r="L410" i="20" s="1"/>
  <c r="O635" i="20"/>
  <c r="L635" i="20" s="1"/>
  <c r="D635" i="20"/>
  <c r="O408" i="20"/>
  <c r="L408" i="20" s="1"/>
  <c r="O407" i="20"/>
  <c r="L407" i="20" s="1"/>
  <c r="D407" i="20"/>
  <c r="O403" i="20"/>
  <c r="L403" i="20" s="1"/>
  <c r="D403" i="20"/>
  <c r="O405" i="20"/>
  <c r="L405" i="20" s="1"/>
  <c r="A88" i="20" l="1"/>
  <c r="A405" i="20"/>
  <c r="A407" i="20"/>
  <c r="A97" i="20"/>
  <c r="A403" i="20"/>
  <c r="A98" i="20"/>
  <c r="A266" i="20"/>
  <c r="A635" i="20"/>
  <c r="A410" i="20"/>
  <c r="A408" i="20"/>
  <c r="O155" i="20"/>
  <c r="L155" i="20" s="1"/>
  <c r="O1356" i="20"/>
  <c r="L1356" i="20" s="1"/>
  <c r="O1603" i="20"/>
  <c r="L1603" i="20" s="1"/>
  <c r="O93" i="20"/>
  <c r="L93" i="20" s="1"/>
  <c r="O226" i="20"/>
  <c r="L226" i="20" s="1"/>
  <c r="O250" i="20"/>
  <c r="L250" i="20" s="1"/>
  <c r="O341" i="20"/>
  <c r="L341" i="20" s="1"/>
  <c r="O156" i="20"/>
  <c r="L156" i="20" s="1"/>
  <c r="O1391" i="20"/>
  <c r="L1391" i="20" s="1"/>
  <c r="O1444" i="20"/>
  <c r="L1444" i="20" s="1"/>
  <c r="O1392" i="20"/>
  <c r="L1392" i="20" s="1"/>
  <c r="O279" i="20"/>
  <c r="L279" i="20" s="1"/>
  <c r="O369" i="20"/>
  <c r="L369" i="20" s="1"/>
  <c r="O1190" i="20"/>
  <c r="L1190" i="20" s="1"/>
  <c r="O2015" i="20"/>
  <c r="L2015" i="20" s="1"/>
  <c r="O1803" i="20"/>
  <c r="L1803" i="20" s="1"/>
  <c r="O1819" i="20"/>
  <c r="L1819" i="20" s="1"/>
  <c r="O1830" i="20"/>
  <c r="L1830" i="20" s="1"/>
  <c r="O1855" i="20"/>
  <c r="L1855" i="20" s="1"/>
  <c r="O1879" i="20"/>
  <c r="L1879" i="20" s="1"/>
  <c r="O1894" i="20"/>
  <c r="L1894" i="20" s="1"/>
  <c r="O1906" i="20"/>
  <c r="L1906" i="20" s="1"/>
  <c r="O76" i="20"/>
  <c r="L76" i="20" s="1"/>
  <c r="O228" i="20"/>
  <c r="L228" i="20" s="1"/>
  <c r="O802" i="20"/>
  <c r="L802" i="20" s="1"/>
  <c r="O829" i="20"/>
  <c r="L829" i="20" s="1"/>
  <c r="O837" i="20"/>
  <c r="L837" i="20" s="1"/>
  <c r="O1966" i="20"/>
  <c r="L1966" i="20" s="1"/>
  <c r="O2053" i="20"/>
  <c r="L2053" i="20" s="1"/>
  <c r="O803" i="20"/>
  <c r="L803" i="20" s="1"/>
  <c r="O627" i="20"/>
  <c r="L627" i="20" s="1"/>
  <c r="O838" i="20"/>
  <c r="L838" i="20" s="1"/>
  <c r="O1569" i="20"/>
  <c r="L1569" i="20" s="1"/>
  <c r="O628" i="20"/>
  <c r="L628" i="20" s="1"/>
  <c r="O1488" i="20"/>
  <c r="L1488" i="20" s="1"/>
  <c r="O991" i="20"/>
  <c r="L991" i="20" s="1"/>
  <c r="O1831" i="20"/>
  <c r="L1831" i="20" s="1"/>
  <c r="O629" i="20"/>
  <c r="L629" i="20" s="1"/>
  <c r="O1193" i="20"/>
  <c r="L1193" i="20" s="1"/>
  <c r="O453" i="20"/>
  <c r="L453" i="20" s="1"/>
  <c r="O454" i="20"/>
  <c r="L454" i="20" s="1"/>
  <c r="O595" i="20"/>
  <c r="L595" i="20" s="1"/>
  <c r="O158" i="20"/>
  <c r="L158" i="20" s="1"/>
  <c r="O1194" i="20"/>
  <c r="L1194" i="20" s="1"/>
  <c r="O229" i="20"/>
  <c r="L229" i="20" s="1"/>
  <c r="O455" i="20"/>
  <c r="L455" i="20" s="1"/>
  <c r="O630" i="20"/>
  <c r="L630" i="20" s="1"/>
  <c r="O779" i="20"/>
  <c r="L779" i="20" s="1"/>
  <c r="O780" i="20"/>
  <c r="L780" i="20" s="1"/>
  <c r="O839" i="20"/>
  <c r="L839" i="20" s="1"/>
  <c r="O1393" i="20"/>
  <c r="L1393" i="20" s="1"/>
  <c r="O1856" i="20"/>
  <c r="L1856" i="20" s="1"/>
  <c r="O1907" i="20"/>
  <c r="L1907" i="20" s="1"/>
  <c r="O2070" i="20"/>
  <c r="L2070" i="20" s="1"/>
  <c r="O1518" i="20"/>
  <c r="L1518" i="20" s="1"/>
  <c r="O1967" i="20"/>
  <c r="L1967" i="20" s="1"/>
  <c r="O1832" i="20"/>
  <c r="L1832" i="20" s="1"/>
  <c r="O1908" i="20"/>
  <c r="L1908" i="20" s="1"/>
  <c r="O2071" i="20"/>
  <c r="L2071" i="20" s="1"/>
  <c r="O2083" i="20"/>
  <c r="L2083" i="20" s="1"/>
  <c r="O542" i="20"/>
  <c r="L542" i="20" s="1"/>
  <c r="O804" i="20"/>
  <c r="L804" i="20" s="1"/>
  <c r="O1790" i="20"/>
  <c r="L1790" i="20" s="1"/>
  <c r="O2034" i="20"/>
  <c r="L2034" i="20" s="1"/>
  <c r="O2158" i="20"/>
  <c r="L2158" i="20" s="1"/>
  <c r="O2163" i="20"/>
  <c r="L2163" i="20" s="1"/>
  <c r="O131" i="20"/>
  <c r="L131" i="20" s="1"/>
  <c r="O378" i="20"/>
  <c r="L378" i="20" s="1"/>
  <c r="O1764" i="20"/>
  <c r="L1764" i="20" s="1"/>
  <c r="O1783" i="20"/>
  <c r="L1783" i="20" s="1"/>
  <c r="O2130" i="20"/>
  <c r="L2130" i="20" s="1"/>
  <c r="O2072" i="20"/>
  <c r="L2072" i="20" s="1"/>
  <c r="O2017" i="20"/>
  <c r="L2017" i="20" s="1"/>
  <c r="O2035" i="20"/>
  <c r="L2035" i="20" s="1"/>
  <c r="O2044" i="20"/>
  <c r="L2044" i="20" s="1"/>
  <c r="O2108" i="20"/>
  <c r="L2108" i="20" s="1"/>
  <c r="O2113" i="20"/>
  <c r="L2113" i="20" s="1"/>
  <c r="O2123" i="20"/>
  <c r="L2123" i="20" s="1"/>
  <c r="O2168" i="20"/>
  <c r="L2168" i="20" s="1"/>
  <c r="O116" i="20"/>
  <c r="L116" i="20" s="1"/>
  <c r="O379" i="20"/>
  <c r="L379" i="20" s="1"/>
  <c r="O543" i="20"/>
  <c r="L543" i="20" s="1"/>
  <c r="O1115" i="20"/>
  <c r="L1115" i="20" s="1"/>
  <c r="O1445" i="20"/>
  <c r="L1445" i="20" s="1"/>
  <c r="O2131" i="20"/>
  <c r="L2131" i="20" s="1"/>
  <c r="O544" i="20"/>
  <c r="L544" i="20" s="1"/>
  <c r="O1323" i="20"/>
  <c r="L1323" i="20" s="1"/>
  <c r="O2194" i="20"/>
  <c r="L2194" i="20" s="1"/>
  <c r="O2055" i="20"/>
  <c r="L2055" i="20" s="1"/>
  <c r="O104" i="20"/>
  <c r="L104" i="20" s="1"/>
  <c r="O1446" i="20"/>
  <c r="L1446" i="20" s="1"/>
  <c r="O2132" i="20"/>
  <c r="L2132" i="20" s="1"/>
  <c r="O2056" i="20"/>
  <c r="L2056" i="20" s="1"/>
  <c r="O2084" i="20"/>
  <c r="L2084" i="20" s="1"/>
  <c r="O2195" i="20"/>
  <c r="L2195" i="20" s="1"/>
  <c r="O89" i="20"/>
  <c r="L89" i="20" s="1"/>
  <c r="O94" i="20"/>
  <c r="L94" i="20" s="1"/>
  <c r="O1722" i="20"/>
  <c r="L1722" i="20" s="1"/>
  <c r="O380" i="20"/>
  <c r="L380" i="20" s="1"/>
  <c r="O957" i="20"/>
  <c r="L957" i="20" s="1"/>
  <c r="O2133" i="20"/>
  <c r="L2133" i="20" s="1"/>
  <c r="O2057" i="20"/>
  <c r="L2057" i="20" s="1"/>
  <c r="O2036" i="20"/>
  <c r="L2036" i="20" s="1"/>
  <c r="O2169" i="20"/>
  <c r="L2169" i="20" s="1"/>
  <c r="O357" i="20"/>
  <c r="L357" i="20" s="1"/>
  <c r="O1325" i="20"/>
  <c r="L1325" i="20" s="1"/>
  <c r="O1394" i="20"/>
  <c r="L1394" i="20" s="1"/>
  <c r="O1178" i="20"/>
  <c r="L1178" i="20" s="1"/>
  <c r="O2097" i="20"/>
  <c r="L2097" i="20" s="1"/>
  <c r="O2102" i="20"/>
  <c r="L2102" i="20" s="1"/>
  <c r="O2176" i="20"/>
  <c r="L2176" i="20" s="1"/>
  <c r="O2186" i="20"/>
  <c r="L2186" i="20" s="1"/>
  <c r="O52" i="20"/>
  <c r="L52" i="20" s="1"/>
  <c r="O90" i="20"/>
  <c r="L90" i="20" s="1"/>
  <c r="O95" i="20"/>
  <c r="L95" i="20" s="1"/>
  <c r="O106" i="20"/>
  <c r="L106" i="20" s="1"/>
  <c r="O280" i="20"/>
  <c r="L280" i="20" s="1"/>
  <c r="O345" i="20"/>
  <c r="L345" i="20" s="1"/>
  <c r="O358" i="20"/>
  <c r="L358" i="20" s="1"/>
  <c r="O381" i="20"/>
  <c r="L381" i="20" s="1"/>
  <c r="O2037" i="20"/>
  <c r="L2037" i="20" s="1"/>
  <c r="O91" i="20"/>
  <c r="L91" i="20" s="1"/>
  <c r="O96" i="20"/>
  <c r="L96" i="20" s="1"/>
  <c r="O132" i="20"/>
  <c r="L132" i="20" s="1"/>
  <c r="O281" i="20"/>
  <c r="L281" i="20" s="1"/>
  <c r="O346" i="20"/>
  <c r="L346" i="20" s="1"/>
  <c r="O1116" i="20"/>
  <c r="L1116" i="20" s="1"/>
  <c r="O1301" i="20"/>
  <c r="L1301" i="20" s="1"/>
  <c r="O1395" i="20"/>
  <c r="L1395" i="20" s="1"/>
  <c r="O1765" i="20"/>
  <c r="L1765" i="20" s="1"/>
  <c r="O1804" i="20"/>
  <c r="L1804" i="20" s="1"/>
  <c r="O1944" i="20"/>
  <c r="L1944" i="20" s="1"/>
  <c r="O1980" i="20"/>
  <c r="L1980" i="20" s="1"/>
  <c r="O1996" i="20"/>
  <c r="L1996" i="20" s="1"/>
  <c r="O2109" i="20"/>
  <c r="L2109" i="20" s="1"/>
  <c r="O2114" i="20"/>
  <c r="L2114" i="20" s="1"/>
  <c r="O2177" i="20"/>
  <c r="L2177" i="20" s="1"/>
  <c r="O2187" i="20"/>
  <c r="L2187" i="20" s="1"/>
  <c r="O77" i="20"/>
  <c r="L77" i="20" s="1"/>
  <c r="O401" i="20"/>
  <c r="L401" i="20" s="1"/>
  <c r="O863" i="20"/>
  <c r="L863" i="20" s="1"/>
  <c r="O886" i="20"/>
  <c r="L886" i="20" s="1"/>
  <c r="O420" i="20"/>
  <c r="L420" i="20" s="1"/>
  <c r="O402" i="20"/>
  <c r="L402" i="20" s="1"/>
  <c r="O117" i="20"/>
  <c r="L117" i="20" s="1"/>
  <c r="O631" i="20"/>
  <c r="L631" i="20" s="1"/>
  <c r="O1354" i="20"/>
  <c r="L1354" i="20" s="1"/>
  <c r="O545" i="20"/>
  <c r="L545" i="20" s="1"/>
  <c r="O1820" i="20"/>
  <c r="L1820" i="20" s="1"/>
  <c r="O133" i="20"/>
  <c r="L133" i="20" s="1"/>
  <c r="O382" i="20"/>
  <c r="L382" i="20" s="1"/>
  <c r="O546" i="20"/>
  <c r="L546" i="20" s="1"/>
  <c r="O958" i="20"/>
  <c r="L958" i="20" s="1"/>
  <c r="O1326" i="20"/>
  <c r="L1326" i="20" s="1"/>
  <c r="O1448" i="20"/>
  <c r="L1448" i="20" s="1"/>
  <c r="O2134" i="20"/>
  <c r="L2134" i="20" s="1"/>
  <c r="O2058" i="20"/>
  <c r="L2058" i="20" s="1"/>
  <c r="O2087" i="20"/>
  <c r="L2087" i="20" s="1"/>
  <c r="O2196" i="20"/>
  <c r="L2196" i="20" s="1"/>
  <c r="O2170" i="20"/>
  <c r="L2170" i="20" s="1"/>
  <c r="O1355" i="20"/>
  <c r="L1355" i="20" s="1"/>
  <c r="O547" i="20"/>
  <c r="L547" i="20" s="1"/>
  <c r="O919" i="20"/>
  <c r="L919" i="20" s="1"/>
  <c r="O1821" i="20"/>
  <c r="L1821" i="20" s="1"/>
  <c r="O1909" i="20"/>
  <c r="L1909" i="20" s="1"/>
  <c r="O548" i="20"/>
  <c r="L548" i="20" s="1"/>
  <c r="O632" i="20"/>
  <c r="L632" i="20" s="1"/>
  <c r="O1195" i="20"/>
  <c r="L1195" i="20" s="1"/>
  <c r="O1605" i="20"/>
  <c r="L1605" i="20" s="1"/>
  <c r="O1968" i="20"/>
  <c r="L1968" i="20" s="1"/>
  <c r="O1462" i="20"/>
  <c r="L1462" i="20" s="1"/>
  <c r="O549" i="20"/>
  <c r="L549" i="20" s="1"/>
  <c r="O596" i="20"/>
  <c r="L596" i="20" s="1"/>
  <c r="O992" i="20"/>
  <c r="L992" i="20" s="1"/>
  <c r="O1606" i="20"/>
  <c r="L1606" i="20" s="1"/>
  <c r="O550" i="20"/>
  <c r="L550" i="20" s="1"/>
  <c r="O993" i="20"/>
  <c r="L993" i="20" s="1"/>
  <c r="O1607" i="20"/>
  <c r="L1607" i="20" s="1"/>
  <c r="O551" i="20"/>
  <c r="L551" i="20" s="1"/>
  <c r="O920" i="20"/>
  <c r="L920" i="20" s="1"/>
  <c r="O1570" i="20"/>
  <c r="L1570" i="20" s="1"/>
  <c r="O1910" i="20"/>
  <c r="L1910" i="20" s="1"/>
  <c r="O1380" i="20"/>
  <c r="L1380" i="20" s="1"/>
  <c r="O1381" i="20"/>
  <c r="L1381" i="20" s="1"/>
  <c r="O1490" i="20"/>
  <c r="L1490" i="20" s="1"/>
  <c r="O552" i="20"/>
  <c r="L552" i="20" s="1"/>
  <c r="O1491" i="20"/>
  <c r="L1491" i="20" s="1"/>
  <c r="O1519" i="20"/>
  <c r="L1519" i="20" s="1"/>
  <c r="O1911" i="20"/>
  <c r="L1911" i="20" s="1"/>
  <c r="O959" i="20"/>
  <c r="L959" i="20" s="1"/>
  <c r="O1327" i="20"/>
  <c r="L1327" i="20" s="1"/>
  <c r="O159" i="20"/>
  <c r="L159" i="20" s="1"/>
  <c r="O633" i="20"/>
  <c r="L633" i="20" s="1"/>
  <c r="O1608" i="20"/>
  <c r="L1608" i="20" s="1"/>
  <c r="O456" i="20"/>
  <c r="L456" i="20" s="1"/>
  <c r="O1833" i="20"/>
  <c r="L1833" i="20" s="1"/>
  <c r="O118" i="20"/>
  <c r="L118" i="20" s="1"/>
  <c r="O134" i="20"/>
  <c r="L134" i="20" s="1"/>
  <c r="O960" i="20"/>
  <c r="L960" i="20" s="1"/>
  <c r="O1328" i="20"/>
  <c r="L1328" i="20" s="1"/>
  <c r="O1492" i="20"/>
  <c r="L1492" i="20" s="1"/>
  <c r="O2135" i="20"/>
  <c r="L2135" i="20" s="1"/>
  <c r="O2059" i="20"/>
  <c r="L2059" i="20" s="1"/>
  <c r="O2088" i="20"/>
  <c r="L2088" i="20" s="1"/>
  <c r="O634" i="20"/>
  <c r="L634" i="20" s="1"/>
  <c r="O864" i="20"/>
  <c r="L864" i="20" s="1"/>
  <c r="O865" i="20"/>
  <c r="L865" i="20" s="1"/>
  <c r="O1493" i="20"/>
  <c r="L1493" i="20" s="1"/>
  <c r="O1520" i="20"/>
  <c r="L1520" i="20" s="1"/>
  <c r="O1766" i="20"/>
  <c r="L1766" i="20" s="1"/>
  <c r="O1805" i="20"/>
  <c r="L1805" i="20" s="1"/>
  <c r="O1834" i="20"/>
  <c r="L1834" i="20" s="1"/>
  <c r="O1912" i="20"/>
  <c r="L1912" i="20" s="1"/>
  <c r="O2018" i="20"/>
  <c r="L2018" i="20" s="1"/>
  <c r="O1051" i="20"/>
  <c r="L1051" i="20" s="1"/>
  <c r="O1052" i="20"/>
  <c r="L1052" i="20" s="1"/>
  <c r="O757" i="20"/>
  <c r="L757" i="20" s="1"/>
  <c r="O887" i="20"/>
  <c r="L887" i="20" s="1"/>
  <c r="O888" i="20"/>
  <c r="L888" i="20" s="1"/>
  <c r="O1053" i="20"/>
  <c r="L1053" i="20" s="1"/>
  <c r="O866" i="20"/>
  <c r="L866" i="20" s="1"/>
  <c r="O889" i="20"/>
  <c r="L889" i="20" s="1"/>
  <c r="O251" i="20"/>
  <c r="L251" i="20" s="1"/>
  <c r="O404" i="20"/>
  <c r="L404" i="20" s="1"/>
  <c r="O406" i="20"/>
  <c r="L406" i="20" s="1"/>
  <c r="O363" i="20"/>
  <c r="L363" i="20" s="1"/>
  <c r="O1438" i="20"/>
  <c r="L1438" i="20" s="1"/>
  <c r="O2073" i="20"/>
  <c r="L2073" i="20" s="1"/>
  <c r="O2085" i="20"/>
  <c r="L2085" i="20" s="1"/>
  <c r="O2171" i="20"/>
  <c r="L2171" i="20" s="1"/>
  <c r="O421" i="20"/>
  <c r="L421" i="20" s="1"/>
  <c r="O422" i="20"/>
  <c r="L422" i="20" s="1"/>
  <c r="O409" i="20"/>
  <c r="L409" i="20" s="1"/>
  <c r="O1997" i="20"/>
  <c r="L1997" i="20" s="1"/>
  <c r="O160" i="20"/>
  <c r="L160" i="20" s="1"/>
  <c r="O230" i="20"/>
  <c r="L230" i="20" s="1"/>
  <c r="O252" i="20"/>
  <c r="L252" i="20" s="1"/>
  <c r="O805" i="20"/>
  <c r="L805" i="20" s="1"/>
  <c r="O1396" i="20"/>
  <c r="L1396" i="20" s="1"/>
  <c r="O781" i="20"/>
  <c r="L781" i="20" s="1"/>
  <c r="O337" i="20"/>
  <c r="L337" i="20" s="1"/>
  <c r="O658" i="20"/>
  <c r="L658" i="20" s="1"/>
  <c r="O2160" i="20"/>
  <c r="L2160" i="20" s="1"/>
  <c r="O2166" i="20"/>
  <c r="L2166" i="20" s="1"/>
  <c r="D1355" i="20"/>
  <c r="D279" i="20"/>
  <c r="D628" i="20"/>
  <c r="D229" i="20"/>
  <c r="D230" i="20"/>
  <c r="D52" i="20"/>
  <c r="D76" i="20"/>
  <c r="D77" i="20"/>
  <c r="D158" i="20"/>
  <c r="D89" i="20"/>
  <c r="D90" i="20"/>
  <c r="D91" i="20"/>
  <c r="D1194" i="20"/>
  <c r="D94" i="20"/>
  <c r="D95" i="20"/>
  <c r="D96" i="20"/>
  <c r="D93" i="20"/>
  <c r="D104" i="20"/>
  <c r="D1722" i="20"/>
  <c r="D106" i="20"/>
  <c r="D116" i="20"/>
  <c r="D117" i="20"/>
  <c r="D118" i="20"/>
  <c r="D251" i="20"/>
  <c r="D369" i="20"/>
  <c r="D131" i="20"/>
  <c r="D132" i="20"/>
  <c r="D133" i="20"/>
  <c r="D134" i="20"/>
  <c r="D1392" i="20"/>
  <c r="D228" i="20"/>
  <c r="D226" i="20"/>
  <c r="D155" i="20"/>
  <c r="D1603" i="20"/>
  <c r="D250" i="20"/>
  <c r="D156" i="20"/>
  <c r="D280" i="20"/>
  <c r="D281" i="20"/>
  <c r="D631" i="20"/>
  <c r="D159" i="20"/>
  <c r="D252" i="20"/>
  <c r="D337" i="20"/>
  <c r="D1354" i="20"/>
  <c r="D341" i="20"/>
  <c r="D345" i="20"/>
  <c r="D346" i="20"/>
  <c r="D160" i="20"/>
  <c r="D357" i="20"/>
  <c r="D358" i="20"/>
  <c r="D363" i="20"/>
  <c r="D1997" i="20"/>
  <c r="D378" i="20"/>
  <c r="D379" i="20"/>
  <c r="D380" i="20"/>
  <c r="D381" i="20"/>
  <c r="D382" i="20"/>
  <c r="D629" i="20"/>
  <c r="D453" i="20"/>
  <c r="D454" i="20"/>
  <c r="D455" i="20"/>
  <c r="D630" i="20"/>
  <c r="D456" i="20"/>
  <c r="D634" i="20"/>
  <c r="D757" i="20"/>
  <c r="D543" i="20"/>
  <c r="D544" i="20"/>
  <c r="D545" i="20"/>
  <c r="D546" i="20"/>
  <c r="D547" i="20"/>
  <c r="D548" i="20"/>
  <c r="D549" i="20"/>
  <c r="D550" i="20"/>
  <c r="D551" i="20"/>
  <c r="D552" i="20"/>
  <c r="D595" i="20"/>
  <c r="D401" i="20"/>
  <c r="D402" i="20"/>
  <c r="D596" i="20"/>
  <c r="D866" i="20"/>
  <c r="D632" i="20"/>
  <c r="D633" i="20"/>
  <c r="D802" i="20"/>
  <c r="D803" i="20"/>
  <c r="D779" i="20"/>
  <c r="D780" i="20"/>
  <c r="D542" i="20"/>
  <c r="D404" i="20"/>
  <c r="D829" i="20"/>
  <c r="D627" i="20"/>
  <c r="D837" i="20"/>
  <c r="D838" i="20"/>
  <c r="D839" i="20"/>
  <c r="D804" i="20"/>
  <c r="D781" i="20"/>
  <c r="D863" i="20"/>
  <c r="D864" i="20"/>
  <c r="D886" i="20"/>
  <c r="D420" i="20"/>
  <c r="D887" i="20"/>
  <c r="D888" i="20"/>
  <c r="D889" i="20"/>
  <c r="D919" i="20"/>
  <c r="D1195" i="20"/>
  <c r="D920" i="20"/>
  <c r="D958" i="20"/>
  <c r="D959" i="20"/>
  <c r="D960" i="20"/>
  <c r="D992" i="20"/>
  <c r="D993" i="20"/>
  <c r="D1051" i="20"/>
  <c r="D1052" i="20"/>
  <c r="D1053" i="20"/>
  <c r="D658" i="20"/>
  <c r="D1116" i="20"/>
  <c r="D1115" i="20"/>
  <c r="D1301" i="20"/>
  <c r="D1323" i="20"/>
  <c r="D1446" i="20"/>
  <c r="D1325" i="20"/>
  <c r="D1326" i="20"/>
  <c r="D1327" i="20"/>
  <c r="D1445" i="20"/>
  <c r="D957" i="20"/>
  <c r="D1356" i="20"/>
  <c r="D805" i="20"/>
  <c r="D1380" i="20"/>
  <c r="D1381" i="20"/>
  <c r="D1391" i="20"/>
  <c r="D1394" i="20"/>
  <c r="D1395" i="20"/>
  <c r="D1396" i="20"/>
  <c r="D1448" i="20"/>
  <c r="D1328" i="20"/>
  <c r="D1178" i="20"/>
  <c r="D1190" i="20"/>
  <c r="D1462" i="20"/>
  <c r="D1488" i="20"/>
  <c r="D1490" i="20"/>
  <c r="D1491" i="20"/>
  <c r="D1492" i="20"/>
  <c r="D1493" i="20"/>
  <c r="D1518" i="20"/>
  <c r="D1519" i="20"/>
  <c r="D1520" i="20"/>
  <c r="D1569" i="20"/>
  <c r="D991" i="20"/>
  <c r="D1570" i="20"/>
  <c r="D1605" i="20"/>
  <c r="D1606" i="20"/>
  <c r="D1607" i="20"/>
  <c r="D1608" i="20"/>
  <c r="D865" i="20"/>
  <c r="D2015" i="20"/>
  <c r="D1444" i="20"/>
  <c r="D1764" i="20"/>
  <c r="D1765" i="20"/>
  <c r="D1766" i="20"/>
  <c r="D1783" i="20"/>
  <c r="D1790" i="20"/>
  <c r="D1803" i="20"/>
  <c r="D1393" i="20"/>
  <c r="D1967" i="20"/>
  <c r="D1804" i="20"/>
  <c r="D1805" i="20"/>
  <c r="D1821" i="20"/>
  <c r="D1819" i="20"/>
  <c r="D1831" i="20"/>
  <c r="D1832" i="20"/>
  <c r="D1833" i="20"/>
  <c r="D1834" i="20"/>
  <c r="D1830" i="20"/>
  <c r="D1856" i="20"/>
  <c r="D1855" i="20"/>
  <c r="D1879" i="20"/>
  <c r="D1894" i="20"/>
  <c r="D1907" i="20"/>
  <c r="D1908" i="20"/>
  <c r="D1820" i="20"/>
  <c r="D1909" i="20"/>
  <c r="D1910" i="20"/>
  <c r="D1911" i="20"/>
  <c r="D1912" i="20"/>
  <c r="D1944" i="20"/>
  <c r="D1966" i="20"/>
  <c r="D1193" i="20"/>
  <c r="D1968" i="20"/>
  <c r="D1980" i="20"/>
  <c r="D1438" i="20"/>
  <c r="D1996" i="20"/>
  <c r="D2130" i="20"/>
  <c r="D2131" i="20"/>
  <c r="D2194" i="20"/>
  <c r="D2132" i="20"/>
  <c r="D2133" i="20"/>
  <c r="D2134" i="20"/>
  <c r="D2135" i="20"/>
  <c r="D2053" i="20"/>
  <c r="D2055" i="20"/>
  <c r="D2056" i="20"/>
  <c r="D2057" i="20"/>
  <c r="D2058" i="20"/>
  <c r="D2034" i="20"/>
  <c r="D2059" i="20"/>
  <c r="D2070" i="20"/>
  <c r="D2071" i="20"/>
  <c r="D2072" i="20"/>
  <c r="D2073" i="20"/>
  <c r="D2083" i="20"/>
  <c r="D2085" i="20"/>
  <c r="D2087" i="20"/>
  <c r="D2088" i="20"/>
  <c r="D1906" i="20"/>
  <c r="D2017" i="20"/>
  <c r="D2018" i="20"/>
  <c r="D2035" i="20"/>
  <c r="D2084" i="20"/>
  <c r="D2036" i="20"/>
  <c r="D2037" i="20"/>
  <c r="D2044" i="20"/>
  <c r="D2108" i="20"/>
  <c r="D2113" i="20"/>
  <c r="D2123" i="20"/>
  <c r="D2097" i="20"/>
  <c r="D2109" i="20"/>
  <c r="D2102" i="20"/>
  <c r="D2114" i="20"/>
  <c r="D2196" i="20"/>
  <c r="D2176" i="20"/>
  <c r="D2177" i="20"/>
  <c r="D2186" i="20"/>
  <c r="D2187" i="20"/>
  <c r="D2158" i="20"/>
  <c r="D2160" i="20"/>
  <c r="D2163" i="20"/>
  <c r="D2166" i="20"/>
  <c r="D2168" i="20"/>
  <c r="D2195" i="20"/>
  <c r="D2169" i="20"/>
  <c r="D2170" i="20"/>
  <c r="D2171" i="20"/>
  <c r="A1906" i="20" l="1"/>
  <c r="A2056" i="20"/>
  <c r="A1912" i="20"/>
  <c r="A1910" i="20"/>
  <c r="A1909" i="20"/>
  <c r="A1832" i="20"/>
  <c r="A1819" i="20"/>
  <c r="A1967" i="20"/>
  <c r="A1783" i="20"/>
  <c r="A1764" i="20"/>
  <c r="A2015" i="20"/>
  <c r="A1608" i="20"/>
  <c r="A1606" i="20"/>
  <c r="A1518" i="20"/>
  <c r="A1394" i="20"/>
  <c r="A1115" i="20"/>
  <c r="A658" i="20"/>
  <c r="A1053" i="20"/>
  <c r="A1051" i="20"/>
  <c r="A992" i="20"/>
  <c r="A960" i="20"/>
  <c r="A633" i="20"/>
  <c r="A2160" i="20"/>
  <c r="A252" i="20"/>
  <c r="A631" i="20"/>
  <c r="A280" i="20"/>
  <c r="A156" i="20"/>
  <c r="A155" i="20"/>
  <c r="A133" i="20"/>
  <c r="A91" i="20"/>
  <c r="A421" i="20"/>
  <c r="A229" i="20"/>
  <c r="A382" i="20"/>
  <c r="A279" i="20"/>
  <c r="A2170" i="20"/>
  <c r="A2166" i="20"/>
  <c r="A2017" i="20"/>
  <c r="A2083" i="20"/>
  <c r="A2072" i="20"/>
  <c r="A2055" i="20"/>
  <c r="A2133" i="20"/>
  <c r="A2194" i="20"/>
  <c r="A1438" i="20"/>
  <c r="A1833" i="20"/>
  <c r="A595" i="20"/>
  <c r="A629" i="20"/>
  <c r="A226" i="20"/>
  <c r="A779" i="20"/>
  <c r="A542" i="20"/>
  <c r="A802" i="20"/>
  <c r="A1722" i="20"/>
  <c r="A1194" i="20"/>
  <c r="A1178" i="20"/>
  <c r="A2171" i="20"/>
  <c r="A2168" i="20"/>
  <c r="A2035" i="20"/>
  <c r="A1395" i="20"/>
  <c r="A780" i="20"/>
  <c r="A378" i="20"/>
  <c r="A2158" i="20"/>
  <c r="A2177" i="20"/>
  <c r="A2113" i="20"/>
  <c r="A1790" i="20"/>
  <c r="A1766" i="20"/>
  <c r="A1765" i="20"/>
  <c r="A1396" i="20"/>
  <c r="A404" i="20"/>
  <c r="A803" i="20"/>
  <c r="A552" i="20"/>
  <c r="A381" i="20"/>
  <c r="A363" i="20"/>
  <c r="A357" i="20"/>
  <c r="A341" i="20"/>
  <c r="A337" i="20"/>
  <c r="A159" i="20"/>
  <c r="A104" i="20"/>
  <c r="A230" i="20"/>
  <c r="A406" i="20"/>
  <c r="A2187" i="20"/>
  <c r="A2176" i="20"/>
  <c r="A2102" i="20"/>
  <c r="A2108" i="20"/>
  <c r="A2036" i="20"/>
  <c r="A1488" i="20"/>
  <c r="A920" i="20"/>
  <c r="A839" i="20"/>
  <c r="A402" i="20"/>
  <c r="A551" i="20"/>
  <c r="A543" i="20"/>
  <c r="A358" i="20"/>
  <c r="A1603" i="20"/>
  <c r="A77" i="20"/>
  <c r="A52" i="20"/>
  <c r="A2037" i="20"/>
  <c r="A2087" i="20"/>
  <c r="A2073" i="20"/>
  <c r="A2059" i="20"/>
  <c r="A2088" i="20"/>
  <c r="A2085" i="20"/>
  <c r="A2070" i="20"/>
  <c r="A2057" i="20"/>
  <c r="A2131" i="20"/>
  <c r="A1820" i="20"/>
  <c r="A1907" i="20"/>
  <c r="A1879" i="20"/>
  <c r="A1830" i="20"/>
  <c r="A1908" i="20"/>
  <c r="A1894" i="20"/>
  <c r="A1856" i="20"/>
  <c r="A1834" i="20"/>
  <c r="A1803" i="20"/>
  <c r="A865" i="20"/>
  <c r="A1607" i="20"/>
  <c r="A1605" i="20"/>
  <c r="A1493" i="20"/>
  <c r="A1492" i="20"/>
  <c r="A1328" i="20"/>
  <c r="A958" i="20"/>
  <c r="A919" i="20"/>
  <c r="A1052" i="20"/>
  <c r="A993" i="20"/>
  <c r="A838" i="20"/>
  <c r="A837" i="20"/>
  <c r="A2195" i="20"/>
  <c r="A2109" i="20"/>
  <c r="A2018" i="20"/>
  <c r="A2135" i="20"/>
  <c r="A1980" i="20"/>
  <c r="A1968" i="20"/>
  <c r="A1966" i="20"/>
  <c r="A1831" i="20"/>
  <c r="A1804" i="20"/>
  <c r="A991" i="20"/>
  <c r="A1490" i="20"/>
  <c r="A1380" i="20"/>
  <c r="A1356" i="20"/>
  <c r="A1445" i="20"/>
  <c r="A1326" i="20"/>
  <c r="A1446" i="20"/>
  <c r="A1116" i="20"/>
  <c r="A889" i="20"/>
  <c r="A887" i="20"/>
  <c r="A804" i="20"/>
  <c r="A829" i="20"/>
  <c r="A2114" i="20"/>
  <c r="A2097" i="20"/>
  <c r="A2134" i="20"/>
  <c r="A1821" i="20"/>
  <c r="A1570" i="20"/>
  <c r="A1519" i="20"/>
  <c r="A1190" i="20"/>
  <c r="A1381" i="20"/>
  <c r="A1327" i="20"/>
  <c r="A1323" i="20"/>
  <c r="A888" i="20"/>
  <c r="A864" i="20"/>
  <c r="A863" i="20"/>
  <c r="A866" i="20"/>
  <c r="A549" i="20"/>
  <c r="A545" i="20"/>
  <c r="A757" i="20"/>
  <c r="A630" i="20"/>
  <c r="A596" i="20"/>
  <c r="A632" i="20"/>
  <c r="A550" i="20"/>
  <c r="A548" i="20"/>
  <c r="A544" i="20"/>
  <c r="A634" i="20"/>
  <c r="A455" i="20"/>
  <c r="A453" i="20"/>
  <c r="A379" i="20"/>
  <c r="A1997" i="20"/>
  <c r="A345" i="20"/>
  <c r="A281" i="20"/>
  <c r="A1354" i="20"/>
  <c r="A228" i="20"/>
  <c r="A250" i="20"/>
  <c r="A158" i="20"/>
  <c r="A93" i="20"/>
  <c r="A94" i="20"/>
  <c r="A251" i="20"/>
  <c r="A116" i="20"/>
  <c r="A134" i="20"/>
  <c r="A132" i="20"/>
  <c r="A131" i="20"/>
  <c r="A118" i="20"/>
  <c r="A117" i="20"/>
  <c r="A89" i="20"/>
  <c r="A628" i="20"/>
  <c r="A1355" i="20"/>
  <c r="A2123" i="20"/>
  <c r="A2034" i="20"/>
  <c r="A2130" i="20"/>
  <c r="A1569" i="20"/>
  <c r="A805" i="20"/>
  <c r="A957" i="20"/>
  <c r="A420" i="20"/>
  <c r="A781" i="20"/>
  <c r="A547" i="20"/>
  <c r="A454" i="20"/>
  <c r="A160" i="20"/>
  <c r="A369" i="20"/>
  <c r="A96" i="20"/>
  <c r="A1444" i="20"/>
  <c r="A1462" i="20"/>
  <c r="A1325" i="20"/>
  <c r="A2163" i="20"/>
  <c r="A2196" i="20"/>
  <c r="A2084" i="20"/>
  <c r="A2058" i="20"/>
  <c r="A2132" i="20"/>
  <c r="A1193" i="20"/>
  <c r="A422" i="20"/>
  <c r="A1391" i="20"/>
  <c r="A2169" i="20"/>
  <c r="A2186" i="20"/>
  <c r="A2044" i="20"/>
  <c r="A2071" i="20"/>
  <c r="A2053" i="20"/>
  <c r="A1996" i="20"/>
  <c r="A1911" i="20"/>
  <c r="A1805" i="20"/>
  <c r="A1520" i="20"/>
  <c r="A1448" i="20"/>
  <c r="A959" i="20"/>
  <c r="A1944" i="20"/>
  <c r="A1855" i="20"/>
  <c r="A1393" i="20"/>
  <c r="A1491" i="20"/>
  <c r="A1301" i="20"/>
  <c r="A1195" i="20"/>
  <c r="A886" i="20"/>
  <c r="A627" i="20"/>
  <c r="A401" i="20"/>
  <c r="A546" i="20"/>
  <c r="A456" i="20"/>
  <c r="A380" i="20"/>
  <c r="A346" i="20"/>
  <c r="A1392" i="20"/>
  <c r="A409" i="20"/>
  <c r="A106" i="20"/>
  <c r="A95" i="20"/>
  <c r="A90" i="20"/>
  <c r="A76" i="20"/>
  <c r="BY13" i="25" l="1"/>
  <c r="D259" i="20" l="1"/>
  <c r="O259" i="20"/>
  <c r="L259" i="20" s="1"/>
  <c r="D530" i="20"/>
  <c r="O530" i="20"/>
  <c r="L530" i="20" s="1"/>
  <c r="D649" i="20"/>
  <c r="O649" i="20"/>
  <c r="L649" i="20" s="1"/>
  <c r="D759" i="20"/>
  <c r="O759" i="20"/>
  <c r="L759" i="20" s="1"/>
  <c r="D845" i="20"/>
  <c r="O845" i="20"/>
  <c r="L845" i="20" s="1"/>
  <c r="D1009" i="20"/>
  <c r="O1009" i="20"/>
  <c r="L1009" i="20" s="1"/>
  <c r="D1039" i="20"/>
  <c r="O1039" i="20"/>
  <c r="L1039" i="20" s="1"/>
  <c r="D1222" i="20"/>
  <c r="O1222" i="20"/>
  <c r="L1222" i="20" s="1"/>
  <c r="D1054" i="20"/>
  <c r="O1054" i="20"/>
  <c r="L1054" i="20" s="1"/>
  <c r="D1096" i="20"/>
  <c r="O1096" i="20"/>
  <c r="L1096" i="20" s="1"/>
  <c r="D1125" i="20"/>
  <c r="O1125" i="20"/>
  <c r="L1125" i="20" s="1"/>
  <c r="D1128" i="20"/>
  <c r="O1128" i="20"/>
  <c r="L1128" i="20" s="1"/>
  <c r="D1205" i="20"/>
  <c r="O1205" i="20"/>
  <c r="L1205" i="20" s="1"/>
  <c r="D1224" i="20"/>
  <c r="O1224" i="20"/>
  <c r="L1224" i="20" s="1"/>
  <c r="D1243" i="20"/>
  <c r="O1243" i="20"/>
  <c r="L1243" i="20" s="1"/>
  <c r="D1330" i="20"/>
  <c r="O1330" i="20"/>
  <c r="L1330" i="20" s="1"/>
  <c r="D1384" i="20"/>
  <c r="O1384" i="20"/>
  <c r="L1384" i="20" s="1"/>
  <c r="D1410" i="20"/>
  <c r="O1410" i="20"/>
  <c r="L1410" i="20" s="1"/>
  <c r="D1467" i="20"/>
  <c r="O1467" i="20"/>
  <c r="L1467" i="20" s="1"/>
  <c r="D1574" i="20"/>
  <c r="O1574" i="20"/>
  <c r="L1574" i="20" s="1"/>
  <c r="D1575" i="20"/>
  <c r="O1575" i="20"/>
  <c r="L1575" i="20" s="1"/>
  <c r="D1729" i="20"/>
  <c r="O1729" i="20"/>
  <c r="L1729" i="20" s="1"/>
  <c r="D1784" i="20"/>
  <c r="O1784" i="20"/>
  <c r="L1784" i="20" s="1"/>
  <c r="D1859" i="20"/>
  <c r="O1859" i="20"/>
  <c r="L1859" i="20" s="1"/>
  <c r="D1896" i="20"/>
  <c r="O1896" i="20"/>
  <c r="L1896" i="20" s="1"/>
  <c r="D2096" i="20"/>
  <c r="O2096" i="20"/>
  <c r="L2096" i="20" s="1"/>
  <c r="D2159" i="20"/>
  <c r="A2159" i="20" s="1"/>
  <c r="O2159" i="20"/>
  <c r="L2159" i="20" s="1"/>
  <c r="D2165" i="20"/>
  <c r="A2165" i="20" s="1"/>
  <c r="O2165" i="20"/>
  <c r="L2165" i="20" s="1"/>
  <c r="D2188" i="20"/>
  <c r="A2188" i="20" s="1"/>
  <c r="O2188" i="20"/>
  <c r="L2188" i="20" s="1"/>
  <c r="D2197" i="20"/>
  <c r="O2197" i="20"/>
  <c r="L2197" i="20" s="1"/>
  <c r="D465" i="20"/>
  <c r="O465" i="20"/>
  <c r="L465" i="20" s="1"/>
  <c r="D162" i="20"/>
  <c r="O162" i="20"/>
  <c r="L162" i="20" s="1"/>
  <c r="D245" i="20"/>
  <c r="O245" i="20"/>
  <c r="L245" i="20" s="1"/>
  <c r="O1940" i="20"/>
  <c r="L1940" i="20" s="1"/>
  <c r="D529" i="20"/>
  <c r="O529" i="20"/>
  <c r="L529" i="20" s="1"/>
  <c r="D590" i="20"/>
  <c r="O590" i="20"/>
  <c r="L590" i="20" s="1"/>
  <c r="D642" i="20"/>
  <c r="O642" i="20"/>
  <c r="L642" i="20" s="1"/>
  <c r="D927" i="20"/>
  <c r="O927" i="20"/>
  <c r="L927" i="20" s="1"/>
  <c r="D1097" i="20"/>
  <c r="O1097" i="20"/>
  <c r="L1097" i="20" s="1"/>
  <c r="D1098" i="20"/>
  <c r="O1098" i="20"/>
  <c r="L1098" i="20" s="1"/>
  <c r="D1127" i="20"/>
  <c r="O1127" i="20"/>
  <c r="L1127" i="20" s="1"/>
  <c r="D1223" i="20"/>
  <c r="O1223" i="20"/>
  <c r="L1223" i="20" s="1"/>
  <c r="D1244" i="20"/>
  <c r="O1244" i="20"/>
  <c r="L1244" i="20" s="1"/>
  <c r="D1453" i="20"/>
  <c r="O1453" i="20"/>
  <c r="L1453" i="20" s="1"/>
  <c r="D2080" i="20"/>
  <c r="O2080" i="20"/>
  <c r="L2080" i="20" s="1"/>
  <c r="D643" i="20"/>
  <c r="O643" i="20"/>
  <c r="L643" i="20" s="1"/>
  <c r="D211" i="20"/>
  <c r="O211" i="20"/>
  <c r="L211" i="20" s="1"/>
  <c r="D249" i="20"/>
  <c r="O249" i="20"/>
  <c r="L249" i="20" s="1"/>
  <c r="D466" i="20"/>
  <c r="O466" i="20"/>
  <c r="L466" i="20" s="1"/>
  <c r="D605" i="20"/>
  <c r="O605" i="20"/>
  <c r="L605" i="20" s="1"/>
  <c r="D930" i="20"/>
  <c r="O930" i="20"/>
  <c r="L930" i="20" s="1"/>
  <c r="D1129" i="20"/>
  <c r="O1129" i="20"/>
  <c r="L1129" i="20" s="1"/>
  <c r="D1573" i="20"/>
  <c r="O1573" i="20"/>
  <c r="L1573" i="20" s="1"/>
  <c r="D1782" i="20"/>
  <c r="O1782" i="20"/>
  <c r="L1782" i="20" s="1"/>
  <c r="D1860" i="20"/>
  <c r="O1860" i="20"/>
  <c r="L1860" i="20" s="1"/>
  <c r="D2048" i="20"/>
  <c r="O2048" i="20"/>
  <c r="L2048" i="20" s="1"/>
  <c r="D2090" i="20"/>
  <c r="O2090" i="20"/>
  <c r="L2090" i="20" s="1"/>
  <c r="D612" i="20"/>
  <c r="O612" i="20"/>
  <c r="L612" i="20" s="1"/>
  <c r="D82" i="20"/>
  <c r="O82" i="20"/>
  <c r="L82" i="20" s="1"/>
  <c r="D424" i="20"/>
  <c r="O424" i="20"/>
  <c r="L424" i="20" s="1"/>
  <c r="D1577" i="20"/>
  <c r="O1577" i="20"/>
  <c r="L1577" i="20" s="1"/>
  <c r="D75" i="20"/>
  <c r="O75" i="20"/>
  <c r="L75" i="20" s="1"/>
  <c r="D1126" i="20"/>
  <c r="O1126" i="20"/>
  <c r="L1126" i="20" s="1"/>
  <c r="D74" i="20"/>
  <c r="O74" i="20"/>
  <c r="L74" i="20" s="1"/>
  <c r="D50" i="20"/>
  <c r="O50" i="20"/>
  <c r="L50" i="20" s="1"/>
  <c r="D604" i="20"/>
  <c r="O604" i="20"/>
  <c r="L604" i="20" s="1"/>
  <c r="D356" i="20"/>
  <c r="O356" i="20"/>
  <c r="L356" i="20" s="1"/>
  <c r="D1177" i="20"/>
  <c r="O1177" i="20"/>
  <c r="L1177" i="20" s="1"/>
  <c r="O411" i="20"/>
  <c r="L411" i="20" s="1"/>
  <c r="D411" i="20"/>
  <c r="O2164" i="20"/>
  <c r="L2164" i="20" s="1"/>
  <c r="D2164" i="20"/>
  <c r="A2164" i="20" s="1"/>
  <c r="O2110" i="20"/>
  <c r="O1423" i="20"/>
  <c r="L1423" i="20" s="1"/>
  <c r="D1423" i="20"/>
  <c r="O1861" i="20"/>
  <c r="L1861" i="20" s="1"/>
  <c r="D1861" i="20"/>
  <c r="O2020" i="20"/>
  <c r="L2020" i="20" s="1"/>
  <c r="D2020" i="20"/>
  <c r="O1823" i="20"/>
  <c r="L1823" i="20" s="1"/>
  <c r="D1823" i="20"/>
  <c r="O1767" i="20"/>
  <c r="L1767" i="20" s="1"/>
  <c r="D1767" i="20"/>
  <c r="O1791" i="20"/>
  <c r="L1791" i="20" s="1"/>
  <c r="D1791" i="20"/>
  <c r="O1768" i="20"/>
  <c r="L1768" i="20" s="1"/>
  <c r="D1768" i="20"/>
  <c r="O1576" i="20"/>
  <c r="L1576" i="20" s="1"/>
  <c r="O1409" i="20"/>
  <c r="L1409" i="20" s="1"/>
  <c r="D1409" i="20"/>
  <c r="O893" i="20"/>
  <c r="L893" i="20" s="1"/>
  <c r="D893" i="20"/>
  <c r="O1406" i="20"/>
  <c r="L1406" i="20" s="1"/>
  <c r="D1406" i="20"/>
  <c r="D553" i="20"/>
  <c r="D1690" i="20"/>
  <c r="D894" i="20"/>
  <c r="D603" i="20"/>
  <c r="CE16" i="25"/>
  <c r="CD16" i="25"/>
  <c r="CC16" i="25"/>
  <c r="CB16" i="25"/>
  <c r="CA16" i="25"/>
  <c r="BZ16" i="25"/>
  <c r="BY16" i="25"/>
  <c r="BU16" i="25"/>
  <c r="BT16" i="25"/>
  <c r="BS16" i="25"/>
  <c r="BR16" i="25"/>
  <c r="BQ16" i="25"/>
  <c r="BP16" i="25"/>
  <c r="BO16" i="25"/>
  <c r="BM16" i="25"/>
  <c r="BF16" i="25"/>
  <c r="BE16" i="25"/>
  <c r="BD16" i="25"/>
  <c r="AX16" i="25"/>
  <c r="AW16" i="25"/>
  <c r="AV16" i="25"/>
  <c r="AU16" i="25"/>
  <c r="AT16" i="25"/>
  <c r="AS16" i="25"/>
  <c r="AI16" i="25"/>
  <c r="AH16" i="25"/>
  <c r="AG16" i="25"/>
  <c r="AF16" i="25"/>
  <c r="AE16" i="25"/>
  <c r="AD16" i="25"/>
  <c r="AC16" i="25"/>
  <c r="AB16" i="25"/>
  <c r="AA16" i="25"/>
  <c r="Z16" i="25"/>
  <c r="Y16" i="25"/>
  <c r="X16" i="25"/>
  <c r="P16" i="25"/>
  <c r="H16" i="25"/>
  <c r="G16" i="25"/>
  <c r="BM15" i="25"/>
  <c r="BD15" i="25"/>
  <c r="AT15" i="25"/>
  <c r="AS15" i="25"/>
  <c r="AI15" i="25"/>
  <c r="AB15" i="25"/>
  <c r="AA15" i="25"/>
  <c r="Z15" i="25"/>
  <c r="Y15" i="25"/>
  <c r="X15" i="25"/>
  <c r="S15" i="25"/>
  <c r="R15" i="25"/>
  <c r="Q15" i="25"/>
  <c r="P15" i="25"/>
  <c r="H15" i="25"/>
  <c r="G15" i="25"/>
  <c r="BU14" i="25"/>
  <c r="BO14" i="25"/>
  <c r="BM14" i="25"/>
  <c r="BG14" i="25"/>
  <c r="BF14" i="25"/>
  <c r="BE14" i="25"/>
  <c r="BD14" i="25"/>
  <c r="AX14" i="25"/>
  <c r="AW14" i="25"/>
  <c r="AV14" i="25"/>
  <c r="AU14" i="25"/>
  <c r="AT14" i="25"/>
  <c r="AS14" i="25"/>
  <c r="AL14" i="25"/>
  <c r="AK14" i="25"/>
  <c r="AJ14" i="25"/>
  <c r="AI14" i="25"/>
  <c r="AD14" i="25"/>
  <c r="AC14" i="25"/>
  <c r="AB14" i="25"/>
  <c r="AA14" i="25"/>
  <c r="Z14" i="25"/>
  <c r="Y14" i="25"/>
  <c r="X14" i="25"/>
  <c r="V14" i="25"/>
  <c r="U14" i="25"/>
  <c r="T14" i="25"/>
  <c r="S14" i="25"/>
  <c r="P14" i="25"/>
  <c r="G14" i="25"/>
  <c r="BZ13" i="25"/>
  <c r="G13" i="25"/>
  <c r="BX13" i="25"/>
  <c r="BW13" i="25"/>
  <c r="BV13" i="25"/>
  <c r="BU13" i="25"/>
  <c r="BQ13" i="25"/>
  <c r="BP13" i="25"/>
  <c r="BO13" i="25"/>
  <c r="BN13" i="25"/>
  <c r="BM13" i="25"/>
  <c r="BG13" i="25"/>
  <c r="BF13" i="25"/>
  <c r="BE13" i="25"/>
  <c r="BD13" i="25"/>
  <c r="AT13" i="25"/>
  <c r="AS13" i="25"/>
  <c r="AM13" i="25"/>
  <c r="AL13" i="25"/>
  <c r="AK13" i="25"/>
  <c r="AJ13" i="25"/>
  <c r="AI13" i="25"/>
  <c r="X13" i="25"/>
  <c r="P13" i="25"/>
  <c r="J13" i="25"/>
  <c r="I13" i="25"/>
  <c r="H13" i="25"/>
  <c r="BU12" i="25"/>
  <c r="BO12" i="25"/>
  <c r="BM12" i="25"/>
  <c r="BD12" i="25"/>
  <c r="AT12" i="25"/>
  <c r="AS12" i="25"/>
  <c r="AI12" i="25"/>
  <c r="X12" i="25"/>
  <c r="V12" i="25"/>
  <c r="U12" i="25"/>
  <c r="T12" i="25"/>
  <c r="S12" i="25"/>
  <c r="R12" i="25"/>
  <c r="Q12" i="25"/>
  <c r="P12" i="25"/>
  <c r="O12" i="25"/>
  <c r="N12" i="25"/>
  <c r="M12" i="25"/>
  <c r="L12" i="25"/>
  <c r="K12" i="25"/>
  <c r="J12" i="25"/>
  <c r="I12" i="25"/>
  <c r="H12" i="25"/>
  <c r="G12" i="25"/>
  <c r="AI11" i="25"/>
  <c r="X11" i="25"/>
  <c r="S11" i="25"/>
  <c r="R11" i="25"/>
  <c r="Q11" i="25"/>
  <c r="P11" i="25"/>
  <c r="K11" i="25"/>
  <c r="J11" i="25"/>
  <c r="I11" i="25"/>
  <c r="H11" i="25"/>
  <c r="G11" i="25"/>
  <c r="BO10" i="25"/>
  <c r="BM10" i="25"/>
  <c r="BD10" i="25"/>
  <c r="BA10" i="25"/>
  <c r="AZ10" i="25"/>
  <c r="AY10" i="25"/>
  <c r="AX10" i="25"/>
  <c r="AW10" i="25"/>
  <c r="AV10" i="25"/>
  <c r="AU10" i="25"/>
  <c r="AT10" i="25"/>
  <c r="AS10" i="25"/>
  <c r="AO10" i="25"/>
  <c r="AQ10" i="25"/>
  <c r="AP10" i="25"/>
  <c r="AN10" i="25"/>
  <c r="AM10" i="25"/>
  <c r="AL10" i="25"/>
  <c r="AK10" i="25"/>
  <c r="AJ10" i="25"/>
  <c r="AI10" i="25"/>
  <c r="Z10" i="25"/>
  <c r="Y10" i="25"/>
  <c r="X10" i="25"/>
  <c r="P10" i="25"/>
  <c r="G10" i="25"/>
  <c r="AS9" i="25"/>
  <c r="AI9" i="25"/>
  <c r="X9" i="25"/>
  <c r="P9" i="25"/>
  <c r="I9" i="25"/>
  <c r="H9" i="25"/>
  <c r="G9" i="25"/>
  <c r="AI8" i="25"/>
  <c r="X8" i="25"/>
  <c r="P8" i="25"/>
  <c r="H8" i="25"/>
  <c r="G8" i="25"/>
  <c r="BO7" i="25"/>
  <c r="BM7" i="25"/>
  <c r="BL7" i="25"/>
  <c r="BK7" i="25"/>
  <c r="BJ7" i="25"/>
  <c r="BI7" i="25"/>
  <c r="BH7" i="25"/>
  <c r="BG7" i="25"/>
  <c r="BF7" i="25"/>
  <c r="BE7" i="25"/>
  <c r="BD7" i="25"/>
  <c r="AV7" i="25"/>
  <c r="AU7" i="25"/>
  <c r="AT7" i="25"/>
  <c r="AS7" i="25"/>
  <c r="AJ7" i="25"/>
  <c r="AI7" i="25"/>
  <c r="X7" i="25"/>
  <c r="S7" i="25"/>
  <c r="R7" i="25"/>
  <c r="Q7" i="25"/>
  <c r="P7" i="25"/>
  <c r="G7" i="25"/>
  <c r="BM6" i="25"/>
  <c r="BD6" i="25"/>
  <c r="AS6" i="25"/>
  <c r="AI6" i="25"/>
  <c r="X6" i="25"/>
  <c r="U6" i="25"/>
  <c r="T6" i="25"/>
  <c r="S6" i="25"/>
  <c r="R6" i="25"/>
  <c r="Q6" i="25"/>
  <c r="P6" i="25"/>
  <c r="H6" i="25"/>
  <c r="G6" i="25"/>
  <c r="BD5" i="25"/>
  <c r="AS5" i="25"/>
  <c r="AI5" i="25"/>
  <c r="AF5" i="25"/>
  <c r="AE5" i="25"/>
  <c r="AD5" i="25"/>
  <c r="AC5" i="25"/>
  <c r="AB5" i="25"/>
  <c r="AA5" i="25"/>
  <c r="Z5" i="25"/>
  <c r="Y5" i="25"/>
  <c r="X5" i="25"/>
  <c r="S5" i="25"/>
  <c r="R5" i="25"/>
  <c r="Q5" i="25"/>
  <c r="P5" i="25"/>
  <c r="N5" i="25"/>
  <c r="M5" i="25"/>
  <c r="L5" i="25"/>
  <c r="K5" i="25"/>
  <c r="J5" i="25"/>
  <c r="I5" i="25"/>
  <c r="H5" i="25"/>
  <c r="G5" i="25"/>
  <c r="O2191" i="20"/>
  <c r="L2191" i="20" s="1"/>
  <c r="O2192" i="20"/>
  <c r="L2192" i="20" s="1"/>
  <c r="L28" i="18" s="1"/>
  <c r="O2193" i="20"/>
  <c r="L2193" i="20" s="1"/>
  <c r="O2" i="20"/>
  <c r="L2" i="20" s="1"/>
  <c r="O3" i="20"/>
  <c r="L3" i="20" s="1"/>
  <c r="O4" i="20"/>
  <c r="L4" i="20" s="1"/>
  <c r="O18" i="20"/>
  <c r="L18" i="20" s="1"/>
  <c r="O68" i="20"/>
  <c r="L68" i="20" s="1"/>
  <c r="O24" i="20"/>
  <c r="L24" i="20" s="1"/>
  <c r="O29" i="20"/>
  <c r="L29" i="20" s="1"/>
  <c r="O30" i="20"/>
  <c r="L30" i="20" s="1"/>
  <c r="O34" i="20"/>
  <c r="L34" i="20" s="1"/>
  <c r="O35" i="20"/>
  <c r="L35" i="20" s="1"/>
  <c r="O39" i="20"/>
  <c r="L39" i="20" s="1"/>
  <c r="O43" i="20"/>
  <c r="L43" i="20" s="1"/>
  <c r="O46" i="20"/>
  <c r="L46" i="20" s="1"/>
  <c r="O49" i="20"/>
  <c r="L49" i="20" s="1"/>
  <c r="O53" i="20"/>
  <c r="L53" i="20" s="1"/>
  <c r="O71" i="20"/>
  <c r="L71" i="20" s="1"/>
  <c r="O78" i="20"/>
  <c r="L78" i="20" s="1"/>
  <c r="O81" i="20"/>
  <c r="L81" i="20" s="1"/>
  <c r="O1443" i="20"/>
  <c r="L1443" i="20" s="1"/>
  <c r="O399" i="20"/>
  <c r="L399" i="20" s="1"/>
  <c r="O85" i="20"/>
  <c r="L85" i="20" s="1"/>
  <c r="O86" i="20"/>
  <c r="L86" i="20" s="1"/>
  <c r="O87" i="20"/>
  <c r="L87" i="20" s="1"/>
  <c r="O92" i="20"/>
  <c r="L92" i="20" s="1"/>
  <c r="O394" i="20"/>
  <c r="L394" i="20" s="1"/>
  <c r="N11" i="18" s="1"/>
  <c r="O103" i="20"/>
  <c r="L103" i="20" s="1"/>
  <c r="O389" i="20"/>
  <c r="L389" i="20" s="1"/>
  <c r="O113" i="20"/>
  <c r="L113" i="20" s="1"/>
  <c r="O119" i="20"/>
  <c r="L119" i="20" s="1"/>
  <c r="O388" i="20"/>
  <c r="L388" i="20" s="1"/>
  <c r="O423" i="20"/>
  <c r="L423" i="20" s="1"/>
  <c r="P11" i="18" s="1"/>
  <c r="O130" i="20"/>
  <c r="L130" i="20" s="1"/>
  <c r="O135" i="20"/>
  <c r="L135" i="20" s="1"/>
  <c r="O149" i="20"/>
  <c r="L149" i="20" s="1"/>
  <c r="O150" i="20"/>
  <c r="L150" i="20" s="1"/>
  <c r="O151" i="20"/>
  <c r="L151" i="20" s="1"/>
  <c r="O161" i="20"/>
  <c r="L161" i="20" s="1"/>
  <c r="O210" i="20"/>
  <c r="L210" i="20" s="1"/>
  <c r="O212" i="20"/>
  <c r="L212" i="20" s="1"/>
  <c r="O213" i="20"/>
  <c r="L213" i="20" s="1"/>
  <c r="O214" i="20"/>
  <c r="L214" i="20" s="1"/>
  <c r="O231" i="20"/>
  <c r="L231" i="20" s="1"/>
  <c r="O232" i="20"/>
  <c r="L232" i="20" s="1"/>
  <c r="O234" i="20"/>
  <c r="L234" i="20" s="1"/>
  <c r="O235" i="20"/>
  <c r="L235" i="20" s="1"/>
  <c r="O238" i="20"/>
  <c r="L238" i="20" s="1"/>
  <c r="O239" i="20"/>
  <c r="L239" i="20" s="1"/>
  <c r="O417" i="20"/>
  <c r="L417" i="20" s="1"/>
  <c r="O248" i="20"/>
  <c r="L248" i="20" s="1"/>
  <c r="O430" i="20"/>
  <c r="L430" i="20" s="1"/>
  <c r="Q11" i="18" s="1"/>
  <c r="O253" i="20"/>
  <c r="L253" i="20" s="1"/>
  <c r="O412" i="20"/>
  <c r="L412" i="20" s="1"/>
  <c r="O255" i="20"/>
  <c r="L255" i="20" s="1"/>
  <c r="O258" i="20"/>
  <c r="L258" i="20" s="1"/>
  <c r="O261" i="20"/>
  <c r="L261" i="20" s="1"/>
  <c r="O263" i="20"/>
  <c r="L263" i="20" s="1"/>
  <c r="O269" i="20"/>
  <c r="L269" i="20" s="1"/>
  <c r="O270" i="20"/>
  <c r="L270" i="20" s="1"/>
  <c r="O273" i="20"/>
  <c r="L273" i="20" s="1"/>
  <c r="O274" i="20"/>
  <c r="L274" i="20" s="1"/>
  <c r="O276" i="20"/>
  <c r="L276" i="20" s="1"/>
  <c r="O277" i="20"/>
  <c r="L277" i="20" s="1"/>
  <c r="O278" i="20"/>
  <c r="L278" i="20" s="1"/>
  <c r="O282" i="20"/>
  <c r="L282" i="20" s="1"/>
  <c r="O1050" i="20"/>
  <c r="L1050" i="20" s="1"/>
  <c r="O1938" i="20"/>
  <c r="L1938" i="20" s="1"/>
  <c r="O1939" i="20"/>
  <c r="L1939" i="20" s="1"/>
  <c r="O335" i="20"/>
  <c r="L335" i="20" s="1"/>
  <c r="O336" i="20"/>
  <c r="L336" i="20" s="1"/>
  <c r="O2118" i="20"/>
  <c r="L2118" i="20" s="1"/>
  <c r="O340" i="20"/>
  <c r="L340" i="20" s="1"/>
  <c r="O344" i="20"/>
  <c r="L344" i="20" s="1"/>
  <c r="O348" i="20"/>
  <c r="L348" i="20" s="1"/>
  <c r="O352" i="20"/>
  <c r="L352" i="20" s="1"/>
  <c r="O353" i="20"/>
  <c r="L353" i="20" s="1"/>
  <c r="O361" i="20"/>
  <c r="L361" i="20" s="1"/>
  <c r="O366" i="20"/>
  <c r="L366" i="20" s="1"/>
  <c r="O367" i="20"/>
  <c r="L367" i="20" s="1"/>
  <c r="O368" i="20"/>
  <c r="L368" i="20" s="1"/>
  <c r="O372" i="20"/>
  <c r="L372" i="20" s="1"/>
  <c r="O375" i="20"/>
  <c r="L375" i="20" s="1"/>
  <c r="O376" i="20"/>
  <c r="L376" i="20" s="1"/>
  <c r="O377" i="20"/>
  <c r="L377" i="20" s="1"/>
  <c r="O433" i="20"/>
  <c r="L433" i="20" s="1"/>
  <c r="O434" i="20"/>
  <c r="L434" i="20" s="1"/>
  <c r="O435" i="20"/>
  <c r="L435" i="20" s="1"/>
  <c r="O1626" i="20"/>
  <c r="L1626" i="20" s="1"/>
  <c r="O1693" i="20"/>
  <c r="L1693" i="20" s="1"/>
  <c r="O928" i="20"/>
  <c r="L928" i="20" s="1"/>
  <c r="O706" i="20"/>
  <c r="L706" i="20" s="1"/>
  <c r="O707" i="20"/>
  <c r="L707" i="20" s="1"/>
  <c r="O237" i="20"/>
  <c r="L237" i="20" s="1"/>
  <c r="O653" i="20"/>
  <c r="L653" i="20" s="1"/>
  <c r="O654" i="20"/>
  <c r="L654" i="20" s="1"/>
  <c r="O467" i="20"/>
  <c r="L467" i="20" s="1"/>
  <c r="O652" i="20"/>
  <c r="L652" i="20" s="1"/>
  <c r="O678" i="20"/>
  <c r="L678" i="20" s="1"/>
  <c r="O793" i="20"/>
  <c r="L793" i="20" s="1"/>
  <c r="O818" i="20"/>
  <c r="L818" i="20" s="1"/>
  <c r="O679" i="20"/>
  <c r="L679" i="20" s="1"/>
  <c r="O536" i="20"/>
  <c r="L536" i="20" s="1"/>
  <c r="O557" i="20"/>
  <c r="L557" i="20" s="1"/>
  <c r="O581" i="20"/>
  <c r="L581" i="20" s="1"/>
  <c r="O582" i="20"/>
  <c r="L582" i="20" s="1"/>
  <c r="O583" i="20"/>
  <c r="L583" i="20" s="1"/>
  <c r="O585" i="20"/>
  <c r="L585" i="20" s="1"/>
  <c r="O586" i="20"/>
  <c r="L586" i="20" s="1"/>
  <c r="O587" i="20"/>
  <c r="L587" i="20" s="1"/>
  <c r="O1571" i="20"/>
  <c r="L1571" i="20" s="1"/>
  <c r="O601" i="20"/>
  <c r="L601" i="20" s="1"/>
  <c r="O1000" i="20"/>
  <c r="L1000" i="20" s="1"/>
  <c r="O1694" i="20"/>
  <c r="L1694" i="20" s="1"/>
  <c r="O553" i="20"/>
  <c r="L553" i="20" s="1"/>
  <c r="O589" i="20"/>
  <c r="L589" i="20" s="1"/>
  <c r="O1690" i="20"/>
  <c r="L1690" i="20" s="1"/>
  <c r="O894" i="20"/>
  <c r="L894" i="20" s="1"/>
  <c r="O603" i="20"/>
  <c r="L603" i="20" s="1"/>
  <c r="O597" i="20"/>
  <c r="L597" i="20" s="1"/>
  <c r="O1213" i="20"/>
  <c r="L1213" i="20" s="1"/>
  <c r="O1203" i="20"/>
  <c r="L1203" i="20" s="1"/>
  <c r="O651" i="20"/>
  <c r="L651" i="20" s="1"/>
  <c r="O680" i="20"/>
  <c r="L680" i="20" s="1"/>
  <c r="O1629" i="20"/>
  <c r="L1629" i="20" s="1"/>
  <c r="O614" i="20"/>
  <c r="L614" i="20" s="1"/>
  <c r="O1656" i="20"/>
  <c r="L1656" i="20" s="1"/>
  <c r="O636" i="20"/>
  <c r="L636" i="20" s="1"/>
  <c r="O644" i="20"/>
  <c r="L644" i="20" s="1"/>
  <c r="O687" i="20"/>
  <c r="L687" i="20" s="1"/>
  <c r="O699" i="20"/>
  <c r="L699" i="20" s="1"/>
  <c r="O700" i="20"/>
  <c r="L700" i="20" s="1"/>
  <c r="O701" i="20"/>
  <c r="L701" i="20" s="1"/>
  <c r="O705" i="20"/>
  <c r="L705" i="20" s="1"/>
  <c r="O738" i="20"/>
  <c r="L738" i="20" s="1"/>
  <c r="O740" i="20"/>
  <c r="L740" i="20" s="1"/>
  <c r="O741" i="20"/>
  <c r="L741" i="20" s="1"/>
  <c r="O769" i="20"/>
  <c r="L769" i="20" s="1"/>
  <c r="O770" i="20"/>
  <c r="L770" i="20" s="1"/>
  <c r="L13" i="18" s="1"/>
  <c r="O771" i="20"/>
  <c r="L771" i="20" s="1"/>
  <c r="O807" i="20"/>
  <c r="L807" i="20" s="1"/>
  <c r="O782" i="20"/>
  <c r="L782" i="20" s="1"/>
  <c r="O784" i="20"/>
  <c r="L784" i="20" s="1"/>
  <c r="O785" i="20"/>
  <c r="L785" i="20" s="1"/>
  <c r="O808" i="20"/>
  <c r="L808" i="20" s="1"/>
  <c r="O795" i="20"/>
  <c r="L795" i="20" s="1"/>
  <c r="O809" i="20"/>
  <c r="L809" i="20" s="1"/>
  <c r="O810" i="20"/>
  <c r="L810" i="20" s="1"/>
  <c r="O811" i="20"/>
  <c r="L811" i="20" s="1"/>
  <c r="O820" i="20"/>
  <c r="L820" i="20" s="1"/>
  <c r="O827" i="20"/>
  <c r="L827" i="20" s="1"/>
  <c r="O831" i="20"/>
  <c r="L831" i="20" s="1"/>
  <c r="O832" i="20"/>
  <c r="L832" i="20" s="1"/>
  <c r="O834" i="20"/>
  <c r="L834" i="20" s="1"/>
  <c r="O841" i="20"/>
  <c r="L841" i="20" s="1"/>
  <c r="O842" i="20"/>
  <c r="L842" i="20" s="1"/>
  <c r="O844" i="20"/>
  <c r="L844" i="20" s="1"/>
  <c r="O850" i="20"/>
  <c r="L850" i="20" s="1"/>
  <c r="O854" i="20"/>
  <c r="L854" i="20" s="1"/>
  <c r="O855" i="20"/>
  <c r="L855" i="20" s="1"/>
  <c r="O856" i="20"/>
  <c r="L856" i="20" s="1"/>
  <c r="O868" i="20"/>
  <c r="L868" i="20" s="1"/>
  <c r="O871" i="20"/>
  <c r="L871" i="20" s="1"/>
  <c r="O877" i="20"/>
  <c r="L877" i="20" s="1"/>
  <c r="O878" i="20"/>
  <c r="L878" i="20" s="1"/>
  <c r="O879" i="20"/>
  <c r="L879" i="20" s="1"/>
  <c r="O1692" i="20"/>
  <c r="L1692" i="20" s="1"/>
  <c r="O998" i="20"/>
  <c r="L998" i="20" s="1"/>
  <c r="O896" i="20"/>
  <c r="L896" i="20" s="1"/>
  <c r="O929" i="20"/>
  <c r="L929" i="20" s="1"/>
  <c r="O915" i="20"/>
  <c r="L915" i="20" s="1"/>
  <c r="O926" i="20"/>
  <c r="L926" i="20" s="1"/>
  <c r="O932" i="20"/>
  <c r="L932" i="20" s="1"/>
  <c r="O952" i="20"/>
  <c r="L952" i="20" s="1"/>
  <c r="O953" i="20"/>
  <c r="L953" i="20" s="1"/>
  <c r="O955" i="20"/>
  <c r="L955" i="20" s="1"/>
  <c r="O961" i="20"/>
  <c r="L961" i="20" s="1"/>
  <c r="O962" i="20"/>
  <c r="L962" i="20" s="1"/>
  <c r="O1350" i="20"/>
  <c r="L1350" i="20" s="1"/>
  <c r="O980" i="20"/>
  <c r="L980" i="20" s="1"/>
  <c r="O997" i="20"/>
  <c r="L997" i="20" s="1"/>
  <c r="O999" i="20"/>
  <c r="L999" i="20" s="1"/>
  <c r="O1001" i="20"/>
  <c r="L1001" i="20" s="1"/>
  <c r="O676" i="20"/>
  <c r="L676" i="20" s="1"/>
  <c r="O1004" i="20"/>
  <c r="L1004" i="20" s="1"/>
  <c r="O1005" i="20"/>
  <c r="L1005" i="20" s="1"/>
  <c r="O1006" i="20"/>
  <c r="L1006" i="20" s="1"/>
  <c r="O1007" i="20"/>
  <c r="L1007" i="20" s="1"/>
  <c r="O650" i="20"/>
  <c r="L650" i="20" s="1"/>
  <c r="O1008" i="20"/>
  <c r="L1008" i="20" s="1"/>
  <c r="O982" i="20"/>
  <c r="L982" i="20" s="1"/>
  <c r="O994" i="20"/>
  <c r="L994" i="20" s="1"/>
  <c r="O1043" i="20"/>
  <c r="L1043" i="20" s="1"/>
  <c r="O1055" i="20"/>
  <c r="L1055" i="20" s="1"/>
  <c r="O1056" i="20"/>
  <c r="L1056" i="20" s="1"/>
  <c r="O1044" i="20"/>
  <c r="L1044" i="20" s="1"/>
  <c r="O1093" i="20"/>
  <c r="L1093" i="20" s="1"/>
  <c r="O1106" i="20"/>
  <c r="L1106" i="20" s="1"/>
  <c r="O1107" i="20"/>
  <c r="L1107" i="20" s="1"/>
  <c r="O1108" i="20"/>
  <c r="L1108" i="20" s="1"/>
  <c r="O1360" i="20"/>
  <c r="L1360" i="20" s="1"/>
  <c r="O996" i="20"/>
  <c r="L996" i="20" s="1"/>
  <c r="O1307" i="20"/>
  <c r="L1307" i="20" s="1"/>
  <c r="O1124" i="20"/>
  <c r="L1124" i="20" s="1"/>
  <c r="O1240" i="20"/>
  <c r="L1240" i="20" s="1"/>
  <c r="O1970" i="20"/>
  <c r="L1970" i="20" s="1"/>
  <c r="O2137" i="20"/>
  <c r="L2137" i="20" s="1"/>
  <c r="O1450" i="20"/>
  <c r="L1450" i="20" s="1"/>
  <c r="O963" i="20"/>
  <c r="L963" i="20" s="1"/>
  <c r="O783" i="20"/>
  <c r="L783" i="20" s="1"/>
  <c r="O830" i="20"/>
  <c r="L830" i="20" s="1"/>
  <c r="O1118" i="20"/>
  <c r="L1118" i="20" s="1"/>
  <c r="O1119" i="20"/>
  <c r="L1119" i="20" s="1"/>
  <c r="O1451" i="20"/>
  <c r="L1451" i="20" s="1"/>
  <c r="O1452" i="20"/>
  <c r="L1452" i="20" s="1"/>
  <c r="O964" i="20"/>
  <c r="L964" i="20" s="1"/>
  <c r="O1176" i="20"/>
  <c r="L1176" i="20" s="1"/>
  <c r="O1179" i="20"/>
  <c r="L1179" i="20" s="1"/>
  <c r="O1189" i="20"/>
  <c r="L1189" i="20" s="1"/>
  <c r="O1202" i="20"/>
  <c r="L1202" i="20" s="1"/>
  <c r="O1204" i="20"/>
  <c r="L1204" i="20" s="1"/>
  <c r="O1200" i="20"/>
  <c r="L1200" i="20" s="1"/>
  <c r="O1201" i="20"/>
  <c r="L1201" i="20" s="1"/>
  <c r="O1215" i="20"/>
  <c r="L1215" i="20" s="1"/>
  <c r="O1219" i="20"/>
  <c r="L1219" i="20" s="1"/>
  <c r="O1220" i="20"/>
  <c r="L1220" i="20" s="1"/>
  <c r="O1221" i="20"/>
  <c r="L1221" i="20" s="1"/>
  <c r="O1226" i="20"/>
  <c r="L1226" i="20" s="1"/>
  <c r="O1239" i="20"/>
  <c r="L1239" i="20" s="1"/>
  <c r="O1241" i="20"/>
  <c r="L1241" i="20" s="1"/>
  <c r="O1242" i="20"/>
  <c r="L1242" i="20" s="1"/>
  <c r="O1282" i="20"/>
  <c r="L1282" i="20" s="1"/>
  <c r="O1283" i="20"/>
  <c r="L1283" i="20" s="1"/>
  <c r="O1285" i="20"/>
  <c r="L1285" i="20" s="1"/>
  <c r="O1308" i="20"/>
  <c r="L1308" i="20" s="1"/>
  <c r="O1309" i="20"/>
  <c r="L1309" i="20" s="1"/>
  <c r="O1310" i="20"/>
  <c r="L1310" i="20" s="1"/>
  <c r="O1311" i="20"/>
  <c r="L1311" i="20" s="1"/>
  <c r="O1312" i="20"/>
  <c r="L1312" i="20" s="1"/>
  <c r="O1320" i="20"/>
  <c r="L1320" i="20" s="1"/>
  <c r="O1331" i="20"/>
  <c r="L1331" i="20" s="1"/>
  <c r="O1332" i="20"/>
  <c r="L1332" i="20" s="1"/>
  <c r="O1333" i="20"/>
  <c r="L1333" i="20" s="1"/>
  <c r="O1351" i="20"/>
  <c r="L1351" i="20" s="1"/>
  <c r="O1357" i="20"/>
  <c r="L1357" i="20" s="1"/>
  <c r="O1358" i="20"/>
  <c r="L1358" i="20" s="1"/>
  <c r="O1359" i="20"/>
  <c r="L1359" i="20" s="1"/>
  <c r="O1361" i="20"/>
  <c r="L1361" i="20" s="1"/>
  <c r="O1379" i="20"/>
  <c r="L1379" i="20" s="1"/>
  <c r="O1382" i="20"/>
  <c r="L1382" i="20" s="1"/>
  <c r="O1383" i="20"/>
  <c r="L1383" i="20" s="1"/>
  <c r="O1385" i="20"/>
  <c r="L1385" i="20" s="1"/>
  <c r="O1388" i="20"/>
  <c r="L1388" i="20" s="1"/>
  <c r="O1123" i="20"/>
  <c r="L1123" i="20" s="1"/>
  <c r="O1407" i="20"/>
  <c r="L1407" i="20" s="1"/>
  <c r="O1408" i="20"/>
  <c r="L1408" i="20" s="1"/>
  <c r="O1437" i="20"/>
  <c r="L1437" i="20" s="1"/>
  <c r="O1439" i="20"/>
  <c r="L1439" i="20" s="1"/>
  <c r="O1441" i="20"/>
  <c r="L1441" i="20" s="1"/>
  <c r="O1459" i="20"/>
  <c r="L1459" i="20" s="1"/>
  <c r="O1465" i="20"/>
  <c r="L1465" i="20" s="1"/>
  <c r="O1466" i="20"/>
  <c r="L1466" i="20" s="1"/>
  <c r="O1468" i="20"/>
  <c r="L1468" i="20" s="1"/>
  <c r="O1497" i="20"/>
  <c r="L1497" i="20" s="1"/>
  <c r="O1460" i="20"/>
  <c r="L1460" i="20" s="1"/>
  <c r="O1461" i="20"/>
  <c r="L1461" i="20" s="1"/>
  <c r="O584" i="20"/>
  <c r="L584" i="20" s="1"/>
  <c r="O1464" i="20"/>
  <c r="L1464" i="20" s="1"/>
  <c r="O1487" i="20"/>
  <c r="L1487" i="20" s="1"/>
  <c r="O1495" i="20"/>
  <c r="L1495" i="20" s="1"/>
  <c r="O1496" i="20"/>
  <c r="L1496" i="20" s="1"/>
  <c r="O1506" i="20"/>
  <c r="L1506" i="20" s="1"/>
  <c r="O1507" i="20"/>
  <c r="L1507" i="20" s="1"/>
  <c r="O1508" i="20"/>
  <c r="L1508" i="20" s="1"/>
  <c r="O1572" i="20"/>
  <c r="L1572" i="20" s="1"/>
  <c r="O1521" i="20"/>
  <c r="L1521" i="20" s="1"/>
  <c r="O1522" i="20"/>
  <c r="L1522" i="20" s="1"/>
  <c r="O1523" i="20"/>
  <c r="L1523" i="20" s="1"/>
  <c r="O1524" i="20"/>
  <c r="L1524" i="20" s="1"/>
  <c r="O1525" i="20"/>
  <c r="L1525" i="20" s="1"/>
  <c r="O1627" i="20"/>
  <c r="L1627" i="20" s="1"/>
  <c r="O1567" i="20"/>
  <c r="L1567" i="20" s="1"/>
  <c r="O1578" i="20"/>
  <c r="L1578" i="20" s="1"/>
  <c r="O1596" i="20"/>
  <c r="L1596" i="20" s="1"/>
  <c r="O1628" i="20"/>
  <c r="L1628" i="20" s="1"/>
  <c r="O1676" i="20"/>
  <c r="L1676" i="20" s="1"/>
  <c r="O1691" i="20"/>
  <c r="L1691" i="20" s="1"/>
  <c r="O1686" i="20"/>
  <c r="L1686" i="20" s="1"/>
  <c r="O1679" i="20"/>
  <c r="L1679" i="20" s="1"/>
  <c r="O1680" i="20"/>
  <c r="L1680" i="20" s="1"/>
  <c r="O1726" i="20"/>
  <c r="L1726" i="20" s="1"/>
  <c r="O1730" i="20"/>
  <c r="L1730" i="20" s="1"/>
  <c r="O1744" i="20"/>
  <c r="L1744" i="20" s="1"/>
  <c r="O1727" i="20"/>
  <c r="L1727" i="20" s="1"/>
  <c r="O1728" i="20"/>
  <c r="L1728" i="20" s="1"/>
  <c r="O1736" i="20"/>
  <c r="L1736" i="20" s="1"/>
  <c r="O2038" i="20"/>
  <c r="L2038" i="20" s="1"/>
  <c r="O1745" i="20"/>
  <c r="L1745" i="20" s="1"/>
  <c r="O1741" i="20"/>
  <c r="L1741" i="20" s="1"/>
  <c r="O1737" i="20"/>
  <c r="L1737" i="20" s="1"/>
  <c r="O1738" i="20"/>
  <c r="L1738" i="20" s="1"/>
  <c r="O1739" i="20"/>
  <c r="L1739" i="20" s="1"/>
  <c r="O1760" i="20"/>
  <c r="L1760" i="20" s="1"/>
  <c r="O1761" i="20"/>
  <c r="L1761" i="20" s="1"/>
  <c r="O1762" i="20"/>
  <c r="L1762" i="20" s="1"/>
  <c r="O1763" i="20"/>
  <c r="L1763" i="20" s="1"/>
  <c r="O1781" i="20"/>
  <c r="L1781" i="20" s="1"/>
  <c r="O1788" i="20"/>
  <c r="L1788" i="20" s="1"/>
  <c r="O1789" i="20"/>
  <c r="L1789" i="20" s="1"/>
  <c r="O1794" i="20"/>
  <c r="L1794" i="20" s="1"/>
  <c r="O1969" i="20"/>
  <c r="L1969" i="20" s="1"/>
  <c r="O1982" i="20"/>
  <c r="L1982" i="20" s="1"/>
  <c r="O1003" i="20"/>
  <c r="L1003" i="20" s="1"/>
  <c r="O1971" i="20"/>
  <c r="L1971" i="20" s="1"/>
  <c r="O1972" i="20"/>
  <c r="L1972" i="20" s="1"/>
  <c r="O1795" i="20"/>
  <c r="L1795" i="20" s="1"/>
  <c r="L19" i="18" s="1"/>
  <c r="O1796" i="20"/>
  <c r="L1796" i="20" s="1"/>
  <c r="O1798" i="20"/>
  <c r="L1798" i="20" s="1"/>
  <c r="O1799" i="20"/>
  <c r="L1799" i="20" s="1"/>
  <c r="O1800" i="20"/>
  <c r="L1800" i="20" s="1"/>
  <c r="O1817" i="20"/>
  <c r="L1817" i="20" s="1"/>
  <c r="O1818" i="20"/>
  <c r="L1818" i="20" s="1"/>
  <c r="O1802" i="20"/>
  <c r="L1802" i="20" s="1"/>
  <c r="O1822" i="20"/>
  <c r="L1822" i="20" s="1"/>
  <c r="O1826" i="20"/>
  <c r="L1826" i="20" s="1"/>
  <c r="O1835" i="20"/>
  <c r="L1835" i="20" s="1"/>
  <c r="O1828" i="20"/>
  <c r="L1828" i="20" s="1"/>
  <c r="O1851" i="20"/>
  <c r="L1851" i="20" s="1"/>
  <c r="O1854" i="20"/>
  <c r="L1854" i="20" s="1"/>
  <c r="O1857" i="20"/>
  <c r="L1857" i="20" s="1"/>
  <c r="O1877" i="20"/>
  <c r="L1877" i="20" s="1"/>
  <c r="O1914" i="20"/>
  <c r="L1914" i="20" s="1"/>
  <c r="O1880" i="20"/>
  <c r="L1880" i="20" s="1"/>
  <c r="O1888" i="20"/>
  <c r="L1888" i="20" s="1"/>
  <c r="O1895" i="20"/>
  <c r="L1895" i="20" s="1"/>
  <c r="O1889" i="20"/>
  <c r="L1889" i="20" s="1"/>
  <c r="O1891" i="20"/>
  <c r="L1891" i="20" s="1"/>
  <c r="O1892" i="20"/>
  <c r="L1892" i="20" s="1"/>
  <c r="O1900" i="20"/>
  <c r="L1900" i="20" s="1"/>
  <c r="O1905" i="20"/>
  <c r="L1905" i="20" s="1"/>
  <c r="O1901" i="20"/>
  <c r="L1901" i="20" s="1"/>
  <c r="O1902" i="20"/>
  <c r="L1902" i="20" s="1"/>
  <c r="O1903" i="20"/>
  <c r="L1903" i="20" s="1"/>
  <c r="O1904" i="20"/>
  <c r="L1904" i="20" s="1"/>
  <c r="O1935" i="20"/>
  <c r="L1935" i="20" s="1"/>
  <c r="O1945" i="20"/>
  <c r="L1945" i="20" s="1"/>
  <c r="O1946" i="20"/>
  <c r="L1946" i="20" s="1"/>
  <c r="O1915" i="20"/>
  <c r="L1915" i="20" s="1"/>
  <c r="O1916" i="20"/>
  <c r="L1916" i="20" s="1"/>
  <c r="O1959" i="20"/>
  <c r="L1959" i="20" s="1"/>
  <c r="O1960" i="20"/>
  <c r="L1960" i="20" s="1"/>
  <c r="O1962" i="20"/>
  <c r="L1962" i="20" s="1"/>
  <c r="O1973" i="20"/>
  <c r="L1973" i="20" s="1"/>
  <c r="O1964" i="20"/>
  <c r="L1964" i="20" s="1"/>
  <c r="O1975" i="20"/>
  <c r="L1975" i="20" s="1"/>
  <c r="O1981" i="20"/>
  <c r="L1981" i="20" s="1"/>
  <c r="O257" i="20"/>
  <c r="L257" i="20" s="1"/>
  <c r="O1977" i="20"/>
  <c r="L1977" i="20" s="1"/>
  <c r="O1978" i="20"/>
  <c r="L1978" i="20" s="1"/>
  <c r="O1984" i="20"/>
  <c r="L1984" i="20" s="1"/>
  <c r="O1986" i="20"/>
  <c r="L1986" i="20" s="1"/>
  <c r="O1987" i="20"/>
  <c r="L1987" i="20" s="1"/>
  <c r="O1992" i="20"/>
  <c r="L1992" i="20" s="1"/>
  <c r="O1988" i="20"/>
  <c r="L1988" i="20" s="1"/>
  <c r="O1989" i="20"/>
  <c r="L1989" i="20" s="1"/>
  <c r="O1990" i="20"/>
  <c r="L1990" i="20" s="1"/>
  <c r="O1994" i="20"/>
  <c r="L1994" i="20" s="1"/>
  <c r="O2000" i="20"/>
  <c r="L2000" i="20" s="1"/>
  <c r="O1995" i="20"/>
  <c r="L1995" i="20" s="1"/>
  <c r="O2003" i="20"/>
  <c r="L2003" i="20" s="1"/>
  <c r="O2004" i="20"/>
  <c r="L2004" i="20" s="1"/>
  <c r="L21" i="18" s="1"/>
  <c r="O2005" i="20"/>
  <c r="L2005" i="20" s="1"/>
  <c r="O2019" i="20"/>
  <c r="L2019" i="20" s="1"/>
  <c r="O2021" i="20"/>
  <c r="L2021" i="20" s="1"/>
  <c r="O2023" i="20"/>
  <c r="L2023" i="20" s="1"/>
  <c r="O2006" i="20"/>
  <c r="L2006" i="20" s="1"/>
  <c r="O2007" i="20"/>
  <c r="L2007" i="20" s="1"/>
  <c r="O2008" i="20"/>
  <c r="L2008" i="20" s="1"/>
  <c r="O2013" i="20"/>
  <c r="L2013" i="20" s="1"/>
  <c r="O2033" i="20"/>
  <c r="L2033" i="20" s="1"/>
  <c r="O2032" i="20"/>
  <c r="L2032" i="20" s="1"/>
  <c r="O2042" i="20"/>
  <c r="L2042" i="20" s="1"/>
  <c r="O2041" i="20"/>
  <c r="L2041" i="20" s="1"/>
  <c r="O2043" i="20"/>
  <c r="L2043" i="20" s="1"/>
  <c r="O1961" i="20"/>
  <c r="L1961" i="20" s="1"/>
  <c r="O2046" i="20"/>
  <c r="L2046" i="20" s="1"/>
  <c r="O2047" i="20"/>
  <c r="L2047" i="20" s="1"/>
  <c r="L22" i="18" s="1"/>
  <c r="O2050" i="20"/>
  <c r="L2050" i="20" s="1"/>
  <c r="O2049" i="20"/>
  <c r="L2049" i="20" s="1"/>
  <c r="O2060" i="20"/>
  <c r="L2060" i="20" s="1"/>
  <c r="O2051" i="20"/>
  <c r="L2051" i="20" s="1"/>
  <c r="O2066" i="20"/>
  <c r="L2066" i="20" s="1"/>
  <c r="O2067" i="20"/>
  <c r="L2067" i="20" s="1"/>
  <c r="O2069" i="20"/>
  <c r="L2069" i="20" s="1"/>
  <c r="O2081" i="20"/>
  <c r="L2081" i="20" s="1"/>
  <c r="O2079" i="20"/>
  <c r="L2079" i="20" s="1"/>
  <c r="O2101" i="20"/>
  <c r="L2101" i="20" s="1"/>
  <c r="O2082" i="20"/>
  <c r="L2082" i="20" s="1"/>
  <c r="O2086" i="20"/>
  <c r="L2086" i="20" s="1"/>
  <c r="O2089" i="20"/>
  <c r="L2089" i="20" s="1"/>
  <c r="O2091" i="20"/>
  <c r="L2091" i="20" s="1"/>
  <c r="O2093" i="20"/>
  <c r="L2093" i="20" s="1"/>
  <c r="O2094" i="20"/>
  <c r="L2094" i="20" s="1"/>
  <c r="O2095" i="20"/>
  <c r="L2095" i="20" s="1"/>
  <c r="O2098" i="20"/>
  <c r="L2098" i="20" s="1"/>
  <c r="O2099" i="20"/>
  <c r="L2099" i="20" s="1"/>
  <c r="O2105" i="20"/>
  <c r="L2105" i="20" s="1"/>
  <c r="O2106" i="20"/>
  <c r="L2106" i="20" s="1"/>
  <c r="O2107" i="20"/>
  <c r="L2107" i="20" s="1"/>
  <c r="L2110" i="20"/>
  <c r="O2112" i="20"/>
  <c r="L2112" i="20" s="1"/>
  <c r="O2124" i="20"/>
  <c r="L2124" i="20" s="1"/>
  <c r="O2115" i="20"/>
  <c r="L2115" i="20" s="1"/>
  <c r="O2117" i="20"/>
  <c r="L2117" i="20" s="1"/>
  <c r="O2125" i="20"/>
  <c r="L2125" i="20" s="1"/>
  <c r="O2127" i="20"/>
  <c r="L2127" i="20" s="1"/>
  <c r="O2136" i="20"/>
  <c r="L2136" i="20" s="1"/>
  <c r="O360" i="20"/>
  <c r="L360" i="20" s="1"/>
  <c r="O254" i="20"/>
  <c r="L254" i="20" s="1"/>
  <c r="O371" i="20"/>
  <c r="L371" i="20" s="1"/>
  <c r="O2103" i="20"/>
  <c r="L2103" i="20" s="1"/>
  <c r="O2104" i="20"/>
  <c r="L2104" i="20" s="1"/>
  <c r="O2128" i="20"/>
  <c r="L2128" i="20" s="1"/>
  <c r="O2022" i="20"/>
  <c r="L2022" i="20" s="1"/>
  <c r="O2154" i="20"/>
  <c r="L2154" i="20" s="1"/>
  <c r="O2155" i="20"/>
  <c r="L2155" i="20" s="1"/>
  <c r="O2156" i="20"/>
  <c r="L2156" i="20" s="1"/>
  <c r="O2157" i="20"/>
  <c r="L2157" i="20" s="1"/>
  <c r="M26" i="18" s="1"/>
  <c r="O2162" i="20"/>
  <c r="L2162" i="20" s="1"/>
  <c r="N26" i="18" s="1"/>
  <c r="O2167" i="20"/>
  <c r="L2167" i="20" s="1"/>
  <c r="O2173" i="20"/>
  <c r="L2173" i="20" s="1"/>
  <c r="O2174" i="20"/>
  <c r="L2174" i="20" s="1"/>
  <c r="O2175" i="20"/>
  <c r="L2175" i="20" s="1"/>
  <c r="O2185" i="20"/>
  <c r="L2185" i="20" s="1"/>
  <c r="O1002" i="20"/>
  <c r="L1002" i="20" s="1"/>
  <c r="O1454" i="20"/>
  <c r="L1454" i="20" s="1"/>
  <c r="O843" i="20"/>
  <c r="L843" i="20" s="1"/>
  <c r="X28" i="18"/>
  <c r="V28" i="18"/>
  <c r="U28" i="18"/>
  <c r="T28" i="18"/>
  <c r="S28" i="18"/>
  <c r="R28" i="18"/>
  <c r="Q28" i="18"/>
  <c r="P28" i="18"/>
  <c r="O28" i="18"/>
  <c r="N28" i="18"/>
  <c r="X27" i="18"/>
  <c r="V27" i="18"/>
  <c r="U27" i="18"/>
  <c r="T27" i="18"/>
  <c r="S27" i="18"/>
  <c r="R27" i="18"/>
  <c r="Q27" i="18"/>
  <c r="P27" i="18"/>
  <c r="O27" i="18"/>
  <c r="X26" i="18"/>
  <c r="V26" i="18"/>
  <c r="U26" i="18"/>
  <c r="T26" i="18"/>
  <c r="S26" i="18"/>
  <c r="R26" i="18"/>
  <c r="Q26" i="18"/>
  <c r="P26" i="18"/>
  <c r="X25" i="18"/>
  <c r="V25" i="18"/>
  <c r="U25" i="18"/>
  <c r="T25" i="18"/>
  <c r="S25" i="18"/>
  <c r="R25" i="18"/>
  <c r="Q25" i="18"/>
  <c r="P25" i="18"/>
  <c r="O25" i="18"/>
  <c r="X24" i="18"/>
  <c r="V24" i="18"/>
  <c r="U24" i="18"/>
  <c r="T24" i="18"/>
  <c r="S24" i="18"/>
  <c r="R24" i="18"/>
  <c r="Q24" i="18"/>
  <c r="P24" i="18"/>
  <c r="X23" i="18"/>
  <c r="V23" i="18"/>
  <c r="U23" i="18"/>
  <c r="T23" i="18"/>
  <c r="S23" i="18"/>
  <c r="R23" i="18"/>
  <c r="Q23" i="18"/>
  <c r="P23" i="18"/>
  <c r="O23" i="18"/>
  <c r="L23" i="18"/>
  <c r="X22" i="18"/>
  <c r="V22" i="18"/>
  <c r="U22" i="18"/>
  <c r="T22" i="18"/>
  <c r="S22" i="18"/>
  <c r="R22" i="18"/>
  <c r="X21" i="18"/>
  <c r="V21" i="18"/>
  <c r="U21" i="18"/>
  <c r="T21" i="18"/>
  <c r="S21" i="18"/>
  <c r="R21" i="18"/>
  <c r="Q21" i="18"/>
  <c r="X20" i="18"/>
  <c r="V20" i="18"/>
  <c r="U20" i="18"/>
  <c r="T20" i="18"/>
  <c r="S20" i="18"/>
  <c r="R20" i="18"/>
  <c r="X19" i="18"/>
  <c r="V19" i="18"/>
  <c r="U19" i="18"/>
  <c r="X18" i="18"/>
  <c r="V18" i="18"/>
  <c r="U18" i="18"/>
  <c r="T18" i="18"/>
  <c r="S18" i="18"/>
  <c r="R18" i="18"/>
  <c r="L18" i="18"/>
  <c r="X17" i="18"/>
  <c r="V17" i="18"/>
  <c r="U17" i="18"/>
  <c r="T17" i="18"/>
  <c r="S17" i="18"/>
  <c r="R17" i="18"/>
  <c r="Q17" i="18"/>
  <c r="X16" i="18"/>
  <c r="V16" i="18"/>
  <c r="U16" i="18"/>
  <c r="T16" i="18"/>
  <c r="S16" i="18"/>
  <c r="R16" i="18"/>
  <c r="Q16" i="18"/>
  <c r="P16" i="18"/>
  <c r="O16" i="18"/>
  <c r="X14" i="18"/>
  <c r="V14" i="18"/>
  <c r="U14" i="18"/>
  <c r="T14" i="18"/>
  <c r="X13" i="18"/>
  <c r="V13" i="18"/>
  <c r="U13" i="18"/>
  <c r="T13" i="18"/>
  <c r="S13" i="18"/>
  <c r="R13" i="18"/>
  <c r="X12" i="18"/>
  <c r="V12" i="18"/>
  <c r="U12" i="18"/>
  <c r="T12" i="18"/>
  <c r="S12" i="18"/>
  <c r="R12" i="18"/>
  <c r="X10" i="18"/>
  <c r="V10" i="18"/>
  <c r="U10" i="18"/>
  <c r="T10" i="18"/>
  <c r="S10" i="18"/>
  <c r="R10" i="18"/>
  <c r="Q10" i="18"/>
  <c r="P10" i="18"/>
  <c r="X9" i="18"/>
  <c r="V9" i="18"/>
  <c r="U9" i="18"/>
  <c r="T9" i="18"/>
  <c r="S9" i="18"/>
  <c r="X8" i="18"/>
  <c r="W8" i="18"/>
  <c r="V8" i="18"/>
  <c r="U8" i="18"/>
  <c r="T8" i="18"/>
  <c r="S8" i="18"/>
  <c r="R8" i="18"/>
  <c r="Q8" i="18"/>
  <c r="L8" i="18"/>
  <c r="X7" i="18"/>
  <c r="W7" i="18"/>
  <c r="V7" i="18"/>
  <c r="U7" i="18"/>
  <c r="T7" i="18"/>
  <c r="S7" i="18"/>
  <c r="R7" i="18"/>
  <c r="L7" i="18"/>
  <c r="X6" i="18"/>
  <c r="W6" i="18"/>
  <c r="V6" i="18"/>
  <c r="U6" i="18"/>
  <c r="T6" i="18"/>
  <c r="S6" i="18"/>
  <c r="L6" i="18"/>
  <c r="D1828" i="20"/>
  <c r="D2051" i="20"/>
  <c r="D1738" i="20"/>
  <c r="D1762" i="20"/>
  <c r="D1789" i="20"/>
  <c r="D1889" i="20"/>
  <c r="D1995" i="20"/>
  <c r="D1988" i="20"/>
  <c r="D1044" i="20"/>
  <c r="D1739" i="20"/>
  <c r="D1903" i="20"/>
  <c r="D1989" i="20"/>
  <c r="D399" i="20"/>
  <c r="D994" i="20"/>
  <c r="D2193" i="20"/>
  <c r="A2193" i="20" s="1"/>
  <c r="D2192" i="20"/>
  <c r="A2192" i="20" s="1"/>
  <c r="D2191" i="20"/>
  <c r="A2191" i="20" s="1"/>
  <c r="D843" i="20"/>
  <c r="D1454" i="20"/>
  <c r="A1454" i="20" s="1"/>
  <c r="D1002" i="20"/>
  <c r="D2185" i="20"/>
  <c r="A2185" i="20" s="1"/>
  <c r="D2175" i="20"/>
  <c r="A2175" i="20" s="1"/>
  <c r="D2174" i="20"/>
  <c r="A2174" i="20" s="1"/>
  <c r="D2173" i="20"/>
  <c r="A2173" i="20" s="1"/>
  <c r="D2167" i="20"/>
  <c r="A2167" i="20" s="1"/>
  <c r="D2162" i="20"/>
  <c r="A2162" i="20" s="1"/>
  <c r="D2157" i="20"/>
  <c r="A2157" i="20" s="1"/>
  <c r="D2156" i="20"/>
  <c r="A2156" i="20" s="1"/>
  <c r="D2155" i="20"/>
  <c r="A2155" i="20" s="1"/>
  <c r="D2154" i="20"/>
  <c r="D2022" i="20"/>
  <c r="D2128" i="20"/>
  <c r="D2127" i="20"/>
  <c r="D2104" i="20"/>
  <c r="D2103" i="20"/>
  <c r="D371" i="20"/>
  <c r="D254" i="20"/>
  <c r="D360" i="20"/>
  <c r="D2136" i="20"/>
  <c r="D2089" i="20"/>
  <c r="D2117" i="20"/>
  <c r="D2125" i="20"/>
  <c r="D2112" i="20"/>
  <c r="D2115" i="20"/>
  <c r="D2124" i="20"/>
  <c r="D2107" i="20"/>
  <c r="D2110" i="20"/>
  <c r="D2106" i="20"/>
  <c r="D2105" i="20"/>
  <c r="D2099" i="20"/>
  <c r="D2095" i="20"/>
  <c r="D2098" i="20"/>
  <c r="D2094" i="20"/>
  <c r="D2093" i="20"/>
  <c r="D2091" i="20"/>
  <c r="D2086" i="20"/>
  <c r="D2081" i="20"/>
  <c r="D2079" i="20"/>
  <c r="D2066" i="20"/>
  <c r="D2050" i="20"/>
  <c r="D2049" i="20"/>
  <c r="D2047" i="20"/>
  <c r="D2046" i="20"/>
  <c r="D2043" i="20"/>
  <c r="D1961" i="20"/>
  <c r="D2042" i="20"/>
  <c r="D2041" i="20"/>
  <c r="D2033" i="20"/>
  <c r="D2032" i="20"/>
  <c r="D2005" i="20"/>
  <c r="D2023" i="20"/>
  <c r="D2021" i="20"/>
  <c r="D2019" i="20"/>
  <c r="D2004" i="20"/>
  <c r="D2003" i="20"/>
  <c r="D2082" i="20"/>
  <c r="D2069" i="20"/>
  <c r="D2013" i="20"/>
  <c r="D2101" i="20"/>
  <c r="D2008" i="20"/>
  <c r="D2007" i="20"/>
  <c r="D2067" i="20"/>
  <c r="D2006" i="20"/>
  <c r="D1822" i="20"/>
  <c r="D1857" i="20"/>
  <c r="D1994" i="20"/>
  <c r="D2000" i="20"/>
  <c r="D1990" i="20"/>
  <c r="D1964" i="20"/>
  <c r="D1892" i="20"/>
  <c r="D1987" i="20"/>
  <c r="D1992" i="20"/>
  <c r="D1802" i="20"/>
  <c r="D1984" i="20"/>
  <c r="D1986" i="20"/>
  <c r="D1975" i="20"/>
  <c r="D257" i="20"/>
  <c r="D1981" i="20"/>
  <c r="D1962" i="20"/>
  <c r="D1973" i="20"/>
  <c r="D1960" i="20"/>
  <c r="D1959" i="20"/>
  <c r="D1916" i="20"/>
  <c r="D1915" i="20"/>
  <c r="D1935" i="20"/>
  <c r="D1946" i="20"/>
  <c r="D1945" i="20"/>
  <c r="D1900" i="20"/>
  <c r="D1888" i="20"/>
  <c r="D1895" i="20"/>
  <c r="D1877" i="20"/>
  <c r="D1880" i="20"/>
  <c r="D1914" i="20"/>
  <c r="D1851" i="20"/>
  <c r="D1826" i="20"/>
  <c r="D1904" i="20"/>
  <c r="D1835" i="20"/>
  <c r="D1817" i="20"/>
  <c r="D1891" i="20"/>
  <c r="D1796" i="20"/>
  <c r="D1763" i="20"/>
  <c r="D1795" i="20"/>
  <c r="D1794" i="20"/>
  <c r="D1972" i="20"/>
  <c r="D1971" i="20"/>
  <c r="D1003" i="20"/>
  <c r="D1982" i="20"/>
  <c r="D1969" i="20"/>
  <c r="D1788" i="20"/>
  <c r="D1781" i="20"/>
  <c r="D1760" i="20"/>
  <c r="D1736" i="20"/>
  <c r="D1745" i="20"/>
  <c r="D2038" i="20"/>
  <c r="D1728" i="20"/>
  <c r="D1727" i="20"/>
  <c r="D1726" i="20"/>
  <c r="D1744" i="20"/>
  <c r="D1730" i="20"/>
  <c r="D1978" i="20"/>
  <c r="D1977" i="20"/>
  <c r="D1800" i="20"/>
  <c r="D1902" i="20"/>
  <c r="D1799" i="20"/>
  <c r="D1761" i="20"/>
  <c r="D1737" i="20"/>
  <c r="D1901" i="20"/>
  <c r="D1854" i="20"/>
  <c r="D597" i="20"/>
  <c r="D644" i="20"/>
  <c r="D1119" i="20"/>
  <c r="D1118" i="20"/>
  <c r="D636" i="20"/>
  <c r="D1905" i="20"/>
  <c r="D1741" i="20"/>
  <c r="D1676" i="20"/>
  <c r="D1691" i="20"/>
  <c r="D1596" i="20"/>
  <c r="D1221" i="20"/>
  <c r="D1628" i="20"/>
  <c r="D1576" i="20"/>
  <c r="D1567" i="20"/>
  <c r="D1220" i="20"/>
  <c r="D1578" i="20"/>
  <c r="D1508" i="20"/>
  <c r="D1219" i="20"/>
  <c r="D1627" i="20"/>
  <c r="D1525" i="20"/>
  <c r="D1524" i="20"/>
  <c r="D1523" i="20"/>
  <c r="D1522" i="20"/>
  <c r="D1521" i="20"/>
  <c r="D1572" i="20"/>
  <c r="D1507" i="20"/>
  <c r="D1506" i="20"/>
  <c r="D1487" i="20"/>
  <c r="D1496" i="20"/>
  <c r="D1495" i="20"/>
  <c r="D1461" i="20"/>
  <c r="D1464" i="20"/>
  <c r="D584" i="20"/>
  <c r="D1460" i="20"/>
  <c r="D1459" i="20"/>
  <c r="D1497" i="20"/>
  <c r="D1468" i="20"/>
  <c r="D1466" i="20"/>
  <c r="D1465" i="20"/>
  <c r="D1441" i="20"/>
  <c r="D963" i="20"/>
  <c r="D1450" i="20"/>
  <c r="D2137" i="20"/>
  <c r="D1970" i="20"/>
  <c r="D1437" i="20"/>
  <c r="D1439" i="20"/>
  <c r="D1408" i="20"/>
  <c r="D1388" i="20"/>
  <c r="D1379" i="20"/>
  <c r="D1385" i="20"/>
  <c r="D1383" i="20"/>
  <c r="D1382" i="20"/>
  <c r="D1351" i="20"/>
  <c r="D1359" i="20"/>
  <c r="D1358" i="20"/>
  <c r="D1357" i="20"/>
  <c r="D1320" i="20"/>
  <c r="D1333" i="20"/>
  <c r="D1332" i="20"/>
  <c r="D1331" i="20"/>
  <c r="D1285" i="20"/>
  <c r="D1312" i="20"/>
  <c r="D1311" i="20"/>
  <c r="D1310" i="20"/>
  <c r="D1309" i="20"/>
  <c r="D1308" i="20"/>
  <c r="D1283" i="20"/>
  <c r="D1226" i="20"/>
  <c r="D1242" i="20"/>
  <c r="D1241" i="20"/>
  <c r="D1239" i="20"/>
  <c r="D1215" i="20"/>
  <c r="D1189" i="20"/>
  <c r="D1204" i="20"/>
  <c r="D1176" i="20"/>
  <c r="D1686" i="20"/>
  <c r="D1179" i="20"/>
  <c r="D1108" i="20"/>
  <c r="D701" i="20"/>
  <c r="D700" i="20"/>
  <c r="D1124" i="20"/>
  <c r="D1107" i="20"/>
  <c r="D1106" i="20"/>
  <c r="D830" i="20"/>
  <c r="D783" i="20"/>
  <c r="D1240" i="20"/>
  <c r="D1307" i="20"/>
  <c r="D996" i="20"/>
  <c r="D1360" i="20"/>
  <c r="D1093" i="20"/>
  <c r="D1043" i="20"/>
  <c r="D699" i="20"/>
  <c r="D1055" i="20"/>
  <c r="D980" i="20"/>
  <c r="D1008" i="20"/>
  <c r="D650" i="20"/>
  <c r="D1007" i="20"/>
  <c r="D1006" i="20"/>
  <c r="D1005" i="20"/>
  <c r="D1004" i="20"/>
  <c r="D676" i="20"/>
  <c r="D1001" i="20"/>
  <c r="D999" i="20"/>
  <c r="D997" i="20"/>
  <c r="D1350" i="20"/>
  <c r="D955" i="20"/>
  <c r="D962" i="20"/>
  <c r="D915" i="20"/>
  <c r="D932" i="20"/>
  <c r="D926" i="20"/>
  <c r="D879" i="20"/>
  <c r="D929" i="20"/>
  <c r="D896" i="20"/>
  <c r="D998" i="20"/>
  <c r="D1692" i="20"/>
  <c r="D878" i="20"/>
  <c r="D877" i="20"/>
  <c r="D856" i="20"/>
  <c r="D871" i="20"/>
  <c r="D855" i="20"/>
  <c r="D854" i="20"/>
  <c r="D868" i="20"/>
  <c r="D834" i="20"/>
  <c r="D827" i="20"/>
  <c r="D832" i="20"/>
  <c r="D1213" i="20"/>
  <c r="D831" i="20"/>
  <c r="D820" i="20"/>
  <c r="D795" i="20"/>
  <c r="D811" i="20"/>
  <c r="D809" i="20"/>
  <c r="D771" i="20"/>
  <c r="D770" i="20"/>
  <c r="D769" i="20"/>
  <c r="D785" i="20"/>
  <c r="D784" i="20"/>
  <c r="D782" i="20"/>
  <c r="D807" i="20"/>
  <c r="D741" i="20"/>
  <c r="D740" i="20"/>
  <c r="D738" i="20"/>
  <c r="D687" i="20"/>
  <c r="D705" i="20"/>
  <c r="D1629" i="20"/>
  <c r="D1656" i="20"/>
  <c r="D680" i="20"/>
  <c r="D651" i="20"/>
  <c r="D589" i="20"/>
  <c r="D1694" i="20"/>
  <c r="D1000" i="20"/>
  <c r="D536" i="20"/>
  <c r="D601" i="20"/>
  <c r="D1571" i="20"/>
  <c r="D587" i="20"/>
  <c r="D586" i="20"/>
  <c r="D585" i="20"/>
  <c r="D583" i="20"/>
  <c r="D582" i="20"/>
  <c r="D581" i="20"/>
  <c r="D557" i="20"/>
  <c r="D928" i="20"/>
  <c r="D435" i="20"/>
  <c r="D467" i="20"/>
  <c r="D653" i="20"/>
  <c r="D679" i="20"/>
  <c r="D818" i="20"/>
  <c r="D793" i="20"/>
  <c r="D678" i="20"/>
  <c r="D652" i="20"/>
  <c r="D434" i="20"/>
  <c r="D433" i="20"/>
  <c r="D654" i="20"/>
  <c r="D237" i="20"/>
  <c r="D707" i="20"/>
  <c r="D706" i="20"/>
  <c r="D1693" i="20"/>
  <c r="D1626" i="20"/>
  <c r="D982" i="20"/>
  <c r="D1818" i="20"/>
  <c r="D1680" i="20"/>
  <c r="D1679" i="20"/>
  <c r="D614" i="20"/>
  <c r="D952" i="20"/>
  <c r="D1050" i="20"/>
  <c r="D377" i="20"/>
  <c r="D375" i="20"/>
  <c r="D368" i="20"/>
  <c r="D367" i="20"/>
  <c r="D366" i="20"/>
  <c r="D361" i="20"/>
  <c r="D352" i="20"/>
  <c r="D353" i="20"/>
  <c r="D344" i="20"/>
  <c r="D340" i="20"/>
  <c r="D1407" i="20"/>
  <c r="D335" i="20"/>
  <c r="D278" i="20"/>
  <c r="D269" i="20"/>
  <c r="D277" i="20"/>
  <c r="D276" i="20"/>
  <c r="D348" i="20"/>
  <c r="D161" i="20"/>
  <c r="D808" i="20"/>
  <c r="D282" i="20"/>
  <c r="D263" i="20"/>
  <c r="D248" i="20"/>
  <c r="D253" i="20"/>
  <c r="D430" i="20"/>
  <c r="D238" i="20"/>
  <c r="D274" i="20"/>
  <c r="D273" i="20"/>
  <c r="D1282" i="20"/>
  <c r="D214" i="20"/>
  <c r="D810" i="20"/>
  <c r="D234" i="20"/>
  <c r="D151" i="20"/>
  <c r="D150" i="20"/>
  <c r="D372" i="20"/>
  <c r="D210" i="20"/>
  <c r="D235" i="20"/>
  <c r="D232" i="20"/>
  <c r="D231" i="20"/>
  <c r="D149" i="20"/>
  <c r="D239" i="20"/>
  <c r="D213" i="20"/>
  <c r="D376" i="20"/>
  <c r="D258" i="20"/>
  <c r="D412" i="20"/>
  <c r="D212" i="20"/>
  <c r="D1361" i="20"/>
  <c r="D130" i="20"/>
  <c r="D964" i="20"/>
  <c r="D1452" i="20"/>
  <c r="D1451" i="20"/>
  <c r="D135" i="20"/>
  <c r="D113" i="20"/>
  <c r="D336" i="20"/>
  <c r="D423" i="20"/>
  <c r="D119" i="20"/>
  <c r="D961" i="20"/>
  <c r="D1123" i="20"/>
  <c r="D103" i="20"/>
  <c r="D1201" i="20"/>
  <c r="D1200" i="20"/>
  <c r="D841" i="20"/>
  <c r="D92" i="20"/>
  <c r="D87" i="20"/>
  <c r="D86" i="20"/>
  <c r="D1203" i="20"/>
  <c r="D2060" i="20"/>
  <c r="D844" i="20"/>
  <c r="D255" i="20"/>
  <c r="D389" i="20"/>
  <c r="D394" i="20"/>
  <c r="D388" i="20"/>
  <c r="D261" i="20"/>
  <c r="D417" i="20"/>
  <c r="D85" i="20"/>
  <c r="D1202" i="20"/>
  <c r="D270" i="20"/>
  <c r="D842" i="20"/>
  <c r="D1056" i="20"/>
  <c r="D78" i="20"/>
  <c r="D71" i="20"/>
  <c r="D53" i="20"/>
  <c r="D49" i="20"/>
  <c r="D46" i="20"/>
  <c r="D43" i="20"/>
  <c r="D39" i="20"/>
  <c r="D35" i="20"/>
  <c r="D30" i="20"/>
  <c r="D29" i="20"/>
  <c r="D24" i="20"/>
  <c r="D68" i="20"/>
  <c r="D34" i="20"/>
  <c r="D81" i="20"/>
  <c r="D850" i="20"/>
  <c r="D953" i="20"/>
  <c r="D18" i="20"/>
  <c r="D4" i="20"/>
  <c r="D3" i="20"/>
  <c r="D2" i="20"/>
  <c r="D2118" i="20"/>
  <c r="D1798" i="20"/>
  <c r="F16" i="25"/>
  <c r="L16" i="18" l="1"/>
  <c r="L10" i="18"/>
  <c r="L9" i="18"/>
  <c r="L20" i="18"/>
  <c r="L15" i="18"/>
  <c r="L26" i="18"/>
  <c r="L27" i="18"/>
  <c r="L25" i="18"/>
  <c r="L17" i="18"/>
  <c r="L12" i="18"/>
  <c r="L24" i="18"/>
  <c r="L14" i="18"/>
  <c r="L11" i="18"/>
  <c r="F15" i="25"/>
  <c r="C15" i="25"/>
  <c r="C16" i="25"/>
  <c r="M11" i="18"/>
  <c r="N25" i="18"/>
  <c r="O11" i="18"/>
  <c r="G11" i="18"/>
  <c r="Q22" i="18"/>
  <c r="R9" i="18"/>
  <c r="N27" i="18"/>
  <c r="N24" i="18"/>
  <c r="N10" i="18"/>
  <c r="P21" i="18"/>
  <c r="O21" i="18"/>
  <c r="P22" i="18"/>
  <c r="N7" i="18"/>
  <c r="G26" i="18"/>
  <c r="O9" i="18"/>
  <c r="M24" i="18"/>
  <c r="O26" i="18"/>
  <c r="O7" i="18"/>
  <c r="V15" i="18"/>
  <c r="O10" i="18"/>
  <c r="Q9" i="18"/>
  <c r="A820" i="20"/>
  <c r="A1350" i="20"/>
  <c r="A1189" i="20"/>
  <c r="A1990" i="20"/>
  <c r="A1728" i="20"/>
  <c r="A842" i="20"/>
  <c r="A1201" i="20"/>
  <c r="A130" i="20"/>
  <c r="A210" i="20"/>
  <c r="A151" i="20"/>
  <c r="A263" i="20"/>
  <c r="A161" i="20"/>
  <c r="A277" i="20"/>
  <c r="A536" i="20"/>
  <c r="A1656" i="20"/>
  <c r="A1043" i="20"/>
  <c r="A1093" i="20"/>
  <c r="A1219" i="20"/>
  <c r="A2042" i="20"/>
  <c r="A2093" i="20"/>
  <c r="A92" i="20"/>
  <c r="A103" i="20"/>
  <c r="A705" i="20"/>
  <c r="A1220" i="20"/>
  <c r="A1596" i="20"/>
  <c r="A1982" i="20"/>
  <c r="A1972" i="20"/>
  <c r="A1877" i="20"/>
  <c r="A1986" i="20"/>
  <c r="A1987" i="20"/>
  <c r="A2101" i="20"/>
  <c r="A2041" i="20"/>
  <c r="A1961" i="20"/>
  <c r="A2094" i="20"/>
  <c r="A1056" i="20"/>
  <c r="A235" i="20"/>
  <c r="A680" i="20"/>
  <c r="A1487" i="20"/>
  <c r="A1676" i="20"/>
  <c r="A2112" i="20"/>
  <c r="N9" i="18"/>
  <c r="A30" i="20"/>
  <c r="A1050" i="20"/>
  <c r="A434" i="20"/>
  <c r="A741" i="20"/>
  <c r="A926" i="20"/>
  <c r="A700" i="20"/>
  <c r="A1450" i="20"/>
  <c r="A1460" i="20"/>
  <c r="A1902" i="20"/>
  <c r="A1900" i="20"/>
  <c r="A81" i="20"/>
  <c r="A24" i="20"/>
  <c r="A417" i="20"/>
  <c r="A389" i="20"/>
  <c r="A1203" i="20"/>
  <c r="A1123" i="20"/>
  <c r="A336" i="20"/>
  <c r="A1452" i="20"/>
  <c r="A253" i="20"/>
  <c r="A952" i="20"/>
  <c r="A1680" i="20"/>
  <c r="A678" i="20"/>
  <c r="A738" i="20"/>
  <c r="A854" i="20"/>
  <c r="A896" i="20"/>
  <c r="A932" i="20"/>
  <c r="A962" i="20"/>
  <c r="A1310" i="20"/>
  <c r="A1437" i="20"/>
  <c r="A1970" i="20"/>
  <c r="A1628" i="20"/>
  <c r="A2013" i="20"/>
  <c r="A2066" i="20"/>
  <c r="A2105" i="20"/>
  <c r="A994" i="20"/>
  <c r="A39" i="20"/>
  <c r="A1524" i="20"/>
  <c r="M8" i="18"/>
  <c r="A1686" i="20"/>
  <c r="A3" i="20"/>
  <c r="A361" i="20"/>
  <c r="A1331" i="20"/>
  <c r="A1567" i="20"/>
  <c r="A1888" i="20"/>
  <c r="A2095" i="20"/>
  <c r="G10" i="18"/>
  <c r="A2046" i="20"/>
  <c r="M10" i="18"/>
  <c r="A18" i="20"/>
  <c r="A352" i="20"/>
  <c r="A793" i="20"/>
  <c r="A795" i="20"/>
  <c r="A1311" i="20"/>
  <c r="A2137" i="20"/>
  <c r="A1975" i="20"/>
  <c r="A2069" i="20"/>
  <c r="A1177" i="20"/>
  <c r="A82" i="20"/>
  <c r="A149" i="20"/>
  <c r="A274" i="20"/>
  <c r="A340" i="20"/>
  <c r="A687" i="20"/>
  <c r="A871" i="20"/>
  <c r="A1525" i="20"/>
  <c r="A1578" i="20"/>
  <c r="A1763" i="20"/>
  <c r="A1826" i="20"/>
  <c r="A1984" i="20"/>
  <c r="A1179" i="20"/>
  <c r="N21" i="18"/>
  <c r="Q20" i="18"/>
  <c r="A1176" i="20"/>
  <c r="A1385" i="20"/>
  <c r="A1521" i="20"/>
  <c r="A1891" i="20"/>
  <c r="A1439" i="20"/>
  <c r="A1522" i="20"/>
  <c r="A2021" i="20"/>
  <c r="A1762" i="20"/>
  <c r="N14" i="18"/>
  <c r="A855" i="20"/>
  <c r="A650" i="20"/>
  <c r="A1240" i="20"/>
  <c r="A2082" i="20"/>
  <c r="A2019" i="20"/>
  <c r="A2043" i="20"/>
  <c r="A2047" i="20"/>
  <c r="A2107" i="20"/>
  <c r="A2136" i="20"/>
  <c r="A2103" i="20"/>
  <c r="C13" i="25"/>
  <c r="A770" i="20"/>
  <c r="A831" i="20"/>
  <c r="A1001" i="20"/>
  <c r="A2110" i="20"/>
  <c r="A841" i="20"/>
  <c r="A1989" i="20"/>
  <c r="A1739" i="20"/>
  <c r="A1995" i="20"/>
  <c r="A1857" i="20"/>
  <c r="A43" i="20"/>
  <c r="A1737" i="20"/>
  <c r="A2118" i="20"/>
  <c r="A35" i="20"/>
  <c r="A46" i="20"/>
  <c r="A53" i="20"/>
  <c r="A258" i="20"/>
  <c r="A614" i="20"/>
  <c r="A982" i="20"/>
  <c r="A706" i="20"/>
  <c r="A435" i="20"/>
  <c r="A582" i="20"/>
  <c r="A587" i="20"/>
  <c r="A1213" i="20"/>
  <c r="A676" i="20"/>
  <c r="A1006" i="20"/>
  <c r="A980" i="20"/>
  <c r="A1204" i="20"/>
  <c r="A1241" i="20"/>
  <c r="A1333" i="20"/>
  <c r="A1359" i="20"/>
  <c r="A1506" i="20"/>
  <c r="A1508" i="20"/>
  <c r="A1576" i="20"/>
  <c r="A1905" i="20"/>
  <c r="A1760" i="20"/>
  <c r="A1796" i="20"/>
  <c r="A1916" i="20"/>
  <c r="A1960" i="20"/>
  <c r="A1994" i="20"/>
  <c r="A2124" i="20"/>
  <c r="A2154" i="20"/>
  <c r="A335" i="20"/>
  <c r="A2023" i="20"/>
  <c r="Q19" i="18"/>
  <c r="P19" i="18"/>
  <c r="A29" i="20"/>
  <c r="A261" i="20"/>
  <c r="A255" i="20"/>
  <c r="A87" i="20"/>
  <c r="A961" i="20"/>
  <c r="A964" i="20"/>
  <c r="A653" i="20"/>
  <c r="A699" i="20"/>
  <c r="A1107" i="20"/>
  <c r="A1119" i="20"/>
  <c r="A1736" i="20"/>
  <c r="A1781" i="20"/>
  <c r="A1798" i="20"/>
  <c r="A2000" i="20"/>
  <c r="A2089" i="20"/>
  <c r="R15" i="18"/>
  <c r="O6" i="18"/>
  <c r="M6" i="18"/>
  <c r="S14" i="18"/>
  <c r="A1129" i="20"/>
  <c r="A603" i="20"/>
  <c r="A893" i="20"/>
  <c r="A1768" i="20"/>
  <c r="A930" i="20"/>
  <c r="A249" i="20"/>
  <c r="A78" i="20"/>
  <c r="A868" i="20"/>
  <c r="A915" i="20"/>
  <c r="A1800" i="20"/>
  <c r="A1817" i="20"/>
  <c r="A2091" i="20"/>
  <c r="A360" i="20"/>
  <c r="A214" i="20"/>
  <c r="A1938" i="20"/>
  <c r="A1679" i="20"/>
  <c r="A771" i="20"/>
  <c r="A1851" i="20"/>
  <c r="A2117" i="20"/>
  <c r="A86" i="20"/>
  <c r="A1361" i="20"/>
  <c r="A1407" i="20"/>
  <c r="A784" i="20"/>
  <c r="A955" i="20"/>
  <c r="A1106" i="20"/>
  <c r="A1383" i="20"/>
  <c r="A1441" i="20"/>
  <c r="A1461" i="20"/>
  <c r="A1572" i="20"/>
  <c r="A238" i="20"/>
  <c r="A269" i="20"/>
  <c r="A807" i="20"/>
  <c r="A1351" i="20"/>
  <c r="A1627" i="20"/>
  <c r="A597" i="20"/>
  <c r="A1946" i="20"/>
  <c r="A2008" i="20"/>
  <c r="A2099" i="20"/>
  <c r="A2104" i="20"/>
  <c r="A34" i="20"/>
  <c r="A740" i="20"/>
  <c r="A1285" i="20"/>
  <c r="A1379" i="20"/>
  <c r="A1962" i="20"/>
  <c r="A2033" i="20"/>
  <c r="A2106" i="20"/>
  <c r="A1002" i="20"/>
  <c r="A1443" i="20"/>
  <c r="A212" i="20"/>
  <c r="A248" i="20"/>
  <c r="A367" i="20"/>
  <c r="A557" i="20"/>
  <c r="A585" i="20"/>
  <c r="A809" i="20"/>
  <c r="A834" i="20"/>
  <c r="A999" i="20"/>
  <c r="A996" i="20"/>
  <c r="A830" i="20"/>
  <c r="A1108" i="20"/>
  <c r="A1215" i="20"/>
  <c r="A1357" i="20"/>
  <c r="A1466" i="20"/>
  <c r="A1496" i="20"/>
  <c r="A2038" i="20"/>
  <c r="A2004" i="20"/>
  <c r="A2125" i="20"/>
  <c r="A399" i="20"/>
  <c r="A1903" i="20"/>
  <c r="A1889" i="20"/>
  <c r="A1738" i="20"/>
  <c r="A1795" i="20"/>
  <c r="A1799" i="20"/>
  <c r="A1880" i="20"/>
  <c r="A1895" i="20"/>
  <c r="A2079" i="20"/>
  <c r="A2086" i="20"/>
  <c r="A371" i="20"/>
  <c r="A376" i="20"/>
  <c r="A150" i="20"/>
  <c r="A366" i="20"/>
  <c r="A375" i="20"/>
  <c r="A1626" i="20"/>
  <c r="A707" i="20"/>
  <c r="A237" i="20"/>
  <c r="A928" i="20"/>
  <c r="A583" i="20"/>
  <c r="A1571" i="20"/>
  <c r="A1694" i="20"/>
  <c r="A832" i="20"/>
  <c r="A856" i="20"/>
  <c r="A879" i="20"/>
  <c r="A997" i="20"/>
  <c r="A1004" i="20"/>
  <c r="A1007" i="20"/>
  <c r="A1360" i="20"/>
  <c r="A783" i="20"/>
  <c r="A1242" i="20"/>
  <c r="A1320" i="20"/>
  <c r="A1465" i="20"/>
  <c r="A1464" i="20"/>
  <c r="A1495" i="20"/>
  <c r="A1507" i="20"/>
  <c r="A1691" i="20"/>
  <c r="A644" i="20"/>
  <c r="A1977" i="20"/>
  <c r="A1726" i="20"/>
  <c r="A1794" i="20"/>
  <c r="A1835" i="20"/>
  <c r="A1904" i="20"/>
  <c r="A1892" i="20"/>
  <c r="A2003" i="20"/>
  <c r="A2050" i="20"/>
  <c r="A2115" i="20"/>
  <c r="A1202" i="20"/>
  <c r="A1200" i="20"/>
  <c r="A808" i="20"/>
  <c r="A433" i="20"/>
  <c r="A769" i="20"/>
  <c r="A878" i="20"/>
  <c r="A1388" i="20"/>
  <c r="A1459" i="20"/>
  <c r="A1727" i="20"/>
  <c r="A1969" i="20"/>
  <c r="A1971" i="20"/>
  <c r="A1964" i="20"/>
  <c r="A2067" i="20"/>
  <c r="N17" i="18"/>
  <c r="G14" i="18"/>
  <c r="C12" i="25"/>
  <c r="A1406" i="20"/>
  <c r="A75" i="20"/>
  <c r="A1127" i="20"/>
  <c r="A1791" i="20"/>
  <c r="A590" i="20"/>
  <c r="A1575" i="20"/>
  <c r="A604" i="20"/>
  <c r="A953" i="20"/>
  <c r="A231" i="20"/>
  <c r="A372" i="20"/>
  <c r="A234" i="20"/>
  <c r="A348" i="20"/>
  <c r="G22" i="18"/>
  <c r="P20" i="18"/>
  <c r="G18" i="18"/>
  <c r="M14" i="18"/>
  <c r="A636" i="20"/>
  <c r="A1981" i="20"/>
  <c r="A2049" i="20"/>
  <c r="A1914" i="20"/>
  <c r="A1973" i="20"/>
  <c r="A1992" i="20"/>
  <c r="A2006" i="20"/>
  <c r="A2032" i="20"/>
  <c r="A2127" i="20"/>
  <c r="N18" i="18"/>
  <c r="A1382" i="20"/>
  <c r="A1523" i="20"/>
  <c r="A1854" i="20"/>
  <c r="A2081" i="20"/>
  <c r="A254" i="20"/>
  <c r="N8" i="18"/>
  <c r="F11" i="25"/>
  <c r="Q15" i="18"/>
  <c r="P15" i="18"/>
  <c r="N15" i="18"/>
  <c r="X15" i="18"/>
  <c r="P14" i="18"/>
  <c r="U15" i="18"/>
  <c r="Q14" i="18"/>
  <c r="A411" i="20"/>
  <c r="AR10" i="25"/>
  <c r="P9" i="18"/>
  <c r="F8" i="25"/>
  <c r="W14" i="25"/>
  <c r="A1409" i="20"/>
  <c r="A1861" i="20"/>
  <c r="A1126" i="20"/>
  <c r="A612" i="20"/>
  <c r="A2048" i="20"/>
  <c r="A1782" i="20"/>
  <c r="A466" i="20"/>
  <c r="A2197" i="20"/>
  <c r="A1125" i="20"/>
  <c r="A1823" i="20"/>
  <c r="A74" i="20"/>
  <c r="A1573" i="20"/>
  <c r="A605" i="20"/>
  <c r="F12" i="25"/>
  <c r="C8" i="25"/>
  <c r="C5" i="25"/>
  <c r="A850" i="20"/>
  <c r="A49" i="20"/>
  <c r="A394" i="20"/>
  <c r="A2060" i="20"/>
  <c r="A113" i="20"/>
  <c r="A423" i="20"/>
  <c r="A1451" i="20"/>
  <c r="A239" i="20"/>
  <c r="A430" i="20"/>
  <c r="A276" i="20"/>
  <c r="A368" i="20"/>
  <c r="A85" i="20"/>
  <c r="A344" i="20"/>
  <c r="A1939" i="20"/>
  <c r="A782" i="20"/>
  <c r="A4" i="20"/>
  <c r="A353" i="20"/>
  <c r="A1282" i="20"/>
  <c r="A785" i="20"/>
  <c r="A1226" i="20"/>
  <c r="A2" i="20"/>
  <c r="A388" i="20"/>
  <c r="A119" i="20"/>
  <c r="A1629" i="20"/>
  <c r="A827" i="20"/>
  <c r="A1692" i="20"/>
  <c r="A1055" i="20"/>
  <c r="A654" i="20"/>
  <c r="A652" i="20"/>
  <c r="A679" i="20"/>
  <c r="A581" i="20"/>
  <c r="A586" i="20"/>
  <c r="A589" i="20"/>
  <c r="A701" i="20"/>
  <c r="A811" i="20"/>
  <c r="A998" i="20"/>
  <c r="A1005" i="20"/>
  <c r="A1307" i="20"/>
  <c r="O24" i="18"/>
  <c r="A1124" i="20"/>
  <c r="A1118" i="20"/>
  <c r="A1221" i="20"/>
  <c r="A1239" i="20"/>
  <c r="A1309" i="20"/>
  <c r="A1818" i="20"/>
  <c r="A963" i="20"/>
  <c r="A1468" i="20"/>
  <c r="A1745" i="20"/>
  <c r="A1761" i="20"/>
  <c r="A1802" i="20"/>
  <c r="A1901" i="20"/>
  <c r="A1915" i="20"/>
  <c r="A1959" i="20"/>
  <c r="A1978" i="20"/>
  <c r="A2007" i="20"/>
  <c r="A2128" i="20"/>
  <c r="A2022" i="20"/>
  <c r="A1000" i="20"/>
  <c r="A1408" i="20"/>
  <c r="A1497" i="20"/>
  <c r="A584" i="20"/>
  <c r="A1945" i="20"/>
  <c r="G23" i="18"/>
  <c r="M22" i="18"/>
  <c r="G20" i="18"/>
  <c r="T19" i="18"/>
  <c r="N19" i="18"/>
  <c r="O18" i="18"/>
  <c r="P17" i="18"/>
  <c r="O17" i="18"/>
  <c r="M20" i="18"/>
  <c r="Q12" i="18"/>
  <c r="M23" i="18"/>
  <c r="M28" i="18"/>
  <c r="P12" i="18"/>
  <c r="A1308" i="20"/>
  <c r="A1312" i="20"/>
  <c r="A1741" i="20"/>
  <c r="A1730" i="20"/>
  <c r="A1822" i="20"/>
  <c r="A843" i="20"/>
  <c r="M9" i="18"/>
  <c r="N13" i="18"/>
  <c r="G15" i="18"/>
  <c r="G19" i="18"/>
  <c r="G8" i="18"/>
  <c r="A1044" i="20"/>
  <c r="A1988" i="20"/>
  <c r="A1789" i="20"/>
  <c r="A2051" i="20"/>
  <c r="A1828" i="20"/>
  <c r="G27" i="18"/>
  <c r="G24" i="18"/>
  <c r="Q18" i="18"/>
  <c r="T15" i="18"/>
  <c r="M15" i="18"/>
  <c r="P13" i="18"/>
  <c r="R14" i="18"/>
  <c r="O8" i="18"/>
  <c r="Q6" i="18"/>
  <c r="G6" i="18"/>
  <c r="C6" i="25"/>
  <c r="C11" i="25"/>
  <c r="A1423" i="20"/>
  <c r="A927" i="20"/>
  <c r="A1690" i="20"/>
  <c r="A553" i="20"/>
  <c r="A2020" i="20"/>
  <c r="A1577" i="20"/>
  <c r="A1223" i="20"/>
  <c r="A465" i="20"/>
  <c r="A1859" i="20"/>
  <c r="A1224" i="20"/>
  <c r="M7" i="18"/>
  <c r="P6" i="18"/>
  <c r="A894" i="20"/>
  <c r="A1767" i="20"/>
  <c r="A1384" i="20"/>
  <c r="A424" i="20"/>
  <c r="A1244" i="20"/>
  <c r="A1097" i="20"/>
  <c r="A1205" i="20"/>
  <c r="A1054" i="20"/>
  <c r="A759" i="20"/>
  <c r="A259" i="20"/>
  <c r="A356" i="20"/>
  <c r="A50" i="20"/>
  <c r="A211" i="20"/>
  <c r="A2080" i="20"/>
  <c r="A1453" i="20"/>
  <c r="A1098" i="20"/>
  <c r="A642" i="20"/>
  <c r="A1940" i="20"/>
  <c r="A1039" i="20"/>
  <c r="C9" i="25"/>
  <c r="O19" i="18"/>
  <c r="C7" i="25"/>
  <c r="F6" i="25"/>
  <c r="F7" i="25"/>
  <c r="F5" i="25"/>
  <c r="F9" i="25"/>
  <c r="A270" i="20"/>
  <c r="A232" i="20"/>
  <c r="A282" i="20"/>
  <c r="A1003" i="20"/>
  <c r="A1935" i="20"/>
  <c r="A257" i="20"/>
  <c r="A2005" i="20"/>
  <c r="A810" i="20"/>
  <c r="A278" i="20"/>
  <c r="A651" i="20"/>
  <c r="A877" i="20"/>
  <c r="A1283" i="20"/>
  <c r="A1788" i="20"/>
  <c r="A1744" i="20"/>
  <c r="A2098" i="20"/>
  <c r="P7" i="18"/>
  <c r="A68" i="20"/>
  <c r="A71" i="20"/>
  <c r="A412" i="20"/>
  <c r="A377" i="20"/>
  <c r="A818" i="20"/>
  <c r="A467" i="20"/>
  <c r="A929" i="20"/>
  <c r="A1008" i="20"/>
  <c r="A1332" i="20"/>
  <c r="A1358" i="20"/>
  <c r="N23" i="18"/>
  <c r="A213" i="20"/>
  <c r="A273" i="20"/>
  <c r="A601" i="20"/>
  <c r="M27" i="18"/>
  <c r="G28" i="18"/>
  <c r="G25" i="18"/>
  <c r="M25" i="18"/>
  <c r="G21" i="18"/>
  <c r="M21" i="18"/>
  <c r="S19" i="18"/>
  <c r="R19" i="18"/>
  <c r="P18" i="18"/>
  <c r="N16" i="18"/>
  <c r="O15" i="18"/>
  <c r="W15" i="18"/>
  <c r="Q13" i="18"/>
  <c r="O12" i="18"/>
  <c r="R6" i="18"/>
  <c r="A844" i="20"/>
  <c r="A135" i="20"/>
  <c r="A1693" i="20"/>
  <c r="O22" i="18"/>
  <c r="G9" i="18"/>
  <c r="N22" i="18"/>
  <c r="O20" i="18"/>
  <c r="M19" i="18"/>
  <c r="N20" i="18"/>
  <c r="M18" i="18"/>
  <c r="G17" i="18"/>
  <c r="M17" i="18"/>
  <c r="G16" i="18"/>
  <c r="M16" i="18"/>
  <c r="S15" i="18"/>
  <c r="O14" i="18"/>
  <c r="G13" i="18"/>
  <c r="O13" i="18"/>
  <c r="M13" i="18"/>
  <c r="N12" i="18"/>
  <c r="P8" i="18"/>
  <c r="Q7" i="18"/>
  <c r="G7" i="18"/>
  <c r="N6" i="18"/>
  <c r="BC10" i="25"/>
  <c r="BB10" i="25"/>
  <c r="R14" i="25"/>
  <c r="Q14" i="25"/>
  <c r="A2090" i="20"/>
  <c r="A1860" i="20"/>
  <c r="A643" i="20"/>
  <c r="A2096" i="20"/>
  <c r="A1896" i="20"/>
  <c r="A1784" i="20"/>
  <c r="A1729" i="20"/>
  <c r="A1574" i="20"/>
  <c r="A1467" i="20"/>
  <c r="A1410" i="20"/>
  <c r="A1330" i="20"/>
  <c r="A1243" i="20"/>
  <c r="A1128" i="20"/>
  <c r="A1096" i="20"/>
  <c r="A1222" i="20"/>
  <c r="A1009" i="20"/>
  <c r="A845" i="20"/>
  <c r="A649" i="20"/>
  <c r="A530" i="20"/>
  <c r="A529" i="20"/>
  <c r="A245" i="20"/>
  <c r="A162" i="20"/>
  <c r="M12" i="18"/>
  <c r="G12" i="18"/>
  <c r="F13" i="25" l="1"/>
  <c r="E18" i="18"/>
  <c r="W4" i="18"/>
  <c r="E7" i="18"/>
  <c r="E26" i="18"/>
  <c r="C10" i="25"/>
  <c r="E3" i="25"/>
  <c r="F10" i="25"/>
  <c r="E22" i="18"/>
  <c r="F14" i="25"/>
  <c r="C14" i="25"/>
  <c r="E13" i="18"/>
  <c r="J8" i="22"/>
  <c r="C6" i="18"/>
  <c r="C2" i="25" l="1"/>
</calcChain>
</file>

<file path=xl/comments1.xml><?xml version="1.0" encoding="utf-8"?>
<comments xmlns="http://schemas.openxmlformats.org/spreadsheetml/2006/main">
  <authors>
    <author>Pankratz, Kent E</author>
  </authors>
  <commentList>
    <comment ref="W4" authorId="0" shapeId="0">
      <text>
        <r>
          <rPr>
            <b/>
            <sz val="9"/>
            <color indexed="81"/>
            <rFont val="Tahoma"/>
            <family val="2"/>
          </rPr>
          <t>Pankratz, Kent E:</t>
        </r>
        <r>
          <rPr>
            <sz val="9"/>
            <color indexed="81"/>
            <rFont val="Tahoma"/>
            <family val="2"/>
          </rPr>
          <t xml:space="preserve">
Comparison of averaging Function Scores and averaging all of the Control Set Scores.</t>
        </r>
      </text>
    </comment>
  </commentList>
</comments>
</file>

<file path=xl/comments2.xml><?xml version="1.0" encoding="utf-8"?>
<comments xmlns="http://schemas.openxmlformats.org/spreadsheetml/2006/main">
  <authors>
    <author>Kent Pankratz</author>
    <author>msckep</author>
  </authors>
  <commentList>
    <comment ref="J6" authorId="0" shapeId="0">
      <text>
        <r>
          <rPr>
            <b/>
            <sz val="9"/>
            <color indexed="81"/>
            <rFont val="Tahoma"/>
            <family val="2"/>
          </rPr>
          <t>Kent Pankratz:</t>
        </r>
        <r>
          <rPr>
            <sz val="9"/>
            <color indexed="81"/>
            <rFont val="Tahoma"/>
            <family val="2"/>
          </rPr>
          <t xml:space="preserve">
With the Target Security Posture set, the Security Profile represents the current level to meet the target. The Security Profile Score is the actual evaluation - 99% will never be achieved, or if it is achieved there is likely too many resources devoted to security that were deverted from the business objectives.</t>
        </r>
      </text>
    </comment>
    <comment ref="K15" authorId="1" shapeId="0">
      <text>
        <r>
          <rPr>
            <sz val="9"/>
            <color indexed="81"/>
            <rFont val="Tahoma"/>
            <family val="2"/>
          </rPr>
          <t xml:space="preserve">The </t>
        </r>
        <r>
          <rPr>
            <b/>
            <sz val="9"/>
            <color indexed="81"/>
            <rFont val="Tahoma"/>
            <family val="2"/>
          </rPr>
          <t>Security Profile or Control Maturity Score</t>
        </r>
        <r>
          <rPr>
            <sz val="9"/>
            <color indexed="81"/>
            <rFont val="Tahoma"/>
            <family val="2"/>
          </rPr>
          <t xml:space="preserve"> is the sum of all the applicable controls according to their maturity. A low score represents that the performance of the control needs to be improved to meet the level that the requirements prescribe.</t>
        </r>
      </text>
    </comment>
  </commentList>
</comments>
</file>

<file path=xl/sharedStrings.xml><?xml version="1.0" encoding="utf-8"?>
<sst xmlns="http://schemas.openxmlformats.org/spreadsheetml/2006/main" count="14606" uniqueCount="3162">
  <si>
    <t>Function</t>
  </si>
  <si>
    <t>Category</t>
  </si>
  <si>
    <t>A.13.2.1</t>
  </si>
  <si>
    <t>A.11.2.6</t>
  </si>
  <si>
    <t>A.6.1.1</t>
  </si>
  <si>
    <t>A.5.1.1</t>
  </si>
  <si>
    <t>A.9.1.2</t>
  </si>
  <si>
    <t>A.13.1.1</t>
  </si>
  <si>
    <t>A.9.2.1</t>
  </si>
  <si>
    <t>A.9.2.2</t>
  </si>
  <si>
    <t>A.9.4.2</t>
  </si>
  <si>
    <t>A.11.2.9</t>
  </si>
  <si>
    <t>A.18.2.2</t>
  </si>
  <si>
    <t>A.6.2.2</t>
  </si>
  <si>
    <t>A.6.1.2</t>
  </si>
  <si>
    <t>A.9.2.3</t>
  </si>
  <si>
    <t>A.9.4.1</t>
  </si>
  <si>
    <t>A.9.4.4</t>
  </si>
  <si>
    <t>A.13.1.3</t>
  </si>
  <si>
    <t>A.14.1.2</t>
  </si>
  <si>
    <t>A.14.1.3</t>
  </si>
  <si>
    <t>A.9.1.1</t>
  </si>
  <si>
    <t>A.9.4.5</t>
  </si>
  <si>
    <t>A.18.1.3</t>
  </si>
  <si>
    <t>6.4.3</t>
  </si>
  <si>
    <t>12.3.5</t>
  </si>
  <si>
    <t>6.4.2</t>
  </si>
  <si>
    <t xml:space="preserve">Asset Management </t>
  </si>
  <si>
    <t xml:space="preserve">Business Environment </t>
  </si>
  <si>
    <t xml:space="preserve">Governance </t>
  </si>
  <si>
    <t xml:space="preserve">Risk Assessment </t>
  </si>
  <si>
    <t xml:space="preserve">Risk Management Strategy </t>
  </si>
  <si>
    <t xml:space="preserve">Access Control </t>
  </si>
  <si>
    <t xml:space="preserve">Awareness and Training </t>
  </si>
  <si>
    <t xml:space="preserve">Data Security </t>
  </si>
  <si>
    <t xml:space="preserve">Information Protection Processes and Procedures </t>
  </si>
  <si>
    <t xml:space="preserve">Maintenance </t>
  </si>
  <si>
    <t xml:space="preserve">Protective Technology </t>
  </si>
  <si>
    <t xml:space="preserve">Anomalies and Events </t>
  </si>
  <si>
    <t xml:space="preserve">Security Continuous Monitoring </t>
  </si>
  <si>
    <t xml:space="preserve">Detection Processes </t>
  </si>
  <si>
    <t xml:space="preserve">Communications </t>
  </si>
  <si>
    <t xml:space="preserve">Analysis </t>
  </si>
  <si>
    <t xml:space="preserve">Improvements </t>
  </si>
  <si>
    <t xml:space="preserve">Mitigation </t>
  </si>
  <si>
    <t xml:space="preserve">Response Planning </t>
  </si>
  <si>
    <t>ID.AM</t>
  </si>
  <si>
    <t>ID.BE</t>
  </si>
  <si>
    <t>ID.GV</t>
  </si>
  <si>
    <t>ID.RA</t>
  </si>
  <si>
    <t>ID.RM</t>
  </si>
  <si>
    <t>PR.AC</t>
  </si>
  <si>
    <t>PR.AT</t>
  </si>
  <si>
    <t>PR.DS</t>
  </si>
  <si>
    <t>PR.IP</t>
  </si>
  <si>
    <t>PR.MA</t>
  </si>
  <si>
    <t>PR.PT</t>
  </si>
  <si>
    <t>DE.AE</t>
  </si>
  <si>
    <t>DE.CM</t>
  </si>
  <si>
    <t>DE.DP</t>
  </si>
  <si>
    <t>RC.CO</t>
  </si>
  <si>
    <t>RS.CO</t>
  </si>
  <si>
    <t>RC.RP</t>
  </si>
  <si>
    <t>RS.AN</t>
  </si>
  <si>
    <t>RC.IM</t>
  </si>
  <si>
    <t>RS.IM</t>
  </si>
  <si>
    <t>RS.MI</t>
  </si>
  <si>
    <t>RS.RP</t>
  </si>
  <si>
    <t>Category Name</t>
  </si>
  <si>
    <t>9.6.3</t>
  </si>
  <si>
    <t>12.1.1</t>
  </si>
  <si>
    <t>8.1.8</t>
  </si>
  <si>
    <t>8.1.4</t>
  </si>
  <si>
    <t>A.11.2.8</t>
  </si>
  <si>
    <t>A.6.2.1</t>
  </si>
  <si>
    <t>A.9.2.5</t>
  </si>
  <si>
    <t>A.9.2.6</t>
  </si>
  <si>
    <t>A.18.1.1</t>
  </si>
  <si>
    <t>A.12.1.1</t>
  </si>
  <si>
    <t>A.5.1.2</t>
  </si>
  <si>
    <t>3.4.1</t>
  </si>
  <si>
    <t>4.1.1</t>
  </si>
  <si>
    <t>10.5.5</t>
  </si>
  <si>
    <t>9.6.1</t>
  </si>
  <si>
    <t>9.7.1</t>
  </si>
  <si>
    <t>9.1.3</t>
  </si>
  <si>
    <t>11.1.2</t>
  </si>
  <si>
    <t>11.1.1</t>
  </si>
  <si>
    <t>2.1.1</t>
  </si>
  <si>
    <t>1.2.3</t>
  </si>
  <si>
    <t>1.2.1</t>
  </si>
  <si>
    <t>2.2.3</t>
  </si>
  <si>
    <t>2.2.4</t>
  </si>
  <si>
    <t>6.5.3</t>
  </si>
  <si>
    <t>6.5.4</t>
  </si>
  <si>
    <t>8.2.1</t>
  </si>
  <si>
    <t>9.5.1</t>
  </si>
  <si>
    <t>7.1.1</t>
  </si>
  <si>
    <t>7.1.2</t>
  </si>
  <si>
    <t>7.1.3</t>
  </si>
  <si>
    <t>7.1.4</t>
  </si>
  <si>
    <t>12.5.4</t>
  </si>
  <si>
    <t>8.1.3</t>
  </si>
  <si>
    <t>8.1.5</t>
  </si>
  <si>
    <t>3.5.1</t>
  </si>
  <si>
    <t>SRM Description</t>
  </si>
  <si>
    <t>1.1.1</t>
  </si>
  <si>
    <t>1.1.2</t>
  </si>
  <si>
    <t>1.1.3</t>
  </si>
  <si>
    <t>1.1.4</t>
  </si>
  <si>
    <t>1.1.5</t>
  </si>
  <si>
    <t>1.1.6</t>
  </si>
  <si>
    <t>1.2.2</t>
  </si>
  <si>
    <t>1.3.1</t>
  </si>
  <si>
    <t>1.3.2</t>
  </si>
  <si>
    <t>1.3.3</t>
  </si>
  <si>
    <t>1.3.4</t>
  </si>
  <si>
    <t>1.3.5</t>
  </si>
  <si>
    <t>1.3.6</t>
  </si>
  <si>
    <t>1.3.7</t>
  </si>
  <si>
    <t>2.2.1</t>
  </si>
  <si>
    <t>2.2.2</t>
  </si>
  <si>
    <t>2.2.5</t>
  </si>
  <si>
    <t>3.2.1</t>
  </si>
  <si>
    <t>3.2.2</t>
  </si>
  <si>
    <t>3.2.3</t>
  </si>
  <si>
    <t>Install and maintain a firewall configuration to protect cardholder data</t>
  </si>
  <si>
    <t>Do not use vendor-supplied defaults for system passwords and other security parameters</t>
  </si>
  <si>
    <t>Protect stored cardholder data</t>
  </si>
  <si>
    <t>3.5.2</t>
  </si>
  <si>
    <t>3.5.3</t>
  </si>
  <si>
    <t>3.6.1</t>
  </si>
  <si>
    <t>3.6.2</t>
  </si>
  <si>
    <t>3.6.3</t>
  </si>
  <si>
    <t>3.6.4</t>
  </si>
  <si>
    <t>3.6.5</t>
  </si>
  <si>
    <t>3.6.6</t>
  </si>
  <si>
    <t>3.6.7</t>
  </si>
  <si>
    <t>3.6.8</t>
  </si>
  <si>
    <t>5.1.1</t>
  </si>
  <si>
    <t>5.1.2</t>
  </si>
  <si>
    <t>Encrypt transmission of cardholder data across open, public networks</t>
  </si>
  <si>
    <t>Protect all systems against malware and regularly update anti-virus software or programs</t>
  </si>
  <si>
    <t>Develop and maintain secure systems and applications</t>
  </si>
  <si>
    <t>6.3.1</t>
  </si>
  <si>
    <t>6.3.2</t>
  </si>
  <si>
    <t>6.4.4</t>
  </si>
  <si>
    <t>6.4.5</t>
  </si>
  <si>
    <t>6.4.5.1</t>
  </si>
  <si>
    <t>6.4.5.2</t>
  </si>
  <si>
    <t>6.4.5.3</t>
  </si>
  <si>
    <t>6.4.5.4</t>
  </si>
  <si>
    <t>6.5.1</t>
  </si>
  <si>
    <t>6.5.10</t>
  </si>
  <si>
    <t>6.5.2</t>
  </si>
  <si>
    <t>6.5.5</t>
  </si>
  <si>
    <t>6.5.6</t>
  </si>
  <si>
    <t>6.5.7</t>
  </si>
  <si>
    <t>6.5.8</t>
  </si>
  <si>
    <t>6.5.9</t>
  </si>
  <si>
    <t>Restrict access to cardholder data by business need to know</t>
  </si>
  <si>
    <t>7.2.1</t>
  </si>
  <si>
    <t>7.2.2</t>
  </si>
  <si>
    <t>7.2.3</t>
  </si>
  <si>
    <t>8.1.1</t>
  </si>
  <si>
    <t>8.1.2</t>
  </si>
  <si>
    <t>Identify and authenticate access to system components</t>
  </si>
  <si>
    <t>8.1.6</t>
  </si>
  <si>
    <t>8.1.7</t>
  </si>
  <si>
    <t>8.2.2</t>
  </si>
  <si>
    <t>8.2.3</t>
  </si>
  <si>
    <t>8.2.4</t>
  </si>
  <si>
    <t>8.2.5</t>
  </si>
  <si>
    <t>8.2.6</t>
  </si>
  <si>
    <t>8.5.1</t>
  </si>
  <si>
    <t>9.1.1</t>
  </si>
  <si>
    <t>9.1.2</t>
  </si>
  <si>
    <t>Restrict physical access to cardholder data</t>
  </si>
  <si>
    <t>9.4.1</t>
  </si>
  <si>
    <t>9.4.2</t>
  </si>
  <si>
    <t>9.4.3</t>
  </si>
  <si>
    <t>9.4.4</t>
  </si>
  <si>
    <t>9.6.2</t>
  </si>
  <si>
    <t>9.8.1</t>
  </si>
  <si>
    <t>9.8.2</t>
  </si>
  <si>
    <t>9.9.1</t>
  </si>
  <si>
    <t>9.9.2</t>
  </si>
  <si>
    <t>9.9.3</t>
  </si>
  <si>
    <t>10.2.1</t>
  </si>
  <si>
    <t>10.2.2</t>
  </si>
  <si>
    <t>10.2.3</t>
  </si>
  <si>
    <t>10.2.4</t>
  </si>
  <si>
    <t>10.2.5</t>
  </si>
  <si>
    <t>10.2.6</t>
  </si>
  <si>
    <t>10.2.7</t>
  </si>
  <si>
    <t>10.3.1</t>
  </si>
  <si>
    <t>10.3.2</t>
  </si>
  <si>
    <t>10.3.3</t>
  </si>
  <si>
    <t>10.3.4</t>
  </si>
  <si>
    <t>10.3.5</t>
  </si>
  <si>
    <t>10.3.6</t>
  </si>
  <si>
    <t>10.4.1</t>
  </si>
  <si>
    <t>10.4.2</t>
  </si>
  <si>
    <t>10.4.3</t>
  </si>
  <si>
    <t>10.5.1</t>
  </si>
  <si>
    <t>10.5.2</t>
  </si>
  <si>
    <t>10.5.3</t>
  </si>
  <si>
    <t>10.5.4</t>
  </si>
  <si>
    <t>10.6.1</t>
  </si>
  <si>
    <t>10.6.2</t>
  </si>
  <si>
    <t>10.6.3</t>
  </si>
  <si>
    <t>11.2.1</t>
  </si>
  <si>
    <t>11.2.2</t>
  </si>
  <si>
    <t>11.2.3</t>
  </si>
  <si>
    <t>11.3.1</t>
  </si>
  <si>
    <t>11.3.2</t>
  </si>
  <si>
    <t>11.3.3</t>
  </si>
  <si>
    <t>11.3.4</t>
  </si>
  <si>
    <t>11.5.1</t>
  </si>
  <si>
    <t>Track and monitor all access to network resources and cardholder data</t>
  </si>
  <si>
    <t>Regularly test security systems and processes.</t>
  </si>
  <si>
    <t>12.3.1</t>
  </si>
  <si>
    <t>Maintain a policy that addresses information security for all personnel.</t>
  </si>
  <si>
    <t>12.10.1</t>
  </si>
  <si>
    <t>12.10.2</t>
  </si>
  <si>
    <t>12.10.3</t>
  </si>
  <si>
    <t>12.10.4</t>
  </si>
  <si>
    <t>12.10.5</t>
  </si>
  <si>
    <t>12.10.6</t>
  </si>
  <si>
    <t>12.3.10</t>
  </si>
  <si>
    <t>12.3.2</t>
  </si>
  <si>
    <t>12.3.3</t>
  </si>
  <si>
    <t>12.3.4</t>
  </si>
  <si>
    <t>12.3.6</t>
  </si>
  <si>
    <t>12.3.7</t>
  </si>
  <si>
    <t>12.3.8</t>
  </si>
  <si>
    <t>12.3.9</t>
  </si>
  <si>
    <t>12.5.1</t>
  </si>
  <si>
    <t>12.5.2</t>
  </si>
  <si>
    <t>12.5.3</t>
  </si>
  <si>
    <t>12.5.5</t>
  </si>
  <si>
    <t>12.6.1</t>
  </si>
  <si>
    <t>12.8.1</t>
  </si>
  <si>
    <t>12.8.2</t>
  </si>
  <si>
    <t>12.8.3</t>
  </si>
  <si>
    <t>12.8.4</t>
  </si>
  <si>
    <t>12.8.5</t>
  </si>
  <si>
    <t>Security Profile</t>
  </si>
  <si>
    <t>Weight</t>
  </si>
  <si>
    <t>Rate</t>
  </si>
  <si>
    <t>Assess</t>
  </si>
  <si>
    <t>Analyze</t>
  </si>
  <si>
    <t>IDENTIFY</t>
  </si>
  <si>
    <t>PROTECT</t>
  </si>
  <si>
    <t>DETECT</t>
  </si>
  <si>
    <t>RESPOND</t>
  </si>
  <si>
    <t>RECOVER</t>
  </si>
  <si>
    <t>AC</t>
  </si>
  <si>
    <t>AT</t>
  </si>
  <si>
    <t>CM</t>
  </si>
  <si>
    <t>MA</t>
  </si>
  <si>
    <t>RA</t>
  </si>
  <si>
    <t>PR</t>
  </si>
  <si>
    <t>CSF Category</t>
  </si>
  <si>
    <t>CSF Function</t>
  </si>
  <si>
    <t>CSF Subcategory</t>
  </si>
  <si>
    <t>ISO/IEC 27001:2013</t>
  </si>
  <si>
    <t>A.7.1.1</t>
  </si>
  <si>
    <t>A.7.1.2</t>
  </si>
  <si>
    <t>A.18.1</t>
  </si>
  <si>
    <t>A.7.2.2</t>
  </si>
  <si>
    <t>A.12.4.1</t>
  </si>
  <si>
    <t>A.12.6.1</t>
  </si>
  <si>
    <t>A.12.4.2</t>
  </si>
  <si>
    <t>A.12.4.3</t>
  </si>
  <si>
    <t>A.12.3.1</t>
  </si>
  <si>
    <t>A.12.4.4</t>
  </si>
  <si>
    <t>A.12.7.1</t>
  </si>
  <si>
    <t>A.16.1.2</t>
  </si>
  <si>
    <t>A.6.1.3</t>
  </si>
  <si>
    <t>A.18.1.4</t>
  </si>
  <si>
    <t>A.14.2.8</t>
  </si>
  <si>
    <t>A.16.1.6</t>
  </si>
  <si>
    <t>A.14.2.7</t>
  </si>
  <si>
    <t>A.12.1.4</t>
  </si>
  <si>
    <t>A.12.1.2</t>
  </si>
  <si>
    <t>A.12.5.1</t>
  </si>
  <si>
    <t>A.12.6.2</t>
  </si>
  <si>
    <t>A.14.2.2</t>
  </si>
  <si>
    <t>A.14.2.3</t>
  </si>
  <si>
    <t>A.14.2.4</t>
  </si>
  <si>
    <t>A.8.1.1</t>
  </si>
  <si>
    <t>A.8.2.3</t>
  </si>
  <si>
    <t>A.16.1.5</t>
  </si>
  <si>
    <t>A.17.1.1</t>
  </si>
  <si>
    <t>A.8.2.1</t>
  </si>
  <si>
    <t>A.15.1.3</t>
  </si>
  <si>
    <t>A.11.1.4</t>
  </si>
  <si>
    <t>A.16.1.1</t>
  </si>
  <si>
    <t>A.17.1.3</t>
  </si>
  <si>
    <t>A.17.1.2</t>
  </si>
  <si>
    <t>A.11.2.2</t>
  </si>
  <si>
    <t>A.9.2.4</t>
  </si>
  <si>
    <t>A.9.3.1</t>
  </si>
  <si>
    <t>A.9.4.3</t>
  </si>
  <si>
    <t>A.12.2.1</t>
  </si>
  <si>
    <t>A.11.1.2</t>
  </si>
  <si>
    <t>A.11.2.4</t>
  </si>
  <si>
    <t>A.11.2.5</t>
  </si>
  <si>
    <t>A.8.2.2</t>
  </si>
  <si>
    <t>A.8.3.1</t>
  </si>
  <si>
    <t>A.8.3.3</t>
  </si>
  <si>
    <t>A.12.1.3</t>
  </si>
  <si>
    <t>A.11.2.1</t>
  </si>
  <si>
    <t>A.11.2.3</t>
  </si>
  <si>
    <t>A.8.3.2</t>
  </si>
  <si>
    <t>A.7.3.1</t>
  </si>
  <si>
    <t>A.11.1.1</t>
  </si>
  <si>
    <t>A.11.1.6</t>
  </si>
  <si>
    <t>A.6.1.4</t>
  </si>
  <si>
    <t>A.8.1.4</t>
  </si>
  <si>
    <t>A.15.2.1</t>
  </si>
  <si>
    <t>A.7.2.1</t>
  </si>
  <si>
    <t>A.14.2.5</t>
  </si>
  <si>
    <t>A.6.1.5</t>
  </si>
  <si>
    <t>A.14.1.1</t>
  </si>
  <si>
    <t>A.14.2.1</t>
  </si>
  <si>
    <t>A.16.1.4</t>
  </si>
  <si>
    <t>A.8.1.2</t>
  </si>
  <si>
    <t>A.17.2.1</t>
  </si>
  <si>
    <t>A.18.2.3</t>
  </si>
  <si>
    <t>A.13.2.3</t>
  </si>
  <si>
    <t>A.11.2.7</t>
  </si>
  <si>
    <t>A.13.2.4</t>
  </si>
  <si>
    <t>A.15.1.1</t>
  </si>
  <si>
    <t>ID</t>
  </si>
  <si>
    <t>DE</t>
  </si>
  <si>
    <t>RS</t>
  </si>
  <si>
    <t>RC</t>
  </si>
  <si>
    <t>AM</t>
  </si>
  <si>
    <t>BE</t>
  </si>
  <si>
    <t>GV</t>
  </si>
  <si>
    <t>RM</t>
  </si>
  <si>
    <t>DS</t>
  </si>
  <si>
    <t>IP</t>
  </si>
  <si>
    <t>PT</t>
  </si>
  <si>
    <t>AE</t>
  </si>
  <si>
    <t>DP</t>
  </si>
  <si>
    <t>RP</t>
  </si>
  <si>
    <t>CO</t>
  </si>
  <si>
    <t>AN</t>
  </si>
  <si>
    <t>MI</t>
  </si>
  <si>
    <t>IM</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</si>
  <si>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</si>
  <si>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</si>
  <si>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</si>
  <si>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</si>
  <si>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</si>
  <si>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</si>
  <si>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</si>
  <si>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</si>
  <si>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Organizational information security policy is established</t>
  </si>
  <si>
    <t>Information security roles &amp;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</si>
  <si>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</si>
  <si>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</si>
  <si>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Asset vulnerabilities are identified and documented</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</si>
  <si>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</si>
  <si>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</si>
  <si>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</si>
  <si>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</si>
  <si>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</si>
  <si>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</si>
  <si>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</si>
  <si>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Physical access to assets is managed and protected</t>
  </si>
  <si>
    <t>Remote access is managed</t>
  </si>
  <si>
    <t>Network integrity is protected, incorporating network segregation where appropriate</t>
  </si>
  <si>
    <t xml:space="preserve">All users are informed and trained </t>
  </si>
  <si>
    <t xml:space="preserve">Privileged users understand roles &amp; responsibilities </t>
  </si>
  <si>
    <t xml:space="preserve">Senior executives understand roles &amp; responsibilities </t>
  </si>
  <si>
    <t xml:space="preserve">Physical and information security personnel understand roles &amp; responsibilities </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</si>
  <si>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</si>
  <si>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</si>
  <si>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</si>
  <si>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</si>
  <si>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</si>
  <si>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A System Development Life Cycle to manage systems is implemented</t>
  </si>
  <si>
    <t>Configuration change control processes are in place</t>
  </si>
  <si>
    <t>Backups of information are conducted, maintained, and tested periodically</t>
  </si>
  <si>
    <t>Policy and regulations regarding the physical operating environment for organizational assets are met</t>
  </si>
  <si>
    <t>Data is destroyed according to policy</t>
  </si>
  <si>
    <t>Protection processes are continuously improved</t>
  </si>
  <si>
    <t>Effectiveness of protection technologies is shared with appropriate parties</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</si>
  <si>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</si>
  <si>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</si>
  <si>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</si>
  <si>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</si>
  <si>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Maintenance and repair of organizational assets is performed and logged in a timely manner, with approved and controlled tools</t>
  </si>
  <si>
    <t>Remote maintenance of organizational assets is approved, logged, and performed in a manner that prevents unauthorized access</t>
  </si>
  <si>
    <t>Audit/log records are determined, documented, implemented, and reviewed in accordance with policy</t>
  </si>
  <si>
    <t>Removable media is protected and its use restricted according to policy</t>
  </si>
  <si>
    <t>Communications and control networks are protected</t>
  </si>
  <si>
    <t>A baseline of network operations and expected data flows for users and systems is established and managed</t>
  </si>
  <si>
    <t>Detected events are analyzed to understand attack targets and methods</t>
  </si>
  <si>
    <t>Event data are aggregated and correlated from multiple sources and sensors</t>
  </si>
  <si>
    <t>Impact of events is determined</t>
  </si>
  <si>
    <t>Incident alert thresholds are established</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</si>
  <si>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</si>
  <si>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</si>
  <si>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</si>
  <si>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</si>
  <si>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</si>
  <si>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</si>
  <si>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</si>
  <si>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</si>
  <si>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Roles and responsibilities for detection are well defined to ensure accountability</t>
  </si>
  <si>
    <t>Detection activities comply with all applicable requirements</t>
  </si>
  <si>
    <t>Detection processes are tested</t>
  </si>
  <si>
    <t>Event detection information is communicated to appropriate parties</t>
  </si>
  <si>
    <t>Detection processes are continuously improved</t>
  </si>
  <si>
    <t>Response plan is executed during or after an event</t>
  </si>
  <si>
    <t>Personnel know their roles and order of operations when a response is needed</t>
  </si>
  <si>
    <t>Events are reported consistent with established criteria</t>
  </si>
  <si>
    <t>Information is shared consistent with response plans</t>
  </si>
  <si>
    <t>Coordination with stakeholders occurs consistent with response plans</t>
  </si>
  <si>
    <t xml:space="preserve">Voluntary information sharing occurs with external stakeholders to achieve broader cybersecurity situational awareness </t>
  </si>
  <si>
    <t>Notifications from detection systems are investigated </t>
  </si>
  <si>
    <t>The impact of the incident is understood</t>
  </si>
  <si>
    <t>Forensics are performed</t>
  </si>
  <si>
    <t>Incidents are categorized consistent with response plans</t>
  </si>
  <si>
    <t>Incidents are contained</t>
  </si>
  <si>
    <t>Incidents are mitigated</t>
  </si>
  <si>
    <t>Newly identified vulnerabilities are mitigated or documented as accepted risks</t>
  </si>
  <si>
    <t>Response plans incorporate lessons learned</t>
  </si>
  <si>
    <t>Response strategies are updated</t>
  </si>
  <si>
    <t>Recovery plan is executed during or after an event</t>
  </si>
  <si>
    <t>Recovery plans incorporate lessons learned</t>
  </si>
  <si>
    <t>Recovery strategies are updated</t>
  </si>
  <si>
    <t>Recovery activities are communicated to internal stakeholders and executive and management teams</t>
  </si>
  <si>
    <t>Cybersecurity roles and responsibilities for the entire workforce and third party stakeholders (e.g., suppliers, customers, partners) are established</t>
  </si>
  <si>
    <t xml:space="preserve">Third party stakeholders (e.g., suppliers, customers, partners) understand roles &amp; responsibilities </t>
  </si>
  <si>
    <t>Data at rest is protected</t>
  </si>
  <si>
    <t>Data in transit is protected</t>
  </si>
  <si>
    <t>Public relations are managed</t>
  </si>
  <si>
    <t>Reputation after an event is repaired</t>
  </si>
  <si>
    <t>A.15.2.2 </t>
  </si>
  <si>
    <t>A.16.1.7</t>
  </si>
  <si>
    <t>12.6.2</t>
  </si>
  <si>
    <t>A.10</t>
  </si>
  <si>
    <t>A.10.1</t>
  </si>
  <si>
    <t>A.10.1.1</t>
  </si>
  <si>
    <t>A.10.1.2</t>
  </si>
  <si>
    <t>A.11</t>
  </si>
  <si>
    <t>A.11.1</t>
  </si>
  <si>
    <t>A.11.1.3</t>
  </si>
  <si>
    <t>A.11.1.5</t>
  </si>
  <si>
    <t>A.11.2</t>
  </si>
  <si>
    <t>A.12</t>
  </si>
  <si>
    <t>A.12.1</t>
  </si>
  <si>
    <t>A.12.2</t>
  </si>
  <si>
    <t>A.12.3</t>
  </si>
  <si>
    <t>A.12.4</t>
  </si>
  <si>
    <t>A.12.5</t>
  </si>
  <si>
    <t>A.12.6</t>
  </si>
  <si>
    <t>A.12.7</t>
  </si>
  <si>
    <t>A.13</t>
  </si>
  <si>
    <t>A.13.1</t>
  </si>
  <si>
    <t>A.13.1.2</t>
  </si>
  <si>
    <t>A.13.2</t>
  </si>
  <si>
    <t>A.13.2.2</t>
  </si>
  <si>
    <t>A.14</t>
  </si>
  <si>
    <t>A.14.1</t>
  </si>
  <si>
    <t>A.14.2</t>
  </si>
  <si>
    <t>A.14.2.6</t>
  </si>
  <si>
    <t>A.14.2.9</t>
  </si>
  <si>
    <t>A.14.3</t>
  </si>
  <si>
    <t>A.14.3.1</t>
  </si>
  <si>
    <t>A.15</t>
  </si>
  <si>
    <t>A.15.1</t>
  </si>
  <si>
    <t>A.15.1.2</t>
  </si>
  <si>
    <t>A.15.2</t>
  </si>
  <si>
    <t>A.16</t>
  </si>
  <si>
    <t>A.16.1</t>
  </si>
  <si>
    <t>A.16.1.3</t>
  </si>
  <si>
    <t>A.17</t>
  </si>
  <si>
    <t>A.17.1</t>
  </si>
  <si>
    <t>A.17.2</t>
  </si>
  <si>
    <t>A.18</t>
  </si>
  <si>
    <t>A.18.1.2</t>
  </si>
  <si>
    <t>A.18.1.5</t>
  </si>
  <si>
    <t>A.18.2</t>
  </si>
  <si>
    <t>A.18.2.1</t>
  </si>
  <si>
    <t>A.5</t>
  </si>
  <si>
    <t>A.5.1</t>
  </si>
  <si>
    <t>A.6</t>
  </si>
  <si>
    <t>A.6.1</t>
  </si>
  <si>
    <t>A.6.2</t>
  </si>
  <si>
    <t>A.7</t>
  </si>
  <si>
    <t>A.7.1</t>
  </si>
  <si>
    <t>A.7.2</t>
  </si>
  <si>
    <t>A.7.2.3</t>
  </si>
  <si>
    <t>A.7.3</t>
  </si>
  <si>
    <t>A.8</t>
  </si>
  <si>
    <t>A.8.1</t>
  </si>
  <si>
    <t>A.8.1.3</t>
  </si>
  <si>
    <t>A.8.2</t>
  </si>
  <si>
    <t>A.8.3</t>
  </si>
  <si>
    <t>A.9</t>
  </si>
  <si>
    <t>A.9.1</t>
  </si>
  <si>
    <t>A.9.2</t>
  </si>
  <si>
    <t>A.9.3</t>
  </si>
  <si>
    <t>A.9.4</t>
  </si>
  <si>
    <t>1</t>
  </si>
  <si>
    <t>2</t>
  </si>
  <si>
    <t>3</t>
  </si>
  <si>
    <t>4</t>
  </si>
  <si>
    <t>Control Set Score</t>
  </si>
  <si>
    <t>#.1</t>
  </si>
  <si>
    <t>#.2</t>
  </si>
  <si>
    <t>#.3</t>
  </si>
  <si>
    <t>#.4</t>
  </si>
  <si>
    <t>#.6</t>
  </si>
  <si>
    <t>#.7</t>
  </si>
  <si>
    <t>#.8</t>
  </si>
  <si>
    <t>#.9</t>
  </si>
  <si>
    <t>#.10</t>
  </si>
  <si>
    <t>#.5</t>
  </si>
  <si>
    <t>#.10.1</t>
  </si>
  <si>
    <t>#.10.2</t>
  </si>
  <si>
    <t>#.10.3</t>
  </si>
  <si>
    <t>#.10.4</t>
  </si>
  <si>
    <t>#.10.5</t>
  </si>
  <si>
    <t>#.10.6</t>
  </si>
  <si>
    <t>#.9.1</t>
  </si>
  <si>
    <t>#.9.2</t>
  </si>
  <si>
    <t>#.9.3</t>
  </si>
  <si>
    <t>#.8.1</t>
  </si>
  <si>
    <t>#.8.2</t>
  </si>
  <si>
    <t>#.8.3</t>
  </si>
  <si>
    <t>#.8.4</t>
  </si>
  <si>
    <t>#.8.5</t>
  </si>
  <si>
    <t>#.7.1</t>
  </si>
  <si>
    <t>#.6.1</t>
  </si>
  <si>
    <t>#.6.2</t>
  </si>
  <si>
    <t>#.6.3</t>
  </si>
  <si>
    <t>#.6.4</t>
  </si>
  <si>
    <t>#.6.5</t>
  </si>
  <si>
    <t>#.6.6</t>
  </si>
  <si>
    <t>#.6.7</t>
  </si>
  <si>
    <t>#.6.8</t>
  </si>
  <si>
    <t>#.5.1</t>
  </si>
  <si>
    <t>#.5.2</t>
  </si>
  <si>
    <t>#.5.3</t>
  </si>
  <si>
    <t>#.5.4</t>
  </si>
  <si>
    <t>#.5.5</t>
  </si>
  <si>
    <t>#.5.6</t>
  </si>
  <si>
    <t>#.5.7</t>
  </si>
  <si>
    <t>#.5.8</t>
  </si>
  <si>
    <t>#.5.9</t>
  </si>
  <si>
    <t>#.5.10</t>
  </si>
  <si>
    <t>#.4.1</t>
  </si>
  <si>
    <t>#.4.2</t>
  </si>
  <si>
    <t>#.4.3</t>
  </si>
  <si>
    <t>#.4.4</t>
  </si>
  <si>
    <t>#.4.5</t>
  </si>
  <si>
    <t>#.4.5.1</t>
  </si>
  <si>
    <t>#.4.5.2</t>
  </si>
  <si>
    <t>#.4.5.3</t>
  </si>
  <si>
    <t>#.4.5.4</t>
  </si>
  <si>
    <t>6.4.1</t>
  </si>
  <si>
    <t xml:space="preserve">The number of PCI controls is </t>
  </si>
  <si>
    <t>#.3.1</t>
  </si>
  <si>
    <t>#.3.2</t>
  </si>
  <si>
    <t>#.3.3</t>
  </si>
  <si>
    <t>#.3.4</t>
  </si>
  <si>
    <t>#.3.5</t>
  </si>
  <si>
    <t>#.3.6</t>
  </si>
  <si>
    <t>#.3.7</t>
  </si>
  <si>
    <t>#.3.8</t>
  </si>
  <si>
    <t>#.3.9</t>
  </si>
  <si>
    <t>#.3.10</t>
  </si>
  <si>
    <t>#.2.1</t>
  </si>
  <si>
    <t>#.2.2</t>
  </si>
  <si>
    <t>#.2.3</t>
  </si>
  <si>
    <t>#.2.4</t>
  </si>
  <si>
    <t>#.2.5</t>
  </si>
  <si>
    <t>#.2.6</t>
  </si>
  <si>
    <t>#.2.7</t>
  </si>
  <si>
    <t>#.1.1</t>
  </si>
  <si>
    <t>#.1.2</t>
  </si>
  <si>
    <t>#.1.3</t>
  </si>
  <si>
    <t>#.1.4</t>
  </si>
  <si>
    <t>#.1.5</t>
  </si>
  <si>
    <t>#.1.6</t>
  </si>
  <si>
    <t>#.1.7</t>
  </si>
  <si>
    <t>#.1.8</t>
  </si>
  <si>
    <t>5</t>
  </si>
  <si>
    <t>9</t>
  </si>
  <si>
    <t>0</t>
  </si>
  <si>
    <t>Priority</t>
  </si>
  <si>
    <t>1.1.7</t>
  </si>
  <si>
    <t>Completion</t>
  </si>
  <si>
    <t xml:space="preserve"> </t>
  </si>
  <si>
    <t>Num.</t>
  </si>
  <si>
    <t>Security Posture</t>
  </si>
  <si>
    <t>ID.AM-1</t>
  </si>
  <si>
    <t>ID.AM-2</t>
  </si>
  <si>
    <t>ID.AM-3</t>
  </si>
  <si>
    <t>ID.AM-4</t>
  </si>
  <si>
    <t>ID.AM-5</t>
  </si>
  <si>
    <t>ID.AM-6</t>
  </si>
  <si>
    <t>ID.BE-2</t>
  </si>
  <si>
    <t>ID.GV-3</t>
  </si>
  <si>
    <t>ID.RA-4</t>
  </si>
  <si>
    <t>PR.AC-1</t>
  </si>
  <si>
    <t>PR.AT-2</t>
  </si>
  <si>
    <t>PR.DS-3</t>
  </si>
  <si>
    <t>PR.IP-4</t>
  </si>
  <si>
    <t>DE.AE-1</t>
  </si>
  <si>
    <t>DE.CM-2</t>
  </si>
  <si>
    <t>DE.DP-3</t>
  </si>
  <si>
    <t>RS.AN-1</t>
  </si>
  <si>
    <t>RS.CO-2</t>
  </si>
  <si>
    <t>RC.CO-1</t>
  </si>
  <si>
    <t>RC.IM-2</t>
  </si>
  <si>
    <t>DE.AE-0</t>
  </si>
  <si>
    <t>DE.AE-2</t>
  </si>
  <si>
    <t>DE.AE-3</t>
  </si>
  <si>
    <t>DE.AE-4</t>
  </si>
  <si>
    <t>DE.AE-5</t>
  </si>
  <si>
    <t>DE.CM-0</t>
  </si>
  <si>
    <t>DE.CM-1</t>
  </si>
  <si>
    <t>DE.CM-3</t>
  </si>
  <si>
    <t>DE.CM-4</t>
  </si>
  <si>
    <t>DE.CM-5</t>
  </si>
  <si>
    <t>DE.CM-6</t>
  </si>
  <si>
    <t>DE.CM-7</t>
  </si>
  <si>
    <t>DE.CM-8</t>
  </si>
  <si>
    <t>DE.DP-0</t>
  </si>
  <si>
    <t>DE.DP-1</t>
  </si>
  <si>
    <t>DE.DP-2</t>
  </si>
  <si>
    <t>DE.DP-4</t>
  </si>
  <si>
    <t>DE.DP-5</t>
  </si>
  <si>
    <t>ID.AM-0</t>
  </si>
  <si>
    <t>ID.BE-0</t>
  </si>
  <si>
    <t>ID.BE-1</t>
  </si>
  <si>
    <t>ID.BE-3</t>
  </si>
  <si>
    <t>ID.BE-4</t>
  </si>
  <si>
    <t>ID.BE-5</t>
  </si>
  <si>
    <t>ID.GV-1</t>
  </si>
  <si>
    <t>ID.GV-2</t>
  </si>
  <si>
    <t>ID.GV-4</t>
  </si>
  <si>
    <t>ID.GV-0</t>
  </si>
  <si>
    <t>ID.RA-0</t>
  </si>
  <si>
    <t>ID.RA-1</t>
  </si>
  <si>
    <t>ID.RA-2</t>
  </si>
  <si>
    <t>ID.RA-3</t>
  </si>
  <si>
    <t>ID.RA-5</t>
  </si>
  <si>
    <t>ID.RA-6</t>
  </si>
  <si>
    <t>ID.RM-0</t>
  </si>
  <si>
    <t>ID.RM-1</t>
  </si>
  <si>
    <t>ID.RM-2</t>
  </si>
  <si>
    <t>ID.RM-3</t>
  </si>
  <si>
    <t>PR.AC-0</t>
  </si>
  <si>
    <t>PR.AC-2</t>
  </si>
  <si>
    <t>PR.AC-3</t>
  </si>
  <si>
    <t>PR.AC-4</t>
  </si>
  <si>
    <t>PR.AC-5</t>
  </si>
  <si>
    <t>PR.AT-0</t>
  </si>
  <si>
    <t>PR.AT-1</t>
  </si>
  <si>
    <t>PR.AT-3</t>
  </si>
  <si>
    <t>PR.AT-4</t>
  </si>
  <si>
    <t>PR.AT-5</t>
  </si>
  <si>
    <t>PR.DS-0</t>
  </si>
  <si>
    <t>PR.DS-1</t>
  </si>
  <si>
    <t>PR.DS-2</t>
  </si>
  <si>
    <t>PR.DS-4</t>
  </si>
  <si>
    <t>PR.DS-5</t>
  </si>
  <si>
    <t>PR.DS-6</t>
  </si>
  <si>
    <t>PR.DS-7</t>
  </si>
  <si>
    <t>PR.IP-0</t>
  </si>
  <si>
    <t>PR.IP-1</t>
  </si>
  <si>
    <t>PR.IP-10</t>
  </si>
  <si>
    <t>PR.IP-11</t>
  </si>
  <si>
    <t>PR.IP-12</t>
  </si>
  <si>
    <t>PR.IP-2</t>
  </si>
  <si>
    <t>PR.IP-3</t>
  </si>
  <si>
    <t>PR.IP-5</t>
  </si>
  <si>
    <t>PR.IP-6</t>
  </si>
  <si>
    <t>PR.IP-7</t>
  </si>
  <si>
    <t>PR.IP-8</t>
  </si>
  <si>
    <t>PR.IP-9</t>
  </si>
  <si>
    <t>PR.MA-0</t>
  </si>
  <si>
    <t>PR.MA-1</t>
  </si>
  <si>
    <t>PR.MA-2</t>
  </si>
  <si>
    <t>PR.PT-0</t>
  </si>
  <si>
    <t>PR.PT-1</t>
  </si>
  <si>
    <t>PR.PT-2</t>
  </si>
  <si>
    <t>PR.PT-3</t>
  </si>
  <si>
    <t>PR.PT-4</t>
  </si>
  <si>
    <t>RC.CO-0</t>
  </si>
  <si>
    <t>RC.CO-2</t>
  </si>
  <si>
    <t>RC.CO-3</t>
  </si>
  <si>
    <t>RC.IM-0</t>
  </si>
  <si>
    <t>RC.IM-1</t>
  </si>
  <si>
    <t>RC.RP-0</t>
  </si>
  <si>
    <t>RC.RP-1</t>
  </si>
  <si>
    <t>RS.AN-0</t>
  </si>
  <si>
    <t>RS.AN-2</t>
  </si>
  <si>
    <t>RS.AN-3</t>
  </si>
  <si>
    <t>RS.AN-4</t>
  </si>
  <si>
    <t>RS.CO-0</t>
  </si>
  <si>
    <t>RS.CO-1</t>
  </si>
  <si>
    <t>RS.CO-3</t>
  </si>
  <si>
    <t>RS.CO-4</t>
  </si>
  <si>
    <t>RS.CO-5</t>
  </si>
  <si>
    <t>RS.IM-0</t>
  </si>
  <si>
    <t>RS.IM-1</t>
  </si>
  <si>
    <t>RS.IM-2</t>
  </si>
  <si>
    <t>RS.MI-0</t>
  </si>
  <si>
    <t>RS.MI-1</t>
  </si>
  <si>
    <t>RS.MI-2</t>
  </si>
  <si>
    <t>RS.MI-3</t>
  </si>
  <si>
    <t>RS.RP-0</t>
  </si>
  <si>
    <t>RS.RP-1</t>
  </si>
  <si>
    <t>Asset Management (ID.AM)</t>
  </si>
  <si>
    <t>The data, personnel, devices, systems, and facilities that enable the organization to achieve business purposes are identified and managed consistent with their relative importance to business objectives and the organization’s risk strategy.</t>
  </si>
  <si>
    <t>The organization’s mission, objectives, stakeholders, and activities are understood and prioritized; this information is used to inform cybersecurity roles, responsibilities, and risk management decisions.</t>
  </si>
  <si>
    <t>Business Environment (ID.BE)</t>
  </si>
  <si>
    <t>The policies, procedures, and processes to manage and monitor the organization’s regulatory, legal, risk, environmental, and operational requirements are understood and inform the management of cybersecurity risk.</t>
  </si>
  <si>
    <t>Governance (ID.GV)</t>
  </si>
  <si>
    <t>Risk Assessment (ID.RA)</t>
  </si>
  <si>
    <t>The organization understands the cybersecurity risk to organizational operations (including mission, functions, image, or reputation), organizational assets, and individuals.</t>
  </si>
  <si>
    <t>Risk Management Strategy (ID.RM)</t>
  </si>
  <si>
    <t>Awareness and Training (PR.AT)</t>
  </si>
  <si>
    <t>Data Security (PR.DS)</t>
  </si>
  <si>
    <t>Information Protection Processes and Procedures (PR.IP)</t>
  </si>
  <si>
    <t>Maintenance (PR.MA)</t>
  </si>
  <si>
    <t>Protective Technology (PR.PT)</t>
  </si>
  <si>
    <t>Anomalies and Events (DE.AE)</t>
  </si>
  <si>
    <t>Security Continuous Monitoring (DE.CM)</t>
  </si>
  <si>
    <t>Detection Processes (DE.DP)</t>
  </si>
  <si>
    <t>Analysis (RS.AN)</t>
  </si>
  <si>
    <t>Communications (RS.CO)</t>
  </si>
  <si>
    <t>Improvements (RS.IM)</t>
  </si>
  <si>
    <t>Mitigation (RS.MI)</t>
  </si>
  <si>
    <t>Response Planning (RS.RP)</t>
  </si>
  <si>
    <t>Communications (RC.CO)</t>
  </si>
  <si>
    <t>Improvements (RC.IM)</t>
  </si>
  <si>
    <t>Recovery Planning (RC.RP)</t>
  </si>
  <si>
    <t>The organization’s priorities, constraints, risk tolerances, and assumptions are established and used to support operational risk decisions.</t>
  </si>
  <si>
    <t>The organization’s personnel and partners are provided cybersecurity awareness education and are adequately trained to perform their information security-related duties and responsibilities consistent with related policies, procedures, and agreements.</t>
  </si>
  <si>
    <t>Information and records (data) are managed consistent with the organization’s risk strategy to protect the confidentiality, integrity, and availability of information.</t>
  </si>
  <si>
    <t>Security policies (that address purpose, scope, roles, responsibilities, management commitment, and coordination among organizational entities), processes, and procedures are maintained and used to manage protection of information systems and assets.</t>
  </si>
  <si>
    <t>Maintenance and repairs of industrial control and information system components is performed consistent with policies and procedures.</t>
  </si>
  <si>
    <t>Technical security solutions are managed to ensure the security and resilience of systems and assets, consistent with related policies, procedures, and agreements.</t>
  </si>
  <si>
    <t>Anomalous activity is detected in a timely manner and the potential impact of events is understood.</t>
  </si>
  <si>
    <t>The information system and assets are monitored at discrete intervals to identify cybersecurity events and verify the effectiveness of protective measures.</t>
  </si>
  <si>
    <t>Detection processes and procedures are maintained and tested to ensure timely and adequate awareness of anomalous events.</t>
  </si>
  <si>
    <t>Analysis is conducted to ensure adequate response and support recovery activities.</t>
  </si>
  <si>
    <t>Response activities are coordinated with internal and external stakeholders, as appropriate, to include external support from law enforcement agencies.</t>
  </si>
  <si>
    <t>Organizational response activities are improved by incorporating lessons learned from current and previous detection/response activities.</t>
  </si>
  <si>
    <t>Activities are performed to prevent expansion of an event, mitigate its effects, and eradicate the incident.</t>
  </si>
  <si>
    <t>Response processes and procedures are executed and maintained, to ensure timely response to detected cybersecurity events.</t>
  </si>
  <si>
    <t>Restoration activities are coordinated with internal and external parties, such as coordinating centers, Internet Service Providers, owners of attacking systems, victims, other CSIRTs, and vendors.</t>
  </si>
  <si>
    <t>Recovery planning and processes are improved by incorporating lessons learned into future activities.</t>
  </si>
  <si>
    <t>Recovery processes and procedures are executed and maintained to ensure timely restoration of systems or assets affected by cybersecurity events.</t>
  </si>
  <si>
    <t>PCI CDE</t>
  </si>
  <si>
    <t>Security Profile Score</t>
  </si>
  <si>
    <t>Executive Summary</t>
  </si>
  <si>
    <t>Function Scores</t>
  </si>
  <si>
    <t>Control Catalog</t>
  </si>
  <si>
    <t>1.2-x.x</t>
  </si>
  <si>
    <t>1.3-x.x</t>
  </si>
  <si>
    <t>1.4-x.x</t>
  </si>
  <si>
    <t>1.5-x.x</t>
  </si>
  <si>
    <t>2.1-x.x</t>
  </si>
  <si>
    <t>2.2-x.x</t>
  </si>
  <si>
    <t>2.3-x.x</t>
  </si>
  <si>
    <t>2.4-x.x</t>
  </si>
  <si>
    <t>2.5-x.x</t>
  </si>
  <si>
    <t>2.6-x.x</t>
  </si>
  <si>
    <t>3.1-x.x</t>
  </si>
  <si>
    <t>3.2-x.x</t>
  </si>
  <si>
    <t>3.3-x.x</t>
  </si>
  <si>
    <t>4.1-x.x</t>
  </si>
  <si>
    <t>4.2-x.x</t>
  </si>
  <si>
    <t>4.3-x.x</t>
  </si>
  <si>
    <t>4.4-x.x</t>
  </si>
  <si>
    <t>4.5-x.x</t>
  </si>
  <si>
    <t>5.2-x.x</t>
  </si>
  <si>
    <t>5.3-x.x</t>
  </si>
  <si>
    <t xml:space="preserve">SCID # </t>
  </si>
  <si>
    <t>1.1-x.x</t>
  </si>
  <si>
    <t>Control Catalog Score</t>
  </si>
  <si>
    <t>Financially Significant Applications</t>
  </si>
  <si>
    <t>5.5-x.x</t>
  </si>
  <si>
    <t>Use client certificates to validate and authenticate systems prior to connecting to the private network.</t>
  </si>
  <si>
    <t>Use automated tools to inventory all administrative accounts and validate that each person with administrative privileges on desktops, laptops, and servers is authorized by a senior executive.</t>
  </si>
  <si>
    <t>Include at least two synchronized time sources from which all servers and network equipment retrieve time information on a regular basis so that timestamps in logs are consistent.</t>
  </si>
  <si>
    <t>Configure network boundary devices, including firewalls, network-based IPS, and inbound and outbound proxies, to verbosely log all traffic (both allowed and blocked) arriving at the device.</t>
  </si>
  <si>
    <t>Apply host-based firewalls or port filtering tools on end systems, with a default-deny rule that drops all traffic except those services and ports that are explicitly allowed.</t>
  </si>
  <si>
    <t>Verify any server that is visible from the Internet or an untrusted network, and if it is not required for business purposes, move it to an internal VLAN and give it a private address.</t>
  </si>
  <si>
    <t>Perform all remote administration of servers, workstation, network devices, and similar equipment over secure channels. Protocols such as telnet, VNC, RDP, or others that do not actively support strong encryption should only be used if they are performed over a secondary encryption channel, such as SSL, TLS or IPSEC.</t>
  </si>
  <si>
    <t>Deploy system configuration management tools, such as Active Directory Group Policy Objects for Microsoft Windows systems or Puppet for UNIX systems that will automatically enforce and redeploy configuration settings to systems at regularly scheduled intervals. They should be capable of triggering redeployment of configuration settings on a scheduled, manual, or event-driven basis.</t>
  </si>
  <si>
    <t>Ensure that each system is automatically backed up on at least a weekly basis, and more often for systems storing sensitive information. To help ensure the ability to rapidly restore a system from backup, the operating system, application software, and data on a machine should each be included in the overall backup procedure. These three components of a system do not have to be included in the same backup file or use the same backup software. There should be multiple backups over time, so that in the event of malware infection, restoration can be from a version that is believed to predate the original infection. All backup policies should be compliant with any regulatory or official requirements.</t>
  </si>
  <si>
    <t>Ensure that only fully supported web browsers and email clients are allowed to execute in the organization, ideally only using the latest version of the browsers provided by the vendor in order to take advantage of the latest security functions and fixes.</t>
  </si>
  <si>
    <t>Uninstall or disable any unnecessary or unauthorized browser or email client plugins or add-on applications. Each plugin shall utilize application / URL whitelisting and only allow the use of the application for pre-approved domains.</t>
  </si>
  <si>
    <t>Limit the use of unnecessary scripting languages in all web browsers and email clients. This includes the use of languages such as ActiveX and JavaScript on systems where it is unnecessary to support such capabilities.</t>
  </si>
  <si>
    <t>Validate audit log settings for each hardware device and the software installed on it, ensuring that logs include a date, timestamp, source addresses, destination addresses, and various other useful elements of each packet and/or transaction. Systems should record logs in a standardized format such as syslog entries or those outlined by the Common Event Expression initiative. If systems cannot generate logs in a standardized format, log normalization tools can be deployed to convert logs into such a format.</t>
  </si>
  <si>
    <t>Employ automated tools to continuously monitor workstations, servers, and mobile devices with anti-virus, anti-spyware, personal firewalls, and host-based IPS functionality. All malware detection events should be sent to enterprise anti-malware administration tools and event log servers.</t>
  </si>
  <si>
    <t>Employ anti-malware software that offers a centralized infrastructure that compiles information on file reputations or have administrators manually push updates to all machines. After applying an update, automated systems should verify that each system has received its signature update.</t>
  </si>
  <si>
    <t>Target</t>
  </si>
  <si>
    <t>Kent Pankratz</t>
  </si>
  <si>
    <t>ON/OFF</t>
  </si>
  <si>
    <t>ON</t>
  </si>
  <si>
    <t>Recovery Planning</t>
  </si>
  <si>
    <t>N/A</t>
  </si>
  <si>
    <t>NIST - CSF</t>
  </si>
  <si>
    <t>Lines of Business (Enterprise Measurement Areas)</t>
  </si>
  <si>
    <t>The PCI Enclave</t>
  </si>
  <si>
    <t>IT Security</t>
  </si>
  <si>
    <t>PCI DSS 3.2</t>
  </si>
  <si>
    <t>10.8.1</t>
  </si>
  <si>
    <t>11.3.4.1</t>
  </si>
  <si>
    <t>12.11.1</t>
  </si>
  <si>
    <t>12.4.1</t>
  </si>
  <si>
    <t>3.5.4</t>
  </si>
  <si>
    <t>6.4.6</t>
  </si>
  <si>
    <t>8.3.1</t>
  </si>
  <si>
    <t>8.3.2</t>
  </si>
  <si>
    <t>A3.2.6.1</t>
  </si>
  <si>
    <t>A1</t>
  </si>
  <si>
    <t>A1.1</t>
  </si>
  <si>
    <t>A1.2</t>
  </si>
  <si>
    <t>A1.3</t>
  </si>
  <si>
    <t>A1.4</t>
  </si>
  <si>
    <t>A2.1</t>
  </si>
  <si>
    <t>A2.2</t>
  </si>
  <si>
    <t>A2.3</t>
  </si>
  <si>
    <t>A3.1</t>
  </si>
  <si>
    <t>A3.1.1</t>
  </si>
  <si>
    <t>A3.1.2</t>
  </si>
  <si>
    <t>A3.1.3</t>
  </si>
  <si>
    <t>A3.1.4</t>
  </si>
  <si>
    <t>A3.2</t>
  </si>
  <si>
    <t>A3.2.1</t>
  </si>
  <si>
    <t>A3.2.2</t>
  </si>
  <si>
    <t>A3.2.2.1</t>
  </si>
  <si>
    <t>A3.2.3</t>
  </si>
  <si>
    <t>A3.2.4</t>
  </si>
  <si>
    <t>A3.2.5</t>
  </si>
  <si>
    <t>A3.2.5.1</t>
  </si>
  <si>
    <t>A3.2.5.2</t>
  </si>
  <si>
    <t>A3.2.6</t>
  </si>
  <si>
    <t>A3.3</t>
  </si>
  <si>
    <t>A3.3.1</t>
  </si>
  <si>
    <t>A3.3.1.1</t>
  </si>
  <si>
    <t>A3.3.2</t>
  </si>
  <si>
    <t>A3.3.3</t>
  </si>
  <si>
    <t>A3.4</t>
  </si>
  <si>
    <t>A3.4.1</t>
  </si>
  <si>
    <t>A3.5</t>
  </si>
  <si>
    <t>A3.5.1</t>
  </si>
  <si>
    <t>A2</t>
  </si>
  <si>
    <t>A3</t>
  </si>
  <si>
    <t>164.308(a)(1)(ii)(A)</t>
  </si>
  <si>
    <t>164.310(a)(2)(ii)</t>
  </si>
  <si>
    <t>164.308(a)(7)(ii)(E)</t>
  </si>
  <si>
    <t>164.308(a)(3)(ii)(A)</t>
  </si>
  <si>
    <t>164.308(a)(8)</t>
  </si>
  <si>
    <t>164.308(a)(4)(ii)(A)</t>
  </si>
  <si>
    <t>164.314(a)(1)</t>
  </si>
  <si>
    <t>164.314(a)(2)(i)(B)</t>
  </si>
  <si>
    <t>164.314(a)(2)(ii)</t>
  </si>
  <si>
    <t>164.316(b)(2)</t>
  </si>
  <si>
    <t>164.308(a)(2)</t>
  </si>
  <si>
    <t>164.308(b)(1)</t>
  </si>
  <si>
    <t>164.308(a)(7)(ii)(C)</t>
  </si>
  <si>
    <t>164.310(a)(2)(i)</t>
  </si>
  <si>
    <t>164.308(a)(7)(ii)(B)</t>
  </si>
  <si>
    <t>164.308(a)(7)(ii)(D)</t>
  </si>
  <si>
    <t>164.308(a)(7)(i)</t>
  </si>
  <si>
    <t>164.312(a)(2)(ii)</t>
  </si>
  <si>
    <t>164.314(b)(2)(i)</t>
  </si>
  <si>
    <t>164.308(a)(1)(ii)(B)</t>
  </si>
  <si>
    <t>164.308(a)(6)(ii)</t>
  </si>
  <si>
    <t>164.308(a)(1)(i)</t>
  </si>
  <si>
    <t>164.310(a)(1)</t>
  </si>
  <si>
    <t>164.312(a)(1)</t>
  </si>
  <si>
    <t>164.316(b)(2)(iii)</t>
  </si>
  <si>
    <t>No direct analog to HIPAA Security Rule - Even though there is no direct analog, while performing their HIPAA Security Rule required risk analysis, organizations should consider whether participating in cyber-threat sharing programs is reasonable and appropriate to reduce their security risk.</t>
  </si>
  <si>
    <t>164.308(a)(1)(ii)(D)</t>
  </si>
  <si>
    <t>164.308(a)(5)(ii)(A)</t>
  </si>
  <si>
    <t>164.310(a)(2)(iii)</t>
  </si>
  <si>
    <t>164.316(a)</t>
  </si>
  <si>
    <t>164.314(a)(2)(i)(C)</t>
  </si>
  <si>
    <t>164.314(b)(2)(iv)</t>
  </si>
  <si>
    <t>164.308(a)(3)(ii)(B)</t>
  </si>
  <si>
    <t>164.308(a)(3)(ii)(C)</t>
  </si>
  <si>
    <t>164.308(a)(4)(i)</t>
  </si>
  <si>
    <t>164.308(a)(4)(ii)(B)</t>
  </si>
  <si>
    <t>164.308(a)(4)(ii)(C)</t>
  </si>
  <si>
    <t>164.312(a)(2)(i)</t>
  </si>
  <si>
    <t>164.312(a)(2)(iii)</t>
  </si>
  <si>
    <t>164.312(d)</t>
  </si>
  <si>
    <t>164.308(a)(7)(ii)(A)</t>
  </si>
  <si>
    <t>164.310(b)</t>
  </si>
  <si>
    <t>164.310(c)</t>
  </si>
  <si>
    <t>164.310(d)(1)</t>
  </si>
  <si>
    <t>164.310(d)(2)(iii)</t>
  </si>
  <si>
    <t>164.308(b)(3)</t>
  </si>
  <si>
    <t>164.312(e)(1)</t>
  </si>
  <si>
    <t>164.312(e)(2)(ii)</t>
  </si>
  <si>
    <t>164.312(b)</t>
  </si>
  <si>
    <t>164.308(a)(3)(i)</t>
  </si>
  <si>
    <t>164.308(a)(5)(i)</t>
  </si>
  <si>
    <t>164.308(a)(5)(ii)(B)</t>
  </si>
  <si>
    <t>164.308(a)(5)(ii)(C)</t>
  </si>
  <si>
    <t>164.308(a)(5)(ii)(D)</t>
  </si>
  <si>
    <t>164.314(a)(2)(i)</t>
  </si>
  <si>
    <t>164.530(b)(1)</t>
  </si>
  <si>
    <t>164.312(a)(2)(iv)</t>
  </si>
  <si>
    <t>164.308(b)(2)</t>
  </si>
  <si>
    <t>164.312(e)(2)(i)</t>
  </si>
  <si>
    <t>164.310(a)(2)(iv)</t>
  </si>
  <si>
    <t>164.310(d)(2)(iv)</t>
  </si>
  <si>
    <t>164.312(c)(1)</t>
  </si>
  <si>
    <t>164.312(c)(2)</t>
  </si>
  <si>
    <t>Additionally, organizations should consider the HIPAA Privacy Rule “minimum necessary” standard, 45 C.F.R. § 164.502(b), when determining the level of access that is appropriate for development and testing staff.</t>
  </si>
  <si>
    <t>164.310(d)(2)(i)</t>
  </si>
  <si>
    <t>164.310(d)(2)(ii)</t>
  </si>
  <si>
    <t>164.306(e)</t>
  </si>
  <si>
    <t>164.308(a)(1)(ii)(C)</t>
  </si>
  <si>
    <t>164.314(a)(2)(iii)</t>
  </si>
  <si>
    <t>164.308(a)(6)(i)</t>
  </si>
  <si>
    <t>Although public relations management and reputation repair are not specifically required by the HIPAA Security Rule’s Security Incident Procedures standard (45 C.F.R. § 164.308(a)(6)(i)), HIPAA covered entities and business associates may implement such procedures as components of their compliance activities.</t>
  </si>
  <si>
    <t>HIPAA Security Rule</t>
  </si>
  <si>
    <t>Facility security plan (Addressable). Implement policies and procedures to safeguard the facility and the equipment therein from unauthorized physical access, tampering, and theft.</t>
  </si>
  <si>
    <t>Contingency operations (Addressable). Establish (and implement as needed) procedures that allow facility access in support of restoration of lost data under the disaster recovery plan and emergency mode operations plan in the event of an emergency</t>
  </si>
  <si>
    <t>Access control and validation procedures (Addressable). Implement procedures to control and validate a person's access to facilities based on their role or function, including visitor control, and control of access to software programs for testing and revision.</t>
  </si>
  <si>
    <t>Maintenance records (Addressable). Implement policies and procedures to document repairs and modifications to the physical components of a facility which are related to security (for example, hardware, walls, doors, and locks).</t>
  </si>
  <si>
    <t>Standard: Workstation use. 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t>
  </si>
  <si>
    <t>Standard: Workstation security. Implement physical safeguards for all workstations that access electronic protected health information, to restrict access to authorized users.</t>
  </si>
  <si>
    <t>Standard: Device and media controls. Implement policies and procedures that govern the receipt and removal of hardware and electronic media that contain electronic protected health information into and out of a facility, and the movement of these items within the facility.</t>
  </si>
  <si>
    <t>Protection from malicious software (Addressable). Procedures for guarding against, detecting, and reporting malicious software.</t>
  </si>
  <si>
    <t>Security reminders (Addressable). Periodic security updates.</t>
  </si>
  <si>
    <t>Standard: Security awareness and training. Implement a security awareness and training program for all members of its workforce (including management).</t>
  </si>
  <si>
    <t>Log-in monitoring (Addressable). Procedures for monitoring log-in attempts and reporting discrepancies.</t>
  </si>
  <si>
    <t>Password management (Addressable). Procedures for creating, changing, and safeguarding passwords.</t>
  </si>
  <si>
    <t>Standard: Access control. Implement technical policies and procedures for electronic information systems that maintain electronic protected health information to allow access only to those persons or software programs that have been granted access rights as specified in § 164.308(a)(4).</t>
  </si>
  <si>
    <t>Unique user identification (Required). Assign a unique name and/or number for identifying and tracking user identity.</t>
  </si>
  <si>
    <t>Emergency access procedure (Required). Establish (and implement as needed) procedures for obtaining necessary electronic protected health information during an emergency.</t>
  </si>
  <si>
    <t>Automatic logoff (Addressable). Implement electronic procedures that terminate an electronic session after a predetermined time of inactivity.</t>
  </si>
  <si>
    <t>Encryption and decryption (Addressable). Implement a mechanism to encrypt and decrypt electronic protected health information.</t>
  </si>
  <si>
    <t>Standard: Audit controls. Implement hardware, software, and/or procedural mechanisms that record and examine activity in information systems that contain or use electronic protected health information.</t>
  </si>
  <si>
    <t>Standard: Integrity. Implement policies and procedures to protect electronic protected health information from improper alteration or destruction.</t>
  </si>
  <si>
    <t>Implementation specification: Mechanism to authenticate electronic protected health information (Addressable). Implement electronic mechanisms to corroborate that electronic protected health information has not been altered or destroyed in an unauthorized manner.</t>
  </si>
  <si>
    <t>Standard: Person or entity authentication. Implement procedures to verify that a person or entity seeking access to electronic protected health information is the one claimed.</t>
  </si>
  <si>
    <t>Standard: Transmission security. Implement technical security measures to guard against unauthorized access to electronic protected health information that is being transmitted over an electronic communications network.</t>
  </si>
  <si>
    <t>Integrity controls (Addressable). Implement security measures to ensure that electronically transmitted electronic protected health information is not improperly modified without detection until disposed of.</t>
  </si>
  <si>
    <t>Encryption (Addressable). Implement a mechanism to encrypt electronic protected health information whenever deemed appropriate.</t>
  </si>
  <si>
    <t>Technical safeguards.</t>
  </si>
  <si>
    <t>Organizational requirements.</t>
  </si>
  <si>
    <t>Policies and procedures and documentation requirements.</t>
  </si>
  <si>
    <t>164.310.</t>
  </si>
  <si>
    <t>Physical safeguards.</t>
  </si>
  <si>
    <t>Security standards: General rules.</t>
  </si>
  <si>
    <t>Administrative safeguards.</t>
  </si>
  <si>
    <t>Maintenance. A covered entity or business associate must review and modify the security measures implemented under this subpart as needed to continue provision of reasonable and appropriate protection of electronic protected health information, and update documentation of such security measures in accordance with § 164.316(b)(2)(iii).</t>
  </si>
  <si>
    <t>Addition</t>
  </si>
  <si>
    <t>Standard: Security incident procedures. Implement policies and procedures to address security incidents.</t>
  </si>
  <si>
    <t>Standard: Security management process. Implement policies and procedures to prevent, detect, contain, and correct security violations.</t>
  </si>
  <si>
    <t>Risk analysis (Required). Conduct an accurate and thorough assessment of the potential risks and vulnerabilities to the confidentiality, integrity, and availability of electronic protected health information held by the covered entity or business associate.</t>
  </si>
  <si>
    <t>Risk management (Required). Implement security measures sufficient to reduce risks and vulnerabilities to a reasonable and appropriate level to comply with § 164.306(a).</t>
  </si>
  <si>
    <t>Sanction policy (Required). Apply appropriate sanctions against workforce members who fail to comply with the security policies and procedures of the covered entity or business associate.</t>
  </si>
  <si>
    <t>Information system activity review (Required). Implement procedures to regularly review records of information system activity, such as audit logs, access reports, and security incident tracking reports.</t>
  </si>
  <si>
    <t>Standard: Assigned security responsibility. Identify the security official who is responsible for the development and implementation of the policies and procedures required by this subpart for the covered entity or business associate.</t>
  </si>
  <si>
    <t>Standard: Workforce security. 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t>
  </si>
  <si>
    <t>Authorization and/or supervision (Addressable). Implement procedures for the authorization and/or supervision of workforce members who work with electronic protected health information or in locations where it might be accessed.</t>
  </si>
  <si>
    <t>Workforce clearance procedure (Addressable). Implement procedures to determine that the access of a workforce member to electronic protected health information is appropriate.</t>
  </si>
  <si>
    <t>Termination procedures (Addressable). Implement procedures for terminating access to electronic protected health information when the employment of, or other arrangement with, a workforce member ends or as required by determinations made as specified in paragraph (a)(3)(ii)(B) of this section.</t>
  </si>
  <si>
    <t>Standard: Information access management. Implement policies and procedures for authorizing access to electronic protected health information that are consistent with the applicable requirements of subpart E of this part.</t>
  </si>
  <si>
    <t>Isolating health care clearinghouse functions (Required). If a health care clearinghouse is part of a larger organization, the clearinghouse must implement policies and procedures that protect the electronic protected health information of the clearinghouse from unauthorized access by the larger organization.</t>
  </si>
  <si>
    <t>Access authorization (Addressable). Implement policies and procedures for granting access to electronic protected health information, for example, through access to a workstation, transaction, program, process, or other mechanism.</t>
  </si>
  <si>
    <t>Access establishment and modification (Addressable). Implement policies and procedures that, based upon the covered entity's or the business associate's access authorization policies, establish, document, review, and modify a user's right of access to a workstation, transaction, program, or process.</t>
  </si>
  <si>
    <t>Implementation specification: Response and reporting (Required). Identify and respond to suspected or known security incidents; mitigate, to the extent practicable, harmful effects of security incidents that are known to the covered entity or business associate; and document security incidents and their outcomes.</t>
  </si>
  <si>
    <t>Standard: Contingency plan. Establish (and implement as needed) policies and procedures for responding to an emergency or other occurrence (for example, fire, vandalism, system failure, and natural disaster) that damages systems that contain electronic protected health information.</t>
  </si>
  <si>
    <t>Data backup plan (Required). Establish and implement procedures to create and maintain retrievable exact copies of electronic protected health information.</t>
  </si>
  <si>
    <t>Disaster recovery plan (Required). Establish (and implement as needed) procedures to restore any loss of data.</t>
  </si>
  <si>
    <t>Emergency mode operation plan (Required). Establish (and implement as needed) procedures to enable continuation of critical business processes for protection of the security of electronic protected health information while operating in emergency mode.</t>
  </si>
  <si>
    <t>Testing and revision procedures (Addressable). Implement procedures for periodic testing and revision of contingency plans.</t>
  </si>
  <si>
    <t>Applications and data criticality analysis (Addressable). Assess the relative criticality of specific applications and data in support of other contingency plan components.</t>
  </si>
  <si>
    <t>Standard: Evaluation. Perform a periodic technical and nontechnical evaluation, based initially upon the standards implemented under this rule and, subsequently, in response to environmental or operational changes affecting the security of electronic protected health information, that establishes the extent to which a covered entity's or business associate's security policies and procedures meet the requirements of this subpart.</t>
  </si>
  <si>
    <t>Business associate contracts and other arrangements. A covered entity may permit a business associate to create, receive, maintain, or transmit electronic protected health information on the covered entity's behalf only if the covered entity obtains satisfactory assurances, in accordance with § 164.314(a), that the business associate will appropriately safeguard the information. A covered entity is not required to obtain such satisfactory assurances from a business associate that is a subcontractor.</t>
  </si>
  <si>
    <t>A business associate may permit a business associate that is a subcontractor to create, receive, maintain, or transmit electronic protected health information on its behalf only if the business associate obtains satisfactory assurances, in accordance with § 164.314(a), that the subcontractor will appropriately safeguard the information.</t>
  </si>
  <si>
    <t>Implementation specifications: Written contract or other arrangement (Required). Document the satisfactory assurances required by paragraph (b)(1) or (b)(2) of this section through a written contract or other arrangement with the business associate that meets the applicable requirements of § 164.314(a).</t>
  </si>
  <si>
    <t>Standard: Facility access controls. Implement policies and procedures to limit physical access to its electronic information systems and the facility or facilities in which they are housed, while ensuring that properly authorized access is allowed.</t>
  </si>
  <si>
    <t>Disposal (Required). Implement policies and procedures to address the final disposition of electronic protected health information, and/or the hardware or electronic media on which it is stored.</t>
  </si>
  <si>
    <t>Media re-use (Required). Implement procedures for removal of electronic protected health information from electronic media before the media are made available for re-use.</t>
  </si>
  <si>
    <t>Accountability (Addressable). Maintain a record of the movements of hardware and electronic media and any person responsible therefore.</t>
  </si>
  <si>
    <t>Data backup and storage (Addressable). Create a retrievable, exact copy of electronic protected health information, when needed, before movement of equipment.</t>
  </si>
  <si>
    <t>Standard: Business associate contracts or other arrangements. The contract or other arrangement required by § 164.308(b)(3) must meet the requirements of paragraph (a)(2)(i), (a)(2)(ii), or (a)(2)(iii) of this section, as applicable.</t>
  </si>
  <si>
    <t>164.314(a)(2)(i)(A)</t>
  </si>
  <si>
    <t>164.314(a)(2)</t>
  </si>
  <si>
    <t>Implementation specifications (Required).</t>
  </si>
  <si>
    <t>Business associate contracts. The contract must provide that the business associate will -</t>
  </si>
  <si>
    <t>Comply with the applicable requirements of this subpart;</t>
  </si>
  <si>
    <t>In accordance with § 164.308(b)(2), ensure that any subcontractors that create, receive, maintain, or transmit electronic protected health information on behalf of the business associate agree to comply with the applicable requirements of this subpart by entering into a contract or other arrangement that complies with this section; and</t>
  </si>
  <si>
    <t>Report to the covered entity any security incident of which it becomes aware, including breaches of unsecured protected health information as required by § 164.410.</t>
  </si>
  <si>
    <t>Other arrangements. The covered entity is in compliance with paragraph (a)(1) of this section if it has another arrangement in place that meets the requirements of § 164.504(e)(3).</t>
  </si>
  <si>
    <t>Business associate contracts with subcontractors. The requirements of paragraphs (a)(2)(i) and (a)(2)(ii) of this section apply to the contract or other arrangement between a business associate and a subcontractor required by § 164.308(b)(4) in the same manner as such requirements apply to contracts or other arrangements between a covered entity and business associate.</t>
  </si>
  <si>
    <t>164.314(b)(1)</t>
  </si>
  <si>
    <t>Standard: Requirements for group health plans. Except when the only electronic protected health information disclosed to a plan sponsor is disclosed pursuant to § 164.504(f)(1)(ii) or (iii), or as authorized under § 164.508, a group health plan must ensure that its plan documents provide that the plan sponsor will reasonably and appropriately safeguard electronic protected health information created, received, maintained, or transmitted to or by the plan sponsor on behalf of the group health plan.</t>
  </si>
  <si>
    <t>164.314(b)(2)</t>
  </si>
  <si>
    <t>Implementation specifications (Required). The plan documents of the group health plan must be amended to incorporate provisions to require the plan sponsor to -</t>
  </si>
  <si>
    <t>Implement administrative, physical, and technical safeguards that reasonably and appropriately protect the confidentiality, integrity, and availability of the electronic protected health information that it creates, receives, maintains, or transmits on behalf of the group health plan;</t>
  </si>
  <si>
    <t>164.314(b)(2)(ii)</t>
  </si>
  <si>
    <t>164.314(b)(2)(iii)</t>
  </si>
  <si>
    <t>Ensure that the adequate separation required by § 164.504(f)(2)(iii) is supported by reasonable and appropriate security measures;</t>
  </si>
  <si>
    <t>Ensure that any agent to whom it provides this information agrees to implement reasonable and appropriate security measures to protect the information; and</t>
  </si>
  <si>
    <t>Report to the group health plan any security incident of which it becomes aware.</t>
  </si>
  <si>
    <t>Standard: Policies and procedures. Implement reasonable and appropriate policies and procedures to comply with the standards, implementation specifications, or other requirements of this subpart, taking into account those factors specified in § 164.306(b)(2)(i), (ii), (iii), and (iv). This standard is not to be construed to permit or excuse an action that violates any other standard, implementation specification, or other requirements of this subpart. A covered entity or business associate may change its policies and procedures at any time, provided that the changes are documented and are implemented in accordance with this subpart.</t>
  </si>
  <si>
    <t>164.316(b)(1)</t>
  </si>
  <si>
    <t>164.316(b)(1)(i)</t>
  </si>
  <si>
    <t>164.316(b)(1)(ii)</t>
  </si>
  <si>
    <t>Standard: Documentation.</t>
  </si>
  <si>
    <t>Maintain the policies and procedures implemented to comply with this subpart in written (which may be electronic) form; and</t>
  </si>
  <si>
    <t>If an action, activity or assessment is required by this subpart to be documented, maintain a written (which may be electronic) record of the action, activity, or assessment.</t>
  </si>
  <si>
    <t>Implementation specifications:</t>
  </si>
  <si>
    <t>164.316(b)(2)(i)</t>
  </si>
  <si>
    <t>164.316(b)(2)(ii)</t>
  </si>
  <si>
    <t>Time limit (Required). Retain the documentation required by paragraph (b)(1) of this section for 6 years from the date of its creation or the date when it last was in effect, whichever is later.</t>
  </si>
  <si>
    <t>Availability (Required). Make documentation available to those persons responsible for implementing the procedures to which the documentation pertains.</t>
  </si>
  <si>
    <t>Updates (Required). Review documentation periodically, and update as needed, in response to environmental or operational changes affecting the security of the electronic protected health information.</t>
  </si>
  <si>
    <t>Standard: Training. A covered entity must train all members of its workforce on the policies and procedures with respect to protected health information required by this subpart and subpart D of this part, as necessary and appropriate for the members of the workforce to carry out their functions within the covered entity.</t>
  </si>
  <si>
    <t>608-515-8849</t>
  </si>
  <si>
    <t>Suppliers</t>
  </si>
  <si>
    <t>NIST Cyber Security Framework</t>
  </si>
  <si>
    <t>PCI DSS Score Chart</t>
  </si>
  <si>
    <t>Inventory of Authorized and Unauthorized Devices - Actively manage (inventory, track, and correct) all hardware devices on the network so that only authorized devices are given access, and unauthorized and unmanaged devices are found and prevented from gaining access.</t>
  </si>
  <si>
    <t>Deploy an automated asset inventory discovery tool and use it to build a preliminary inventory of systems connected to an organization's public and private network(s). Both active tools that scan through IPv4 or IPv6 network address ranges and passive tools that identify hosts based on analyzing their traffic should be employed.</t>
  </si>
  <si>
    <t>If the organization is dynamically assigning addresses using DHCP, then deploy dynamic host configuration protocol (DHCP)server logging, and use this information to improve the asset inventory and help detect unknown systems.</t>
  </si>
  <si>
    <t>Ensure that all equipment acquisitions automatically update the inventory system as new, approved devices are connected to the network.</t>
  </si>
  <si>
    <t>Maintain an asset inventory of all systems connected to the network and the network devices themselves, recording at least the network addresses, machine name(s), purpose of each system, an asset owner responsible for each device, and the department associated with each device. The inventory should include every system that has an Internet protocol (IP) address on the network, including but not limited to desktops, laptops, servers, network equipment (routers, switches, firewalls, etc.),printers, storage area networks, Voice Over-IP telephones, multi-homed addresses, virtual addresses, etc. The asset inventory created must also include data on whether the devices a portable and/or personal device. Devices such as mobile phones, tablets, laptops, and other portable electronic devices that store or process data must be identified, regardless of whether they are attached to the organization’s network.</t>
  </si>
  <si>
    <t>Deploy network level authentication via 802.1x to limit and control which devices can be connected to the network. The 802.1x must be tied into the inventory data to determine authorized versus unauthorized systems.</t>
  </si>
  <si>
    <t>Inventory of Authorized and Unauthorized Software - Actively manage (inventory, track, and correct) all software on the network so that only authorized software is installed and can execute, and that unauthorized and unmanaged software is found and prevented from installation or execution.</t>
  </si>
  <si>
    <t>Devise a list of authorized software and version that is required in the enterprise for each type of system, including servers, workstations, and laptops of various kinds and uses. This list should be monitored by file integrity checking tools to validate that the authorized software has not been modified. File integrity is verified as part of a continuous monitoring program.</t>
  </si>
  <si>
    <t xml:space="preserve">Deploy application whitelisting that allows systems to run software only if it is included on the whitelist and prevents execution of all other software on the system. The whitelist may be very extensive (as is available from commercial whitelist vendors), so that users are not inconvenienced when using common software. Or, for some special-purpose systems (which require only a small number of programs to achieve their needed business functionality), the whitelist may be quite narrow. </t>
  </si>
  <si>
    <t>Deploy software inventory tools throughout the organization covering each of the operating system types in use, including servers, workstations, and laptops. The software inventory system should track the version of the underlying operating system as well as the applications installed on it. The software inventories must be tied into the hardware asset inventory so all devices and associated software are tracked from a single location. Hardware and software inventory management are closely coupled, and managed centrally.</t>
  </si>
  <si>
    <t>Virtual machines and/or air-gapped systems should be used to isolate and run applications that are required for business operations but based on higher risk should not be installed within a networked environment.</t>
  </si>
  <si>
    <t>Secure Configurations for Hardware and Software on Mobile Devices, Laptops, Workstations, and Servers - Establish, implement, and actively manage (track, report on, correct) the security configuration of laptops, servers, and workstations using a rigorous configuration management and change control process in order to prevent attackers from exploiting vulnerable services and settings.</t>
  </si>
  <si>
    <t>Establish standard secure configurations of operating systems and software applications. Standardized images should represent hardened versions of the underlying operating system and the applications installed on the system. These images should be validated and refreshed on a regular basis to update their security configuration in light of recent vulnerabilities and attack vectors.</t>
  </si>
  <si>
    <t>Follow strict configuration management, building a secure image that is used to build all new systems that are deployed in the enterprise. Any existing system that becomes compromised should be re-imaged with the secure build. Regular updates or exceptions to this image should be integrated into the organization's change management processes. Images should be created for workstations, servers, and other system types used by the organization.Y14System</t>
  </si>
  <si>
    <t>Use file integrity checking tools to ensure that critical system files (including sensitive system and application executables, libraries, and configurations) have not been altered. The reporting system should: have the ability to account for routine and expected changes; highlight and alert on unusual or unexpected alterations; show the history of configuration changes over time and identify who made the change (including the original logged-in account in the event of a user ID switch, such as with the so or sudor command). These integrity checks should identify suspicious system alterations such as: owner and permissions changes to files or directories; the use of alternate data streams which could be used to hide malicious activities; and the introduction of extra files into key system areas (which could indicate malicious payloads left by attackers or additional files inappropriately added during batch distribution processes). File integrity of critical system files are verified as part of a continuous monitoring program.</t>
  </si>
  <si>
    <t>Continuous Vulnerability Assessment and Remediation - Continuously acquire, assess, and take action on new information in order to identify vulnerabilities, remediate, and minimize the window of opportunity for attackers.</t>
  </si>
  <si>
    <t>Run automated vulnerability scanning tools against all systems on the network on a weekly or more frequent basis and deliver prioritized lists of the most critical vulnerabilities to each responsible system administrator along with risk scores that compare the effectiveness of system administrators and departments in reducing risk. Use a SCAP-validated vulnerability scanner that looks for both code-based vulnerabilities (such as those described by Common Vulnerabilities and Exposures entries) and configuration-based vulnerabilities (as enumerated by the Common Configuration Enumeration Project).Vulnerability risk scoring is centrally measured and managed, and integrated into action planning. System</t>
  </si>
  <si>
    <t>Perform vulnerability scanning in authenticated mode either with agents running locally on each end system to analyze the security configuration or with remote scanners that are given administrative rights on the system being tested. Use a dedicated account for authenticated vulnerability scans, which should not be used for any other administrative activities and should be tied to specific machines at specific IP addresses. Ensure that only authorized employees have access to the vulnerability management user interface and that roles are applied to each user.</t>
  </si>
  <si>
    <t>Subscribe to vulnerability intelligence services in order to stay aware of emerging exposures, and use the information gained from this subscription to update the organization’s vulnerability scanning activities on at least a monthly basis. Alternatively, ensure that the vulnerability scanning tools you use are regularly updated with all relevant important security vulnerabilities.</t>
  </si>
  <si>
    <t>Deploy automated patch management tools and software update tools for operating system and software/applications on all systems for which such tools are available and safe. Patches should be applied to all systems, even systems that are properly air gapped.</t>
  </si>
  <si>
    <t>Monitor logs associated with any scanning activity and associated administrator accounts to ensure that this activity is limited to the timeframes of legitimate scans.</t>
  </si>
  <si>
    <t>Compare the results from back-to-back vulnerability scans to verify that vulnerabilities were addressed, either by patching, implementing a compensating control, or documenting and accepting a reasonable business risk. Such acceptance of business risks for existing vulnerabilities should be periodically reviewed to determine if newer compensating controls or subsequent patches can address vulnerabilities that were previously accepted, or if conditions have changed, increasing the risk.</t>
  </si>
  <si>
    <t>Establish a process to risk-rate vulnerabilities based on the exploitability and potential impact of the vulnerability, and segmented by appropriate groups of assets (example, DMZ servers, internal network servers, desktops, laptops). Apply patches for the riskiest vulnerabilities first. A phased rollout can be used to minimize the impact to the organization. Establish expected patching timelines based on the risk rating level.</t>
  </si>
  <si>
    <t>Controlled Use of Administrative Privileges - The processes and tools used to track/control/prevent/correct the use, assignment, and configuration of administrative privileges on computers, networks, and applications.</t>
  </si>
  <si>
    <t>Minimize administrative privileges and only use administrative accounts when they are required. Implement focused auditing on the use of administrative privileged functions and monitor for anomalous behavior.</t>
  </si>
  <si>
    <t>Configure systems to issue a log entry and alert when an account is added to or removed from a domain administrators 'group, or when a new local administrator account is added on a system.</t>
  </si>
  <si>
    <t>Configure systems to issue a log entry and alert on any unsuccessful login to an administrative account</t>
  </si>
  <si>
    <t>Use multi-factor authentication for all administrative access, including domain administrative access. Multi-factor authentication can include a variety of techniques, to include the use of smart cards, certificates, One Time Password (OTP)tokens, biometrics, or other similar authentication methods.</t>
  </si>
  <si>
    <t>Where multi-factor authentication is not supported, user accounts shall be required to use long passwords on the system(longer than 14 characters).</t>
  </si>
  <si>
    <t>Administrators should be required to access a system using a fully logged and non-administrative account. Then, once logged on to the machine without administrative privileges, the administrator should transition to administrative privileges using tools such as Sudor on Linux/UNIX, Run As on Windows, and other similar facilities for other types of systems.</t>
  </si>
  <si>
    <t>Administrators shall use a dedicated machine for all administrative tasks or tasks requiring elevated access. This machine shall be isolated from the organization's primer and not be allowed Internet access. This machine shall not be used for reading email, composing documents, or surfing the Internet.</t>
  </si>
  <si>
    <t>Maintenance, Monitoring, and Analysis of Audit Logs - Collect, manage, and analyze audit logs of events that could help detect, understand, or recover from an attack.</t>
  </si>
  <si>
    <t>Ensure that all systems that store logs have adequate storage space for the logs generated on a regular basis, so that log files will not fill up between log rotation intervals. The logs must be archived and digitally signed on a periodic basis.</t>
  </si>
  <si>
    <t>Email and Web Browser Protections - Minimize the attack surface and the opportunities for attackers to manipulate human behavior though their interaction with web browsers and email systems.</t>
  </si>
  <si>
    <t>Log all URL requests from each of the organization's systems, whether onsite or a mobile device, in order to identify potentially malicious activity and assist incident handlers with identifying potentially compromised systems. Include mobile devices.</t>
  </si>
  <si>
    <t>The organization shall maintain and enforce network based URL filters that limit a system's ability to connect to websites not approved by the organization. The organization shall subscribe to URL categorization services to ensure that they are up-to date with the most recent website category definitions available. Uncategorized sites shall be blocked by default. This filtering shall be enforced for each of the organization's systems, whether they are physically at an organization's facilities or not.</t>
  </si>
  <si>
    <t>To lower the chance of spoofed email messages, implement the Sender Policy Framework (SPF) by deploying SPF records in DNS and enabling receiver-side verification in mail servers.</t>
  </si>
  <si>
    <t>Scan and block all email attachments entering the organization's email gateway if they contain malicious code or file types that are unnecessary for the organization's business. This scanning should be done before the email is placed in the user's inbox. This includes email content filtering and web content filtering.</t>
  </si>
  <si>
    <t>Malware Defenses - Control the installation, spread, and execution of malicious code at multiple points in the enterprise, while optimizing the use of automation to enable rapid updating of defense, data gathering, and corrective action.</t>
  </si>
  <si>
    <t>Limit use of external devices to those with an approved, documented business need. Monitor for use and attempted use of external devices. Configure laptops, workstations, and servers so that they will not auto-run content from removable media, like USB tokens (i.e., “thumb drives”), USB hard drives, CDs/DVDs, FireWire devices, external serial advanced technology attachment devices, and mounted network shares. Configure systems so that they automatically conduct an antimalware scan of removable media when inserted. Actively monitor the use of external devices(in addition to logging).32System</t>
  </si>
  <si>
    <t>Enable anti-exploitation features such as Data Execution Prevention (DEP), Address Space Layout Randomization (ASLR),virtualization/containerization, etc. For increased protection, deploy capabilities such as Enhanced Mitigation Experience Toolkit (EMET) that can be configured to apply these protections to a broader set of applications and executables.</t>
  </si>
  <si>
    <t>Use network-based anti-malware tools to identify executables in all network traffic and use techniques other than signature based detection to identify and filter out malicious content before it arrives at the endpoint.</t>
  </si>
  <si>
    <t>Enable domain name system (DNS) query logging to detect hostname lookup for known malicious C2 domains</t>
  </si>
  <si>
    <t>Limitation and Control of Network Ports, Protocols, and Services - Manage (track/control/correct) the ongoing operational use of ports, protocols, and services on networked devices in order to minimize windows of vulnerability available to attackers.</t>
  </si>
  <si>
    <t>Ensure that only ports, protocols, and services with validated business needs are running on each system</t>
  </si>
  <si>
    <t>Perform automated port scans on a regular basis against all key servers and compare to a known effective baseline. If a change that is not listed on the organization’s approved baseline is discovered, an alert should be generated and reviewed.</t>
  </si>
  <si>
    <t>Operate critical services on separate physical or logical host machines, such as DNS, file, mail, web, and database servers</t>
  </si>
  <si>
    <t>Place application firewalls in front of any critical servers to verify and validate the traffic going to the server. Any unauthorized services or traffic should be blocked and an alert generated.</t>
  </si>
  <si>
    <t>Data Recovery Capability - The processes and tools used to properly back up critical information with a proven methodology for timely recovery of it.</t>
  </si>
  <si>
    <t>Test data on backup media on a regular basis by performing data restoration process to ensure that the backup is properly working.</t>
  </si>
  <si>
    <t>Ensure that backups are properly protected via physical security or encryption when they are stored, as well as when they are moved across the network. This includes remote backups and cloud services.</t>
  </si>
  <si>
    <t>Ensure that key systems have at least one backup destination that is not continuously addressable through operating system calls. This will mitigate the risk of attacks like CryptoLocker which seek to encrypt or damage data on all addressable data shares, including backup destinations.</t>
  </si>
  <si>
    <t>Secure Configurations for Network Devices such as Firewalls, Routers, and Switches - Establish, implement, and actively manage (track, report on, correct) the security configuration of network infrastructure devices using a rigorous configuration management and change control process in order to prevent attackers from exploiting vulnerable services and settings.</t>
  </si>
  <si>
    <t>Compare firewall, router, and switch configuration against standard secure configurations defined for each type of network device in use in the organization. The security configuration of such devices should be documented, reviewed, and approved by an organization change control board. Any deviations from the standard configuration or updates to the standard configuration should be documented and approved in a change control system.</t>
  </si>
  <si>
    <t>All new configuration rules beyond a baseline-hardened configuration that allow traffic to flow through network security devices, such as firewalls and network-based IPS, should be documented and recorded in a configuration management system, with a specific business reason for each change, a specific individual’s name responsible for that business need, and an expected duration of the need.</t>
  </si>
  <si>
    <t>Use automated tools to verify standard device configurations and detect changes. All alterations to such files should be logged and automatically reported to security personnel.</t>
  </si>
  <si>
    <t>Manage network devices using two-factor authentication and encrypted sessions</t>
  </si>
  <si>
    <t>Install the latest stable version of any security-related updates on all network devices</t>
  </si>
  <si>
    <t>Network engineers shall use a dedicated machine for all administrative tasks or tasks requiring elevated access. This machine shall be isolated from the organization's primary and not be allowed Internet access. This machine shall not be used for reading email, composing documents, or surfing the Internet.</t>
  </si>
  <si>
    <t>Manage the network infrastructure across network connections that are separated from the business use of that network, relying on separate VLANs or, preferably, on entirely different physical connectivity for management sessions for network devices.</t>
  </si>
  <si>
    <t>Boundary Defense - Detect/prevent/correct the flow of information transferring networks of different trust levels with a focus on security-damaging data.</t>
  </si>
  <si>
    <t>Deny communications with (or limit data flow to) known malicious IP addresses (black lists), or limit access only to trusted sites (whitelists). Tests can be periodically carried out by sending packets from logon source IP addresses (non-routable or otherwise unused IP addresses) into the network to verify that they are not transmitted through network perimeters. Lists of logon addresses are publicly available on the Internet from various sources, and indicate a series of IP addresses that should not be used for legitimate traffic traversing the Internet.</t>
  </si>
  <si>
    <t>On DMZ networks, configure monitoring systems (which maybe built in to the IDS sensors or deployed as a separate technology) to record at least packet header information, and preferably full packet header and payloads of the traffic destined for or passing through the network border. This traffic should be sent to a properly configured Security Information Event Management (SIEM) or log analytics system so that events can be correlated from all devices on the network.</t>
  </si>
  <si>
    <t>Deploy network-based IDS sensors on Internet and extranet DMZ systems and networks that look for unusual attack mechanisms and detect compromise of these systems. These network-based IDS sensors may detect attacks through the use of signatures, network behavior analysis, or other mechanisms to analyze traffic.</t>
  </si>
  <si>
    <t>Network-based IPS devices should be deployed to complement IDS by blocking known bad signatures or the behavior of potential attacks. As attacks become automated, methods such as IDS typically delay the amount of time it takes for someone to react to an attack. A properly configured network-based IPS can provide automation to block bad traffic. When evaluating network-based IPS products, include those using techniques other than signature-based detection(such as virtual machine or sandbox-based approaches) for consideration.</t>
  </si>
  <si>
    <t>Design and implement network perimeters so that all outgoing network traffic to the Internet must pass through at least one application layer filtering proxy server. The proxy should support decrypting network traffic, logging individual TCP sessions, blocking specific URLs, domain names, and IP addresses to implement a black list, and applying whitelists of allowed sites that can be accessed through the proxy while blocking all other sites. Organizations should force outbound traffic to the Internet through an authenticated proxy server on the enterprise perimeter.</t>
  </si>
  <si>
    <t>Require all remote login access (including VPN, dial-up, and other forms of access that allow login to internal systems) to use two-factor authentication.</t>
  </si>
  <si>
    <t>All enterprise devices remotely logging into the internal network should be managed by the enterprise, with remote control of their configuration, installed software, and patch levels. For third-party devices (e.g., subcontractors/vendors),publish minimum security standards for access to the enterprise network and perform a security scan before allowing access.</t>
  </si>
  <si>
    <t>Periodically scan for back-channel connections to the Internet that bypass the DMZ, including unauthorized VPN connections and dual-homed hosts connected to the enterprise network and to other networks via wireless, dial-up modems, or other mechanisms.</t>
  </si>
  <si>
    <t>Deploy Net Flow collection and analysis to DMZ network flows to detect anomalous activity</t>
  </si>
  <si>
    <t>To help identify covert channels exfiltrating data through a firewall, configure the built-in firewall session tracking mechanisms included in many commercial firewalls to identify TCP sessions that last an unusually long time for the given organization and firewall device, alerting personnel about the source and destination addresses associated with these long sessions.</t>
  </si>
  <si>
    <t>Data Protection - The processes and tools used to prevent data exfiltration, mitigate the effects of exfiltrated data, and ensure the privacy and integrity of sensitive information.</t>
  </si>
  <si>
    <t>Perform an assessment of data to identify sensitive information that requires the application of encryption and integrity controls.</t>
  </si>
  <si>
    <t>Deploy approved hard drive encryption software to mobile devices and systems that hold sensitive data</t>
  </si>
  <si>
    <t>Deploy an automated tool on network perimeters that monitors for sensitive information (e.g., personally identifiable information), keywords, and other document characteristics to discover unauthorized attempts to exfiltrate data across network boundaries and block such transfers while alerting information security personnel.</t>
  </si>
  <si>
    <t>Conduct periodic scans of server machines using automated tools to determine whether sensitive data (e.g., personally identifiable information, health, credit card, or classified information) is present on the system in clear text. These tools, which search for patterns that indicate the presence of sensitive information, can help identify if a business or technical process is leaving behind or otherwise leaking sensitive information.</t>
  </si>
  <si>
    <t>Use network-based DLP solutions to monitor and control the flow of data within the network. Any anomalies that exceed the normal traffic patterns should be noted and appropriate action taken to address them.</t>
  </si>
  <si>
    <t>Monitor all traffic leaving the organization and detect any unauthorized use of encryption. Attackers often use an encrypted channel to bypass network security devices. Therefore it is essential that organizations be able to detect rogue connections, terminate the connection, and remediate the infected system.</t>
  </si>
  <si>
    <t>Block access to known file transfer and email exfiltration websites</t>
  </si>
  <si>
    <t>Use host-based data loss prevention (DLP) to enforce ACLs even when data is copied off a server. In most organizations, access to the data is controlled by ACLs that are implemented on the server. Once the data have been copied to a desktop system, the ACLs are no longer enforced and the users can send the data to whomever they want.</t>
  </si>
  <si>
    <t>Controlled Access Based on the Need to Know - The processes and tools used to track/control/prevent/correct secure access to critical assets (e.g., information, resources, systems) according to the formal determination of which persons, computers, and applications have a need and right to access these critical assets based on an approved classification.</t>
  </si>
  <si>
    <t>Segment the network based on the label or classification level of the information stored on the servers. Locate all sensitive information on separated VLANS with firewall filtering to ensure that only authorized individuals are only able to communicate with systems necessary to fulfill their specific responsibilities.</t>
  </si>
  <si>
    <t>All communication of sensitive information over less trusted networks should be encrypted. Whenever information flows over a network with a lower trust level, the information should be encrypted.</t>
  </si>
  <si>
    <t>All information stored on systems shall be protected with file system, network share, claims, application, or database specific access control lists. These controls will enforce the principle that only authorized individuals should have access to the information based on their need to access the information as apart of their responsibilities.</t>
  </si>
  <si>
    <t>Sensitive information stored on systems shall be encrypted at rest and require a secondary authentication mechanism, not integrated into the operating system, in order to access the information.</t>
  </si>
  <si>
    <t>Enforce detailed audit logging for access to nonpublic data and special authentication for sensitive data</t>
  </si>
  <si>
    <t>Archived data sets or systems not regularly accessed by the organization shall be removed from the organization's network. These systems shall only be used as standalone systems (disconnected from the network) by the business unit needing to occasionally use the system or completely virtualized and powered off until needed.</t>
  </si>
  <si>
    <t>Wireless Access Control - The processes and tools used to track/control/prevent/correct the security use of wireless local area networks (LANS), access points, and wireless client systems.</t>
  </si>
  <si>
    <t xml:space="preserve">Ensure that each wireless device connected to the network matches an authorized configuration and security profile, with a documented owner of the connection and a defined business need. Organizations should deny access to those wireless devices that do not have such a configuration and profile. </t>
  </si>
  <si>
    <t xml:space="preserve">Configure network vulnerability scanning tools to detect wireless access points connected to the wired network. Identified devices should be reconciled against a list of authorized wireless access points. Unauthorized (i.e., rogue)access points should be deactivated. </t>
  </si>
  <si>
    <t xml:space="preserve">Use wireless intrusion detection systems (WIDS) to identify rogue wireless devices and detect attack attempts and successful compromises. In addition to WIDS, all wireless traffic should be monitored by WIDS as traffic passes into the wired network. </t>
  </si>
  <si>
    <t xml:space="preserve">Ensure that all wireless traffic leverages at least Advanced Encryption Standard (AES) encryption used with at least Wi-Fi Protected Access 2 (WPA2) protection. </t>
  </si>
  <si>
    <t xml:space="preserve">Ensure that wireless networks use authentication protocols such as Extensible Authentication Protocol-Transport Layer Security (EAP/TLS), which provide credential protection and mutual authentication. </t>
  </si>
  <si>
    <t>Disable peer-to-peer wireless network capabilities on wireless clients</t>
  </si>
  <si>
    <t>Disable wireless peripheral access of devices (such as Bluetooth), unless such access is required for a documented business need. 15.9 Create separate virtual local area networks (VLANs) for BYOD systems or other untrusted devices. Internet access from thistle should go through at least the same border as corporate traffic. Enterprise access from this VLAN should be treated as untrusted and filtered and audited accordingly.</t>
  </si>
  <si>
    <t>Create separate virtual local area networks (VLANs) for BYOD systems or other untrusted devices. Internet access from this VLAN should go through at least the same border as corporate traffic. Enterprise access from this VLAN should be treated as untrusted and filtered and audited accordingly.</t>
  </si>
  <si>
    <t>Account Monitoring and Control - Actively manage the life cycle of system and application accounts – their creation, use, dormancy, deletion – in order to minimize opportunities for attackers to leverage them.</t>
  </si>
  <si>
    <t>Review all system accounts and disable any account that cannot be associated with a business process and owner</t>
  </si>
  <si>
    <t>Ensure that all accounts have an expiration date that is monitored and enforced</t>
  </si>
  <si>
    <t>Establish and follow a process for revoking system access by disabling accounts immediately upon termination of an employee or contractor. Disabling instead of deleting accounts allows preservation of audit trails.</t>
  </si>
  <si>
    <t>Regularly monitor the use of all accounts, automatically logging off users after a standard period of inactivity</t>
  </si>
  <si>
    <t>Configure screen locks on systems to limit access to unattended workstations</t>
  </si>
  <si>
    <t>Use and configure account lockouts such that after a set number of failed login attempts the account is locked fora standard period of time.</t>
  </si>
  <si>
    <t>Monitor attempts to access deactivated accounts through audit logging</t>
  </si>
  <si>
    <t>Configure access for all accounts through a centralized point of authentication, for example Active Directory or LDAP. Configure network and security devices for centralized authentication as well.</t>
  </si>
  <si>
    <t>Profile each user’s typical account usage by determining normal time-of-day access and access duration. Reports should be generated that indicate users who have logged in during unusual hours or have exceeded their normal login duration. This includes flagging the use of the user's credentials from a computer other than computers on which the user generally works.</t>
  </si>
  <si>
    <t>Require multi-factor authentication for all user accounts that have access to sensitive data or systems. Multi-factor authentication can be achieved using smart cards, certificates, One Time Password (OTP) tokens, or biometrics.</t>
  </si>
  <si>
    <t>Where multi-factor authentication is not supported, user accounts shall be required to use long passwords on the system (longer than 14 characters).</t>
  </si>
  <si>
    <t>Ensure that all account usernames and authentication credentials are transmitted across networks using encrypted channels.</t>
  </si>
  <si>
    <t>Verify that all authentication files are encrypted or hashed and that these files cannot be accessed without root or administrator privileges. Audit all access top password files in the system.</t>
  </si>
  <si>
    <t>Security Skills Assessment and Appropriate Training to Fill Gaps - For all functional roles in the organization (prioritizing those mission-critical to the business and its security), identify the specific knowledge, skills, and abilities needed to support defense of the enterprise; develop and execute an integrated plan to assess, identify gaps, and remediate through policy, organizational planning, training, and awareness programs.</t>
  </si>
  <si>
    <t>Deliver training to fill the skills gap. If possible, use more senior staff to deliver the training. A second option is to have outside teachers provide training onsite so the examples used will be directly relevant. If you have small numbers of people to train, use training conferences or online training to fill the gaps.</t>
  </si>
  <si>
    <t>Validate and improve awareness levels through periodic tests to see whether employees will click on a link from suspicious email or provide sensitive information on the telephone without following appropriate procedures for authenticating a caller; targeted training should be provided to those who fall victim to the exercise.</t>
  </si>
  <si>
    <t>Use security skills assessments for each of the mission critical roles to identify skills gaps. Use hands-on, real world examples to measure mastery. If you do not have such assessments, use one of the available online competitions that simulate real-world scenarios for each of the identified jobs in order to measure mastery of skills mastery.</t>
  </si>
  <si>
    <t>Application Software Security - Manage the security life cycle of all in-house developed and acquired software in order to prevent, detect, and correct security weaknesses.</t>
  </si>
  <si>
    <t>For all acquired application software, check that the version you are using is still supported by the vendor. If not, update to the most current version and install all relevant patches and vendor security recommendations.</t>
  </si>
  <si>
    <t>For in-house developed software, ensure that explicit error checking is performed and documented for all input, including for size, data type, and acceptable ranges or formats.</t>
  </si>
  <si>
    <t>Test in-house-developed and third-party-procured web applications for common security weaknesses using automated remote web application scanners prior to deployment, whenever updates are made to the application, and on a regular recurring basis. In particular, input validation and output encoding routines of application software should be reviewed and tested.</t>
  </si>
  <si>
    <t>Maintain separate environments for production and nonproduction systems. Developers should not typically have unmonitored access to production environments.</t>
  </si>
  <si>
    <t>For applications that rely on a database, use standard hardening configuration templates. All systems that are part of critical business processes should also be tested.</t>
  </si>
  <si>
    <t>Ensure that all software development personnel receive training in writing secure code for their specific development environment.</t>
  </si>
  <si>
    <t>For in-house developed applications, ensure that development artifacts (sample data and scripts; unused libraries, components, debug code; or tools) are not included in the deployed software, or accessible in the production environment.</t>
  </si>
  <si>
    <t>Incident Response and Management - Protect the organization’s information, as well as its reputation, by developing and implementing an incident response infrastructure (e.g., plans, defined roles, training, communications, management oversight) for quickly discovering an attack and then effectively containing the damage, eradicating the attacker’s presence, and restoring the integrity of the network and systems.</t>
  </si>
  <si>
    <t>Ensure that there are written incident response procedures that include a definition of personnel roles for handling incidents. The procedures should define the phases of incident handling.</t>
  </si>
  <si>
    <t>Assign job titles and duties for handling computer and network incidents to specific individuals</t>
  </si>
  <si>
    <t>Define management personnel who will support the incident handling process by acting in key decision-making roles.</t>
  </si>
  <si>
    <t>Assemble and maintain information on third-party contact information to be used to report a security incident (e.g., maintain an email address of security@organization.comor have a web page (http://organization.com/security).</t>
  </si>
  <si>
    <t>Publish information for all personnel, including employees and contractors, regarding reporting computer anomalies and incidents to the incident handling team. Such information should be included in routine employee awareness activities.</t>
  </si>
  <si>
    <t>Conduct periodic incident scenario sessions for personnel associated with the incident handling team to ensure that they understand current threats and risks, as well as their responsibilities in supporting the incident handling team.</t>
  </si>
  <si>
    <t>Penetration Tests and Red Team Exercises - Test the overall strength of an organization’s defenses (the technology, the processes, and the people) by simulating the objectives and actions of an attacker.</t>
  </si>
  <si>
    <t>Conduct regular external and internal penetration tests to identify vulnerabilities and attack vectors that can bemused to exploit enterprise systems successfully. Penetration testing should occur from outside the network perimeter (i.e., the Internet or wireless frequencies around an organization) as well as from within its boundaries (i.e., on the internal network) to simulate both outsider and insider attacks.</t>
  </si>
  <si>
    <t>Any user or system accounts used to perform penetration testing should be controlled and monitored to make sure they are only being used for legitimate purposes, and are removed or restored to normal function after testing is over.</t>
  </si>
  <si>
    <t>Perform periodic Red Team exercises to test organizational readiness to identify and stop attacks or to respond quickly and effectively.</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</si>
  <si>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</si>
  <si>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Plan clear goals of the penetration test itself with blended attacks in mind, identifying the goal machine or target asset. Many APT-style attacks deploy multiple vectors—often social engineering combined with web or network exploitation. Red Team manual or automated testing that captures pivoted and multi-vector attacks offers amore realistic assessment of security posture and risk to critical assets.</t>
  </si>
  <si>
    <t>Use vulnerability scanning and penetration testing tools in concert. The results of vulnerability scanning assessments should be used as a starting point to guide and focus penetration testing efforts.</t>
  </si>
  <si>
    <t>Create a test bed that mimics a production environment for specific penetration tests and Red Team attacks against elements that are not typically tested in production, such as attacks against supervisory control and data acquisition and other control systems.</t>
  </si>
  <si>
    <t>Critical Security Controls 6</t>
  </si>
  <si>
    <t>12.10</t>
  </si>
  <si>
    <t>16.10</t>
  </si>
  <si>
    <t>Supply Chain Risk Management (ID.SC)</t>
  </si>
  <si>
    <t>The organization’s priorities, constraints, risk tolerances, and assumptions are established and used to support risk decisions associated with managing supply chain risk. The organization has in place the processes to identify, assess and manage supply chain risks.</t>
  </si>
  <si>
    <t>ID.SC-1</t>
  </si>
  <si>
    <t>Cyber supply chain risk management processes are identified, established, assessed, managed, and agreed to by organizational stakeholders</t>
  </si>
  <si>
    <t>ID.SC-2</t>
  </si>
  <si>
    <t>Identify, prioritize and assess suppliers and partners of critical information systems, components and services using a cyber supply chain risk assessment process</t>
  </si>
  <si>
    <t>ID.SC-3</t>
  </si>
  <si>
    <t>Suppliers and partners are required by contract to implement appropriate measures designed to meet the objectives of the Information Security program or Cyber Supply Chain Risk Management Plan.</t>
  </si>
  <si>
    <t>ID.SC-4</t>
  </si>
  <si>
    <t>Suppliers and partners are monitored to confirm that they have satisfied their obligations as required. Reviews of audits, summaries of test results, or other equivalent evaluations of suppliers/providers are conducted</t>
  </si>
  <si>
    <t>ID.SC-5</t>
  </si>
  <si>
    <t>Response and recovery planning and testing are conducted with critical suppliers/providers</t>
  </si>
  <si>
    <t>PR.AC-6</t>
  </si>
  <si>
    <t>Identities are proofed and bound to credentials, and asserted in interactions when appropriate</t>
  </si>
  <si>
    <t>PR.DS-8</t>
  </si>
  <si>
    <t xml:space="preserve">Integrity checking mechanisms are used to verify hardware integrity </t>
  </si>
  <si>
    <t>The principle of least functionality is incorporated by configuring systems to provide only essential capabilities</t>
  </si>
  <si>
    <t>PR.PT-5</t>
  </si>
  <si>
    <t>Systems operate in pre-defined functional states to achieve availability (e.g. under duress, under attack, during recovery, normal operations).</t>
  </si>
  <si>
    <t>ID.SC-0</t>
  </si>
  <si>
    <t>SC</t>
  </si>
  <si>
    <t>NIST CSF 1.1</t>
  </si>
  <si>
    <t xml:space="preserve">Resources (e.g., hardware, devices, data, time, and software) are prioritized based on their classification, criticality, and business value </t>
  </si>
  <si>
    <t>Resilience requirements to support delivery of critical services are established for all operating states (e.g. under duress/attack, during recovery, normal operations)</t>
  </si>
  <si>
    <t>Cyber threat intelligence and vulnerability information is received from information sharing forums and sources</t>
  </si>
  <si>
    <t xml:space="preserve">Identities and credentials are issued, managed, revoked, and audited for authorized devices, users, and processes </t>
  </si>
  <si>
    <t>Access permissions and authorizations are managed, incorporating the principles of least privilege and separation of duties</t>
  </si>
  <si>
    <t>Access to physical and logical assets and associated facilities is limited to authorized users, processes, and devices, and is managed consistent with the assessed risk of unauthorized access.</t>
  </si>
  <si>
    <t>Identity Management and Access Control (PR.AC)</t>
  </si>
  <si>
    <t>A baseline configuration of information technology/industrial control systems is created and maintained incorporating appropriate security principles (e.g. concept of least functionality)</t>
  </si>
  <si>
    <t>ID.SC</t>
  </si>
  <si>
    <t>Supply Chain Risk Management</t>
  </si>
  <si>
    <t>1.6-x.x</t>
  </si>
  <si>
    <t>Steps</t>
  </si>
  <si>
    <t>Description</t>
  </si>
  <si>
    <t>Select the environment from the Key. Edit as needed.</t>
  </si>
  <si>
    <t xml:space="preserve">Usually focus on the highest data classification. </t>
  </si>
  <si>
    <t>This data type may travers multiple environments throughout or external to the enterprise. Multiple environments may need to be evaluated in the assessment.</t>
  </si>
  <si>
    <t>Apply a score to each security control for the environment column.</t>
  </si>
  <si>
    <t>Utilize the BRAAT method, which is derived from the NIST SP 800-37 document.</t>
  </si>
  <si>
    <t>Review the Dashboard Control Set Scores.</t>
  </si>
  <si>
    <t>Evaluate the CSF Category for each of the cumulative Control Set Scores.</t>
  </si>
  <si>
    <t>Create a report or presentation based upon the Executive summary and the Security Profile for the data type or for the entire organization.</t>
  </si>
  <si>
    <t>Include the operational systems from where the security control ratings were derived.</t>
  </si>
  <si>
    <t>Include a business case or cost analysis for each system and a total recommended line item budget for each change.</t>
  </si>
  <si>
    <t>Demonstrate the Current Profile and the Target Profile based upon the recommended improvements.</t>
  </si>
  <si>
    <t>Based on a work at:</t>
  </si>
  <si>
    <t>Permissions beyond the scope of this license may be available at:</t>
  </si>
  <si>
    <t>http://www.veritysecurity.com/home/espm/</t>
  </si>
  <si>
    <t>Add additional security control sets with a table of the source number and the description. Use VLOOKUP to bring it into the main description list.</t>
  </si>
  <si>
    <t>X</t>
  </si>
  <si>
    <t>Control Set Source</t>
  </si>
  <si>
    <t>Control ID</t>
  </si>
  <si>
    <t>A</t>
  </si>
  <si>
    <t>Before deploying any new devices in a networked environment, change all default passwords for applications, operating systems, routers, firewalls, wireless access points, and other systems to have values consistent with administration-level accounts.</t>
  </si>
  <si>
    <t>Correlate event logs with information from vulnerability scans to fulfill two goals. First, personnel should verify that the activity of the regular vulnerability scanning tools is itself logged. Second, personnel should be able to correlate attack detection events with prior vulnerability scanning results to determine whether the given exploit was used against a target known to be vulnerable.</t>
  </si>
  <si>
    <t>All network switches will enable Private Virtual Local Area Networks (VLANs) for segmented workstation networks to limit the ability of devices on a network to directly communicate with other devices on the subnet and limit an attackers ability to laterally move to compromise neighboring systems.</t>
  </si>
  <si>
    <t>Limit use of external devices to those with an approved, documented business need. Monitor for use and attempted use of external devices. Configure laptops, workstations, and servers so that they will not auto-run content from removable media, like USB tokens (i.e., “thumb drives”), USB hard drives, CDs/DVDs, FireWire devices, external serial advanced technology attachment devices, and mounted network shares. Configure systems so that they automatically conduct an antimalware scan of removable media when inserted. Actively monitor the use of external devices(in addition to logging).</t>
  </si>
  <si>
    <t>If there is no business need for supporting such devices, configure systems so that they will not write data to USB tokens or USB hard drives. If such devices are required, enterprise software should be used that can configure systems to allow only specific USB devices (based on serial number or other unique property) to be accessed, and that can automatically encrypt all data placed on such devices. An inventory of all authorized devices must be maintained.</t>
  </si>
  <si>
    <t>Devise organization-wide standards for the time required for system administrators and other personnel to report anomalous events to the incident handling team, the mechanisms for such reporting, and the kind of information that should be included in the incident notification. This reporting should also include notifying the appropriate Community Emergency Response Team in accordance with all legal or regulatory requirements for involving that organization in computer incidents.</t>
  </si>
  <si>
    <t>9.10.</t>
  </si>
  <si>
    <t>12.10.</t>
  </si>
  <si>
    <t xml:space="preserve">Store the master images on securely configured servers, validated with integrity checking tools capable of continuous inspection, and change management to ensure that only authorized changes to the images are possible. Alternatively, these master images can be stored in offline machines, air-gapped from the production network, with images copied via secure media to move them between the image storage servers and the production network. File integrity of master images are verified as part of a continuous monitoring program. </t>
  </si>
  <si>
    <t>Implement and test an automated configuration monitoring system that verifies all remotely testable secure configuration elements, and alerts when unauthorized changes occur. This includes detecting new listening ports, new administrative users, changes to group and local policy objects (where applicable),and new services running on a system. Whenever possible use tools compliant with the Security Content Automation Protocol (SCAP) in order to streamline reporting and integration.</t>
  </si>
  <si>
    <t>Deploy a SIEM (Security Information and Event Management) or log analytic tools for log aggregation and consolidation from multiple machines and for log correlation and analysis. Using the SIEM tool, system administrators and security personnel should devise profiles of common events from given systems so that they can tune detection to focus on unusual activity, avoid false positives, more rapidly identify anomalies, and prevent overwhelming analysts with insignificant alerts.</t>
  </si>
  <si>
    <t>Have security personnel and/or system administrators run biweekly reports that identify anomalies in logs. They should then actively review the anomalies, documenting their findings.</t>
  </si>
  <si>
    <t>Wherever possible, ensure that Red Teams results are documented using open, machine-readable standards (e.g., SCAP). Devise a scoring method for determining the results of Red Team exercises so that results can be compared over time.</t>
  </si>
  <si>
    <t xml:space="preserve">Where a specific business need for wireless access has been identified, configure wireless access on client machines to allow access only to authorized wireless networks. For devices that do not have an essential wireless business purpose, disable wireless access in the hardware configuration (basic input/output system or extensible firmware interface). </t>
  </si>
  <si>
    <t>Implement a security awareness program that (1) focuses on the methods commonly used in intrusions that can be blocked through individual action, (2) is delivered in short online modules convenient for employees (3) is updated frequently (at least annually) to represent the latest attack techniques, (4) is mandated for completion by all employees at least annually, (5) is reliably monitored for employee completion, and 6) includes the senior leadership team's personal messaging, involvement in training, and accountability through performance metrics.</t>
  </si>
  <si>
    <t>Perform gap analysis to see which skills employees need to implement the other Controls, and which behaviors employees are not adhering to, using this information to build a baseline training and awareness roadmap for all employees.</t>
  </si>
  <si>
    <t>Do not display system error messages to end-users (output sanitization)</t>
  </si>
  <si>
    <t>Monitor account usage to determine dormant accounts, notifying the user or user’s manager. Disable such accounts if not needed, or document and monitor exceptions (e.g., vendor maintenance accounts needed for system recovery or continuity operations). Require that managers match active employees and contractors with each account belonging to their managed staff. Security or system administrators should then disable accounts that are not assigned to valid workforce members.</t>
  </si>
  <si>
    <t>Protect web applications by deploying web application firewalls (WAFs) that inspect all traffic flowing to the web application for common web application attacks, including but not limited to cross-site scripting, SQL injection, command injection, and directory traversal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 Dealing with encrypted/tunneled traffic requires more planning and resources.</t>
  </si>
  <si>
    <t>Deploy two separate browser configurations to each system. One configuration should disable the use of all plugins, unnecessary scripting languages, and generally be configured with limited functionality and be used for general web browsing. The other configuration shall allow for more browser functionality but should only be used to access specific websites that require the use of such functionality.</t>
  </si>
  <si>
    <t>Quick Assessment Questions</t>
  </si>
  <si>
    <t>Low performance</t>
  </si>
  <si>
    <t>-------------</t>
  </si>
  <si>
    <t>High performance</t>
  </si>
  <si>
    <t>Score</t>
  </si>
  <si>
    <t>Identify</t>
  </si>
  <si>
    <t>Protect</t>
  </si>
  <si>
    <t>Detect</t>
  </si>
  <si>
    <t>Respond</t>
  </si>
  <si>
    <t>Recover</t>
  </si>
  <si>
    <t>x</t>
  </si>
  <si>
    <t>http://creativecommons.org/licenses/by-sa/4.0/</t>
  </si>
  <si>
    <t>http://www.veritysecurity.com/home/espm/license/</t>
  </si>
  <si>
    <t>https://www.cisecurity.org/cis-controls-supporters/</t>
  </si>
  <si>
    <t xml:space="preserve">https://creativecommons.org/share-your-work/public-domain/freeworks </t>
  </si>
  <si>
    <t>https://www.gnu.org/philosophy/free-sw.html</t>
  </si>
  <si>
    <t>This is a Free Cultural Work</t>
  </si>
  <si>
    <t>This solution is catigorized under the Free Software Definition</t>
  </si>
  <si>
    <t>Objective of the license: 1) Attribute the work. Give proper credit to origin of the work and to others contributing to the work. 2) Don't be selfish. Give back to the community by building upon the work with ESPM improvements.</t>
  </si>
  <si>
    <t>Use of the CIS CSC version 6.x is granted by permission from the CIS CRITICAL SECURITY CONTROLS SUPPORTER LICENSE AGREEMENT with Verity Security, LLC. Any additional use of the CIS CSC version 6 in connection with the ESPM is prohibited.</t>
  </si>
  <si>
    <t>Enterprise Security Profile Model (ESPM)</t>
  </si>
  <si>
    <t>Creative Commons License
The Enterprise Security Profile Model (ESPM) by Kent Pankratz, Verity Security LLC, is licensed under a Creative Commons Attribution-ShareAlike 4.0 International License.</t>
  </si>
  <si>
    <t>Contributers</t>
  </si>
  <si>
    <t>Kent Pankratz, MSISA, CISSP</t>
  </si>
  <si>
    <t>Date of record</t>
  </si>
  <si>
    <t>Uploaded the working ESPM</t>
  </si>
  <si>
    <t>Created the ESPM (as a working concept)</t>
  </si>
  <si>
    <t>Updated the security control set mapping within the ESPM. HIPAA, CSC v6, PCI DSS v3.2, and NIST CSF v1.1</t>
  </si>
  <si>
    <t>Development of the BRAAT method. Bridging Risk Assessment and Analysis Totals (BRAAT) is the method in the model (ESPM).</t>
  </si>
  <si>
    <t>Version 1.02 / August 8, 2017</t>
  </si>
  <si>
    <t>&lt;No license - not authorized to display the description&gt;</t>
  </si>
  <si>
    <t>&lt;No license - See NIST SP 800-53 Rev. 5, TABLE I-2&gt;</t>
  </si>
  <si>
    <t>Cryptography</t>
  </si>
  <si>
    <t xml:space="preserve">Cryptographic controls </t>
  </si>
  <si>
    <t xml:space="preserve">Policy on the use of cryptographic controls </t>
  </si>
  <si>
    <t xml:space="preserve">Key management </t>
  </si>
  <si>
    <t>Physical and environmental security</t>
  </si>
  <si>
    <t xml:space="preserve">Secure areas </t>
  </si>
  <si>
    <t xml:space="preserve">Physical security perimeter </t>
  </si>
  <si>
    <t xml:space="preserve">Physical entry controls </t>
  </si>
  <si>
    <t xml:space="preserve">Securing offices, rooms and facilities </t>
  </si>
  <si>
    <t xml:space="preserve">Protecting against external and environmental threats </t>
  </si>
  <si>
    <t xml:space="preserve">Working in secure areas </t>
  </si>
  <si>
    <t xml:space="preserve">Delivery and loading areas </t>
  </si>
  <si>
    <t xml:space="preserve">Equipment </t>
  </si>
  <si>
    <t xml:space="preserve">Equipment siting and protection </t>
  </si>
  <si>
    <t xml:space="preserve">Supporting utilities </t>
  </si>
  <si>
    <t xml:space="preserve">Cabling security </t>
  </si>
  <si>
    <t xml:space="preserve">Equipment maintenance </t>
  </si>
  <si>
    <t xml:space="preserve">Removal of assets </t>
  </si>
  <si>
    <t>Security of equipment and assets off</t>
  </si>
  <si>
    <t>Secure disposal or re</t>
  </si>
  <si>
    <t xml:space="preserve">Unattended user equipment </t>
  </si>
  <si>
    <t xml:space="preserve">Clear desk and clear screen policy </t>
  </si>
  <si>
    <t>Operations security</t>
  </si>
  <si>
    <t xml:space="preserve">Operational procedures and responsibilities </t>
  </si>
  <si>
    <t xml:space="preserve">Documented operating procedures </t>
  </si>
  <si>
    <t xml:space="preserve">Change management </t>
  </si>
  <si>
    <t xml:space="preserve">Capacity management </t>
  </si>
  <si>
    <t xml:space="preserve">Separation of development, testing and operational environments </t>
  </si>
  <si>
    <t xml:space="preserve">Protection from malware </t>
  </si>
  <si>
    <t xml:space="preserve">Controls against malware </t>
  </si>
  <si>
    <t xml:space="preserve">Backup </t>
  </si>
  <si>
    <t xml:space="preserve">Information backup </t>
  </si>
  <si>
    <t xml:space="preserve">Logging and monitoring </t>
  </si>
  <si>
    <t xml:space="preserve">Event logging </t>
  </si>
  <si>
    <t xml:space="preserve">Protection of log information </t>
  </si>
  <si>
    <t xml:space="preserve">Administrator and operator logs </t>
  </si>
  <si>
    <t xml:space="preserve">Clock synchronisation </t>
  </si>
  <si>
    <t xml:space="preserve">Control of operational software </t>
  </si>
  <si>
    <t xml:space="preserve">Installation of software on operational systems </t>
  </si>
  <si>
    <t xml:space="preserve">Technical vulnerability management </t>
  </si>
  <si>
    <t xml:space="preserve">Management of technical vulnerabilities </t>
  </si>
  <si>
    <t xml:space="preserve">Restrictions on software installation </t>
  </si>
  <si>
    <t xml:space="preserve">Information systems audit considerations </t>
  </si>
  <si>
    <t xml:space="preserve">Information systems audit controls </t>
  </si>
  <si>
    <t>Communications security</t>
  </si>
  <si>
    <t xml:space="preserve">Network security management </t>
  </si>
  <si>
    <t xml:space="preserve">Network controls </t>
  </si>
  <si>
    <t xml:space="preserve">Security of network services </t>
  </si>
  <si>
    <t xml:space="preserve">Segregation in networks </t>
  </si>
  <si>
    <t xml:space="preserve">Information transfer </t>
  </si>
  <si>
    <t xml:space="preserve">Information transfer policies and procedures </t>
  </si>
  <si>
    <t xml:space="preserve">Agreements on information transfer </t>
  </si>
  <si>
    <t xml:space="preserve">Electronic messaging </t>
  </si>
  <si>
    <t>Confidentiality or non</t>
  </si>
  <si>
    <t>System acquisition, development and maintenance</t>
  </si>
  <si>
    <t xml:space="preserve">Security requirements of information systems </t>
  </si>
  <si>
    <t xml:space="preserve">Information security requirements analysis and specification </t>
  </si>
  <si>
    <t xml:space="preserve">Securing application services on public networks </t>
  </si>
  <si>
    <t xml:space="preserve">Protecting application services transactions </t>
  </si>
  <si>
    <t xml:space="preserve">Security in development and support processes </t>
  </si>
  <si>
    <t xml:space="preserve">Secure development policy </t>
  </si>
  <si>
    <t xml:space="preserve">System change control procedures </t>
  </si>
  <si>
    <t xml:space="preserve">Technical review of applications after operating platform changes </t>
  </si>
  <si>
    <t xml:space="preserve">Restrictions on changes to software packages </t>
  </si>
  <si>
    <t xml:space="preserve">Secure system engineering principles </t>
  </si>
  <si>
    <t xml:space="preserve">Secure development environment </t>
  </si>
  <si>
    <t xml:space="preserve">Outsourced development </t>
  </si>
  <si>
    <t xml:space="preserve">System security testing </t>
  </si>
  <si>
    <t xml:space="preserve">System acceptance testing </t>
  </si>
  <si>
    <t xml:space="preserve">Test data </t>
  </si>
  <si>
    <t xml:space="preserve">Protection of test data </t>
  </si>
  <si>
    <t>Supplier relationships</t>
  </si>
  <si>
    <t xml:space="preserve">Information security in supplier relationships </t>
  </si>
  <si>
    <t xml:space="preserve">Information security policy for supplier relationships </t>
  </si>
  <si>
    <t xml:space="preserve">Addressing security within supplier agreements </t>
  </si>
  <si>
    <t xml:space="preserve">Information and communication technology supply chain </t>
  </si>
  <si>
    <t xml:space="preserve">Supplier service delivery management </t>
  </si>
  <si>
    <t xml:space="preserve">Monitoring and review of supplier services </t>
  </si>
  <si>
    <t xml:space="preserve">Managing changes to supplier services </t>
  </si>
  <si>
    <t>Information security incident management</t>
  </si>
  <si>
    <t xml:space="preserve">Management of information security incidents and improvements </t>
  </si>
  <si>
    <t xml:space="preserve">Responsibilities and procedures </t>
  </si>
  <si>
    <t xml:space="preserve">Reporting information security events </t>
  </si>
  <si>
    <t xml:space="preserve">Reporting information security weaknesses </t>
  </si>
  <si>
    <t xml:space="preserve">Assessment of and decision on information security events </t>
  </si>
  <si>
    <t xml:space="preserve">Response to information security incidents </t>
  </si>
  <si>
    <t xml:space="preserve">Learning from information security incidents </t>
  </si>
  <si>
    <t xml:space="preserve">Collection of evidence </t>
  </si>
  <si>
    <t>Information security aspects of business continuity management</t>
  </si>
  <si>
    <t xml:space="preserve">Information security continuity </t>
  </si>
  <si>
    <t xml:space="preserve">Planning information security continuity </t>
  </si>
  <si>
    <t xml:space="preserve">Implementing information security continuity </t>
  </si>
  <si>
    <t xml:space="preserve">Verify, review and evaluate information security continuity </t>
  </si>
  <si>
    <t xml:space="preserve">Redundancies </t>
  </si>
  <si>
    <t xml:space="preserve">Availability of information processing facilities </t>
  </si>
  <si>
    <t>Compliance</t>
  </si>
  <si>
    <t xml:space="preserve">Compliance with legal and contractual requirements </t>
  </si>
  <si>
    <t xml:space="preserve">Identification of applicable legislation and contractual requirements </t>
  </si>
  <si>
    <t xml:space="preserve">Intellectual property rights </t>
  </si>
  <si>
    <t xml:space="preserve">Protection of records </t>
  </si>
  <si>
    <t xml:space="preserve">Privacy and protection of personally identifiable information </t>
  </si>
  <si>
    <t xml:space="preserve">Regulation of cryptographic controls </t>
  </si>
  <si>
    <t xml:space="preserve">Information security reviews </t>
  </si>
  <si>
    <t xml:space="preserve">Independent review of information security </t>
  </si>
  <si>
    <t xml:space="preserve">Compliance with security policies and standards </t>
  </si>
  <si>
    <t xml:space="preserve">Technical compliance review </t>
  </si>
  <si>
    <t>Information security policies</t>
  </si>
  <si>
    <t xml:space="preserve">Management direction for information security </t>
  </si>
  <si>
    <t xml:space="preserve">Policies for information security </t>
  </si>
  <si>
    <t>Review of the policies for information security</t>
  </si>
  <si>
    <t xml:space="preserve">Review of the policies for information security </t>
  </si>
  <si>
    <t>Organization of information security</t>
  </si>
  <si>
    <t xml:space="preserve">Internal organization </t>
  </si>
  <si>
    <t xml:space="preserve">Information security roles and responsibilities </t>
  </si>
  <si>
    <t xml:space="preserve">Segregation of duties </t>
  </si>
  <si>
    <t xml:space="preserve">Contact with authorities </t>
  </si>
  <si>
    <t xml:space="preserve">Contact with special interest groups </t>
  </si>
  <si>
    <t xml:space="preserve">Information security in project management </t>
  </si>
  <si>
    <t xml:space="preserve">Mobile devices and teleworking </t>
  </si>
  <si>
    <t xml:space="preserve">Mobile device policy </t>
  </si>
  <si>
    <t xml:space="preserve">Teleworking </t>
  </si>
  <si>
    <t>Human resource security</t>
  </si>
  <si>
    <t xml:space="preserve">Prior to employment </t>
  </si>
  <si>
    <t xml:space="preserve">Screening </t>
  </si>
  <si>
    <t xml:space="preserve">Terms and conditions of employment </t>
  </si>
  <si>
    <t xml:space="preserve">During employment </t>
  </si>
  <si>
    <t xml:space="preserve">Management responsibilities </t>
  </si>
  <si>
    <t xml:space="preserve">Information security awareness, education and training </t>
  </si>
  <si>
    <t xml:space="preserve">Disciplinary process </t>
  </si>
  <si>
    <t xml:space="preserve">Termination and change of employment </t>
  </si>
  <si>
    <t xml:space="preserve">Termination or change of employment responsibilities </t>
  </si>
  <si>
    <t>Asset management</t>
  </si>
  <si>
    <t xml:space="preserve">Responsibility for assets </t>
  </si>
  <si>
    <t xml:space="preserve">Inventory of assets </t>
  </si>
  <si>
    <t xml:space="preserve">Ownership of assets </t>
  </si>
  <si>
    <t xml:space="preserve">Acceptable use of assets </t>
  </si>
  <si>
    <t xml:space="preserve">Return of assets </t>
  </si>
  <si>
    <t xml:space="preserve">Information classification </t>
  </si>
  <si>
    <t xml:space="preserve">Classification of information </t>
  </si>
  <si>
    <t xml:space="preserve">Labelling of information </t>
  </si>
  <si>
    <t xml:space="preserve">Handling of assets </t>
  </si>
  <si>
    <t xml:space="preserve">Media handling </t>
  </si>
  <si>
    <t xml:space="preserve">Management of removable media </t>
  </si>
  <si>
    <t xml:space="preserve">Disposal of media </t>
  </si>
  <si>
    <t xml:space="preserve">Physical media transfer </t>
  </si>
  <si>
    <t>Access control</t>
  </si>
  <si>
    <t xml:space="preserve">Business requirements of access control </t>
  </si>
  <si>
    <t xml:space="preserve">Access control policy </t>
  </si>
  <si>
    <t xml:space="preserve">Access to networks and network services </t>
  </si>
  <si>
    <t xml:space="preserve">User access management </t>
  </si>
  <si>
    <t>User registration and de</t>
  </si>
  <si>
    <t xml:space="preserve">User access provisioning </t>
  </si>
  <si>
    <t xml:space="preserve">Management of privileged access rights </t>
  </si>
  <si>
    <t xml:space="preserve">Management of secret authentication information of users </t>
  </si>
  <si>
    <t xml:space="preserve">Review of user access rights </t>
  </si>
  <si>
    <t xml:space="preserve">Removal or adjustment of access rights </t>
  </si>
  <si>
    <t xml:space="preserve">User responsibilities </t>
  </si>
  <si>
    <t xml:space="preserve">Use of secret authentication information </t>
  </si>
  <si>
    <t xml:space="preserve">System and application access control </t>
  </si>
  <si>
    <t xml:space="preserve">Information access restriction </t>
  </si>
  <si>
    <t>Secure log</t>
  </si>
  <si>
    <t xml:space="preserve">Password management system </t>
  </si>
  <si>
    <t xml:space="preserve">Use of privileged utility programs </t>
  </si>
  <si>
    <t xml:space="preserve">Access control to program source code </t>
  </si>
  <si>
    <t>NIST SP 800-53 Rev. 4</t>
  </si>
  <si>
    <t>AC-1</t>
  </si>
  <si>
    <t>ACCESS CONTROL POLICY AND PROCEDURES</t>
  </si>
  <si>
    <t>AC-10</t>
  </si>
  <si>
    <t>CONCURRENT SESSION CONTROL</t>
  </si>
  <si>
    <t>AC-11</t>
  </si>
  <si>
    <t>SESSION LOCK</t>
  </si>
  <si>
    <t>AC-11(1)</t>
  </si>
  <si>
    <t>SESSION LOCK | PATTERN-HIDING DISPLAYS</t>
  </si>
  <si>
    <t>AC-12</t>
  </si>
  <si>
    <t>SESSION TERMINATION</t>
  </si>
  <si>
    <t>AC-12(1)</t>
  </si>
  <si>
    <t>SESSION TERMINATION | USER-INITIATED LOGOUTS/MESSAGE DISPLAYS</t>
  </si>
  <si>
    <t>AC-14</t>
  </si>
  <si>
    <t>PERMITTED ACTIONS WITHOUT IDENTIFICATION OR AUTHENTICATION</t>
  </si>
  <si>
    <t>AC-16</t>
  </si>
  <si>
    <t>SECURITY ATTRIBUTES</t>
  </si>
  <si>
    <t>AC-16(1)</t>
  </si>
  <si>
    <t>SECURITY ATTRIBUTES | DYNAMIC ATTRIBUTE ASSOCIATION</t>
  </si>
  <si>
    <t>AC-16(10)</t>
  </si>
  <si>
    <t>SECURITY ATTRIBUTES | ATTRIBUTE CONFIGURATION BY AUTHORIZED INDIVIDUALS</t>
  </si>
  <si>
    <t>AC-16(2)</t>
  </si>
  <si>
    <t>SECURITY ATTRIBUTES | ATTRIBUTE VALUE CHANGES BY AUTHORIZED INDIVIDUALS</t>
  </si>
  <si>
    <t>AC-16(3)</t>
  </si>
  <si>
    <t>SECURITY ATTRIBUTES | MAINTENANCE OF ATTRIBUTE ASSOCIATIONS BY INFORMATION SYSTEM</t>
  </si>
  <si>
    <t>AC-16(4)</t>
  </si>
  <si>
    <t>SECURITY ATTRIBUTES | ASSOCIATION OF ATTRIBUTES BY AUTHORIZED INDIVIDUALS</t>
  </si>
  <si>
    <t>AC-16(6)</t>
  </si>
  <si>
    <t>SECURITY ATTRIBUTES | MAINTENANCE OF ATTRIBUTE ASSOCIATION BY ORGANIZATION</t>
  </si>
  <si>
    <t>AC-16(7)</t>
  </si>
  <si>
    <t>SECURITY ATTRIBUTES | CONSISTENT ATTRIBUTE INTERPRETATION</t>
  </si>
  <si>
    <t>AC-16(8)</t>
  </si>
  <si>
    <t>SECURITY ATTRIBUTES | ASSOCIATION TECHNIQUES/TECHNOLOGIES</t>
  </si>
  <si>
    <t>AC-16(9)</t>
  </si>
  <si>
    <t>SECURITY ATTRIBUTES | ATTRIBUTE REASSIGNMENT</t>
  </si>
  <si>
    <t>AC-17</t>
  </si>
  <si>
    <t>REMOTE ACCESS</t>
  </si>
  <si>
    <t>AC-17(1)</t>
  </si>
  <si>
    <t>REMOTE ACCESS | AUTOMATED MONITORING/CONTROL</t>
  </si>
  <si>
    <t>AC-17(2)</t>
  </si>
  <si>
    <t>REMOTE ACCESS | PROTECTION OF CONFIDENTIALITY/INTEGRITY USING ENCRYPTION</t>
  </si>
  <si>
    <t>AC-17(3)</t>
  </si>
  <si>
    <t>REMOTE ACCESS | MANAGED ACCESS CONTROL POINTS</t>
  </si>
  <si>
    <t>AC-17(4)</t>
  </si>
  <si>
    <t>REMOTE ACCESS | PRIVILEGED COMMANDS / ACCESS</t>
  </si>
  <si>
    <t>AC-17(6)</t>
  </si>
  <si>
    <t>REMOTE ACCESS | PROTECTION OF INFORMATION</t>
  </si>
  <si>
    <t>AC-17(9)</t>
  </si>
  <si>
    <t>REMOTE ACCESS | DISCONNECT/DISABLE ACCESS</t>
  </si>
  <si>
    <t>AC-18</t>
  </si>
  <si>
    <t>WIRELESS ACCESS</t>
  </si>
  <si>
    <t>AC-18(1)</t>
  </si>
  <si>
    <t>WIRELESS ACCESS | AUTHENTICATION AND ENCRYPTION</t>
  </si>
  <si>
    <t>AC-18(3)</t>
  </si>
  <si>
    <t>WIRELESS ACCESS | DISABLE WIRELESS NETWORKING</t>
  </si>
  <si>
    <t>AC-18(4)</t>
  </si>
  <si>
    <t>WIRELESS ACCESS | RESTRICT CONFIGURATIONS BY USERS</t>
  </si>
  <si>
    <t>AC-18(5)</t>
  </si>
  <si>
    <t>WIRELESS ACCESS | ANTENNAS/TRANSMISSION POWER LEVELS</t>
  </si>
  <si>
    <t>AC-19</t>
  </si>
  <si>
    <t>ACCESS CONTROL FOR MOBILE DEVICES</t>
  </si>
  <si>
    <t>AC-19(4)</t>
  </si>
  <si>
    <t>ACCESS CONTROL FOR MOBILE DEVICES | RESTRICTIONS FOR CLASSIFIED INFORMATION</t>
  </si>
  <si>
    <t>AC-19(5)</t>
  </si>
  <si>
    <t>ACCESS CONTROL FOR MOBILE DEVICES | FULL DEVICE / CONTAINER-BASED ENCRYPTION</t>
  </si>
  <si>
    <t>AC-2</t>
  </si>
  <si>
    <t>ACCOUNT MANAGEMENT</t>
  </si>
  <si>
    <t>AC-2(1)</t>
  </si>
  <si>
    <t>ACCOUNT MANAGEMENT | AUTOMATED SYSTEM ACCOUNT MANAGEMENT</t>
  </si>
  <si>
    <t>AC-2(10)</t>
  </si>
  <si>
    <t>ACCOUNT MANAGEMENT | SHARED / GROUP ACCOUNT CREDENTIAL TERMINATION</t>
  </si>
  <si>
    <t>AC-2(11)</t>
  </si>
  <si>
    <t>ACCOUNT MANAGEMENT | USAGE CONDITIONS</t>
  </si>
  <si>
    <t>AC-2(12)</t>
  </si>
  <si>
    <t>ACCOUNT MANAGEMENT | ACCOUNT MONITORING / ATYPICAL USAGE</t>
  </si>
  <si>
    <t>AC-2(13)</t>
  </si>
  <si>
    <t>ACCOUNT MANAGEMENT | DISABLE ACCOUNTS FOR HIGH-RISK INDIVIDUALS</t>
  </si>
  <si>
    <t>AC-2(3)</t>
  </si>
  <si>
    <t>ACCOUNT MANAGEMENT | REMOVAL OF TEMPORARY/EMERGENCY ACCOUNTS</t>
  </si>
  <si>
    <t>AC-2(4)</t>
  </si>
  <si>
    <t>ACCOUNT MANAGEMENT | AUTOMATED AUDIT ACTIONS</t>
  </si>
  <si>
    <t>AC-2(5)</t>
  </si>
  <si>
    <t>ACCOUNT MANAGEMENT | INACTIVITY LOGOUT</t>
  </si>
  <si>
    <t>AC-2(6)</t>
  </si>
  <si>
    <t>ACCOUNT MANAGEMENT | DYNAMIC PRIVILEGE MANAGEMENT</t>
  </si>
  <si>
    <t>AC-2(7)</t>
  </si>
  <si>
    <t>ACCOUNT MANAGEMENT | ROLE-BASED SCHEMES</t>
  </si>
  <si>
    <t>AC-2(8)</t>
  </si>
  <si>
    <t>ACCOUNT MANAGEMENT | DYNAMIC ACCOUNT CREATION</t>
  </si>
  <si>
    <t>AC-2(9)</t>
  </si>
  <si>
    <t>ACCOUNT MANAGEMENT | RESTRICTIONS ON USE OF SHARED / GROUP ACCOUNTS</t>
  </si>
  <si>
    <t>AC-20</t>
  </si>
  <si>
    <t>USE OF EXTERNAL INFORMATION SYSTEMS</t>
  </si>
  <si>
    <t>AC-20(1)</t>
  </si>
  <si>
    <t>USE OF EXTERNAL INFORMATION SYSTEMS | LIMITS ON AUTHORIZED USE</t>
  </si>
  <si>
    <t>AC-20(2)</t>
  </si>
  <si>
    <t>USE OF EXTERNAL INFORMATION SYSTEMS | PORTABLE STORAGE DEVICES</t>
  </si>
  <si>
    <t>AC-20(3)</t>
  </si>
  <si>
    <t>USE OF EXTERNAL INFORMATION SYSTEMS |NON-ORGANIZATIONALLY OWNED SYSTEMS / COMPONENTS / DEVICES</t>
  </si>
  <si>
    <t>AC-20(4)</t>
  </si>
  <si>
    <t>USE OF EXTERNAL INFORMATION SYSTEMS | NETWORK ACCESSIBLE STORAGE DEVICES</t>
  </si>
  <si>
    <t>AC-21</t>
  </si>
  <si>
    <t>INFORMATION SHARING</t>
  </si>
  <si>
    <t>AC-21(1)</t>
  </si>
  <si>
    <t>INFORMATION SHARING | AUTOMATED DECISION SUPPORT</t>
  </si>
  <si>
    <t>AC-21(2)</t>
  </si>
  <si>
    <t>INFORMATION SHARING | INFORMATION SEARCH AND RETRIEVAL</t>
  </si>
  <si>
    <t>AC-22</t>
  </si>
  <si>
    <t>PUBLICLY ACCESSIBLE CONTENT</t>
  </si>
  <si>
    <t>AC-23</t>
  </si>
  <si>
    <t>DATA MINING PROTECTION</t>
  </si>
  <si>
    <t>AC-24</t>
  </si>
  <si>
    <t>ACCESS CONTROL DECISIONS</t>
  </si>
  <si>
    <t>AC-24(1)</t>
  </si>
  <si>
    <t>ACCESS CONTROL DECISIONS | TRANSMIT ACCESS AUTHORIZATION INFORMATION</t>
  </si>
  <si>
    <t>AC-24(2)</t>
  </si>
  <si>
    <t>ACCESS CONTROL DECISIONS | NO USER OR PROCESS IDENTITY</t>
  </si>
  <si>
    <t>AC-25</t>
  </si>
  <si>
    <t>REFERENCE MONITOR</t>
  </si>
  <si>
    <t>AC-3</t>
  </si>
  <si>
    <t>ACCESS ENFORCEMENT</t>
  </si>
  <si>
    <t>AC-3(10)</t>
  </si>
  <si>
    <t>ACCESS ENFORCEMENT | AUDITED OVERRIDE OF ACCESS CONTROL MECHANISMS</t>
  </si>
  <si>
    <t>AC-3(2)</t>
  </si>
  <si>
    <t>ACCESS ENFORCEMENT | DUAL AUTHORIZATION</t>
  </si>
  <si>
    <t>AC-3(3)</t>
  </si>
  <si>
    <t>ACCESS ENFORCEMENT | MANDATORY ACCESS CONTROL</t>
  </si>
  <si>
    <t>AC-3(4)</t>
  </si>
  <si>
    <t>ACCESS ENFORCEMENT | DISCRETIONARY ACCESS CONTROL</t>
  </si>
  <si>
    <t>AC-3(5)</t>
  </si>
  <si>
    <t>ACCESS ENFORCEMENT | SECURITY-RELEVANT INFORMATION</t>
  </si>
  <si>
    <t>AC-3(7)</t>
  </si>
  <si>
    <t>ACCESS ENFORCEMENT | ROLE-BASED ACCESS CONTROL</t>
  </si>
  <si>
    <t>AC-3(8)</t>
  </si>
  <si>
    <t>ACCESS ENFORCEMENT | REVOCATION OF ACCESS AUTHORIZATIONS</t>
  </si>
  <si>
    <t>AC-3(9)</t>
  </si>
  <si>
    <t>ACCESS ENFORCEMENT | CONTROLLED RELEASE</t>
  </si>
  <si>
    <t>AC-4</t>
  </si>
  <si>
    <t>INFORMATION FLOW ENFORCEMENT</t>
  </si>
  <si>
    <t>AC-4(1)</t>
  </si>
  <si>
    <t>INFORMATION FLOW ENFORCEMENT | OBJECT SECURITY ATTRIBUTES</t>
  </si>
  <si>
    <t>AC-4(10)</t>
  </si>
  <si>
    <t>INFORMATION FLOW ENFORCEMENT | ENABLE / DISABLE SECURITY POLICY FILTERS</t>
  </si>
  <si>
    <t>AC-4(11)</t>
  </si>
  <si>
    <t>INFORMATION FLOW ENFORCEMENT | CONFIGURATION OF SECURITY POLICY FILTERS</t>
  </si>
  <si>
    <t>AC-4(12)</t>
  </si>
  <si>
    <t>INFORMATION FLOW ENFORCEMENT | DATA TYPE IDENTIFIERS</t>
  </si>
  <si>
    <t>AC-4(13)</t>
  </si>
  <si>
    <t>INFORMATION FLOW ENFORCEMENT | DECOMPOSITION INTO POLICY-RELEVANT SUBCOMPONENTS</t>
  </si>
  <si>
    <t>AC-4(14)</t>
  </si>
  <si>
    <t>INFORMATION FLOW ENFORCEMENT | SECURITY POLICY FILTER CONSTRAINTS</t>
  </si>
  <si>
    <t>AC-4(15)</t>
  </si>
  <si>
    <t>INFORMATION FLOW ENFORCEMENT | DETECTION OF UNSANCTIONED INFORMATION</t>
  </si>
  <si>
    <t>AC-4(17)</t>
  </si>
  <si>
    <t>INFORMATION FLOW ENFORCEMENT | DOMAIN AUTHENTICATION</t>
  </si>
  <si>
    <t>AC-4(18)</t>
  </si>
  <si>
    <t>INFORMATION FLOW ENFORCEMENT | SECURITY ATTRIBUTE BINDING</t>
  </si>
  <si>
    <t>AC-4(19)</t>
  </si>
  <si>
    <t xml:space="preserve">INFORMATION FLOW ENFORCEMENT  |  VALIDATION OF METADATA </t>
  </si>
  <si>
    <t>AC-4(2)</t>
  </si>
  <si>
    <t>INFORMATION FLOW ENFORCEMENT | PROCESSING DOMAINS</t>
  </si>
  <si>
    <t>AC-4(20)</t>
  </si>
  <si>
    <t>INFORMATION FLOW ENFORCEMENT | APPROVED SOLUTIONS</t>
  </si>
  <si>
    <t>AC-4(21)</t>
  </si>
  <si>
    <t>INFORMATION FLOW ENFORCEMENT | PHYSICAL / LOGICAL SEPARATION OF INFORMATION FLOWS</t>
  </si>
  <si>
    <t>AC-4(22)</t>
  </si>
  <si>
    <t>INFORMATION FLOW ENFORCEMENT | ACCESS ONLY</t>
  </si>
  <si>
    <t>AC-4(3)</t>
  </si>
  <si>
    <t>INFORMATION FLOW ENFORCEMENT | DYNAMIC INFORMATION FLOW CONTROL</t>
  </si>
  <si>
    <t>AC-4(4)</t>
  </si>
  <si>
    <t>INFORMATION FLOW ENFORCEMENT | CONTENT CHECK ENCRYPTED INFORMATION</t>
  </si>
  <si>
    <t>AC-4(5)</t>
  </si>
  <si>
    <t>INFORMATION FLOW ENFORCEMENT | EMBEDDED DATA TYPES</t>
  </si>
  <si>
    <t>AC-4(6)</t>
  </si>
  <si>
    <t>INFORMATION FLOW ENFORCEMENT | METADATA</t>
  </si>
  <si>
    <t>AC-4(7)</t>
  </si>
  <si>
    <t>INFORMATION FLOW ENFORCEMENT | ONE-WAY FLOW MECHANISMS</t>
  </si>
  <si>
    <t>AC-4(8)</t>
  </si>
  <si>
    <t>INFORMATION FLOW ENFORCEMENT | SECURITY POLICY FILTERS</t>
  </si>
  <si>
    <t>AC-4(9)</t>
  </si>
  <si>
    <t>INFORMATION FLOW ENFORCEMENT | HUMAN REVIEWS</t>
  </si>
  <si>
    <t>AC-5</t>
  </si>
  <si>
    <t>SEPARATION OF DUTIES</t>
  </si>
  <si>
    <t>AC-6</t>
  </si>
  <si>
    <t>LEAST PRIVILEGE</t>
  </si>
  <si>
    <t>AC-6(1)</t>
  </si>
  <si>
    <t>LEAST PRIVILEGE | AUTHORIZE ACCESS TO SECURITY FUNCTIONS</t>
  </si>
  <si>
    <t>AC-6(10)</t>
  </si>
  <si>
    <t>LEAST PRIVILEGE | PROHIBIT NON-PRIVILEGED USERS FROM EXECUTING PRIVILEGED FUNCTIONS</t>
  </si>
  <si>
    <t>AC-6(2)</t>
  </si>
  <si>
    <t>LEAST PRIVILEGE | NON-PRIVILEGED ACCESS FOR NONSECURITY FUNCTIONS</t>
  </si>
  <si>
    <t>AC-6(3)</t>
  </si>
  <si>
    <t>LEAST PRIVILEGE | NETWORK ACCESS TO PRIVILEGED COMMANDS</t>
  </si>
  <si>
    <t>AC-6(4)</t>
  </si>
  <si>
    <t>LEAST PRIVILEGE | SEPARATE PROCESSING DOMAINS</t>
  </si>
  <si>
    <t>AC-6(5)</t>
  </si>
  <si>
    <t>LEAST PRIVILEGE | PRIVILEGED ACCOUNTS</t>
  </si>
  <si>
    <t>AC-6(6)</t>
  </si>
  <si>
    <t>LEAST PRIVILEGE | PRIVILEGED ACCESS BY NON-ORGANIZATIONAL USERS</t>
  </si>
  <si>
    <t>AC-6(7)</t>
  </si>
  <si>
    <t>LEAST PRIVILEGE | REVIEW OF USER PRIVILEGES</t>
  </si>
  <si>
    <t>AC-6(8)</t>
  </si>
  <si>
    <t>LEAST PRIVILEGE | PRIVILEGE LEVELS FOR CODE EXECUTION</t>
  </si>
  <si>
    <t>AC-6(9)</t>
  </si>
  <si>
    <t>LEAST PRIVILEGE | AUDITING USE OF PRIVILEGED FUNCTIONS</t>
  </si>
  <si>
    <t>AC-7</t>
  </si>
  <si>
    <t>UNSUCCESSFUL LOGIN ATTEMPTS</t>
  </si>
  <si>
    <t>AC-7(2)</t>
  </si>
  <si>
    <t>UNSUCCESSFUL LOGON ATTEMPTS | PURGE / WIPE MOBILE DEVICE</t>
  </si>
  <si>
    <t>AC-8</t>
  </si>
  <si>
    <t>SYSTEM USE NOTIFICATION</t>
  </si>
  <si>
    <t>AC-9</t>
  </si>
  <si>
    <t>PREVIOUS LOGON (ACCESS) NOTIFICATION</t>
  </si>
  <si>
    <t>AC-9(1)</t>
  </si>
  <si>
    <t>PREVIOUS LOGON NOTIFICATION | UNSUCCESSFUL LOGONS</t>
  </si>
  <si>
    <t>AC-9(2)</t>
  </si>
  <si>
    <t>PREVIOUS LOGON NOTIFICATION | SUCCESSFUL / UNSUCCESSFUL LOGONS</t>
  </si>
  <si>
    <t>AC-9(3)</t>
  </si>
  <si>
    <t>PREVIOUS LOGON NOTIFICATION | NOTIFICATION OF ACCOUNT CHANGES</t>
  </si>
  <si>
    <t>AC-9(4)</t>
  </si>
  <si>
    <t>PREVIOUS LOGON NOTIFICATION | ADDITIONAL LOGON INFORMATION</t>
  </si>
  <si>
    <t>NIST SP 800-53 Rev. 4, Appendix J</t>
  </si>
  <si>
    <t>AP-1</t>
  </si>
  <si>
    <t>AUTHORITY TO COLLECT</t>
  </si>
  <si>
    <t>AP-2</t>
  </si>
  <si>
    <t>PURPOSE SPECIFICATION</t>
  </si>
  <si>
    <t>AR-1</t>
  </si>
  <si>
    <t>GOVERNANCE AND PRIVACY PROGRAM</t>
  </si>
  <si>
    <t>AR-2</t>
  </si>
  <si>
    <t>PRIVACY IMPACT AND RISK ASSESSMENT</t>
  </si>
  <si>
    <t>AR-3</t>
  </si>
  <si>
    <t>PRIVACY REQUIREMENTS FOR CONTRACTORS AND SERVICE PROVIDERS</t>
  </si>
  <si>
    <t>AR-4</t>
  </si>
  <si>
    <t>PRIVACY MONITORING AND AUDITING</t>
  </si>
  <si>
    <t>AR-5</t>
  </si>
  <si>
    <t>PRIVACY AWARENESS AND TRAINING</t>
  </si>
  <si>
    <t>AR-6</t>
  </si>
  <si>
    <t>PRIVACY REPORTING</t>
  </si>
  <si>
    <t>AR-7</t>
  </si>
  <si>
    <t>PRIVACY-ENHANCED SYSTEM DESIGN AND DEVELOPMENT</t>
  </si>
  <si>
    <t>AR-8</t>
  </si>
  <si>
    <t>ACCOUNTING OF DISCLOSURES</t>
  </si>
  <si>
    <t>AT-1</t>
  </si>
  <si>
    <t xml:space="preserve">SECURITY AWARENESS AND TRAINING </t>
  </si>
  <si>
    <t>AT-2</t>
  </si>
  <si>
    <t>SECURITY AWARENESS TRAINING</t>
  </si>
  <si>
    <t>AT-2(1)</t>
  </si>
  <si>
    <t>SECURITY AWARENESS TRAINING | PRACTICAL EXERCISE</t>
  </si>
  <si>
    <t>AT-2(2)</t>
  </si>
  <si>
    <t>SECURITY AWARENESS TRAINING | INSIDER THREAT</t>
  </si>
  <si>
    <t>AT-3</t>
  </si>
  <si>
    <t>ROLE-BASED SECURITY TRAINING</t>
  </si>
  <si>
    <t>AT-3(1)</t>
  </si>
  <si>
    <t>ROLE-BASED SECURITY TRAINING | ENVIRONMENTAL CONTROLS</t>
  </si>
  <si>
    <t>AT-3(2)</t>
  </si>
  <si>
    <t>ROLE-BASED SECURITY TRAINING | PHYSICAL SECURITY CONTROLS</t>
  </si>
  <si>
    <t>AT-3(3)</t>
  </si>
  <si>
    <t>ROLE-BASED SECURITY TRAINING | PRACTICAL EXERCISES</t>
  </si>
  <si>
    <t>AT-3(4)</t>
  </si>
  <si>
    <t>ROLE-BASED SECURITY TRAINING |SUSPICIOUS COMMUNICATIONS AND ANOMALOUS SYSTEM BEHAVIOR</t>
  </si>
  <si>
    <t>AT-4</t>
  </si>
  <si>
    <t>SECURITY TRAINING RECORDS</t>
  </si>
  <si>
    <t>AU-1</t>
  </si>
  <si>
    <t>AUDIT AND ACCOUNTABILITY POLICY AND PROCEDURES</t>
  </si>
  <si>
    <t>AU-10</t>
  </si>
  <si>
    <t>NON-REPUDIATION</t>
  </si>
  <si>
    <t>AU-10(1)</t>
  </si>
  <si>
    <t>NON-REPUDIATION | ASSOCIATION OF IDENTITIES</t>
  </si>
  <si>
    <t>AU-10(2)</t>
  </si>
  <si>
    <t>NON-REPUDIATION | VALIDATE BINDING OF INFORMATION PRODUCER IDENTITY</t>
  </si>
  <si>
    <t>AU-10(3)</t>
  </si>
  <si>
    <t>NON-REPUDIATION | CHAIN OF CUSTODY</t>
  </si>
  <si>
    <t>AU-10(4)</t>
  </si>
  <si>
    <t>NON-REPUDIATION | VALIDATE BINDING OF INFORMATION REVIEWER IDENTITY</t>
  </si>
  <si>
    <t>AU-11</t>
  </si>
  <si>
    <t>AUDIT RECORD RETENTION</t>
  </si>
  <si>
    <t>AU-11(1)</t>
  </si>
  <si>
    <t>AUDIT RECORD RETENTION | LONG-TERM RETRIEVAL CAPABILITY</t>
  </si>
  <si>
    <t>AU-12</t>
  </si>
  <si>
    <t>AUDIT GENERATION</t>
  </si>
  <si>
    <t>AU-12(1)</t>
  </si>
  <si>
    <t>AUDIT GENERATION | SYSTEM-WIDE / TIME-CORRELATED AUDIT TRAIL</t>
  </si>
  <si>
    <t>AU-12(2)</t>
  </si>
  <si>
    <t>AUDIT GENERATION | STANDARDIZED FORMATS</t>
  </si>
  <si>
    <t>AU-12(3)</t>
  </si>
  <si>
    <t>AUDIT GENERATION | CHANGES BY AUTHORIZED INDIVIDUALS</t>
  </si>
  <si>
    <t>AU-13</t>
  </si>
  <si>
    <t>MONITORING FOR INFORMATION DISCLOSURE</t>
  </si>
  <si>
    <t>AU-13(1)</t>
  </si>
  <si>
    <t>MONITORING FOR INFORMATION DISCLOSURE | USE OF AUTOMATED TOOLS</t>
  </si>
  <si>
    <t>AU-13(2)</t>
  </si>
  <si>
    <t>MONITORING FOR INFORMATION DISCLOSURE | REVIEW OF MONITORED SITES</t>
  </si>
  <si>
    <t>AU-14</t>
  </si>
  <si>
    <t>SESSION AUDIT</t>
  </si>
  <si>
    <t>AU-14(1)</t>
  </si>
  <si>
    <t>SESSION AUDIT | SYSTEM START-UP</t>
  </si>
  <si>
    <t>AU-14(2)</t>
  </si>
  <si>
    <t>SESSION AUDIT | CAPTURE / RECORD AND LOG CONTENT</t>
  </si>
  <si>
    <t>AU-14(3)</t>
  </si>
  <si>
    <t>SESSION AUDIT | REMOTE VIEWING / LISTENING</t>
  </si>
  <si>
    <t>AU-15</t>
  </si>
  <si>
    <t>ALTERNATE AUDIT CAPABILITY</t>
  </si>
  <si>
    <t>AU-16</t>
  </si>
  <si>
    <t>CROSS-ORGANIZATIONAL AUDITING</t>
  </si>
  <si>
    <t>AU-16(1)</t>
  </si>
  <si>
    <t>CROSS-ORGANIZATIONAL AUDITING | IDENTITY PRESERVATION</t>
  </si>
  <si>
    <t>AU-16(2)</t>
  </si>
  <si>
    <t>CROSS-ORGANIZATIONAL AUDITING | SHARING OF AUDIT INFORMATION</t>
  </si>
  <si>
    <t>AU-2</t>
  </si>
  <si>
    <t>AUDIT EVENTS</t>
  </si>
  <si>
    <t>AU-2(3)</t>
  </si>
  <si>
    <t>AUDIT EVENTS | REVIEWS AND UPDATES</t>
  </si>
  <si>
    <t>AU-3</t>
  </si>
  <si>
    <t>CONTENT OF AUDIT RECORDS</t>
  </si>
  <si>
    <t>AU-3(1)</t>
  </si>
  <si>
    <t>CONTENT OF AUDIT RECORDS | ADDITIONAL AUDIT INFORMATION</t>
  </si>
  <si>
    <t>AU-3(2)</t>
  </si>
  <si>
    <t>CONTENT OF AUDIT RECORDS | CENTRALIZED MANAGEMENT OF PLANNED AUDIT RECORD CONTENT</t>
  </si>
  <si>
    <t>AU-4</t>
  </si>
  <si>
    <t>AUDIT STORAGE CAPACITY</t>
  </si>
  <si>
    <t>AU-4(1)</t>
  </si>
  <si>
    <t>AUDIT STORAGE CAPACITY | TRANSFER TO ALTERNATE STORAGE</t>
  </si>
  <si>
    <t>AU-5</t>
  </si>
  <si>
    <t>RESPONSE TO AUDIT PROCESSING FAILURES</t>
  </si>
  <si>
    <t>AU-5(1)</t>
  </si>
  <si>
    <t>RESPONSE TO AUDIT PROCESSING FAILURES | AUDIT STORAGE CAPACITY</t>
  </si>
  <si>
    <t>AU-5(2)</t>
  </si>
  <si>
    <t>RESPONSE TO AUDIT PROCESSING FAILURES | REAL-TIME ALERTS</t>
  </si>
  <si>
    <t>AU-5(3)</t>
  </si>
  <si>
    <t>RESPONSE TO AUDIT PROCESSING FAILURES | CONFIGURABLE TRAFFIC VOLUME THRESHOLDS</t>
  </si>
  <si>
    <t>AU-5(4)</t>
  </si>
  <si>
    <t>RESPONSE TO AUDIT PROCESSING FAILURES | SHUTDOWN ON FAILURE</t>
  </si>
  <si>
    <t>AU-6</t>
  </si>
  <si>
    <t>AUDIT REVIEW, ANALYSIS, AND REPORTING</t>
  </si>
  <si>
    <t>AU-6(1)</t>
  </si>
  <si>
    <t>AUDIT REVIEW, ANALYSIS, AND REPORTING | PROCESS INTEGRATION</t>
  </si>
  <si>
    <t>AU-6(10)</t>
  </si>
  <si>
    <t>AUDIT REVIEW, ANALYSIS, AND REPORTING | AUDIT LEVEL ADJUSTMENT</t>
  </si>
  <si>
    <t>AU-6(3)</t>
  </si>
  <si>
    <t>AUDIT REVIEW, ANALYSIS, AND REPORTING | CORRELATE AUDIT REPOSITORIES</t>
  </si>
  <si>
    <t>AU-6(5)</t>
  </si>
  <si>
    <t>AUDIT REVIEW, ANALYSIS, AND REPORTING | INTEGRATION/SCANNING AND MONITORING CAPABILITIES</t>
  </si>
  <si>
    <t>AU-6(6)</t>
  </si>
  <si>
    <t>AUDIT REVIEW, ANALYSIS, AND REPORTING | CORRELATION WITH PHYSICAL MONITORING</t>
  </si>
  <si>
    <t>AU-6(7)</t>
  </si>
  <si>
    <t>AUDIT REVIEW, ANALYSIS, AND REPORTING | PERMITTED ACTIONS</t>
  </si>
  <si>
    <t>AU-6(8)</t>
  </si>
  <si>
    <t>AUDIT REVIEW, ANALYSIS, AND REPORTING | FULL TEXT ANALYSIS OF PRIVILEGED COMMANDS</t>
  </si>
  <si>
    <t>AU-6(9)</t>
  </si>
  <si>
    <t>AUDIT REVIEW, ANALYSIS, AND REPORTING | CORRELATION WITH INFORMATION FROM NONTECHNICAL SOURCES</t>
  </si>
  <si>
    <t>AU-7</t>
  </si>
  <si>
    <t>AUDIT REDUCTION AND REPORT GENERATION</t>
  </si>
  <si>
    <t>AU-7(1)</t>
  </si>
  <si>
    <t>AUDIT REDUCTION AND REPORT GENERATION | AUTOMATIC PROCESSING</t>
  </si>
  <si>
    <t>AU-7(2)</t>
  </si>
  <si>
    <t>AUDIT REDUCTION AND REPORT GENERATION | AUTOMATIC SORT AND SEARCH</t>
  </si>
  <si>
    <t>AU-8</t>
  </si>
  <si>
    <t>TIME STAMPS</t>
  </si>
  <si>
    <t>AU-8(1)</t>
  </si>
  <si>
    <t>TIME STAMPS | SYNCHRONIZATION WITH AUTHORITATIVE TIME SOURCE</t>
  </si>
  <si>
    <t>AU-8(2)</t>
  </si>
  <si>
    <t>TIME STAMPS | SECONDARY AUTHORITATIVE TIME SOURCE</t>
  </si>
  <si>
    <t>AU-9</t>
  </si>
  <si>
    <t>PROTECTION OF AUDIT INFORMATION</t>
  </si>
  <si>
    <t>AU-9(1)</t>
  </si>
  <si>
    <t>PROTECTION OF AUDIT INFORMATION | HARDWARE WRITE-ONCE MEDIA</t>
  </si>
  <si>
    <t>AU-9(2)</t>
  </si>
  <si>
    <t>PROTECTION OF AUDIT INFORMATION | AUDIT BACKUP ON SEPARATE PHYSICAL SYSTEMS / COMPONENTS</t>
  </si>
  <si>
    <t>AU-9(3)</t>
  </si>
  <si>
    <t>PROTECTION OF AUDIT INFORMATION | CRYPTOGRAPHIC PROTECTION</t>
  </si>
  <si>
    <t>AU-9(4)</t>
  </si>
  <si>
    <t>PROTECTION OF AUDIT INFORMATION | ACCESS BY SUBSET OF PRIVILEGED USERS</t>
  </si>
  <si>
    <t>AU-9(5)</t>
  </si>
  <si>
    <t>PROTECTION OF AUDIT INFORMATION | DUAL AUTHORIZATION</t>
  </si>
  <si>
    <t>AU-9(6)</t>
  </si>
  <si>
    <t>PROTECTION OF AUDIT INFORMATION | READ ONLY ACCESS</t>
  </si>
  <si>
    <t>CA-1</t>
  </si>
  <si>
    <t>SECURITY ASSESSMENT AND AUTHORIZATION POLICY AND PROCEDURES</t>
  </si>
  <si>
    <t>CA-2</t>
  </si>
  <si>
    <t>SECURITY ASSESSMENTS</t>
  </si>
  <si>
    <t>CA-2(1)</t>
  </si>
  <si>
    <t>SECURITY ASSESSMENTS | INDEPENDENT ASSESSORS</t>
  </si>
  <si>
    <t>CA-2(2)</t>
  </si>
  <si>
    <t>SECURITY ASSESSMENTS | SPECIALIZED ASSESSMENTS</t>
  </si>
  <si>
    <t>CA-2(3)</t>
  </si>
  <si>
    <t>SECURITY ASSESSMENTS | EXTERNAL ORGANIZATIONS</t>
  </si>
  <si>
    <t>CA-3</t>
  </si>
  <si>
    <t>SYSTEM INTERCONNECTIONS</t>
  </si>
  <si>
    <t>CA-3(1)</t>
  </si>
  <si>
    <t>SYSTEM INTERCONNECTIONS | UNCLASSIFIED NATIONAL SECURITY SYSTEM CONNECTIONS</t>
  </si>
  <si>
    <t>CA-3(2)</t>
  </si>
  <si>
    <t>SYSTEM INTERCONNECTIONS | CLASSIFIED NATIONAL SECURITY SYSTEM CONNECTIONS</t>
  </si>
  <si>
    <t>CA-3(3)</t>
  </si>
  <si>
    <t>SYSTEM INTERCONNECTIONS | UNCLASSIFIED NON-NATIONAL SECURITY SYSTEM CONNECTIONS</t>
  </si>
  <si>
    <t>CA-3(4)</t>
  </si>
  <si>
    <t>SYSTEM INTERCONNECTIONS | CONNECTIONS TO PUBLIC NETWORKS</t>
  </si>
  <si>
    <t>CA-3(5)</t>
  </si>
  <si>
    <t>SYSTEM INTERCONNECTIONS | RESTRICTIONS ON EXTERNAL SYSTEM CONNECTIONS</t>
  </si>
  <si>
    <t>CA-5</t>
  </si>
  <si>
    <t>PLAN OF ACTION AND MILESTONES</t>
  </si>
  <si>
    <t>CA-5(1)</t>
  </si>
  <si>
    <t>PLAN OF ACTION AND MILESTONES | AUTOMATION SUPPORT FOR ACCURACY / CURRENCY</t>
  </si>
  <si>
    <t>CA-6</t>
  </si>
  <si>
    <t>SECURITY AUTHORIZATION</t>
  </si>
  <si>
    <t>CA-7</t>
  </si>
  <si>
    <t>CONTINUOUS MONITORING</t>
  </si>
  <si>
    <t>CA-7(1)</t>
  </si>
  <si>
    <t>CONTINUOUS MONITORING | INDEPENDENT ASSESSMENT</t>
  </si>
  <si>
    <t>CA-7(3)</t>
  </si>
  <si>
    <t>CONTINUOUS MONITORING | TREND ANALYSIS</t>
  </si>
  <si>
    <t>CA-8</t>
  </si>
  <si>
    <t>PENETRATION TESTING</t>
  </si>
  <si>
    <t>CA-8(1)</t>
  </si>
  <si>
    <t>PENETRATION TESTING | INDEPENDENT PENETRATION AGENT OR TEAM</t>
  </si>
  <si>
    <t>CA-8(2)</t>
  </si>
  <si>
    <t>PENETRATION TESTING | RED TEAM EXERCISES</t>
  </si>
  <si>
    <t>CA-9</t>
  </si>
  <si>
    <t>INTERNAL SYSTEM CONNECTIONS</t>
  </si>
  <si>
    <t>CA-9(1)</t>
  </si>
  <si>
    <t>INTERNAL SYSTEM CONNECTIONS | SECURITY COMPLIANCE CHECKS</t>
  </si>
  <si>
    <t>CM-1</t>
  </si>
  <si>
    <t>CONFIGURATION MANAGEMENT POLICY AND PROCEDURES</t>
  </si>
  <si>
    <t>CM-10</t>
  </si>
  <si>
    <t>SOFTWARE USAGE RESTRICTIONS</t>
  </si>
  <si>
    <t>CM-10(1)</t>
  </si>
  <si>
    <t>SOFTWARE USAGE RESTRICTIONS | OPEN SOURCE SOFTWARE</t>
  </si>
  <si>
    <t>CM-11</t>
  </si>
  <si>
    <t>USER-INSTALLED SOFTWARE</t>
  </si>
  <si>
    <t>CM-11(1)</t>
  </si>
  <si>
    <t>USER-INSTALLED SOFTWARE | ALERTS FOR UNAUTHORIZED INSTALLATIONS</t>
  </si>
  <si>
    <t>CM-11(2)</t>
  </si>
  <si>
    <t>USER-INSTALLED SOFTWARE | PROHIBIT INSTALLATION WITHOUT PRIVILEGED STATUS</t>
  </si>
  <si>
    <t>CM-2</t>
  </si>
  <si>
    <t>BASELINE CONFIGURATION</t>
  </si>
  <si>
    <t>CM-2(1)</t>
  </si>
  <si>
    <t>BASELINE CONFIGURATION | REVIEWS AND UPDATES</t>
  </si>
  <si>
    <t>CM-2(2)</t>
  </si>
  <si>
    <t>BASELINE CONFIGURATION | AUTOMATION SUPPORT FOR ACCURACY / CURRENCY</t>
  </si>
  <si>
    <t>CM-2(3)</t>
  </si>
  <si>
    <t>BASELINE CONFIGURATION | RETENTION OF PREVIOUS CONFIGURATIONS</t>
  </si>
  <si>
    <t>CM-2(6)</t>
  </si>
  <si>
    <t>BASELINE CONFIGURATION | DEVELOPMENT AND TEST ENVIRONMENTS</t>
  </si>
  <si>
    <t>CM-2(7)</t>
  </si>
  <si>
    <t>BASELINE CONFIGURATION | CONFIGURE SYSTEMS, COMPONENTS, OR DEVICES FOR HIGH-RISK AREAS</t>
  </si>
  <si>
    <t>CM-3</t>
  </si>
  <si>
    <t>CONFIGURATION CHANGE CONTROL</t>
  </si>
  <si>
    <t>CM-3(1)</t>
  </si>
  <si>
    <t>CONFIGURATION CHANGE CONTROL | AUTOMATED DOCUMENT / NOTIFICATION / PROHIBITION OF CHANGES</t>
  </si>
  <si>
    <t>CM-3(2)</t>
  </si>
  <si>
    <t>CONFIGURATION CHANGE CONTROL | TEST / VALIDATE / DOCUMENT CHANGES</t>
  </si>
  <si>
    <t>CM-3(3)</t>
  </si>
  <si>
    <t>CONFIGURATION CHANGE CONTROL | AUTOMATED CHANGE IMPLEMENTATION</t>
  </si>
  <si>
    <t>CM-3(4)</t>
  </si>
  <si>
    <t>CONFIGURATION CHANGE CONTROL | SECURITY REPRESENTATIVE</t>
  </si>
  <si>
    <t>CM-3(5)</t>
  </si>
  <si>
    <t>CONFIGURATION CHANGE CONTROL | AUTOMATED SECURITY RESPONSE</t>
  </si>
  <si>
    <t>CM-3(6)</t>
  </si>
  <si>
    <t>CONFIGURATION CHANGE CONTROL | CRYPTOGRAPHY MANAGEMENT</t>
  </si>
  <si>
    <t>CM-4</t>
  </si>
  <si>
    <t>SECURITY IMPACT ANALYSIS</t>
  </si>
  <si>
    <t>CM-4(1)</t>
  </si>
  <si>
    <t>SECURITY IMPACT ANALYSIS | SEPARATE TEST ENVIRONMENTS</t>
  </si>
  <si>
    <t>CM-4(2)</t>
  </si>
  <si>
    <t>SECURITY IMPACT ANALYSIS | VERIFICATION OF SECURITY FUNCTIONS</t>
  </si>
  <si>
    <t>CM-5</t>
  </si>
  <si>
    <t>ACCESS RESTRICTIONS FOR CHANGE</t>
  </si>
  <si>
    <t>CM-5(1)</t>
  </si>
  <si>
    <t>ACCESS RESTRICTIONS FOR CHANGE | AUTOMATED ACCESS ENFORCEMENT / AUDITING</t>
  </si>
  <si>
    <t>CM-5(2)</t>
  </si>
  <si>
    <t>ACCESS RESTRICTIONS FOR CHANGE | REVIEW SYSTEM CHANGES</t>
  </si>
  <si>
    <t>CM-5(3)</t>
  </si>
  <si>
    <t>ACCESS RESTRICTIONS FOR CHANGE | SIGNED COMPONENTS</t>
  </si>
  <si>
    <t>CM-5(4)</t>
  </si>
  <si>
    <t>ACCESS RESTRICTIONS FOR CHANGE | DUAL AUTHORIZATION</t>
  </si>
  <si>
    <t>CM-5(5)</t>
  </si>
  <si>
    <t>ACCESS RESTRICTIONS FOR CHANGE | LIMIT PRODUCTION / OPERATIONAL PRIVILEGES</t>
  </si>
  <si>
    <t>CM-5(6)</t>
  </si>
  <si>
    <t>ACCESS RESTRICTIONS FOR CHANGE | LIMIT LIBRARY PRIVILEGES</t>
  </si>
  <si>
    <t>CM-6</t>
  </si>
  <si>
    <t>CONFIGURATION SETTINGS</t>
  </si>
  <si>
    <t>CM-6(1)</t>
  </si>
  <si>
    <t>CONFIGURATION SETTINGS | AUTOMATED CENTRAL MANAGEMENT / APPLICATION / VERIFICATION</t>
  </si>
  <si>
    <t>CM-6(2)</t>
  </si>
  <si>
    <t>CONFIGURATION SETTINGS | RESPOND TO UNAUTHORIZED CHANGES</t>
  </si>
  <si>
    <t>CM-7</t>
  </si>
  <si>
    <t>LEAST FUNCTIONALITY</t>
  </si>
  <si>
    <t>CM-7(1)</t>
  </si>
  <si>
    <t>LEAST FUNCTIONALITY | PERIODIC REVIEW</t>
  </si>
  <si>
    <t>CM-7(2)</t>
  </si>
  <si>
    <t>LEAST FUNCTIONALITY | PREVENT PROGRAM EXECUTION</t>
  </si>
  <si>
    <t>CM-7(3)</t>
  </si>
  <si>
    <t>LEAST FUNCTIONALITY | REGISTRATION COMPLIANCE</t>
  </si>
  <si>
    <t>CM-7(4)</t>
  </si>
  <si>
    <t>LEAST FUNCTIONALITY | UNAUTHORIZED SOFTWARE (BLACKLISTING)</t>
  </si>
  <si>
    <t>CM-7(5)</t>
  </si>
  <si>
    <t>LEAST FUNCTIONALITY | AUTHORIZED SOFTWARE (WHITELISTING)</t>
  </si>
  <si>
    <t>CM-8</t>
  </si>
  <si>
    <t>INFORMATION SYSTEM COMPONENT INVENTORY</t>
  </si>
  <si>
    <t>CM-8(1)</t>
  </si>
  <si>
    <t>INFORMATION SYSTEM COMPONENT INVENTORY | UPDATES DURING INSTALLATIONS / REMOVALS</t>
  </si>
  <si>
    <t>CM-8(2)</t>
  </si>
  <si>
    <t>INFORMATION SYSTEM COMPONENT INVENTORY | AUTOMATED MAINTENANCE</t>
  </si>
  <si>
    <t>CM-8(3)</t>
  </si>
  <si>
    <t>INFORMATION SYSTEM COMPONENT INVENTORY | AUTOMATED UNAUTHORIZED COMPONENT DETECTION</t>
  </si>
  <si>
    <t>CM-8(4)</t>
  </si>
  <si>
    <t>INFORMATION SYSTEM COMPONENT INVENTORY | ACCOUNTABILITY INFORMATION</t>
  </si>
  <si>
    <t>CM-8(5)</t>
  </si>
  <si>
    <t>INFORMATION SYSTEM COMPONENT INVENTORY | NO DUPLICATE ACCOUNTING OF COMPONENTS</t>
  </si>
  <si>
    <t>CM-8(6)</t>
  </si>
  <si>
    <t>INFORMATION SYSTEM COMPONENT INVENTORY | ASSESSED CONFIGURATIONS / APPROVED DEVIATIONS</t>
  </si>
  <si>
    <t>CM-8(7)</t>
  </si>
  <si>
    <t>INFORMATION SYSTEM COMPONENT INVENTORY | CENTRALIZED REPOSITORY</t>
  </si>
  <si>
    <t>CM-8(8)</t>
  </si>
  <si>
    <t>INFORMATION SYSTEM COMPONENT INVENTORY | AUTOMATED LOCATION TRACKING</t>
  </si>
  <si>
    <t>CM-8(9)</t>
  </si>
  <si>
    <t>INFORMATION SYSTEM COMPONENT INVENTORY | ASSIGNMENT OF COMPONENTS TO SYSTEMS</t>
  </si>
  <si>
    <t>CM-9</t>
  </si>
  <si>
    <t>CONFIGURATION MANAGEMENT PLAN</t>
  </si>
  <si>
    <t>CM-9(1)</t>
  </si>
  <si>
    <t>CONFIGURATION MANAGEMENT PLAN | ASSIGNMENT OF RESPONSIBILITY</t>
  </si>
  <si>
    <t>CP-1</t>
  </si>
  <si>
    <t xml:space="preserve">CONTINGENCY PLANNING </t>
  </si>
  <si>
    <t>CP-10</t>
  </si>
  <si>
    <t>INFORMATION SYSTEM RECOVERY AND RECONSTITUTION</t>
  </si>
  <si>
    <t>CP-10(2)</t>
  </si>
  <si>
    <t>INFORMATION SYSTEM RECOVERY AND RECONSTITUTION | TRANSACTION RECOVERY</t>
  </si>
  <si>
    <t>CP-10(4)</t>
  </si>
  <si>
    <t>INFORMATION SYSTEM RECOVERY AND RECONSTITUTION | RESTORE WITHIN TIME PERIOD</t>
  </si>
  <si>
    <t>CP-10(6)</t>
  </si>
  <si>
    <t>INFORMATION SYSTEM RECOVERY AND RECONSTITUTION | COMPONENT PROTECTION</t>
  </si>
  <si>
    <t>CP-11</t>
  </si>
  <si>
    <t>ALTERNATE COMMUNICATIONS PROTOCOLS</t>
  </si>
  <si>
    <t>CP-12</t>
  </si>
  <si>
    <t>SAFE MODE</t>
  </si>
  <si>
    <t>CP-13</t>
  </si>
  <si>
    <t>ALTERNATIVE SECURITY MECHANISMS</t>
  </si>
  <si>
    <t>CP-2</t>
  </si>
  <si>
    <t>CONTINGENCY PLAN</t>
  </si>
  <si>
    <t>CP-2(1)</t>
  </si>
  <si>
    <t>CONTINGENCY PLAN | COORDINATE WITH RELATED PLANS</t>
  </si>
  <si>
    <t>CP-2(2)</t>
  </si>
  <si>
    <t>CONTINGENCY PLAN | CAPACITY PLANNING</t>
  </si>
  <si>
    <t>CP-2(3)</t>
  </si>
  <si>
    <t>CONTINGENCY PLAN | RESUME ESSENTIAL MISSIONS/BUSINESS FUNCTIONS</t>
  </si>
  <si>
    <t>CP-2(4)</t>
  </si>
  <si>
    <t>CONTINGENCY PLAN | RESUME ALL MISSIONS / BUSINESS FUNCTIONS</t>
  </si>
  <si>
    <t>CP-2(5)</t>
  </si>
  <si>
    <t>CONTINGENCY PLAN | CONTINUE ESSENTIAL MISSIONS / BUSINESS FUNCTIONS</t>
  </si>
  <si>
    <t>CP-2(6)</t>
  </si>
  <si>
    <t>CONTINGENCY PLAN | ALTERNATE PROCESSING / STORAGE SITE</t>
  </si>
  <si>
    <t>CP-2(7)</t>
  </si>
  <si>
    <t>CONTINGENCY PLAN | COORDINATE WITH EXTERNAL SERVICE PROVIDERS</t>
  </si>
  <si>
    <t>CP-2(8)</t>
  </si>
  <si>
    <t>CONTINGENCY PLAN | IDENTIFY CRITICAL ASSETS</t>
  </si>
  <si>
    <t>CP-3</t>
  </si>
  <si>
    <t>CONTINGENCY TRAINING</t>
  </si>
  <si>
    <t>CP-3(1)</t>
  </si>
  <si>
    <t>CONTINGENCY TRAINING | SIMULATED EVENTS</t>
  </si>
  <si>
    <t>CP-3(2)</t>
  </si>
  <si>
    <t>CONTINGENCY TRAINING | AUTOMATED TRAINING ENVIRONMENTS</t>
  </si>
  <si>
    <t>CP-4</t>
  </si>
  <si>
    <t>CONTINGENCY PLAN TESTING</t>
  </si>
  <si>
    <t>CP-4(1)</t>
  </si>
  <si>
    <t>CONTINGENCY PLAN TESTING | COORDINATE WITH RELATED PLANS</t>
  </si>
  <si>
    <t>CP-4(2)</t>
  </si>
  <si>
    <t>CONTINGENCY PLAN TESTING | ALTERNATE PROCESSING SITE</t>
  </si>
  <si>
    <t>CP-4(3)</t>
  </si>
  <si>
    <t>CONTINGENCY PLAN TESTING | AUTOMATED TESTING</t>
  </si>
  <si>
    <t>CP-4(4)</t>
  </si>
  <si>
    <t>CONTINGENCY PLAN TESTING | FULL RECOVERY / RECONSTITUTION</t>
  </si>
  <si>
    <t>CP-6</t>
  </si>
  <si>
    <t>ALTERNATE STORAGE SITE</t>
  </si>
  <si>
    <t>CP-6(1)</t>
  </si>
  <si>
    <t>ALTERNATE STORAGE SITE | SEPARATION FROM PRIMARY SITE</t>
  </si>
  <si>
    <t>CP-6(2)</t>
  </si>
  <si>
    <t>ALTERNATE STORAGE SITE | RECOVERY TIME / POINT OBJECTIVES</t>
  </si>
  <si>
    <t>CP-6(3)</t>
  </si>
  <si>
    <t>ALTERNATE STORAGE SITE | ACCESSIBILITY</t>
  </si>
  <si>
    <t>CP-7</t>
  </si>
  <si>
    <t>ALTERNATE PROCESSING SITE</t>
  </si>
  <si>
    <t>CP-7(1)</t>
  </si>
  <si>
    <t>ALTERNATE PROCESSING SITE | SEPARATION FROM PRIMARY SITE</t>
  </si>
  <si>
    <t>CP-7(2)</t>
  </si>
  <si>
    <t>ALTERNATE PROCESSING SITE | ACCESSIBILITY</t>
  </si>
  <si>
    <t>CP-7(3)</t>
  </si>
  <si>
    <t>ALTERNATE PROCESSING SITE | PRIORITY OF SERVICE</t>
  </si>
  <si>
    <t>CP-7(4)</t>
  </si>
  <si>
    <t>ALTERNATE PROCESSING SITE | PREPARATION FOR USE</t>
  </si>
  <si>
    <t>CP-7(6)</t>
  </si>
  <si>
    <t>ALTERNATE PROCESSING SITE | INABILITY TO RETURN TO PRIMARY SITE</t>
  </si>
  <si>
    <t>CP-8</t>
  </si>
  <si>
    <t>TELECOMMUNICATIONS SERVICES</t>
  </si>
  <si>
    <t>CP-8(1)</t>
  </si>
  <si>
    <t>TELECOMMUNICATIONS SERVICES | PRIORITY OF SERVICE PROVISIONS</t>
  </si>
  <si>
    <t>CP-8(2)</t>
  </si>
  <si>
    <t>TELECOMMUNICATIONS SERVICES | SINGLE POINTS OF FAILURE</t>
  </si>
  <si>
    <t>CP-8(3)</t>
  </si>
  <si>
    <t>TELECOMMUNICATIONS SERVICES | SEPARATION OF PRIMARY / ALTERNATE PROVIDERS</t>
  </si>
  <si>
    <t>CP-8(4)</t>
  </si>
  <si>
    <t>TELECOMMUNICATIONS SERVICES | PROVIDER CONTINGENCY PLAN</t>
  </si>
  <si>
    <t>CP-8(5)</t>
  </si>
  <si>
    <t>TELECOMMUNICATIONS SERVICES | ALTERNATE TELECOMMUNICATION SERVICE TESTING</t>
  </si>
  <si>
    <t>CP-9</t>
  </si>
  <si>
    <t>INFORMATION SYSTEM BACKUP</t>
  </si>
  <si>
    <t>CP-9(1)</t>
  </si>
  <si>
    <t>INFORMATION SYSTEM BACKUP | TESTING FOR RELIABILITY / INTEGRITY</t>
  </si>
  <si>
    <t>CP-9(2)</t>
  </si>
  <si>
    <t>INFORMATION SYSTEM BACKUP | TEST RESTORATION USING SAMPLING</t>
  </si>
  <si>
    <t>CP-9(3)</t>
  </si>
  <si>
    <t>INFORMATION SYSTEM BACKUP | SEPARATE STORAGE FOR CRITICAL INFORMATION</t>
  </si>
  <si>
    <t>CP-9(5)</t>
  </si>
  <si>
    <t>INFORMATION SYSTEM BACKUP | TRANSFER TO ALTERNATE STORAGE SITE</t>
  </si>
  <si>
    <t>CP-9(6)</t>
  </si>
  <si>
    <t>INFORMATION SYSTEM BACKUP | REDUNDANT SECONDARY SYSTEM</t>
  </si>
  <si>
    <t>CP-9(7)</t>
  </si>
  <si>
    <t>INFORMATION SYSTEM BACKUP | DUAL AUTHORIZATION</t>
  </si>
  <si>
    <t>DI-1</t>
  </si>
  <si>
    <t>DATA QUALITY</t>
  </si>
  <si>
    <t>DI-2</t>
  </si>
  <si>
    <t>DATA INTEGRITY AND DATA INTEGRITY BOARD</t>
  </si>
  <si>
    <t>DM-1</t>
  </si>
  <si>
    <t>MINIMIZATION OF PERSONALLY IDENTIFIABLE INFORMATION</t>
  </si>
  <si>
    <t>DM-2</t>
  </si>
  <si>
    <t>DATA RETENTION AND DISPOSAL</t>
  </si>
  <si>
    <t>DM-3</t>
  </si>
  <si>
    <t>MINIMIZATION OF PII USED IN TESTING, TRAINING, AND RESEARCH</t>
  </si>
  <si>
    <t>IA-1</t>
  </si>
  <si>
    <t xml:space="preserve">IDENTIFICATION AND AUTHENTICATION </t>
  </si>
  <si>
    <t>IA-10</t>
  </si>
  <si>
    <t>ADAPTIVE IDENTIFICATION AND AUTHENTICATION</t>
  </si>
  <si>
    <t>IA-11</t>
  </si>
  <si>
    <t>RE-AUTHENTICATION</t>
  </si>
  <si>
    <t>IA-2</t>
  </si>
  <si>
    <t>IDENTIFICATION AND AUTHENTICATION (ORGANIZATIONAL USERS)</t>
  </si>
  <si>
    <t>IA-2(1)</t>
  </si>
  <si>
    <t>IDENTIFICATION AND AUTHENTICATION | NETWORK ACCESS TO PRIVILEGED ACCOUNTS</t>
  </si>
  <si>
    <t>IA-2(10)</t>
  </si>
  <si>
    <t>IDENTIFICATION AND AUTHENTICATION | SINGLE SIGN-ON</t>
  </si>
  <si>
    <t>IA-2(11)</t>
  </si>
  <si>
    <t>IDENTIFICATION AND AUTHENTICATION | REMOTE ACCESS – SEPARATE DEVICE</t>
  </si>
  <si>
    <t>IA-2(12)</t>
  </si>
  <si>
    <t>IDENTIFICATION AND AUTHENTICATION | ACCEPTANCE OF PIV CREDENTIALS</t>
  </si>
  <si>
    <t>IA-2(13)</t>
  </si>
  <si>
    <t>IDENTIFICATION AND AUTHENTICATION | OUT-OF-BAND AUTHENTICATION</t>
  </si>
  <si>
    <t>IA-2(2)</t>
  </si>
  <si>
    <t>IDENTIFICATION AND AUTHENTICATION | NETWORK ACCESS TO NON-PRIVILEGED ACCOUNTS</t>
  </si>
  <si>
    <t>IA-2(3)</t>
  </si>
  <si>
    <t>IDENTIFICATION AND AUTHENTICATION | LOCAL ACCESS TO PRIVILEGED ACCOUNTS</t>
  </si>
  <si>
    <t>IA-2(4)</t>
  </si>
  <si>
    <t>IDENTIFICATION AND AUTHENTICATION | LOCAL ACCESS TO NON-PRIVILEGED ACCOUNTS</t>
  </si>
  <si>
    <t>IA-2(5)</t>
  </si>
  <si>
    <t>IDENTIFICATION AND AUTHENTICATION | GROUP AUTHENTICATION</t>
  </si>
  <si>
    <t>IA-2(6)</t>
  </si>
  <si>
    <t>IDENTIFICATION AND AUTHENTICATION | NETWORK ACCESS TO PRIVILEGED ACCOUNTS –SEPARATE DEVICE</t>
  </si>
  <si>
    <t>IA-2(7)</t>
  </si>
  <si>
    <t>IDENTIFICATION AND AUTHENTICATION | NETWORK ACCESS TO NON-PRIVILEGED ACCOUNTS –SEPARATE DEVICE</t>
  </si>
  <si>
    <t>IA-2(8)</t>
  </si>
  <si>
    <t>IDENTIFICATION AND AUTHENTICATION | NETWORK ACCESS TO PRIVILEGED ACCOUNTS – REPLAY RESISTANT</t>
  </si>
  <si>
    <t>IA-2(9)</t>
  </si>
  <si>
    <t>IDENTIFICATION AND AUTHENTICATION | NETWORK ACCESS TO NON-PRIVILEGED ACCOUNTS – REPLAY RESISTANT</t>
  </si>
  <si>
    <t>IA-3</t>
  </si>
  <si>
    <t>DEVICE IDENTIFICATION AND AUTHENTICATION</t>
  </si>
  <si>
    <t>IA-3(1)</t>
  </si>
  <si>
    <t>DEVICE IDENTIFICATION AND AUTHENTICATION |CRYPTOGRAPHIC BIDIRECTIONAL AUTHENTICATION</t>
  </si>
  <si>
    <t>IA-3(3)</t>
  </si>
  <si>
    <t>DEVICE IDENTIFICATION AND AUTHENTICATION | DYNAMIC ADDRESS ALLOCATION</t>
  </si>
  <si>
    <t>IA-3(4)</t>
  </si>
  <si>
    <t>DEVICE IDENTIFICATION AND AUTHENTICATION | DEVICE ATTESTATION</t>
  </si>
  <si>
    <t>IA-4</t>
  </si>
  <si>
    <t>IDENTIFIER MANAGEMENT</t>
  </si>
  <si>
    <t>IA-4(1)</t>
  </si>
  <si>
    <t>IDENTIFIER MANAGEMENT | PROHIBIT ACCOUNT IDENTIFIERS AS PUBLIC IDENTIFIERS</t>
  </si>
  <si>
    <t>IA-4(2)</t>
  </si>
  <si>
    <t>IDENTIFIER MANAGEMENT | SUPERVISOR AUTHORIZATION</t>
  </si>
  <si>
    <t>IA-4(3)</t>
  </si>
  <si>
    <t>IDENTIFIER MANAGEMENT | MULTIPLE FORMS OF CERTIFICATION</t>
  </si>
  <si>
    <t>IA-4(4)</t>
  </si>
  <si>
    <t>IDENTIFIER MANAGEMENT | IDENTIFY USER STATUS</t>
  </si>
  <si>
    <t>IA-4(5)</t>
  </si>
  <si>
    <t>IDENTIFIER MANAGEMENT | DYNAMIC MANAGEMENT</t>
  </si>
  <si>
    <t>IA-4(6)</t>
  </si>
  <si>
    <t>IDENTIFIER MANAGEMENT | CROSS-ORGANIZATION MANAGEMENT</t>
  </si>
  <si>
    <t>IA-4(7)</t>
  </si>
  <si>
    <t>IDENTIFIER MANAGEMENT | IN-PERSON REGISTRATION</t>
  </si>
  <si>
    <t>IA-5</t>
  </si>
  <si>
    <t>AUTHENTICATOR MANAGEMENT</t>
  </si>
  <si>
    <t>IA-5(1)</t>
  </si>
  <si>
    <t>AUTHENTICATOR MANAGEMENT | PASSWORD-BASED AUTHENTICATION</t>
  </si>
  <si>
    <t>IA-5(10)</t>
  </si>
  <si>
    <t>AUTHENTICATOR MANAGEMENT | DYNAMIC CREDENTIAL ASSOCIATION</t>
  </si>
  <si>
    <t>IA-5(11)</t>
  </si>
  <si>
    <t>AUTHENTICATOR MANAGEMENT | HARDWARE TOKEN-BASED AUTHENTICATION</t>
  </si>
  <si>
    <t>IA-5(12)</t>
  </si>
  <si>
    <t>AUTHENTICATOR MANAGEMENT | BIOMETRIC AUTHENTICATION</t>
  </si>
  <si>
    <t>IA-5(13)</t>
  </si>
  <si>
    <t>AUTHENTICATOR MANAGEMENT | EXPIRATION OF CACHED AUTHENTICATORS</t>
  </si>
  <si>
    <t>IA-5(14)</t>
  </si>
  <si>
    <t>AUTHENTICATOR MANAGEMENT | MANAGING CONTENT OF PKI TRUST STORES</t>
  </si>
  <si>
    <t>IA-5(15)</t>
  </si>
  <si>
    <t>AUTHENTICATOR MANAGEMENT | FICAM-APPROVED PRODUCTS AND SERVICES</t>
  </si>
  <si>
    <t>IA-5(2)</t>
  </si>
  <si>
    <t>AUTHENTICATOR MANAGEMENT | PKI-BASED AUTHENTICATION</t>
  </si>
  <si>
    <t>IA-5(3)</t>
  </si>
  <si>
    <t>AUTHENTICATOR MANAGEMENT | IN-PERSON OR TRUSTED THIRD-PARTY REGISTRATION</t>
  </si>
  <si>
    <t>IA-5(4)</t>
  </si>
  <si>
    <t>AUTHENTICATOR MANAGEMENT | AUTOMATED SUPPORT FOR PASSWORD STRENGTH DETERMINATION</t>
  </si>
  <si>
    <t>IA-5(5)</t>
  </si>
  <si>
    <t>AUTHENTICATOR MANAGEMENT | CHANGE AUTHENTICATORS PRIOR TO DELIVERY</t>
  </si>
  <si>
    <t>IA-5(6)</t>
  </si>
  <si>
    <t>AUTHENTICATOR MANAGEMENT | PROTECTION OF AUTHENTICATORS</t>
  </si>
  <si>
    <t>IA-5(7)</t>
  </si>
  <si>
    <t>AUTHENTICATOR MANAGEMENT | NO EMBEDDED UNENCRYPTED STATIC AUTHENTICATORS</t>
  </si>
  <si>
    <t>IA-5(8)</t>
  </si>
  <si>
    <t>AUTHENTICATOR MANAGEMENT | MULTIPLE INFORMATION SYSTEM ACCOUNTS</t>
  </si>
  <si>
    <t>IA-5(9)</t>
  </si>
  <si>
    <t>AUTHENTICATOR MANAGEMENT | CROSS-ORGANIZATIONAL CREDENTIAL MANAGEMENT</t>
  </si>
  <si>
    <t>IA-6</t>
  </si>
  <si>
    <t>AUTHENTICATOR FEEDBACK</t>
  </si>
  <si>
    <t>IA-7</t>
  </si>
  <si>
    <t>CRYPTOGRAPHIC MODULE AUTHENTICATION</t>
  </si>
  <si>
    <t>IA-8</t>
  </si>
  <si>
    <t>IDENTIFICATION AND AUTHENTICATION (NON-ORGANIZATIONAL USERS)</t>
  </si>
  <si>
    <t>IA-8(1)</t>
  </si>
  <si>
    <t>IDENTIFICATION AND AUTHENTICATION | ACCEPTANCE OF PIV CREDENTIALS FROM OTHER AGENCIES</t>
  </si>
  <si>
    <t>IA-8(2)</t>
  </si>
  <si>
    <t>IDENTIFICATION AND AUTHENTICATION | ACCEPTANCE OF THIRD-PARTY CREDENTIALS</t>
  </si>
  <si>
    <t>IA-8(3)</t>
  </si>
  <si>
    <t>IDENTIFICATION AND AUTHENTICATION | USE OF FICAM-APPROVED PRODUCTS</t>
  </si>
  <si>
    <t>IA-8(4)</t>
  </si>
  <si>
    <t>IDENTIFICATION AND AUTHENTICATION | USE OF FICAM-ISSUED PROFILES</t>
  </si>
  <si>
    <t>IA-8(5)</t>
  </si>
  <si>
    <t>IDENTIFICATION AND AUTHENTICATION | ACCEPTANCE OF PIV-I CREDENTIALS</t>
  </si>
  <si>
    <t>IA-9</t>
  </si>
  <si>
    <t>SERVICE IDENTIFICATION AND AUTHENTICATION</t>
  </si>
  <si>
    <t>IA-9(1)</t>
  </si>
  <si>
    <t>SERVICE IDENTIFICATION AND AUTHENTICATION | INFORMATION EXCHANGE</t>
  </si>
  <si>
    <t>IA-9(2)</t>
  </si>
  <si>
    <t>SERVICE IDENTIFICATION AND AUTHENTICATION | TRANSMISSION OF DECISIONS</t>
  </si>
  <si>
    <t>IP-1</t>
  </si>
  <si>
    <t>CONSENT</t>
  </si>
  <si>
    <t>IP-1(1)</t>
  </si>
  <si>
    <t>CONSENT | MECHANISMS SUPPORTING ITEMIZED OR TIERED CONSENT</t>
  </si>
  <si>
    <t>IP-2</t>
  </si>
  <si>
    <t>INDIVIDUAL ACCESS</t>
  </si>
  <si>
    <t>IP-3</t>
  </si>
  <si>
    <t>REDRESS</t>
  </si>
  <si>
    <t>IP-4</t>
  </si>
  <si>
    <t>COMPLAINT MANAGEMENT</t>
  </si>
  <si>
    <t>IP-4(1)</t>
  </si>
  <si>
    <t>COMPLAINT MANAGEMENT | RESPONSE TIMES</t>
  </si>
  <si>
    <t>IR-1</t>
  </si>
  <si>
    <t xml:space="preserve">INCIDENT RESPONSE </t>
  </si>
  <si>
    <t>IR-10</t>
  </si>
  <si>
    <t>INTEGRATED INFORMATION SECURITY ANALYSIS TEAM</t>
  </si>
  <si>
    <t>IR-2(1)</t>
  </si>
  <si>
    <t>INCIDENT RESPONSE TRAINING | SIMULATED EVENTS</t>
  </si>
  <si>
    <t>IR-2(2)</t>
  </si>
  <si>
    <t>INCIDENT RESPONSE TRAINING | AUTOMATED TRAINING ENVIRONMENTS</t>
  </si>
  <si>
    <t>IR-3</t>
  </si>
  <si>
    <t>INCIDENT RESPONSE TESTING</t>
  </si>
  <si>
    <t>IR-3(1)</t>
  </si>
  <si>
    <t>INCIDENT RESPONSE TESTING | AUTOMATED TESTING</t>
  </si>
  <si>
    <t>IR-3(2)</t>
  </si>
  <si>
    <t>INCIDENT RESPONSE TESTING | COORDINATION WITH RELATED PLANS</t>
  </si>
  <si>
    <t>IR-4</t>
  </si>
  <si>
    <t>INCIDENT HANDLING</t>
  </si>
  <si>
    <t>IR-4(1)</t>
  </si>
  <si>
    <t>INCIDENT HANDLING | AUTOMATED INCIDENT HANDLING PROCESSES</t>
  </si>
  <si>
    <t>IR-4(10)</t>
  </si>
  <si>
    <t>INCIDENT HANDLING | SUPPLY CHAIN COORDINATION</t>
  </si>
  <si>
    <t>IR-4(2)</t>
  </si>
  <si>
    <t>INCIDENT HANDLING | DYNAMIC RECONFIGURATION</t>
  </si>
  <si>
    <t>IR-4(3)</t>
  </si>
  <si>
    <t>INCIDENT HANDLING | CONTINUITY OF OPERATIONS</t>
  </si>
  <si>
    <t>IR-4(4)</t>
  </si>
  <si>
    <t>INCIDENT HANDLING | INFORMATION CORRELATION</t>
  </si>
  <si>
    <t>IR-4(5)</t>
  </si>
  <si>
    <t>INCIDENT HANDLING | AUTOMATIC DISABLING OF INFORMATION SYSTEM.</t>
  </si>
  <si>
    <t>IR-4(6)</t>
  </si>
  <si>
    <t>INCIDENT HANDLING | INSIDER THREATS – SPECIFIC CAPABILITIES</t>
  </si>
  <si>
    <t>IR-4(7)</t>
  </si>
  <si>
    <t>INCIDENT HANDLING | INSIDER THREATS – INTRA-ORGANIZATION COORDINATION</t>
  </si>
  <si>
    <t>IR-4(8)</t>
  </si>
  <si>
    <t>INCIDENT HANDLING | CORRELATION WITH EXTERNAL ORGANIZATIONS</t>
  </si>
  <si>
    <t>IR-4(9)</t>
  </si>
  <si>
    <t>INCIDENT HANDLING | DYNAMIC RESPONSE CAPABILITY</t>
  </si>
  <si>
    <t>IR-5</t>
  </si>
  <si>
    <t>INCIDENT MONITORING</t>
  </si>
  <si>
    <t>IR-5(1)</t>
  </si>
  <si>
    <t>INCIDENT MONITORING | AUTOMATED TRACKING / DATA COLLECTION / ANALYSIS</t>
  </si>
  <si>
    <t>IR-6</t>
  </si>
  <si>
    <t>INCIDENT REPORTING</t>
  </si>
  <si>
    <t>IR-6(1)</t>
  </si>
  <si>
    <t>INCIDENT REPORTING | AUTOMATED REPORTING</t>
  </si>
  <si>
    <t>IR-6(2)</t>
  </si>
  <si>
    <t>INCIDENT REPORTING | VULNERABILITIES RELATED TO INCIDENTS</t>
  </si>
  <si>
    <t>IR-6(3)</t>
  </si>
  <si>
    <t>INCIDENT REPORTING | COORDINATION WITH SUPPLY CHAIN</t>
  </si>
  <si>
    <t>IR-7</t>
  </si>
  <si>
    <t>INCIDENT RESPONSE ASSISTANCE</t>
  </si>
  <si>
    <t>IR-7(1)</t>
  </si>
  <si>
    <t>INCIDENT RESPONSE ASSISTANCE | AUTOMATION SUPPORT FOR AVAILABILITY OF INFORMATION / SUPPORT</t>
  </si>
  <si>
    <t>IR-7(2)</t>
  </si>
  <si>
    <t>INCIDENT RESPONSE ASSISTANCE | COORDINATION WITH EXTERNAL PROVIDERS</t>
  </si>
  <si>
    <t>IR-8</t>
  </si>
  <si>
    <t>INCIDENT RESPONSE PLAN</t>
  </si>
  <si>
    <t>IR-9</t>
  </si>
  <si>
    <t>INFORMATION SPILLAGE RESPONSE</t>
  </si>
  <si>
    <t>IR-9(1)</t>
  </si>
  <si>
    <t>INFORMATION SPILLAGE RESPONSE | RESPONSIBLE PERSONNEL</t>
  </si>
  <si>
    <t>IR-9(2)</t>
  </si>
  <si>
    <t>INFORMATION SPILLAGE RESPONSE | TRAINING</t>
  </si>
  <si>
    <t>IR-9(3)</t>
  </si>
  <si>
    <t>INFORMATION SPILLAGE RESPONSE | POST-SPILL OPERATIONS</t>
  </si>
  <si>
    <t>IR-9(4)</t>
  </si>
  <si>
    <t>INFORMATION SPILLAGE RESPONSE | EXPOSURE TO UNAUTHORIZED PERSONNEL</t>
  </si>
  <si>
    <t>MA-1</t>
  </si>
  <si>
    <t xml:space="preserve">SYSTEM MAINTENANCE </t>
  </si>
  <si>
    <t>MA-2</t>
  </si>
  <si>
    <t>CONTROLLED MAINTENANCE</t>
  </si>
  <si>
    <t>MA-2(2)</t>
  </si>
  <si>
    <t>CONTROLLED MAINTENANCE | AUTOMATED MAINTENANCE ACTIVITIES</t>
  </si>
  <si>
    <t>MA-3</t>
  </si>
  <si>
    <t>MAINTENANCE TOOLS</t>
  </si>
  <si>
    <t>MA-3(1)</t>
  </si>
  <si>
    <t>MAINTENANCE TOOLS | INSPECT TOOLS</t>
  </si>
  <si>
    <t>MA-3(2)</t>
  </si>
  <si>
    <t>MAINTENANCE TOOLS | INSPECT MEDIA</t>
  </si>
  <si>
    <t>MA-3(3)</t>
  </si>
  <si>
    <t>MAINTENANCE TOOLS | PREVENT UNAUTHORIZED REMOVAL</t>
  </si>
  <si>
    <t>MA-3(4)</t>
  </si>
  <si>
    <t>MAINTENANCE TOOLS | RESTRICTED TOOL USE</t>
  </si>
  <si>
    <t>MA-4</t>
  </si>
  <si>
    <t>NONLOCAL MAINTENANCE</t>
  </si>
  <si>
    <t>MA-4(1)</t>
  </si>
  <si>
    <t>NONLOCAL MAINTENANCE | AUDITING AND REVIEW</t>
  </si>
  <si>
    <t>MA-4(2)</t>
  </si>
  <si>
    <t>NONLOCAL MAINTENANCE | DOCUMENT NONLOCAL MAINTENANCE</t>
  </si>
  <si>
    <t>MA-4(3)</t>
  </si>
  <si>
    <t>NONLOCAL MAINTENANCE | COMPARABLE SECURITY / SANITIZATION</t>
  </si>
  <si>
    <t>MA-4(4)</t>
  </si>
  <si>
    <t>NONLOCAL MAINTENANCE | AUTHENTICATION / SEPARATION OF MAINTENANCE SESSIONS</t>
  </si>
  <si>
    <t>MA-4(5)</t>
  </si>
  <si>
    <t>NONLOCAL MAINTENANCE | APPROVALS AND NOTIFICATIONS</t>
  </si>
  <si>
    <t>MA-4(6)</t>
  </si>
  <si>
    <t>NONLOCAL MAINTENANCE | CRYPTOGRAPHIC PROTECTION</t>
  </si>
  <si>
    <t>MA-4(7)</t>
  </si>
  <si>
    <t>NONLOCAL MAINTENANCE | REMOTE DISCONNECT VERIFICATION</t>
  </si>
  <si>
    <t>MA-5</t>
  </si>
  <si>
    <t>MAINTENANCE PERSONNEL</t>
  </si>
  <si>
    <t>MA-5(1)</t>
  </si>
  <si>
    <t>MAINTENANCE PERSONNEL | INDIVIDUALS WITHOUT APPROPRIATE ACCESS</t>
  </si>
  <si>
    <t>MA-5(2)</t>
  </si>
  <si>
    <t>MAINTENANCE PERSONNEL | SECURITY CLEARANCES FOR CLASSIFIED SYSTEMS</t>
  </si>
  <si>
    <t>MA-5(3)</t>
  </si>
  <si>
    <t>MAINTENANCE PERSONNEL | CITIZENSHIP REQUIREMENTS FOR CLASSIFIED SYSTEMS</t>
  </si>
  <si>
    <t>MA-5(4)</t>
  </si>
  <si>
    <t>MAINTENANCE PERSONNEL | FOREIGN NATIONALS</t>
  </si>
  <si>
    <t>MA-5(5)</t>
  </si>
  <si>
    <t>MAINTENANCE PERSONNEL | NONSYSTEM-RELATED MAINTENANCE</t>
  </si>
  <si>
    <t>MA-6</t>
  </si>
  <si>
    <t>TIMELY MAINTENANCE</t>
  </si>
  <si>
    <t>MA-6(1)</t>
  </si>
  <si>
    <t>TIMELY MAINTENANCE | PREVENTIVE MAINTENANCE</t>
  </si>
  <si>
    <t>MA-6(2)</t>
  </si>
  <si>
    <t>TIMELY MAINTENANCE |PREDICTIVE MAINTENANCE</t>
  </si>
  <si>
    <t>MA-6(3)</t>
  </si>
  <si>
    <t>TIMELY MAINTENANCE | AUTOMATED SUPPORT FOR PREDICTIVE MAINTENANCE</t>
  </si>
  <si>
    <t>MP-1</t>
  </si>
  <si>
    <t xml:space="preserve">MEDIA PROTECTION </t>
  </si>
  <si>
    <t>MP-2</t>
  </si>
  <si>
    <t>MEDIA ACCESS</t>
  </si>
  <si>
    <t>MP-3</t>
  </si>
  <si>
    <t>MEDIA MARKING</t>
  </si>
  <si>
    <t>MP-4</t>
  </si>
  <si>
    <t>MEDIA STORAGE</t>
  </si>
  <si>
    <t>MP-4(2)</t>
  </si>
  <si>
    <t>MEDIA STORAGE | AUTOMATED RESTRICTED ACCESS</t>
  </si>
  <si>
    <t>MP-5</t>
  </si>
  <si>
    <t>MEDIA TRANSPORT</t>
  </si>
  <si>
    <t>MP-5(3)</t>
  </si>
  <si>
    <t>MEDIA TRANSPORT | CUSTODIANS</t>
  </si>
  <si>
    <t>MP-5(4)</t>
  </si>
  <si>
    <t>MEDIA TRANSPORT | CRYPTOGRAPHIC PROTECTION</t>
  </si>
  <si>
    <t>MP-6</t>
  </si>
  <si>
    <t>MEDIA SANITIZATION</t>
  </si>
  <si>
    <t>MP-6(1)</t>
  </si>
  <si>
    <t>MEDIA SANITIZATION | REVIEW / APPROVE / TRACK / DOCUMENT / VERIFY</t>
  </si>
  <si>
    <t>MP-6(2)</t>
  </si>
  <si>
    <t>MEDIA SANITIZATION | EQUIPMENT TESTING</t>
  </si>
  <si>
    <t>MP-6(3)</t>
  </si>
  <si>
    <t>MEDIA SANITIZATION | NONDESTRUCTIVE TECHNIQUES</t>
  </si>
  <si>
    <t>MP-6(7)</t>
  </si>
  <si>
    <t>MEDIA SANITIZATION | DUAL AUTHORIZATION</t>
  </si>
  <si>
    <t>MP-6(8)</t>
  </si>
  <si>
    <t>MEDIA SANITIZATION | REMOTE PURGING / WIPING OF INFORMATION</t>
  </si>
  <si>
    <t>MP-7</t>
  </si>
  <si>
    <t>MEDIA USE</t>
  </si>
  <si>
    <t>MP-7(1)</t>
  </si>
  <si>
    <t>MEDIA USE | PROHIBIT USE WITHOUT OWNER</t>
  </si>
  <si>
    <t>MP-7(2)</t>
  </si>
  <si>
    <t>MEDIA USE | PROHIBIT USE OF SANITIZATION-RESISTANT MEDIA</t>
  </si>
  <si>
    <t>MP-8</t>
  </si>
  <si>
    <t>MEDIA DOWNGRADING</t>
  </si>
  <si>
    <t>MP-8(1)</t>
  </si>
  <si>
    <t>MEDIA DOWNGRADING | DOCUMENTATION OF PROCESS</t>
  </si>
  <si>
    <t>MP-8(2)</t>
  </si>
  <si>
    <t>MEDIA DOWNGRADING | EQUIPMENT TESTING</t>
  </si>
  <si>
    <t>MP-8(3)</t>
  </si>
  <si>
    <t>MEDIA DOWNGRADING | CONTROLLED UNCLASSIFIED INFORMATION</t>
  </si>
  <si>
    <t>MP-8(4)</t>
  </si>
  <si>
    <t>MEDIA DOWNGRADING | CLASSIFIED INFORMATION</t>
  </si>
  <si>
    <t>PE-1</t>
  </si>
  <si>
    <t xml:space="preserve">PHYSICAL AND ENVIRONMENTAL PROTECTION </t>
  </si>
  <si>
    <t>PE-10</t>
  </si>
  <si>
    <t>EMERGENCY SHUTOFF</t>
  </si>
  <si>
    <t>PE-11</t>
  </si>
  <si>
    <t>EMERGENCY POWER</t>
  </si>
  <si>
    <t>PE-11(1)</t>
  </si>
  <si>
    <t>EMERGENCY POWER | LONG-TERM ALTERNATE POWER SUPPLY – MINIMAL OPERATIONAL CAPABILITY</t>
  </si>
  <si>
    <t>PE-11(2)</t>
  </si>
  <si>
    <t>EMERGENCY POWER | LONG-TERM ALTERNATE POWER SUPPLY – SELF-CONTAINED</t>
  </si>
  <si>
    <t>PE-12</t>
  </si>
  <si>
    <t>EMERGENCY LIGHTING</t>
  </si>
  <si>
    <t>PE-12(1)</t>
  </si>
  <si>
    <t>EMERGENCY LIGHTING | ESSENTIAL MISSIONS / BUSINESS FUNCTIONS</t>
  </si>
  <si>
    <t>PE-13</t>
  </si>
  <si>
    <t>FIRE PROTECTION</t>
  </si>
  <si>
    <t>PE-13(1)</t>
  </si>
  <si>
    <t>FIRE PROTECTION | DETECTION DEVICES / SYSTEMS</t>
  </si>
  <si>
    <t>PE-13(2)</t>
  </si>
  <si>
    <t>FIRE PROTECTION | SUPPRESSION DEVICES / SYSTEMS</t>
  </si>
  <si>
    <t>PE-13(3)</t>
  </si>
  <si>
    <t>FIRE PROTECTION | AUTOMATIC FIRE SUPPRESSION</t>
  </si>
  <si>
    <t>PE-13(4)</t>
  </si>
  <si>
    <t>FIRE PROTECTION | INSPECTIONS</t>
  </si>
  <si>
    <t>PE-14</t>
  </si>
  <si>
    <t>TEMPERATURE AND HUMIDITY CONTROLS</t>
  </si>
  <si>
    <t>PE-14(1)</t>
  </si>
  <si>
    <t>TEMPERATURE AND HUMIDITY CONTROLS | AUTOMATIC CONTROLS</t>
  </si>
  <si>
    <t>PE-14(2)</t>
  </si>
  <si>
    <t>TEMPERATURE AND HUMIDITY CONTROLS | MONITORING WITH ALARMS / NOTIFICATIONS</t>
  </si>
  <si>
    <t>PE-15</t>
  </si>
  <si>
    <t>WATER DAMAGE PROTECTION</t>
  </si>
  <si>
    <t>PE-15(1)</t>
  </si>
  <si>
    <t>WATER DAMAGE PROTECTION | AUTOMATION SUPPORT</t>
  </si>
  <si>
    <t>PE-16</t>
  </si>
  <si>
    <t>DELIVERY AND REMOVAL</t>
  </si>
  <si>
    <t>PE-17</t>
  </si>
  <si>
    <t>ALTERNATE WORK SITE</t>
  </si>
  <si>
    <t>PE-18</t>
  </si>
  <si>
    <t>LOCATION OF INFORMATION SYSTEM COMPONENTS</t>
  </si>
  <si>
    <t>PE-18(1)</t>
  </si>
  <si>
    <t>LOCATION OF INFORMATION SYSTEM COMPONENTS | FACILITY SITE</t>
  </si>
  <si>
    <t>PE-19</t>
  </si>
  <si>
    <t>INFORMATION LEAKAGE</t>
  </si>
  <si>
    <t>PE-19(1)</t>
  </si>
  <si>
    <t>INFORMATION LEAKAGE | NATIONAL EMISSIONS / TEMPEST POLICIES AND PROCEDURES</t>
  </si>
  <si>
    <t>PE-2</t>
  </si>
  <si>
    <t>PHYSICAL ACCESS AUTHORIZATIONS</t>
  </si>
  <si>
    <t>PE-2(1)</t>
  </si>
  <si>
    <t>PHYSICAL ACCESS AUTHORIZATIONS | ACCESS BY POSITION / ROLE</t>
  </si>
  <si>
    <t>PE-2(2)</t>
  </si>
  <si>
    <t>PHYSICAL ACCESS AUTHORIZATIONS | TWO FORMS OF IDENTIFICATION</t>
  </si>
  <si>
    <t>PE-2(3)</t>
  </si>
  <si>
    <t>PHYSICAL ACCESS AUTHORIZATIONS | RESTRICT UNESCORTED ACCESS</t>
  </si>
  <si>
    <t>PE-20</t>
  </si>
  <si>
    <t>ASSET MONITORING AND TRACKING</t>
  </si>
  <si>
    <t>PE-3</t>
  </si>
  <si>
    <t>PHYSICAL ACCESS CONTROL</t>
  </si>
  <si>
    <t>PE-3(1)</t>
  </si>
  <si>
    <t>PHYSICAL ACCESS CONTROL | INFORMATION SYSTEM ACCESS</t>
  </si>
  <si>
    <t>PE-3(2)</t>
  </si>
  <si>
    <t>PHYSICAL ACCESS CONTROL | FACILITY/INFORMATION SYSTEM BOUNDARIES</t>
  </si>
  <si>
    <t>PE-3(3)</t>
  </si>
  <si>
    <t>PHYSICAL ACCESS CONTROL | CONTINUOUS GUARDS / ALARMS / MONITORING</t>
  </si>
  <si>
    <t>PE-3(4)</t>
  </si>
  <si>
    <t>PHYSICAL ACCESS CONTROL | LOCKABLE CASINGS</t>
  </si>
  <si>
    <t>PE-3(5)</t>
  </si>
  <si>
    <t>PHYSICAL ACCESS CONTROL | TAMPER PROTECTION</t>
  </si>
  <si>
    <t>PE-3(6)</t>
  </si>
  <si>
    <t>PHYSICAL ACCESS CONTROL | FACILITY PENETRATION TESTING</t>
  </si>
  <si>
    <t>PE-4</t>
  </si>
  <si>
    <t>ACCESS CONTROL FOR TRANSMISSION MEDIUM</t>
  </si>
  <si>
    <t>PE-5</t>
  </si>
  <si>
    <t>ACCESS CONTROL FOR OUTPUT DEVICES</t>
  </si>
  <si>
    <t>PE-5(1)</t>
  </si>
  <si>
    <t>ACCESS CONTROL FOR OUTPUT DEVICES | ACCESS TO OUTPUT BY AUTHORIZED INDIVIDUALS</t>
  </si>
  <si>
    <t>PE-5(2)</t>
  </si>
  <si>
    <t>ACCESS CONTROL FOR OUTPUT DEVICES | ACCESS TO OUTPUT BY INDIVIDUAL IDENTITY</t>
  </si>
  <si>
    <t>PE-5(3)</t>
  </si>
  <si>
    <t>ACCESS CONTROL FOR OUTPUT DEVICES | MARKING OUTPUT DEVICES</t>
  </si>
  <si>
    <t>PE-6</t>
  </si>
  <si>
    <t>MONITORING PHYSICAL ACCESS</t>
  </si>
  <si>
    <t>PE-6(1)</t>
  </si>
  <si>
    <t>MONITORING PHYSICAL ACCESS | INTRUSION ALARMS / SURVEILLANCE EQUIPMENT</t>
  </si>
  <si>
    <t>PE-6(2)</t>
  </si>
  <si>
    <t>MONITORING PHYSICAL ACCESS | AUTOMATED INTRUSION RECOGNITION / RESPONSES</t>
  </si>
  <si>
    <t>PE-6(3)</t>
  </si>
  <si>
    <t>MONITORING PHYSICAL ACCESS | VIDEO SURVEILLANCE</t>
  </si>
  <si>
    <t>PE-6(4)</t>
  </si>
  <si>
    <t>MONITORING PHYSICAL ACCESS | MONITORING PHYSICAL ACCESS TO INFORMATION SYSTEMS</t>
  </si>
  <si>
    <t>PE-8</t>
  </si>
  <si>
    <t>VISITOR ACCESS RECORDS</t>
  </si>
  <si>
    <t>PE-8(1)</t>
  </si>
  <si>
    <t>VISITOR ACCESS RECORDS | AUTOMATED RECORDS MAINTENANCE / REVIEW</t>
  </si>
  <si>
    <t>PE-9</t>
  </si>
  <si>
    <t>POWER EQUIPMENT AND CABLING</t>
  </si>
  <si>
    <t>PE-9(1)</t>
  </si>
  <si>
    <t>POWER EQUIPMENT AND CABLING | REDUNDANT CABLING</t>
  </si>
  <si>
    <t>PE-9(2)</t>
  </si>
  <si>
    <t>POWER EQUIPMENT AND CABLING | AUTOMATIC VOLTAGE CONTROLS</t>
  </si>
  <si>
    <t>PL-1</t>
  </si>
  <si>
    <t xml:space="preserve">SECURITY PLANNING </t>
  </si>
  <si>
    <t>PL-2</t>
  </si>
  <si>
    <t>SYSTEM SECURITY PLAN</t>
  </si>
  <si>
    <t>PL-2(3)</t>
  </si>
  <si>
    <t>SYSTEM SECURITY PLAN | PLAN / COORDINATE WITH OTHER ORGANIZATIONAL ENTITIES</t>
  </si>
  <si>
    <t>PL-4</t>
  </si>
  <si>
    <t>RULES OF BEHAVIOR</t>
  </si>
  <si>
    <t>PL-4(1)</t>
  </si>
  <si>
    <t>RULES OF BEHAVIOR | SOCIAL MEDIA AND NETWORKING RESTRICTIONS</t>
  </si>
  <si>
    <t>PL-7</t>
  </si>
  <si>
    <t>SECURITY CONCEPT OF OPERATIONS</t>
  </si>
  <si>
    <t>PL-8</t>
  </si>
  <si>
    <t>INFORMATION SECURITY ARCHITECTURE</t>
  </si>
  <si>
    <t>PL-8(1)</t>
  </si>
  <si>
    <t>INFORMATION SECURITY ARCHITECTURE | DEFENSE-IN-DEPTH</t>
  </si>
  <si>
    <t>PL-8(2)</t>
  </si>
  <si>
    <t>INFORMATION SECURITY ARCHITECTURE | SUPPLIER DIVERSITY</t>
  </si>
  <si>
    <t>PL-9</t>
  </si>
  <si>
    <t>CENTRAL MANAGEMENT</t>
  </si>
  <si>
    <t>PM-1</t>
  </si>
  <si>
    <t>INFORMATION SECURITY PROGRAM PLAN</t>
  </si>
  <si>
    <t>PM-10</t>
  </si>
  <si>
    <t>SECURITY AUTHORIZATION PROCESS</t>
  </si>
  <si>
    <t>PM-11</t>
  </si>
  <si>
    <t>MISSION/BUSINESS PROCESS DEFINITION</t>
  </si>
  <si>
    <t>PM-12</t>
  </si>
  <si>
    <t>INSIDER THREAT PROGRAM</t>
  </si>
  <si>
    <t>PM-13</t>
  </si>
  <si>
    <t>INFORMATION SECURITY WORKFORCE</t>
  </si>
  <si>
    <t>PM-14</t>
  </si>
  <si>
    <t>TESTING, TRAINING, AND MONITORING</t>
  </si>
  <si>
    <t>PM-15</t>
  </si>
  <si>
    <t>CONTACTS WITH SECURITY GROUPS AND ASSOCIATIONS</t>
  </si>
  <si>
    <t>PM-16</t>
  </si>
  <si>
    <t>THREAT AWARENESS PROGRAM</t>
  </si>
  <si>
    <t>PM-2</t>
  </si>
  <si>
    <t>SENIOR INFORMATION SECURITY OFFICER</t>
  </si>
  <si>
    <t>PM-3</t>
  </si>
  <si>
    <t>INFORMATION SECURITY RESOURCES</t>
  </si>
  <si>
    <t>PM-4</t>
  </si>
  <si>
    <t>PLAN OF ACTION AND MILESTONES PROCESS</t>
  </si>
  <si>
    <t>PM-5</t>
  </si>
  <si>
    <t>INFORMATION SYSTEM INVENTORY</t>
  </si>
  <si>
    <t>PM-6</t>
  </si>
  <si>
    <t>INFORMATION SECURITY MEASURES OF PERFORMANCE</t>
  </si>
  <si>
    <t>PM-7</t>
  </si>
  <si>
    <t>ENTERPRISE ARCHITECTURE</t>
  </si>
  <si>
    <t>PM-8</t>
  </si>
  <si>
    <t>CRITICAL INFRASTRUCTURE PLAN</t>
  </si>
  <si>
    <t>PM-9</t>
  </si>
  <si>
    <t>RISK MANAGEMENT STRATEGY</t>
  </si>
  <si>
    <t>PS-1</t>
  </si>
  <si>
    <t xml:space="preserve">PERSONNEL SECURITY </t>
  </si>
  <si>
    <t>PS-2</t>
  </si>
  <si>
    <t>POSITION RISK DESIGNATION</t>
  </si>
  <si>
    <t>PS-3</t>
  </si>
  <si>
    <t>PERSONNEL SCREENING</t>
  </si>
  <si>
    <t>PS-3(1)</t>
  </si>
  <si>
    <t>PERSONNEL SCREENING | CLASSIFIED INFORMATION</t>
  </si>
  <si>
    <t>PS-3(2)</t>
  </si>
  <si>
    <t>PERSONNEL SCREENING | FORMAL INDOCTRINATION</t>
  </si>
  <si>
    <t>PS-3(3)</t>
  </si>
  <si>
    <t>PERSONNEL SCREENING | INFORMATION WITH SPECIAL PROTECTION MEASURES</t>
  </si>
  <si>
    <t>PS-4</t>
  </si>
  <si>
    <t>PERSONNEL TERMINATION</t>
  </si>
  <si>
    <t>PS-4(1)</t>
  </si>
  <si>
    <t>PERSONNEL TERMINATION | POST-EMPLOYMENT REQUIREMENTS</t>
  </si>
  <si>
    <t>PS-4(2)</t>
  </si>
  <si>
    <t>PERSONNEL TERMINATION | AUTOMATED NOTIFICATION</t>
  </si>
  <si>
    <t>PS-5</t>
  </si>
  <si>
    <t>PERSONNEL TRANSFER</t>
  </si>
  <si>
    <t>PS-6</t>
  </si>
  <si>
    <t>ACCESS AGREEMENTS</t>
  </si>
  <si>
    <t>PS-6(2)</t>
  </si>
  <si>
    <t>ACCESS AGREEMENTS | CLASSIFIED INFORMATION REQUIRING SPECIAL PROTECTION</t>
  </si>
  <si>
    <t>PS-6(3)</t>
  </si>
  <si>
    <t>ACCESS AGREEMENTS | POST-EMPLOYMENT REQUIREMENTS</t>
  </si>
  <si>
    <t>PS-7</t>
  </si>
  <si>
    <t>THIRD-PARTY PERSONNEL SECURITY</t>
  </si>
  <si>
    <t>PS-8</t>
  </si>
  <si>
    <t>PERSONNEL SANCTIONS</t>
  </si>
  <si>
    <t>RA-1</t>
  </si>
  <si>
    <t xml:space="preserve">RISK ASSESSMENT </t>
  </si>
  <si>
    <t>RA-2</t>
  </si>
  <si>
    <t>SECURITY CATEGORIZATION</t>
  </si>
  <si>
    <t>RA-3</t>
  </si>
  <si>
    <t>RISK ASSESSMENT</t>
  </si>
  <si>
    <t>RA-5</t>
  </si>
  <si>
    <t>VULNERABILITY SCANNING</t>
  </si>
  <si>
    <t>RA-5(1)</t>
  </si>
  <si>
    <t>VULNERABILITY SCANNING | UPDATE TOOL CAPABILITY</t>
  </si>
  <si>
    <t>RA-5(10)</t>
  </si>
  <si>
    <t>VULNERABILITY SCANNING | CORRELATE SCANNING INFORMATION</t>
  </si>
  <si>
    <t>RA-5(2)</t>
  </si>
  <si>
    <t>VULNERABILITY SCANNING | UPDATE BY FREQUENCY / PRIOR TO NEW SCAN / WHEN IDENTIFIED</t>
  </si>
  <si>
    <t>RA-5(3)</t>
  </si>
  <si>
    <t>VULNERABILITY SCANNING | BREADTH / DEPTH OF COVERAGE</t>
  </si>
  <si>
    <t>RA-5(4)</t>
  </si>
  <si>
    <t>VULNERABILITY SCANNING | DISCOVERABLE INFORMATION</t>
  </si>
  <si>
    <t>RA-5(5)</t>
  </si>
  <si>
    <t>VULNERABILITY SCANNING | PRIVILEGED ACCESS</t>
  </si>
  <si>
    <t>RA-5(6)</t>
  </si>
  <si>
    <t>VULNERABILITY SCANNING | AUTOMATED TREND ANALYSES</t>
  </si>
  <si>
    <t>RA-5(8)</t>
  </si>
  <si>
    <t>VULNERABILITY SCANNING | REVIEW HISTORIC AUDIT LOGS</t>
  </si>
  <si>
    <t>RA-6</t>
  </si>
  <si>
    <t>TECHNICAL SURVEILLANCE COUNTERMEASURES SURVEY</t>
  </si>
  <si>
    <t>SA-1</t>
  </si>
  <si>
    <t>SYSTEM AND SERVICES ACQUISITION POLICY AND PROCEDURES</t>
  </si>
  <si>
    <t>SA-10</t>
  </si>
  <si>
    <t>DEVELOPER CONFIGURATION MANAGEMENT</t>
  </si>
  <si>
    <t>SA-10(1)</t>
  </si>
  <si>
    <t>DEVELOPER CONFIGURATION MANAGEMENT | SOFTWARE / FIRMWARE INTEGRITY VERIFICATION</t>
  </si>
  <si>
    <t>SA-10(2)</t>
  </si>
  <si>
    <t>DEVELOPER CONFIGURATION MANAGEMENT | ALTERNATIVE CONFIGURATION MANAGEMENT PROCESSES</t>
  </si>
  <si>
    <t>SA-10(3)</t>
  </si>
  <si>
    <t>DEVELOPER CONFIGURATION MANAGEMENT | HARDWARE INTEGRITY VERIFICATION</t>
  </si>
  <si>
    <t>SA-10(4)</t>
  </si>
  <si>
    <t>DEVELOPER CONFIGURATION MANAGEMENT | TRUSTED GENERATION</t>
  </si>
  <si>
    <t>SA-10(5)</t>
  </si>
  <si>
    <t>DEVELOPER CONFIGURATION MANAGEMENT | MAPPING INTEGRITY FOR VERSION CONTROL</t>
  </si>
  <si>
    <t>SA-10(6)</t>
  </si>
  <si>
    <t>DEVELOPER CONFIGURATION MANAGEMENT | TRUSTED DISTRIBUTION</t>
  </si>
  <si>
    <t>SA-11</t>
  </si>
  <si>
    <t>DEVELOPER SECURITY TESTING AND EVALUATION</t>
  </si>
  <si>
    <t>SA-11(1)</t>
  </si>
  <si>
    <t>DEVELOPER SECURITY TESTING AND EVALUATION | STATIC CODE ANALYSIS</t>
  </si>
  <si>
    <t>SA-11(2)</t>
  </si>
  <si>
    <t>DEVELOPER SECURITY TESTING AND EVALUATION | THREAT AND VULNERABILITY ANALYSES</t>
  </si>
  <si>
    <t>SA-11(3)</t>
  </si>
  <si>
    <t>DEVELOPER SECURITY TESTING AND EVALUATION | INDEPENDENT VERIFICATION OF ASSESSMENT PLANS / EVIDENCE</t>
  </si>
  <si>
    <t>SA-11(4)</t>
  </si>
  <si>
    <t>DEVELOPER SECURITY TESTING AND EVALUATION | MANUAL CODE REVIEWS</t>
  </si>
  <si>
    <t>SA-11(5)</t>
  </si>
  <si>
    <t>DEVELOPER SECURITY TESTING AND EVALUATION | PENETRATION TESTING / ANALYSIS</t>
  </si>
  <si>
    <t>SA-11(6)</t>
  </si>
  <si>
    <t>DEVELOPER SECURITY TESTING AND EVALUATION | ATTACK SURFACE REVIEWS</t>
  </si>
  <si>
    <t>SA-11(7)</t>
  </si>
  <si>
    <t>DEVELOPER SECURITY TESTING AND EVALUATION | VERIFY SCOPE OF TESTING / EVALUATION</t>
  </si>
  <si>
    <t>SA-11(8)</t>
  </si>
  <si>
    <t>DEVELOPER SECURITY TESTING AND EVALUATION | DYNAMIC CODE ANALYSIS</t>
  </si>
  <si>
    <t>SA-12</t>
  </si>
  <si>
    <t>SUPPLY CHAIN PROTECTION</t>
  </si>
  <si>
    <t>SA-12(1)</t>
  </si>
  <si>
    <t>SUPPLY CHAIN PROTECTION | ACQUISITION STRATEGIES / TOOLS / METHODS</t>
  </si>
  <si>
    <t>SA-12(10)</t>
  </si>
  <si>
    <t>SUPPLY CHAIN PROTECTION | VALIDATE AS GENUINE AND NOT ALTERED</t>
  </si>
  <si>
    <t>SA-12(11)</t>
  </si>
  <si>
    <t>SUPPLY CHAIN PROTECTION | PENETRATION TESTING / ANALYSIS OF ELEMENTS, PROCESSES, AND ACTORS</t>
  </si>
  <si>
    <t>SA-12(12)</t>
  </si>
  <si>
    <t>SUPPLY CHAIN PROTECTION | INTER-ORGANIZATIONAL AGREEMENTS</t>
  </si>
  <si>
    <t>SA-12(13)</t>
  </si>
  <si>
    <t>SUPPLY CHAIN PROTECTION | CRITICAL INFORMATION SYSTEM COMPONENTS</t>
  </si>
  <si>
    <t>SA-12(14)</t>
  </si>
  <si>
    <t>SUPPLY CHAIN PROTECTION | IDENTITY AND TRACEABILITY</t>
  </si>
  <si>
    <t>SA-12(15)</t>
  </si>
  <si>
    <t>SUPPLY CHAIN PROTECTION | PROCESSES TO ADDRESS WEAKNESSES OR DEFICIENCIES</t>
  </si>
  <si>
    <t>SA-12(2)</t>
  </si>
  <si>
    <t>SUPPLY CHAIN PROTECTION | SUPPLIER REVIEWS</t>
  </si>
  <si>
    <t>SA-12(5)</t>
  </si>
  <si>
    <t>SUPPLY CHAIN PROTECTION | LIMITATION OF HARM</t>
  </si>
  <si>
    <t>SA-12(7)</t>
  </si>
  <si>
    <t>SUPPLY CHAIN PROTECTION | ASSESSMENTS PRIOR TO SELECTION / ACCEPTANCE / UPDATE</t>
  </si>
  <si>
    <t>SA-12(8)</t>
  </si>
  <si>
    <t>SUPPLY CHAIN PROTECTION | USE OF ALL-SOURCE INTELLIGENCE</t>
  </si>
  <si>
    <t>SA-12(9)</t>
  </si>
  <si>
    <t>SUPPLY CHAIN PROTECTION | OPERATIONS SECURITY</t>
  </si>
  <si>
    <t>SA-13</t>
  </si>
  <si>
    <t>TRUSTWORTHINESS</t>
  </si>
  <si>
    <t>SA-14</t>
  </si>
  <si>
    <t>CRITICALITY ANALYSIS</t>
  </si>
  <si>
    <t>SA-15</t>
  </si>
  <si>
    <t>DEVELOPMENT PROCESS, STANDARDS, AND TOOLS</t>
  </si>
  <si>
    <t>SA-15(1)</t>
  </si>
  <si>
    <t>DEVELOPMENT PROCESS, STANDARDS, AND TOOLS | QUALITY METRICS</t>
  </si>
  <si>
    <t>SA-15(10)</t>
  </si>
  <si>
    <t>DEVELOPMENT PROCESS, STANDARDS, AND TOOLS | INCIDENT RESPONSE PLAN</t>
  </si>
  <si>
    <t>SA-15(11)</t>
  </si>
  <si>
    <t>DEVELOPMENT PROCESS, STANDARDS, AND TOOLS | ARCHIVE INFORMATION SYSTEM / COMPONENT</t>
  </si>
  <si>
    <t>SA-15(2)</t>
  </si>
  <si>
    <t>DEVELOPMENT PROCESS, STANDARDS, AND TOOLS | SECURITY TRACKING TOOLS</t>
  </si>
  <si>
    <t>SA-15(3)</t>
  </si>
  <si>
    <t>DEVELOPMENT PROCESS, STANDARDS, AND TOOLS | CRITICALITY ANALYSIS</t>
  </si>
  <si>
    <t>SA-15(4)</t>
  </si>
  <si>
    <t>DEVELOPMENT PROCESS, STANDARDS, AND TOOLS | THREAT MODELING / VULNERABILITY ANALYSIS</t>
  </si>
  <si>
    <t>SA-15(5)</t>
  </si>
  <si>
    <t>DEVELOPMENT PROCESS, STANDARDS, AND TOOLS | ATTACK SURFACE REDUCTION</t>
  </si>
  <si>
    <t>SA-15(6)</t>
  </si>
  <si>
    <t>DEVELOPMENT PROCESS, STANDARDS, AND TOOLS | CONTINUOUS IMPROVEMENT</t>
  </si>
  <si>
    <t>SA-15(7)</t>
  </si>
  <si>
    <t>DEVELOPMENT PROCESS, STANDARDS, AND TOOLS | AUTOMATED VULNERABILITY ANALYSIS</t>
  </si>
  <si>
    <t>SA-15(8)</t>
  </si>
  <si>
    <t>DEVELOPMENT PROCESS, STANDARDS, AND TOOLS | REUSE OF THREAT / VULNERABILITY INFORMATION</t>
  </si>
  <si>
    <t>SA-15(9)</t>
  </si>
  <si>
    <t>DEVELOPMENT PROCESS, STANDARDS, AND TOOLS | USE OF LIVE DATA</t>
  </si>
  <si>
    <t>SA-16</t>
  </si>
  <si>
    <t>DEVELOPER-PROVIDED TRAINING</t>
  </si>
  <si>
    <t>SA-17</t>
  </si>
  <si>
    <t>DEVELOPER SECURITY ARCHITECTURE AND DESIGN</t>
  </si>
  <si>
    <t>SA-17(1)</t>
  </si>
  <si>
    <t>DEVELOPER SECURITY ARCHITECTURE AND DESIGN | FORMAL POLICY MODEL</t>
  </si>
  <si>
    <t>SA-17(2)</t>
  </si>
  <si>
    <t>DEVELOPER SECURITY ARCHITECTURE AND DESIGN | SECURITY-RELEVANT COMPONENTS</t>
  </si>
  <si>
    <t>SA-17(3)</t>
  </si>
  <si>
    <t>DEVELOPER SECURITY ARCHITECTURE AND DESIGN | FORMAL CORRESPONDENCE</t>
  </si>
  <si>
    <t>SA-17(4)</t>
  </si>
  <si>
    <t>DEVELOPER SECURITY ARCHITECTURE AND DESIGN | INFORMAL CORRESPONDENCE</t>
  </si>
  <si>
    <t>SA-17(5)</t>
  </si>
  <si>
    <t>DEVELOPER SECURITY ARCHITECTURE AND DESIGN | CONCEPTUALLY SIMPLE DESIGN</t>
  </si>
  <si>
    <t>SA-17(6)</t>
  </si>
  <si>
    <t>DEVELOPER SECURITY ARCHITECTURE AND DESIGN | STRUCTURE FOR TESTING</t>
  </si>
  <si>
    <t>SA-17(7)</t>
  </si>
  <si>
    <t>DEVELOPER SECURITY ARCHITECTURE AND DESIGN | STRUCTURE FOR LEAST PRIVILEGE</t>
  </si>
  <si>
    <t>SA-18</t>
  </si>
  <si>
    <t>TAMPER RESISTANCE AND DETECTION</t>
  </si>
  <si>
    <t>SA-18(1)</t>
  </si>
  <si>
    <t>TAMPER RESISTANCE AND DETECTION | MULTIPLE PHASES OF SDLC</t>
  </si>
  <si>
    <t>SA-18(2)</t>
  </si>
  <si>
    <t>TAMPER RESISTANCE AND DETECTION | INSPECTION OF INFORMATION SYSTEMS, COMPONENTS, OR DEVICES</t>
  </si>
  <si>
    <t>SA-19</t>
  </si>
  <si>
    <t>COMPONENT AUTHENTICITY</t>
  </si>
  <si>
    <t>SA-19(1)</t>
  </si>
  <si>
    <t>COMPONENT AUTHENTICITY | ANTI-COUNTERFEIT TRAINING</t>
  </si>
  <si>
    <t>SA-19(2)</t>
  </si>
  <si>
    <t>COMPONENT AUTHENTICITY | CONFIGURATION CONTROL FOR COMPONENT SERVICE / REPAIR</t>
  </si>
  <si>
    <t>SA-19(3)</t>
  </si>
  <si>
    <t>COMPONENT AUTHENTICITY | COMPONENT DISPOSAL</t>
  </si>
  <si>
    <t>SA-19(4)</t>
  </si>
  <si>
    <t>COMPONENT AUTHENTICITY | ANTI-COUNTERFEIT SCANNING</t>
  </si>
  <si>
    <t>SA-2</t>
  </si>
  <si>
    <t>ALLOCATION OF RESOURCES</t>
  </si>
  <si>
    <t>SA-20</t>
  </si>
  <si>
    <t>CUSTOMIZED DEVELOPMENT OF CRITICAL COMPONENTS</t>
  </si>
  <si>
    <t>SA-21</t>
  </si>
  <si>
    <t>DEVELOPER SCREENING</t>
  </si>
  <si>
    <t>SA-21(1)</t>
  </si>
  <si>
    <t>DEVELOPER SCREENING | VALIDATION OF SCREENING</t>
  </si>
  <si>
    <t>SA-22</t>
  </si>
  <si>
    <t>UNSUPPORTED SYSTEM COMPONENTS</t>
  </si>
  <si>
    <t>SA-22(1)</t>
  </si>
  <si>
    <t>UNSUPPORTED SYSTEM COMPONENTS | ALTERNATIVE SOURCES FOR CONTINUED SUPPORT</t>
  </si>
  <si>
    <t>SA-3</t>
  </si>
  <si>
    <t>SYSTEM DEVELOPMENT LIFE CYCLE</t>
  </si>
  <si>
    <t>SA-4</t>
  </si>
  <si>
    <t>ACQUISITION PROCESS</t>
  </si>
  <si>
    <t>SA-4(1)</t>
  </si>
  <si>
    <t>ACQUISITION PROCESS | FUNCTIONAL PROPERTIES OF SECURITY CONTROLS</t>
  </si>
  <si>
    <t>SA-4(10)</t>
  </si>
  <si>
    <t>ACQUISITION PROCESS | USE OF APPROVED PIV PRODUCTS</t>
  </si>
  <si>
    <t>SA-4(2)</t>
  </si>
  <si>
    <t>ACQUISITION PROCESS | DESIGN / IMPLEMENTATION INFORMATION FOR SECURITY CONTROLS</t>
  </si>
  <si>
    <t>SA-4(3)</t>
  </si>
  <si>
    <t>ACQUISITION PROCESS | DEVELOPMENT METHODS / TECHNIQUES / PRACTICES</t>
  </si>
  <si>
    <t>SA-4(5)</t>
  </si>
  <si>
    <t>ACQUISITION PROCESS | SYSTEM / COMPONENT / SERVICE CONFIGURATIONS</t>
  </si>
  <si>
    <t>SA-4(6)</t>
  </si>
  <si>
    <t>ACQUISITION PROCESS | USE OF INFORMATION ASSURANCE PRODUCTS</t>
  </si>
  <si>
    <t>SA-4(7)</t>
  </si>
  <si>
    <t>ACQUISITION PROCESS | NIAP-APPROVED PROTECTION PROFILES</t>
  </si>
  <si>
    <t>SA-4(8)</t>
  </si>
  <si>
    <t>ACQUISITION PROCESS | CONTINUOUS MONITORING PLAN</t>
  </si>
  <si>
    <t>SA-4(9)</t>
  </si>
  <si>
    <t>ACQUISITION PROCESS | FUNCTIONS / PORTS / PROTOCOLS / SERVICES IN USE</t>
  </si>
  <si>
    <t>SA-5</t>
  </si>
  <si>
    <t>INFORMATION SYSTEM DOCUMENTATION</t>
  </si>
  <si>
    <t>SA-8</t>
  </si>
  <si>
    <t>SECURITY ENGINEERING PRINCIPLES</t>
  </si>
  <si>
    <t>SA-9</t>
  </si>
  <si>
    <t>EXTERNAL INFORMATION SYSTEM SERVICES</t>
  </si>
  <si>
    <t>SA-9(1)</t>
  </si>
  <si>
    <t>EXTERNAL INFORMATION SYSTEM SERVICES | RISK ASSESSMENTS / ORGANIZATIONAL APPROVALS</t>
  </si>
  <si>
    <t>SA-9(2)</t>
  </si>
  <si>
    <t>EXTERNAL INFORMATION SYSTEM SERVICES | IDENTIFICATION OF FUNCTIONS / PORTS / PROTOCOLS / SERVICES</t>
  </si>
  <si>
    <t>SA-9(3)</t>
  </si>
  <si>
    <t>EXTERNAL INFORMATION SYSTEM SERVICES | ESTABLISH / MAINTAIN TRUST RELATIONSHIP WITH PROVIDERS</t>
  </si>
  <si>
    <t>SA-9(4)</t>
  </si>
  <si>
    <t>EXTERNAL INFORMATION SYSTEM SERVICES | CONSISTENT INTERESTS OF CONSUMERS AND PROVIDERS</t>
  </si>
  <si>
    <t>SA-9(5)</t>
  </si>
  <si>
    <t>EXTERNAL INFORMATION SYSTEM SERVICES | PROCESSING, STORAGE, AND SERVICE LOCATION</t>
  </si>
  <si>
    <t>SC-1</t>
  </si>
  <si>
    <t xml:space="preserve">SYSTEM AND COMMUNICATIONS PROTECTION </t>
  </si>
  <si>
    <t>SC-10</t>
  </si>
  <si>
    <t>NETWORK DISCONNECT</t>
  </si>
  <si>
    <t>SC-11</t>
  </si>
  <si>
    <t>TRUSTED PATH</t>
  </si>
  <si>
    <t>SC-11(1)</t>
  </si>
  <si>
    <t>TRUSTED PATH | LOGICAL ISOLATION</t>
  </si>
  <si>
    <t>SC-12</t>
  </si>
  <si>
    <t>CRYPTOGRAPHIC KEY ESTABLISHMENT AND MANAGEMENT</t>
  </si>
  <si>
    <t>SC-12(1)</t>
  </si>
  <si>
    <t>CRYPTOGRAPHIC KEY ESTABLISHMENT AND MANAGEMENT | AVAILABILITY</t>
  </si>
  <si>
    <t>SC-12(2)</t>
  </si>
  <si>
    <t>CRYPTOGRAPHIC KEY ESTABLISHMENT AND MANAGEMENT | SYMMETRIC KEYS</t>
  </si>
  <si>
    <t>SC-12(3)</t>
  </si>
  <si>
    <t>CRYPTOGRAPHIC KEY ESTABLISHMENT AND MANAGEMENT | ASYMMETRIC KEYS</t>
  </si>
  <si>
    <t>SC-13</t>
  </si>
  <si>
    <t>CRYPTOGRAPHIC PROTECTION</t>
  </si>
  <si>
    <t>SC-15</t>
  </si>
  <si>
    <t>COLLABORATIVE COMPUTING DEVICES</t>
  </si>
  <si>
    <t>SC-15(1)</t>
  </si>
  <si>
    <t>COLLABORATIVE COMPUTING DEVICES | PHYSICAL DISCONNECT</t>
  </si>
  <si>
    <t>SC-15(3)</t>
  </si>
  <si>
    <t>COLLABORATIVE COMPUTING DEVICES |DISABLING / REMOVAL IN SECURE WORK AREAS</t>
  </si>
  <si>
    <t>SC-15(4)</t>
  </si>
  <si>
    <t>COLLABORATIVE COMPUTING DEVICES | EXPLICITLY INDICATE CURRENT PARTICIPANTS</t>
  </si>
  <si>
    <t>SC-16</t>
  </si>
  <si>
    <t>TRANSMISSION OF SECURITY ATTRIBUTES</t>
  </si>
  <si>
    <t>SC-16(1)</t>
  </si>
  <si>
    <t>TRANSMISSION OF SECURITY ATTRIBUTES | INTEGRITY VALIDATION</t>
  </si>
  <si>
    <t>SC-17</t>
  </si>
  <si>
    <t>PUBLIC KEY INFRASTRUCTURE CERTIFICATES</t>
  </si>
  <si>
    <t>SC-18</t>
  </si>
  <si>
    <t>MOBILE CODE</t>
  </si>
  <si>
    <t>SC-18(1)</t>
  </si>
  <si>
    <t>MOBILE CODE | IDENTIFY UNACCEPTABLE CODE / TAKE CORRECTION ACTIONS</t>
  </si>
  <si>
    <t>SC-18(2)</t>
  </si>
  <si>
    <t>MOBILE CODE | ACQUISITION / DEVELOPMENT / USE</t>
  </si>
  <si>
    <t>SC-18(3)</t>
  </si>
  <si>
    <t>MOBILE CODE | PREVENT DOWNLOADING / EXECUTION</t>
  </si>
  <si>
    <t>SC-18(4)</t>
  </si>
  <si>
    <t>MOBILE CODE | PREVENT AUTOMATIC EXECUTION</t>
  </si>
  <si>
    <t>SC-18(5)</t>
  </si>
  <si>
    <t>MOBILE CODE | ALLOW EXECUTION ONLY IN CONFINED ENVIRONMENTS</t>
  </si>
  <si>
    <t>SC-19</t>
  </si>
  <si>
    <t>VOICE OVER INTERNET PROTOCOL</t>
  </si>
  <si>
    <t>SC-2</t>
  </si>
  <si>
    <t>APPLICATION PARTITIONING</t>
  </si>
  <si>
    <t>SC-2(1)</t>
  </si>
  <si>
    <t>APPLICATION PARTITIONING | INTERFACES FOR NON-PRIVILEGED USERS</t>
  </si>
  <si>
    <t>SC-20</t>
  </si>
  <si>
    <t>SECURE NAME / ADDRESS RESOLUTION SERVICE (AUTHORITATIVE SOURCE)</t>
  </si>
  <si>
    <t>SC-20(2)</t>
  </si>
  <si>
    <t>SECURE NAME/ADDRESS RESOLUTION SERVICE (AUTHORITATIVE SOURCE) | DATA ORIGIN / DATA INTEGRITY</t>
  </si>
  <si>
    <t>SC-21</t>
  </si>
  <si>
    <t>SECURE NAME / ADDRESS RESOLUTION SERVICE (RECURSIVE OR CACHING RESOLVER)</t>
  </si>
  <si>
    <t>SC-22</t>
  </si>
  <si>
    <t>ARCHITECTURE AND PROVISIONING FOR NAME / ADDRESS RESOLUTION SERVICE</t>
  </si>
  <si>
    <t>SC-23</t>
  </si>
  <si>
    <t>SESSION AUTHENTICITY</t>
  </si>
  <si>
    <t>SC-23(1)</t>
  </si>
  <si>
    <t>SESSION AUTHENTICITY | INVALIDATE SESSION IDENTIFIERS AT LOGOUT</t>
  </si>
  <si>
    <t>SC-23(3)</t>
  </si>
  <si>
    <t>SESSION AUTHENTICITY | UNIQUE SESSION IDENTIFIERS WITH RANDOMIZATION</t>
  </si>
  <si>
    <t>SC-23(5)</t>
  </si>
  <si>
    <t>SESSION AUTHENTICITY | ALLOWED CERTIFICATE AUTHORITIES</t>
  </si>
  <si>
    <t>SC-24</t>
  </si>
  <si>
    <t>FAIL IN KNOWN STATE</t>
  </si>
  <si>
    <t>SC-25</t>
  </si>
  <si>
    <t>THIN NODES</t>
  </si>
  <si>
    <t>SC-26</t>
  </si>
  <si>
    <t>HONEY POTS</t>
  </si>
  <si>
    <t>SC-27</t>
  </si>
  <si>
    <t>PLATFORM-INDEPENDENT APPLICATIONS</t>
  </si>
  <si>
    <t>SC-28</t>
  </si>
  <si>
    <t>PROTECTION OF INFORMATION AT REST</t>
  </si>
  <si>
    <t>SC-28(1)</t>
  </si>
  <si>
    <t>PROTECTION OF INFORMATION AT REST | CRYPTOGRAPHIC PROTECTIONS</t>
  </si>
  <si>
    <t>SC-28(2)</t>
  </si>
  <si>
    <t>PROTECTION OF INFORMATION AT REST | OFF-LINE STORAGE</t>
  </si>
  <si>
    <t>SC-29</t>
  </si>
  <si>
    <t>HETEROGENEITY</t>
  </si>
  <si>
    <t>SC-29(1)</t>
  </si>
  <si>
    <t>HETEROGENEITY | VIRTUALIZATION TECHNIQUES</t>
  </si>
  <si>
    <t>SC-3</t>
  </si>
  <si>
    <t>SECURITY FUNCTION ISOLATION</t>
  </si>
  <si>
    <t>SC-3(1)</t>
  </si>
  <si>
    <t>SECURITY FUNCTION ISOLATION | HARDWARE SEPARATION</t>
  </si>
  <si>
    <t>SC-3(2)</t>
  </si>
  <si>
    <t>SECURITY FUNCTION ISOLATION | ACCESS/FLOW CONTROL FUNCTIONS</t>
  </si>
  <si>
    <t>SC-3(3)</t>
  </si>
  <si>
    <t>SECURITY FUNCTION ISOLATION | MINIMIZE NONSECURITY FUNCTIONALITY</t>
  </si>
  <si>
    <t>SC-3(4)</t>
  </si>
  <si>
    <t>SECURITY FUNCTION ISOLATION | MODULE COUPLING AND COHESIVENESS</t>
  </si>
  <si>
    <t>SC-3(5)</t>
  </si>
  <si>
    <t>SECURITY FUNCTION ISOLATION | LAYERED STRUCTURES</t>
  </si>
  <si>
    <t>SC-30</t>
  </si>
  <si>
    <t>CONCEALMENT AND MISDIRECTION</t>
  </si>
  <si>
    <t>SC-30(2)</t>
  </si>
  <si>
    <t>CONCEALMENT AND MISDIRECTION | RANDOMNESS</t>
  </si>
  <si>
    <t>SC-30(3)</t>
  </si>
  <si>
    <t>CONCEALMENT AND MISDIRECTION | CHANGE PROCESSING / STORAGE LOCATIONS</t>
  </si>
  <si>
    <t>SC-30(4)</t>
  </si>
  <si>
    <t>CONCEALMENT AND MISDIRECTION | MISLEADING INFORMATION</t>
  </si>
  <si>
    <t>SC-30(5)</t>
  </si>
  <si>
    <t>CONCEALMENT AND MISDIRECTION | CONCEALMENT OF SYSTEM COMPONENTS</t>
  </si>
  <si>
    <t>SC-31</t>
  </si>
  <si>
    <t>COVERT CHANNEL ANALYSIS</t>
  </si>
  <si>
    <t>SC-31(1)</t>
  </si>
  <si>
    <t>COVERT CHANNEL ANALYSIS | TEST COVERT CHANNELS FOR EXPLOITABILITY</t>
  </si>
  <si>
    <t>SC-31(2)</t>
  </si>
  <si>
    <t>COVERT CHANNEL ANALYSIS | MAXIMUM BANDWIDTH</t>
  </si>
  <si>
    <t>SC-31(3)</t>
  </si>
  <si>
    <t>COVERT CHANNEL ANALYSIS | MEASURE BANDWIDTH IN OPERATIONAL ENVIRONMENTS</t>
  </si>
  <si>
    <t>SC-32</t>
  </si>
  <si>
    <t>INFORMATION SYSTEM PARTITIONING</t>
  </si>
  <si>
    <t>SC-34</t>
  </si>
  <si>
    <t>NON-MODIFIABLE EXECUTABLE PROGRAMS</t>
  </si>
  <si>
    <t>SC-34(1)</t>
  </si>
  <si>
    <t>NON-MODIFIABLE EXECUTABLE PROGRAMS | NO WRITABLE STORAGE</t>
  </si>
  <si>
    <t>SC-34(2)</t>
  </si>
  <si>
    <t>NON-MODIFIABLE EXECUTABLE PROGRAMS | INTEGRITY PROTECTION/READ-ONLY MEDIA</t>
  </si>
  <si>
    <t>SC-34(3)</t>
  </si>
  <si>
    <t>NON-MODIFIABLE EXECUTABLE PROGRAMS | HARDWARE-BASED PROTECTION</t>
  </si>
  <si>
    <t>SC-35</t>
  </si>
  <si>
    <t>HONEYCLIENTS</t>
  </si>
  <si>
    <t>SC-36</t>
  </si>
  <si>
    <t>DISTRIBUTED PROCESSING AND STORAGE</t>
  </si>
  <si>
    <t>SC-36(1)</t>
  </si>
  <si>
    <t>DISTRIBUTED PROCESSING AND STORAGE | POLLING TECHNIQUES</t>
  </si>
  <si>
    <t>SC-37</t>
  </si>
  <si>
    <t>OUT-OF-BAND CHANNELS</t>
  </si>
  <si>
    <t>SC-37(1)</t>
  </si>
  <si>
    <t>OUT-OF-BAND CHANNELS | ENSURE DELIVERY / TRANSMISSION</t>
  </si>
  <si>
    <t>SC-38</t>
  </si>
  <si>
    <t>OPERATIONS SECURITY</t>
  </si>
  <si>
    <t>SC-39</t>
  </si>
  <si>
    <t>PROCESS ISOLATION</t>
  </si>
  <si>
    <t>SC-39(1)</t>
  </si>
  <si>
    <t>PROCESS ISOLATION | HARDWARE SEPARATION</t>
  </si>
  <si>
    <t>SC-39(2)</t>
  </si>
  <si>
    <t>PROCESS ISOLATION | THREAD ISOLATION</t>
  </si>
  <si>
    <t>SC-4</t>
  </si>
  <si>
    <t>INFORMATION IN SHARED RESOURCES</t>
  </si>
  <si>
    <t>SC-4(2)</t>
  </si>
  <si>
    <t>INFORMATION IN SHARED RESOURCES | PERIODS PROCESSING</t>
  </si>
  <si>
    <t>SC-40</t>
  </si>
  <si>
    <t>WIRELESS LINK PROTECTION</t>
  </si>
  <si>
    <t>SC-40(1)</t>
  </si>
  <si>
    <t>WIRELESS LINK PROTECTION | ELECTROMAGNETIC INTERFERENCE</t>
  </si>
  <si>
    <t>SC-40(2)</t>
  </si>
  <si>
    <t>WIRELESS LINK PROTECTION | REDUCE DETECTION POTENTIAL</t>
  </si>
  <si>
    <t>SC-40(3)</t>
  </si>
  <si>
    <t>WIRELESS LINK PROTECTION | IMITATIVE OR MANIPULATIVE COMMUNICATIONS DECEPTION</t>
  </si>
  <si>
    <t>SC-40(4)</t>
  </si>
  <si>
    <t>WIRELESS LINK PROTECTION | SIGNAL PARAMETER IDENTIFICATION</t>
  </si>
  <si>
    <t>SC-41</t>
  </si>
  <si>
    <t>PORT AND I/O DEVICE ACCESS</t>
  </si>
  <si>
    <t>SC-42</t>
  </si>
  <si>
    <t>SENSOR CAPABILITY AND DATA</t>
  </si>
  <si>
    <t>SC-42(1)</t>
  </si>
  <si>
    <t>SENSOR CAPABILITY AND DATA | REPORTING TO AUTHORIZED INDIVIDUALS OR ROLES</t>
  </si>
  <si>
    <t>SC-42(2)</t>
  </si>
  <si>
    <t>SENSOR CAPABILITY AND DATA | AUTHORIZED USE</t>
  </si>
  <si>
    <t>SC-42(3)</t>
  </si>
  <si>
    <t>SENSOR CAPABILITY AND DATA | PROHIBIT USE OF DEVICES</t>
  </si>
  <si>
    <t>SC-43</t>
  </si>
  <si>
    <t>USAGE RESTRICTIONS</t>
  </si>
  <si>
    <t>SC-44</t>
  </si>
  <si>
    <t>DETONATION CHAMBERS</t>
  </si>
  <si>
    <t>SC-5</t>
  </si>
  <si>
    <t>DENIAL OF SERVICE PROTECTION</t>
  </si>
  <si>
    <t>SC-5(1)</t>
  </si>
  <si>
    <t>DENIAL OF SERVICE PROTECTION | RESTRICT INTERNAL USERS</t>
  </si>
  <si>
    <t>SC-5(2)</t>
  </si>
  <si>
    <t>DENIAL OF SERVICE PROTECTION | EXCESS CAPACITY / BANDWIDTH / REDUNDANCY</t>
  </si>
  <si>
    <t>SC-5(3)</t>
  </si>
  <si>
    <t>DENIAL OF SERVICE PROTECTION | DETECTION / MONITORING</t>
  </si>
  <si>
    <t>SC-6</t>
  </si>
  <si>
    <t>RESOURCE AVAILABILITY</t>
  </si>
  <si>
    <t>SC-7</t>
  </si>
  <si>
    <t>BOUNDARY PROTECTION</t>
  </si>
  <si>
    <t>SC-7(1)</t>
  </si>
  <si>
    <t>BOUNDARY PROTECTION | PHYSICALLY SEPARATED SUBNETWORKS</t>
  </si>
  <si>
    <t>SC-7(10)</t>
  </si>
  <si>
    <t>BOUNDARY PROTECTION | PREVENT UNAUTHORIZED EXFILTRATION</t>
  </si>
  <si>
    <t>SC-7(11)</t>
  </si>
  <si>
    <t>BOUNDARY PROTECTION | RESTRICT INCOMING COMMUNICATIONS TRAFFIC</t>
  </si>
  <si>
    <t>SC-7(12)</t>
  </si>
  <si>
    <t>BOUNDARY PROTECTION | HOST-BASED PROTECTION</t>
  </si>
  <si>
    <t>SC-7(13)</t>
  </si>
  <si>
    <t>BOUNDARY PROTECTION | ISOLATION OF SECURITY TOOLS / MECHANISMS / SUPPORT COMPONENTS</t>
  </si>
  <si>
    <t>SC-7(14)</t>
  </si>
  <si>
    <t>BOUNDARY PROTECTION | PROTECTS AGAINST UNAUTHORIZED PHYSICAL CONNECTIONS</t>
  </si>
  <si>
    <t>SC-7(15)</t>
  </si>
  <si>
    <t>BOUNDARY PROTECTION | ROUTE PRIVILEGED NETWORK ACCESSES</t>
  </si>
  <si>
    <t>SC-7(16)</t>
  </si>
  <si>
    <t>BOUNDARY PROTECTION | PREVENT DISCOVERY OF COMPONENTS / DEVICES</t>
  </si>
  <si>
    <t>SC-7(17)</t>
  </si>
  <si>
    <t>BOUNDARY PROTECTION | AUTOMATED ENFORCEMENT OF PROTOCOL FORMATS</t>
  </si>
  <si>
    <t>SC-7(18)</t>
  </si>
  <si>
    <t>BOUNDARY PROTECTION | FAIL SECURE</t>
  </si>
  <si>
    <t>SC-7(19)</t>
  </si>
  <si>
    <t>BOUNDARY PROTECTION | BLOCKS COMMUNICATION FROM NON-ORGANIZATIONALLY CONFIGURED HOSTS</t>
  </si>
  <si>
    <t>SC-7(2)</t>
  </si>
  <si>
    <t>BOUNDARY PROTECTION | PUBLIC ACCESS</t>
  </si>
  <si>
    <t>SC-7(20)</t>
  </si>
  <si>
    <t>BOUNDARY PROTECTION | DYNAMIC ISOLATION / SEGREGATION</t>
  </si>
  <si>
    <t>SC-7(21)</t>
  </si>
  <si>
    <t>BOUNDARY PROTECTION | ISOLATION OF INFORMATION SYSTEM COMPONENTS</t>
  </si>
  <si>
    <t>SC-7(22)</t>
  </si>
  <si>
    <t>BOUNDARY PROTECTION | SEPARATE SUBNETS FOR CONNECTING TO DIFFERENT SECURITY DOMAINS</t>
  </si>
  <si>
    <t>SC-7(23)</t>
  </si>
  <si>
    <t>BOUNDARY PROTECTION | DISABLE SENDER FEEDBACK ON PROTOCOL VALIDATION FAILURE</t>
  </si>
  <si>
    <t>SC-7(3)</t>
  </si>
  <si>
    <t>BOUNDARY PROTECTION | ACCESS POINTS</t>
  </si>
  <si>
    <t>SC-7(4)</t>
  </si>
  <si>
    <t>BOUNDARY PROTECTION | EXTERNAL TELECOMMUNICATIONS SERVICES</t>
  </si>
  <si>
    <t>SC-7(5)</t>
  </si>
  <si>
    <t>BOUNDARY PROTECTION | DENY BY DEFAULT / ALLOW BY EXCEPTION</t>
  </si>
  <si>
    <t>SC-7(6)</t>
  </si>
  <si>
    <t>BOUNDARY PROTECTION | RESPONSE TO RECOGNIZED FAILURES</t>
  </si>
  <si>
    <t>SC-7(7)</t>
  </si>
  <si>
    <t>BOUNDARY PROTECTION | PREVENT SPLIT TUNNELING FOR REMOTE DEVICES</t>
  </si>
  <si>
    <t>SC-7(8)</t>
  </si>
  <si>
    <t>BOUNDARY PROTECTION | ROUTE TRAFFIC TO AUTHENTICATED PROXY SERVERS</t>
  </si>
  <si>
    <t>SC-7(9)</t>
  </si>
  <si>
    <t>BOUNDARY PROTECTION | RESTRICT THREATENING OUTGOING COMMUNICATIONS TRAFFIC</t>
  </si>
  <si>
    <t>SC-8</t>
  </si>
  <si>
    <t>TRANSMISSION CONFIDENTIALITY AND INTEGRITY</t>
  </si>
  <si>
    <t>SC-8(1)</t>
  </si>
  <si>
    <t>TRANSMISSION CONFIDENTIALITY AND INTEGRITY | CRYPTOGRAPHIC OR ALTERNATE PHYSICAL PROTECTION</t>
  </si>
  <si>
    <t>SC-8(2)</t>
  </si>
  <si>
    <t>TRANSMISSION CONFIDENTIALITY AND INTEGRITY | PRE / POST TRANSMISSION HANDLING</t>
  </si>
  <si>
    <t>SC-8(3)</t>
  </si>
  <si>
    <t>TRANSMISSION CONFIDENTIALITY AND INTEGRITY | CRYPTOGRAPHIC PROTECTION FOR MESSAGE EXTERNALS</t>
  </si>
  <si>
    <t>SC-8(4)</t>
  </si>
  <si>
    <t>TRANSMISSION CONFIDENTIALITY AND INTEGRITY | CONCEAL / RANDOMIZE COMMUNICATIONS</t>
  </si>
  <si>
    <t>SE-1</t>
  </si>
  <si>
    <t>INVENTORY OF PERSONALLY IDENTIFIABLE INFORMATION</t>
  </si>
  <si>
    <t>SE-2</t>
  </si>
  <si>
    <t>PRIVACY INCIDENT RESPONSE</t>
  </si>
  <si>
    <t>SI-1</t>
  </si>
  <si>
    <t xml:space="preserve">SYSTEM AND INFORMATION INTEGRITY </t>
  </si>
  <si>
    <t>SI-10</t>
  </si>
  <si>
    <t>INFORMATION INPUT VALIDATION</t>
  </si>
  <si>
    <t>SI-10(1)</t>
  </si>
  <si>
    <t>INFORMATION INPUT VALIDATION | MANUAL OVERRIDE CAPABILITY</t>
  </si>
  <si>
    <t>SI-10(2)</t>
  </si>
  <si>
    <t>INFORMATION INPUT VALIDATION | REVIEW / RESOLUTION OF ERRORS</t>
  </si>
  <si>
    <t>SI-10(3)</t>
  </si>
  <si>
    <t>INFORMATION INPUT VALIDATION | PREDICTABLE BEHAVIOR</t>
  </si>
  <si>
    <t>SI-10(4)</t>
  </si>
  <si>
    <t>INFORMATION INPUT VALIDATION | REVIEW / TIMING INTERACTIONS</t>
  </si>
  <si>
    <t>SI-10(5)</t>
  </si>
  <si>
    <t>INFORMATION INPUT VALIDATION | RESTRICT INPUTS TO TRUSTED SOURCES AND APPROVED FORMATS</t>
  </si>
  <si>
    <t>SI-11</t>
  </si>
  <si>
    <t>ERROR HANDLING</t>
  </si>
  <si>
    <t>SI-12</t>
  </si>
  <si>
    <t>INFORMATION HANDLING AND RETENTION</t>
  </si>
  <si>
    <t>SI-13</t>
  </si>
  <si>
    <t>PREDICTABLE FAILURE PREVENTION</t>
  </si>
  <si>
    <t>SI-13(1)</t>
  </si>
  <si>
    <t>PREDICTABLE FAILURE PREVENTION | TRANSFERRING COMPONENT RESPONSIBILITIES</t>
  </si>
  <si>
    <t>SI-13(3)</t>
  </si>
  <si>
    <t>PREDICTABLE FAILURE PREVENTION | MANUAL TRANSFER BETWEEN COMPONENTS</t>
  </si>
  <si>
    <t>SI-13(4)</t>
  </si>
  <si>
    <t>PREDICTABLE FAILURE PREVENTION | STANDBY COMPONENT INSTALLATION / NOTIFICATION</t>
  </si>
  <si>
    <t>SI-13(5)</t>
  </si>
  <si>
    <t>PREDICTABLE FAILURE PREVENTION | FAILOVER CAPABILITY</t>
  </si>
  <si>
    <t>SI-14</t>
  </si>
  <si>
    <t>NON-PERSISTENCE</t>
  </si>
  <si>
    <t>SI-14(1)</t>
  </si>
  <si>
    <t>NON-PERSISTENCE | REFRESH FROM TRUSTED SOURCES</t>
  </si>
  <si>
    <t>SI-15</t>
  </si>
  <si>
    <t>INFORMATION OUTPUT FILTERING</t>
  </si>
  <si>
    <t>SI-16</t>
  </si>
  <si>
    <t>MEMORY PROTECTION</t>
  </si>
  <si>
    <t>SI-17</t>
  </si>
  <si>
    <t>FAIL-SAFE PROCEDURES</t>
  </si>
  <si>
    <t>SI-2</t>
  </si>
  <si>
    <t>FLAW REMEDIATION</t>
  </si>
  <si>
    <t>SI-2(1)</t>
  </si>
  <si>
    <t>FLAW REMEDIATION | CENTRAL MANAGEMENT</t>
  </si>
  <si>
    <t>SI-2(2)</t>
  </si>
  <si>
    <t>FLAW REMEDIATION | AUTOMATED FLAW REMEDIATION STATUS</t>
  </si>
  <si>
    <t>SI-2(3)</t>
  </si>
  <si>
    <t>FLAW REMEDIATION | TIME TO REMEDIATE FLAWS / BENCHMARKS FOR CORRECTION ACTIONS</t>
  </si>
  <si>
    <t>SI-2(5)</t>
  </si>
  <si>
    <t>FLAW REMEDIATION | AUTOMATIC SOFTWARE / FIRMWARE UPDATES</t>
  </si>
  <si>
    <t>SI-2(6)</t>
  </si>
  <si>
    <t>FLAW REMEDIATION | REMOVAL OF PREVIOUS VERSIONS OF SOFTWARE / FIRMWARE</t>
  </si>
  <si>
    <t>SI-3</t>
  </si>
  <si>
    <t>MALICIOUS CODE PROTECTION</t>
  </si>
  <si>
    <t>SI-3(1)</t>
  </si>
  <si>
    <t>MALICIOUS CODE PROTECTION | CENTRAL MANAGEMENT</t>
  </si>
  <si>
    <t>SI-3(10)</t>
  </si>
  <si>
    <t>MALICIOUS CODE PROTECTION | MALICIOUS CODE ANALYSIS</t>
  </si>
  <si>
    <t>SI-3(2)</t>
  </si>
  <si>
    <t>MALICIOUS CODE PROTECTION | AUTOMATIC UPDATES</t>
  </si>
  <si>
    <t>SI-3(4)</t>
  </si>
  <si>
    <t>MALICIOUS CODE PROTECTION | UPDATES ONLY BY PRIVILEGED USERS</t>
  </si>
  <si>
    <t>SI-3(6)</t>
  </si>
  <si>
    <t>MALICIOUS CODE PROTECTION | TESTING / VERIFICATION</t>
  </si>
  <si>
    <t>SI-3(7)</t>
  </si>
  <si>
    <t>MALICIOUS CODE PROTECTION | NONSIGNATURE-BASED DETECTION</t>
  </si>
  <si>
    <t>SI-3(8)</t>
  </si>
  <si>
    <t>MALICIOUS CODE PROTECTION | DETECT UNAUTHORIZED COMMANDS</t>
  </si>
  <si>
    <t>SI-3(9)</t>
  </si>
  <si>
    <t>MALICIOUS CODE PROTECTION | AUTHENTICATE REMOTE COMMANDS</t>
  </si>
  <si>
    <t>SI-4</t>
  </si>
  <si>
    <t>INFORMATION SYSTEM MONITORING</t>
  </si>
  <si>
    <t>SI-4(1)</t>
  </si>
  <si>
    <t>INFORMATION SYSTEM MONITORING | SYSTEM-WIDE INTRUSION DETECTION SYSTEM</t>
  </si>
  <si>
    <t>SI-4(10)</t>
  </si>
  <si>
    <t>INFORMATION SYSTEM MONITORING | VISIBILITY OF ENCRYPTED COMMUNICATIONS</t>
  </si>
  <si>
    <t>SI-4(11)</t>
  </si>
  <si>
    <t>INFORMATION SYSTEM MONITORING | ANALYZE COMMUNICATIONS TRAFFIC ANOMALIES</t>
  </si>
  <si>
    <t>SI-4(12)</t>
  </si>
  <si>
    <t>INFORMATION SYSTEM MONITORING | AUTOMATED ALERTS</t>
  </si>
  <si>
    <t>SI-4(13)</t>
  </si>
  <si>
    <t>INFORMATION SYSTEM MONITORING | ANALYZE TRAFFIC/EVENT PATTERNS</t>
  </si>
  <si>
    <t>SI-4(14)</t>
  </si>
  <si>
    <t>INFORMATION SYSTEM MONITORING | WIRELESS INTRUSION DETECTION</t>
  </si>
  <si>
    <t>SI-4(15)</t>
  </si>
  <si>
    <t>INFORMATION SYSTEM MONITORING | WIRELESS TO WIRELINE COMMUNICATIONS</t>
  </si>
  <si>
    <t>SI-4(16)</t>
  </si>
  <si>
    <t>INFORMATION SYSTEM MONITORING | CORRELATE MONITORING INFORMATION</t>
  </si>
  <si>
    <t>SI-4(17)</t>
  </si>
  <si>
    <t>INFORMATION SYSTEM MONITORING | INTEGRATED SITUATIONAL AWARENESS</t>
  </si>
  <si>
    <t>SI-4(18)</t>
  </si>
  <si>
    <t>INFORMATION SYSTEM MONITORING | ANALYZE TRAFFIC / COVERT EXFILTRATION</t>
  </si>
  <si>
    <t>SI-4(19)</t>
  </si>
  <si>
    <t>INFORMATION SYSTEM MONITORING | INDIVIDUALS POSING GREATER RISK</t>
  </si>
  <si>
    <t>SI-4(2)</t>
  </si>
  <si>
    <t>INFORMATION SYSTEM MONITORING | AUTOMATED TOOLS FOR REAL-TIME ANALYSIS</t>
  </si>
  <si>
    <t>SI-4(20)</t>
  </si>
  <si>
    <t>INFORMATION SYSTEM MONITORING | PRIVILEGED USERS</t>
  </si>
  <si>
    <t>SI-4(21)</t>
  </si>
  <si>
    <t>INFORMATION SYSTEM MONITORING | PROBATIONARY PERIODS</t>
  </si>
  <si>
    <t>SI-4(22)</t>
  </si>
  <si>
    <t>INFORMATION SYSTEM MONITORING | UNAUTHORIZED NETWORK SERVICES</t>
  </si>
  <si>
    <t>SI-4(23)</t>
  </si>
  <si>
    <t>INFORMATION SYSTEM MONITORING | HOST-BASED DEVICES</t>
  </si>
  <si>
    <t>SI-4(24)</t>
  </si>
  <si>
    <t>INFORMATION SYSTEM MONITORING | INDICATORS OF COMPROMISE</t>
  </si>
  <si>
    <t>SI-4(3)</t>
  </si>
  <si>
    <t>INFORMATION SYSTEM MONITORING | AUTOMATED TOOL INTEGRATION</t>
  </si>
  <si>
    <t>SI-4(4)</t>
  </si>
  <si>
    <t>INFORMATION SYSTEM MONITORING | INBOUND AND OUTBOUND COMMUNICATIONS TRAFFIC</t>
  </si>
  <si>
    <t>SI-4(5)</t>
  </si>
  <si>
    <t>INFORMATION SYSTEM MONITORING | SYSTEM-GENERATED ALERTS</t>
  </si>
  <si>
    <t>SI-4(7)</t>
  </si>
  <si>
    <t>INFORMATION SYSTEM MONITORING | AUTOMATED RESPONSE TO SUSPICIOUS EVENTS</t>
  </si>
  <si>
    <t>SI-4(9)</t>
  </si>
  <si>
    <t>INFORMATION SYSTEM MONITORING | TESTING OF MONITORING TOOLS</t>
  </si>
  <si>
    <t>SI-5</t>
  </si>
  <si>
    <t>SECURITY ALERTS, ADVISORIES, AND DIRECTIVES</t>
  </si>
  <si>
    <t>SI-5(1)</t>
  </si>
  <si>
    <t>SECURITY ALERTS, ADVISORIES, AND DIRECTIVES | AUTOMATED ALERTS AND ADVISORIES</t>
  </si>
  <si>
    <t>SI-6</t>
  </si>
  <si>
    <t>SECURITY FUNCTION VERIFICATION</t>
  </si>
  <si>
    <t>SI-6(2)</t>
  </si>
  <si>
    <t>SECURITY FUNCTION VERIFICATION | AUTOMATION SUPPORT FOR DISTRIBUTED TESTING</t>
  </si>
  <si>
    <t>SI-6(3)</t>
  </si>
  <si>
    <t>SECURITY FUNCTION VERIFICATION | REPORT VERIFICATION RESULTS</t>
  </si>
  <si>
    <t>SI-7</t>
  </si>
  <si>
    <t>SOFTWARE, FIRMWARE, AND INFORMATION INTEGRITY</t>
  </si>
  <si>
    <t>SI-7(1)</t>
  </si>
  <si>
    <t>SOFTWARE, FIRMWARE, AND INFORMATION INTEGRITY | INTEGRITY CHECKS</t>
  </si>
  <si>
    <t>SI-7(10)</t>
  </si>
  <si>
    <t>SOFTWARE, FIRMWARE, AND INFORMATION INTEGRITY | PROTECTION OF BOOT SOFTWARE</t>
  </si>
  <si>
    <t>SI-7(11)</t>
  </si>
  <si>
    <t>SOFTWARE, FIRMWARE, AND INFORMATION INTEGRITY | CONFINED ENVIRONMENTS WITH LIMITED PRIVILEGES</t>
  </si>
  <si>
    <t>SI-7(12)</t>
  </si>
  <si>
    <t>SOFTWARE, FIRMWARE, AND INFORMATION INTEGRITY | INTEGRITY VERIFICATION</t>
  </si>
  <si>
    <t>SI-7(13)</t>
  </si>
  <si>
    <t>SOFTWARE, FIRMWARE, AND INFORMATION INTEGRITY | CODE EXECUTION IN PROTECTED ENVIRONMENTS</t>
  </si>
  <si>
    <t>SI-7(14)</t>
  </si>
  <si>
    <t>SOFTWARE, FIRMWARE, AND INFORMATION INTEGRITY | BINARY OR MACHINE EXECUTABLE CODE</t>
  </si>
  <si>
    <t>SI-7(15)</t>
  </si>
  <si>
    <t>SOFTWARE, FIRMWARE, AND INFORMATION INTEGRITY | CODE AUTHENTICATION</t>
  </si>
  <si>
    <t>SI-7(16)</t>
  </si>
  <si>
    <t>SOFTWARE, FIRMWARE, AND INFORMATION INTEGRITY | TIME LIMIT ON PROCESS EXECUTION WITHOUT SUPERVISION</t>
  </si>
  <si>
    <t>SI-7(2)</t>
  </si>
  <si>
    <t>SOFTWARE, FIRMWARE, AND INFORMATION INTEGRITY | AUTOMATED NOTIFICATIONS OF INTEGRITY VIOLATIONS</t>
  </si>
  <si>
    <t>SI-7(3)</t>
  </si>
  <si>
    <t>SOFTWARE, FIRMWARE, AND INFORMATION INTEGRITY | CENTRALLY-MANAGED INTEGRITY TOOLS</t>
  </si>
  <si>
    <t>SI-7(5)</t>
  </si>
  <si>
    <t>SOFTWARE, FIRMWARE, AND INFORMATION INTEGRITY | AUTOMATED RESPONSE TO INTEGRITY VIOLATIONS</t>
  </si>
  <si>
    <t>SI-7(6)</t>
  </si>
  <si>
    <t>SOFTWARE, FIRMWARE, AND INFORMATION INTEGRITY | CRYPTOGRAPHIC PROTECTION</t>
  </si>
  <si>
    <t>SI-7(7)</t>
  </si>
  <si>
    <t>SOFTWARE, FIRMWARE, AND INFORMATION INTEGRITY | INTEGRATION OF DETECTION AND RESPONSE</t>
  </si>
  <si>
    <t>SI-7(8)</t>
  </si>
  <si>
    <t>SOFTWARE, FIRMWARE, AND INFORMATION INTEGRITY | AUDITING CAPABILITY FOR SIGNIFICANT EVENTS</t>
  </si>
  <si>
    <t>SI-7(9)</t>
  </si>
  <si>
    <t>SOFTWARE, FIRMWARE, AND INFORMATION INTEGRITY | VERIFY BOOT PROCESS</t>
  </si>
  <si>
    <t>SI-8</t>
  </si>
  <si>
    <t>SPAM PROTECTION</t>
  </si>
  <si>
    <t>SI-8(1)</t>
  </si>
  <si>
    <t>SPAM PROTECTION | CENTRAL MANAGEMENT</t>
  </si>
  <si>
    <t>SI-8(2)</t>
  </si>
  <si>
    <t>SPAM PROTECTION | AUTOMATIC UPDATES</t>
  </si>
  <si>
    <t>SI-8(3)</t>
  </si>
  <si>
    <t>SPAM PROTECTION | CONTINUOUS LEARNING CAPABILITY</t>
  </si>
  <si>
    <t>TR-1</t>
  </si>
  <si>
    <t>PRIVACY NOTICE</t>
  </si>
  <si>
    <t>TR-1(1)</t>
  </si>
  <si>
    <t>PRIVACY NOTICE | REAL-TIME OR LAYERED NOTICE</t>
  </si>
  <si>
    <t>TR-2</t>
  </si>
  <si>
    <t>SYSTEM OF RECORDS NOTICES AND PRIVACY ACT STATEMENTS</t>
  </si>
  <si>
    <t>TR-2(1)</t>
  </si>
  <si>
    <t>SYSTEM OF RECORDS NOTICES AND PRIVACY ACT STATEMENTS | PUBLIC WEBSITE PUBLICATION</t>
  </si>
  <si>
    <t>TR-3</t>
  </si>
  <si>
    <t>DISSEMINATION OF PRIVACY PROGRAM INFORMATION</t>
  </si>
  <si>
    <t>UL-1</t>
  </si>
  <si>
    <t>INTERNAL USE</t>
  </si>
  <si>
    <t>UL-2</t>
  </si>
  <si>
    <t>INFORMATION SHARING WITH THIRD PARTIES</t>
  </si>
  <si>
    <t>STN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</si>
</sst>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_(* #,##0_);_(* \(#,##0\);_(* &quot;-&quot;??_);_(@_)"/>
    <numFmt numFmtId="166" formatCode="0.0%"/>
    <numFmt numFmtId="167" formatCode="0.000%"/>
  </numFmts>
  <fonts count="25" x14ac:knownFonts="1">
    <font>
      <sz val="12"/>
      <color theme="1"/>
      <name val="Calibri"/>
      <family val="2"/>
      <scheme val="minor"/>
    </font>
    <font>
      <sz val="11"/>
      <color theme="1"/>
      <name val="Calibri"/>
      <family val="2"/>
      <scheme val="minor"/>
    </font>
    <font>
      <sz val="12"/>
      <color theme="1"/>
      <name val="Times New Roman"/>
      <family val="1"/>
    </font>
    <font>
      <b/>
      <sz val="12"/>
      <color theme="1"/>
      <name val="Calibri"/>
      <family val="2"/>
      <scheme val="minor"/>
    </font>
    <font>
      <sz val="12"/>
      <color theme="1"/>
      <name val="Calibri"/>
      <family val="2"/>
      <scheme val="minor"/>
    </font>
    <font>
      <b/>
      <sz val="12"/>
      <name val="Arial"/>
      <family val="2"/>
    </font>
    <font>
      <sz val="10"/>
      <name val="Arial"/>
      <family val="2"/>
    </font>
    <font>
      <b/>
      <sz val="9"/>
      <color indexed="81"/>
      <name val="Tahoma"/>
      <family val="2"/>
    </font>
    <font>
      <sz val="9"/>
      <color indexed="81"/>
      <name val="Tahoma"/>
      <family val="2"/>
    </font>
    <font>
      <b/>
      <sz val="14"/>
      <color theme="1"/>
      <name val="Arial"/>
      <family val="2"/>
    </font>
    <font>
      <u/>
      <sz val="12"/>
      <color theme="1"/>
      <name val="Calibri"/>
      <family val="2"/>
      <scheme val="minor"/>
    </font>
    <font>
      <b/>
      <sz val="18"/>
      <name val="Arial"/>
      <family val="2"/>
    </font>
    <font>
      <sz val="18"/>
      <color rgb="FFFFFFFF"/>
      <name val="Arial"/>
      <family val="2"/>
    </font>
    <font>
      <sz val="18"/>
      <color theme="1"/>
      <name val="Arial"/>
      <family val="2"/>
    </font>
    <font>
      <sz val="12"/>
      <color rgb="FF000000"/>
      <name val="Calibri"/>
      <family val="2"/>
      <scheme val="minor"/>
    </font>
    <font>
      <sz val="10"/>
      <color theme="1"/>
      <name val="Calibri"/>
      <family val="2"/>
      <scheme val="minor"/>
    </font>
    <font>
      <sz val="12"/>
      <name val="Calibri"/>
      <family val="2"/>
      <scheme val="minor"/>
    </font>
    <font>
      <sz val="36"/>
      <name val="Calibri"/>
      <family val="2"/>
      <scheme val="minor"/>
    </font>
    <font>
      <sz val="8"/>
      <color theme="1"/>
      <name val="Calibri"/>
      <family val="2"/>
      <scheme val="minor"/>
    </font>
    <font>
      <sz val="20"/>
      <color theme="1"/>
      <name val="Calibri"/>
      <family val="2"/>
      <scheme val="minor"/>
    </font>
    <font>
      <b/>
      <u/>
      <sz val="20"/>
      <color theme="1"/>
      <name val="Calibri"/>
      <family val="2"/>
      <scheme val="minor"/>
    </font>
    <font>
      <sz val="12"/>
      <color rgb="FFFFFFFF"/>
      <name val="Calibri"/>
      <family val="2"/>
      <scheme val="minor"/>
    </font>
    <font>
      <b/>
      <sz val="14"/>
      <name val="Calibri"/>
      <family val="2"/>
      <scheme val="minor"/>
    </font>
    <font>
      <u/>
      <sz val="12"/>
      <color theme="10"/>
      <name val="Calibri"/>
      <family val="2"/>
      <scheme val="minor"/>
    </font>
    <font>
      <b/>
      <sz val="16"/>
      <color theme="1"/>
      <name val="Calibri"/>
      <family val="2"/>
      <scheme val="minor"/>
    </font>
  </fonts>
  <fills count="16">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5ABA5A"/>
        <bgColor indexed="64"/>
      </patternFill>
    </fill>
    <fill>
      <patternFill patternType="gray125">
        <bgColor theme="0" tint="-0.14996795556505021"/>
      </patternFill>
    </fill>
    <fill>
      <patternFill patternType="solid">
        <fgColor rgb="FF00B0F0"/>
        <bgColor indexed="64"/>
      </patternFill>
    </fill>
    <fill>
      <patternFill patternType="solid">
        <fgColor theme="0" tint="-4.9989318521683403E-2"/>
        <bgColor indexed="64"/>
      </patternFill>
    </fill>
    <fill>
      <patternFill patternType="solid">
        <fgColor theme="7"/>
        <bgColor indexed="64"/>
      </patternFill>
    </fill>
    <fill>
      <patternFill patternType="solid">
        <fgColor rgb="FFFFFF7D"/>
        <bgColor indexed="64"/>
      </patternFill>
    </fill>
    <fill>
      <patternFill patternType="solid">
        <fgColor rgb="FFFF3333"/>
        <bgColor indexed="64"/>
      </patternFill>
    </fill>
    <fill>
      <patternFill patternType="solid">
        <fgColor theme="9"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thin">
        <color indexed="64"/>
      </right>
      <top/>
      <bottom/>
      <diagonal/>
    </border>
    <border>
      <left style="thin">
        <color indexed="64"/>
      </left>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auto="1"/>
      </left>
      <right style="medium">
        <color auto="1"/>
      </right>
      <top style="medium">
        <color auto="1"/>
      </top>
      <bottom/>
      <diagonal/>
    </border>
  </borders>
  <cellStyleXfs count="6">
    <xf numFmtId="0" fontId="0" fillId="0" borderId="0"/>
    <xf numFmtId="43" fontId="4" fillId="0" borderId="0" applyFont="0" applyFill="0" applyBorder="0" applyAlignment="0" applyProtection="0"/>
    <xf numFmtId="9" fontId="4" fillId="0" borderId="0" applyFont="0" applyFill="0" applyBorder="0" applyAlignment="0" applyProtection="0"/>
    <xf numFmtId="0" fontId="1" fillId="0" borderId="0"/>
    <xf numFmtId="9" fontId="1" fillId="0" borderId="0" applyFont="0" applyFill="0" applyBorder="0" applyAlignment="0" applyProtection="0"/>
    <xf numFmtId="0" fontId="23" fillId="0" borderId="0" applyNumberFormat="0" applyFill="0" applyBorder="0" applyAlignment="0" applyProtection="0"/>
  </cellStyleXfs>
  <cellXfs count="297">
    <xf numFmtId="0" fontId="0" fillId="0" borderId="0" xfId="0"/>
    <xf numFmtId="0" fontId="0" fillId="0" borderId="0" xfId="0" applyFont="1" applyBorder="1" applyAlignment="1"/>
    <xf numFmtId="0" fontId="0" fillId="0" borderId="0" xfId="0" applyFont="1" applyBorder="1"/>
    <xf numFmtId="0" fontId="0" fillId="0" borderId="0" xfId="0" applyFont="1" applyFill="1" applyBorder="1" applyAlignment="1"/>
    <xf numFmtId="0" fontId="0" fillId="0" borderId="0" xfId="0" applyFont="1" applyFill="1" applyBorder="1"/>
    <xf numFmtId="0" fontId="0" fillId="0" borderId="0" xfId="0" applyFont="1" applyFill="1" applyBorder="1" applyAlignment="1">
      <alignment horizontal="center" vertical="center"/>
    </xf>
    <xf numFmtId="2" fontId="0" fillId="0" borderId="0" xfId="0" applyNumberFormat="1" applyBorder="1" applyAlignment="1"/>
    <xf numFmtId="0" fontId="5" fillId="0" borderId="0" xfId="0" applyFont="1" applyAlignment="1">
      <alignment horizontal="right" vertical="center" wrapText="1"/>
    </xf>
    <xf numFmtId="9" fontId="0" fillId="0" borderId="0" xfId="2" applyFont="1" applyBorder="1" applyAlignment="1"/>
    <xf numFmtId="9" fontId="6" fillId="0" borderId="0" xfId="2" applyFont="1" applyBorder="1" applyAlignment="1">
      <alignment horizontal="center" wrapText="1"/>
    </xf>
    <xf numFmtId="10" fontId="0" fillId="0" borderId="0" xfId="2" applyNumberFormat="1" applyFont="1" applyBorder="1" applyAlignment="1">
      <alignment vertical="center"/>
    </xf>
    <xf numFmtId="43" fontId="0" fillId="0" borderId="0" xfId="1" applyFont="1" applyBorder="1" applyAlignment="1">
      <alignment horizontal="center" vertical="center"/>
    </xf>
    <xf numFmtId="0" fontId="0" fillId="0" borderId="0" xfId="0" applyFont="1" applyFill="1" applyBorder="1" applyAlignment="1">
      <alignment wrapText="1"/>
    </xf>
    <xf numFmtId="0" fontId="0" fillId="0" borderId="6" xfId="0" applyFont="1" applyBorder="1"/>
    <xf numFmtId="0" fontId="0" fillId="0" borderId="5" xfId="0" applyFont="1" applyFill="1" applyBorder="1"/>
    <xf numFmtId="1" fontId="0" fillId="0" borderId="0" xfId="0" applyNumberFormat="1" applyFont="1" applyBorder="1" applyAlignment="1"/>
    <xf numFmtId="0" fontId="0" fillId="0" borderId="0" xfId="0" applyNumberFormat="1" applyFont="1" applyFill="1" applyBorder="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5" fillId="0" borderId="0" xfId="0" applyFont="1" applyBorder="1" applyAlignment="1">
      <alignment horizontal="right" vertical="center"/>
    </xf>
    <xf numFmtId="0" fontId="6" fillId="0" borderId="0" xfId="0" applyFont="1" applyBorder="1" applyAlignment="1">
      <alignment horizontal="center" vertical="center"/>
    </xf>
    <xf numFmtId="0" fontId="0" fillId="0" borderId="0" xfId="0" applyBorder="1"/>
    <xf numFmtId="9" fontId="3" fillId="0" borderId="0" xfId="2" applyFont="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1" fillId="0" borderId="0" xfId="0" applyFont="1" applyBorder="1" applyAlignment="1">
      <alignment vertical="center"/>
    </xf>
    <xf numFmtId="0" fontId="0" fillId="0" borderId="0" xfId="0" applyFont="1" applyFill="1" applyBorder="1" applyAlignment="1">
      <alignment horizontal="left"/>
    </xf>
    <xf numFmtId="49" fontId="0" fillId="0" borderId="0" xfId="0" applyNumberFormat="1" applyFont="1" applyFill="1" applyBorder="1" applyAlignment="1"/>
    <xf numFmtId="0" fontId="0" fillId="0" borderId="13" xfId="0" applyFill="1" applyBorder="1"/>
    <xf numFmtId="0" fontId="10" fillId="0" borderId="0" xfId="0" applyFont="1" applyFill="1" applyBorder="1" applyAlignment="1">
      <alignment horizontal="left" textRotation="45"/>
    </xf>
    <xf numFmtId="0" fontId="14" fillId="0" borderId="0" xfId="0" applyFont="1" applyFill="1" applyBorder="1" applyAlignment="1">
      <alignment horizontal="left" vertical="center"/>
    </xf>
    <xf numFmtId="49" fontId="0" fillId="0" borderId="0" xfId="0" applyNumberFormat="1" applyFont="1" applyFill="1" applyBorder="1" applyAlignment="1">
      <alignment horizontal="left"/>
    </xf>
    <xf numFmtId="0" fontId="0" fillId="0" borderId="6" xfId="0" applyFont="1" applyFill="1" applyBorder="1" applyAlignment="1">
      <alignment horizontal="left"/>
    </xf>
    <xf numFmtId="0" fontId="14" fillId="0" borderId="6" xfId="0" applyFont="1" applyFill="1" applyBorder="1" applyAlignment="1">
      <alignment horizontal="left" vertical="center"/>
    </xf>
    <xf numFmtId="0" fontId="0" fillId="0" borderId="6" xfId="0" applyFont="1" applyFill="1" applyBorder="1" applyAlignment="1">
      <alignment horizontal="left" vertical="center"/>
    </xf>
    <xf numFmtId="0" fontId="0" fillId="0" borderId="0" xfId="0" applyFont="1" applyFill="1" applyBorder="1" applyAlignment="1">
      <alignment horizontal="center" vertical="center" textRotation="90"/>
    </xf>
    <xf numFmtId="1" fontId="0" fillId="0" borderId="0" xfId="0" applyNumberFormat="1" applyFont="1" applyFill="1" applyBorder="1" applyAlignment="1">
      <alignment horizontal="center" vertical="center" textRotation="90"/>
    </xf>
    <xf numFmtId="9" fontId="0" fillId="0" borderId="6" xfId="2" applyFont="1"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9" fontId="0" fillId="0" borderId="27" xfId="2" applyFont="1" applyBorder="1" applyAlignment="1">
      <alignment horizontal="center" vertical="center"/>
    </xf>
    <xf numFmtId="9" fontId="0" fillId="0" borderId="15" xfId="2" applyFont="1" applyBorder="1" applyAlignment="1">
      <alignment horizontal="center" vertical="center"/>
    </xf>
    <xf numFmtId="9" fontId="0" fillId="0" borderId="28" xfId="2" applyFont="1" applyBorder="1" applyAlignment="1">
      <alignment horizontal="center" vertical="center"/>
    </xf>
    <xf numFmtId="0" fontId="15" fillId="0" borderId="0" xfId="0" applyFont="1" applyBorder="1"/>
    <xf numFmtId="0" fontId="15" fillId="0" borderId="10" xfId="0" applyFont="1" applyBorder="1" applyAlignment="1">
      <alignment horizontal="center"/>
    </xf>
    <xf numFmtId="0" fontId="15" fillId="0" borderId="11" xfId="0" applyFont="1" applyBorder="1" applyAlignment="1">
      <alignment horizontal="center"/>
    </xf>
    <xf numFmtId="0" fontId="15" fillId="0" borderId="12" xfId="0" applyFont="1" applyBorder="1" applyAlignment="1">
      <alignment horizontal="center"/>
    </xf>
    <xf numFmtId="0" fontId="15" fillId="0" borderId="10" xfId="0" applyFont="1" applyFill="1" applyBorder="1" applyAlignment="1">
      <alignment horizontal="center"/>
    </xf>
    <xf numFmtId="0" fontId="15" fillId="0" borderId="11" xfId="0" applyFont="1" applyFill="1" applyBorder="1" applyAlignment="1">
      <alignment horizontal="center"/>
    </xf>
    <xf numFmtId="0" fontId="15" fillId="0" borderId="12" xfId="0" applyFont="1" applyFill="1" applyBorder="1" applyAlignment="1">
      <alignment horizontal="center"/>
    </xf>
    <xf numFmtId="9" fontId="15" fillId="0" borderId="13" xfId="2" applyFont="1" applyBorder="1" applyAlignment="1">
      <alignment horizontal="center" vertical="center"/>
    </xf>
    <xf numFmtId="9" fontId="15" fillId="0" borderId="0" xfId="2" applyFont="1" applyBorder="1" applyAlignment="1">
      <alignment horizontal="center" vertical="center"/>
    </xf>
    <xf numFmtId="9" fontId="15" fillId="0" borderId="14" xfId="2" applyFont="1" applyBorder="1" applyAlignment="1">
      <alignment horizontal="center" vertical="center"/>
    </xf>
    <xf numFmtId="0" fontId="15" fillId="0" borderId="0" xfId="0" applyFont="1" applyBorder="1" applyAlignment="1"/>
    <xf numFmtId="0" fontId="15" fillId="0" borderId="14" xfId="0" applyFont="1" applyBorder="1"/>
    <xf numFmtId="9" fontId="15" fillId="0" borderId="15" xfId="2" applyFont="1" applyBorder="1" applyAlignment="1">
      <alignment horizontal="center" vertical="center"/>
    </xf>
    <xf numFmtId="9" fontId="15" fillId="0" borderId="16" xfId="2" applyFont="1" applyBorder="1" applyAlignment="1">
      <alignment horizontal="center" vertical="center"/>
    </xf>
    <xf numFmtId="9" fontId="15" fillId="0" borderId="17" xfId="2" applyFont="1" applyBorder="1" applyAlignment="1">
      <alignment horizontal="center" vertical="center"/>
    </xf>
    <xf numFmtId="1" fontId="0" fillId="0" borderId="0" xfId="0" applyNumberFormat="1" applyFont="1" applyFill="1" applyBorder="1" applyAlignment="1">
      <alignment horizontal="center" vertical="center"/>
    </xf>
    <xf numFmtId="1" fontId="0" fillId="0" borderId="0" xfId="0" applyNumberFormat="1" applyFont="1" applyFill="1" applyBorder="1" applyAlignment="1"/>
    <xf numFmtId="0" fontId="0" fillId="0" borderId="3" xfId="0" applyBorder="1"/>
    <xf numFmtId="0" fontId="0" fillId="0" borderId="2" xfId="0" applyBorder="1"/>
    <xf numFmtId="0" fontId="0" fillId="0" borderId="4" xfId="0" applyBorder="1"/>
    <xf numFmtId="9" fontId="0" fillId="9" borderId="22" xfId="2" applyFont="1" applyFill="1" applyBorder="1" applyAlignment="1">
      <alignment horizontal="center" vertical="center"/>
    </xf>
    <xf numFmtId="9" fontId="0" fillId="9" borderId="26" xfId="2" applyFont="1" applyFill="1" applyBorder="1" applyAlignment="1">
      <alignment horizontal="center" vertical="center"/>
    </xf>
    <xf numFmtId="9" fontId="0" fillId="9" borderId="6" xfId="2" applyFont="1" applyFill="1" applyBorder="1" applyAlignment="1">
      <alignment horizontal="center" vertical="center"/>
    </xf>
    <xf numFmtId="9" fontId="0" fillId="9" borderId="27" xfId="2" applyFont="1" applyFill="1" applyBorder="1" applyAlignment="1">
      <alignment horizontal="center" vertical="center"/>
    </xf>
    <xf numFmtId="9" fontId="0" fillId="9" borderId="28" xfId="2" applyFont="1" applyFill="1" applyBorder="1" applyAlignment="1">
      <alignment horizontal="center" vertical="center"/>
    </xf>
    <xf numFmtId="9" fontId="0" fillId="9" borderId="29" xfId="2" applyFont="1" applyFill="1" applyBorder="1" applyAlignment="1">
      <alignment horizontal="center" vertical="center"/>
    </xf>
    <xf numFmtId="9" fontId="0" fillId="0" borderId="6" xfId="2" applyFont="1" applyFill="1" applyBorder="1" applyAlignment="1">
      <alignment horizontal="center" vertical="center"/>
    </xf>
    <xf numFmtId="0" fontId="16" fillId="0" borderId="1" xfId="0" applyFont="1" applyFill="1" applyBorder="1" applyAlignment="1">
      <alignment horizontal="center" vertical="center"/>
    </xf>
    <xf numFmtId="0" fontId="0" fillId="0" borderId="0" xfId="0" applyFill="1" applyBorder="1"/>
    <xf numFmtId="0" fontId="0" fillId="0" borderId="0" xfId="0" applyFill="1"/>
    <xf numFmtId="9" fontId="0" fillId="0" borderId="0" xfId="2" applyFont="1" applyFill="1" applyBorder="1" applyAlignment="1"/>
    <xf numFmtId="0" fontId="0" fillId="0" borderId="6" xfId="0" applyFont="1" applyFill="1" applyBorder="1" applyAlignment="1"/>
    <xf numFmtId="165" fontId="15" fillId="0" borderId="9" xfId="1" applyNumberFormat="1" applyFont="1" applyFill="1" applyBorder="1" applyAlignment="1">
      <alignment horizontal="center" vertical="center"/>
    </xf>
    <xf numFmtId="165" fontId="15" fillId="0" borderId="0" xfId="0" applyNumberFormat="1" applyFont="1" applyBorder="1"/>
    <xf numFmtId="0" fontId="0" fillId="0" borderId="3" xfId="0" applyBorder="1" applyAlignment="1">
      <alignment horizontal="center"/>
    </xf>
    <xf numFmtId="0" fontId="0" fillId="0" borderId="2" xfId="0" applyBorder="1" applyAlignment="1">
      <alignment horizontal="center"/>
    </xf>
    <xf numFmtId="9" fontId="0" fillId="0" borderId="23" xfId="2" applyNumberFormat="1" applyFont="1" applyBorder="1" applyAlignment="1">
      <alignment horizontal="center" vertical="center"/>
    </xf>
    <xf numFmtId="0" fontId="16" fillId="0" borderId="24" xfId="0" applyFont="1" applyFill="1" applyBorder="1" applyAlignment="1">
      <alignment horizontal="center" vertical="center"/>
    </xf>
    <xf numFmtId="0" fontId="16" fillId="0" borderId="25" xfId="0" applyFont="1" applyFill="1" applyBorder="1" applyAlignment="1">
      <alignment horizontal="left" vertical="center" wrapText="1"/>
    </xf>
    <xf numFmtId="9" fontId="0" fillId="0" borderId="20" xfId="2" applyNumberFormat="1" applyFont="1" applyBorder="1" applyAlignment="1">
      <alignment horizontal="center" vertical="center"/>
    </xf>
    <xf numFmtId="0" fontId="16" fillId="0" borderId="21" xfId="0" applyFont="1" applyFill="1" applyBorder="1" applyAlignment="1">
      <alignment horizontal="left" vertical="center" wrapText="1"/>
    </xf>
    <xf numFmtId="9" fontId="0" fillId="0" borderId="35" xfId="2" applyNumberFormat="1" applyFont="1" applyBorder="1" applyAlignment="1">
      <alignment horizontal="center" vertical="center"/>
    </xf>
    <xf numFmtId="0" fontId="16" fillId="0" borderId="33" xfId="0" applyFont="1" applyFill="1" applyBorder="1" applyAlignment="1">
      <alignment horizontal="center" vertical="center"/>
    </xf>
    <xf numFmtId="0" fontId="16" fillId="0" borderId="36" xfId="0" applyFont="1" applyFill="1" applyBorder="1" applyAlignment="1">
      <alignment horizontal="left" vertical="center" wrapText="1"/>
    </xf>
    <xf numFmtId="0" fontId="0" fillId="0" borderId="0" xfId="0" applyBorder="1" applyAlignment="1">
      <alignment horizontal="center"/>
    </xf>
    <xf numFmtId="0" fontId="0" fillId="7" borderId="0" xfId="0" applyFont="1" applyFill="1" applyBorder="1"/>
    <xf numFmtId="0" fontId="0" fillId="3" borderId="0" xfId="0" applyFont="1" applyFill="1" applyBorder="1"/>
    <xf numFmtId="0" fontId="0" fillId="4" borderId="0" xfId="0" applyFont="1" applyFill="1" applyBorder="1"/>
    <xf numFmtId="0" fontId="14" fillId="5" borderId="0" xfId="0" applyFont="1" applyFill="1" applyBorder="1" applyAlignment="1">
      <alignment vertical="center"/>
    </xf>
    <xf numFmtId="0" fontId="0" fillId="6" borderId="0" xfId="0" applyFont="1" applyFill="1" applyBorder="1"/>
    <xf numFmtId="0" fontId="0" fillId="0" borderId="14" xfId="0" applyFont="1" applyFill="1" applyBorder="1" applyAlignment="1"/>
    <xf numFmtId="0" fontId="0" fillId="0" borderId="6"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xf numFmtId="0" fontId="0" fillId="0" borderId="13" xfId="0" applyFont="1" applyFill="1" applyBorder="1" applyAlignment="1"/>
    <xf numFmtId="0" fontId="0" fillId="0" borderId="0" xfId="0" applyFont="1" applyFill="1" applyBorder="1" applyAlignment="1">
      <alignment horizontal="center" vertical="center" textRotation="90" wrapText="1"/>
    </xf>
    <xf numFmtId="9" fontId="0" fillId="0" borderId="0" xfId="2" applyNumberFormat="1" applyFont="1" applyBorder="1" applyAlignment="1">
      <alignment horizontal="center" vertical="center"/>
    </xf>
    <xf numFmtId="9" fontId="0" fillId="0" borderId="20" xfId="2" applyFont="1" applyBorder="1" applyAlignment="1">
      <alignment horizontal="center" vertical="center"/>
    </xf>
    <xf numFmtId="0" fontId="0" fillId="11" borderId="17" xfId="0" applyFont="1" applyFill="1" applyBorder="1"/>
    <xf numFmtId="0" fontId="0" fillId="11" borderId="13" xfId="0" applyFill="1" applyBorder="1"/>
    <xf numFmtId="2" fontId="0" fillId="11" borderId="0" xfId="0" applyNumberFormat="1" applyFill="1" applyBorder="1" applyAlignment="1"/>
    <xf numFmtId="10" fontId="0" fillId="11" borderId="0" xfId="2" applyNumberFormat="1" applyFont="1" applyFill="1" applyBorder="1" applyAlignment="1">
      <alignment vertical="center"/>
    </xf>
    <xf numFmtId="0" fontId="0" fillId="11" borderId="0" xfId="0" applyFont="1" applyFill="1" applyBorder="1"/>
    <xf numFmtId="9" fontId="5" fillId="11" borderId="0" xfId="2" applyFont="1" applyFill="1" applyBorder="1" applyAlignment="1">
      <alignment horizontal="center" vertical="center"/>
    </xf>
    <xf numFmtId="0" fontId="0" fillId="11" borderId="0" xfId="0" applyFont="1" applyFill="1" applyBorder="1" applyAlignment="1"/>
    <xf numFmtId="9" fontId="0" fillId="11" borderId="0" xfId="0" applyNumberFormat="1" applyFont="1" applyFill="1" applyBorder="1"/>
    <xf numFmtId="0" fontId="0" fillId="11" borderId="16" xfId="0" applyFont="1" applyFill="1" applyBorder="1"/>
    <xf numFmtId="0" fontId="0" fillId="11" borderId="15" xfId="0" applyFill="1" applyBorder="1"/>
    <xf numFmtId="0" fontId="3" fillId="0" borderId="31" xfId="0" applyFont="1" applyBorder="1" applyAlignment="1">
      <alignment horizontal="center" vertical="center" wrapText="1"/>
    </xf>
    <xf numFmtId="0" fontId="5" fillId="11" borderId="0" xfId="0" applyFont="1" applyFill="1" applyBorder="1" applyAlignment="1">
      <alignment horizontal="center" wrapText="1"/>
    </xf>
    <xf numFmtId="9" fontId="0" fillId="0" borderId="16" xfId="2" applyNumberFormat="1" applyFont="1" applyBorder="1" applyAlignment="1">
      <alignment horizontal="center" vertical="center"/>
    </xf>
    <xf numFmtId="0" fontId="21" fillId="2" borderId="39" xfId="0" applyFont="1" applyFill="1" applyBorder="1" applyAlignment="1">
      <alignment horizontal="center" vertical="center" wrapText="1"/>
    </xf>
    <xf numFmtId="0" fontId="16" fillId="10" borderId="18" xfId="0" applyFont="1" applyFill="1" applyBorder="1" applyAlignment="1">
      <alignment horizontal="left"/>
    </xf>
    <xf numFmtId="0" fontId="16" fillId="10" borderId="7" xfId="0" applyFont="1" applyFill="1" applyBorder="1" applyAlignment="1">
      <alignment horizontal="left"/>
    </xf>
    <xf numFmtId="0" fontId="16" fillId="10" borderId="19" xfId="0" applyFont="1" applyFill="1" applyBorder="1" applyAlignment="1">
      <alignment horizontal="left"/>
    </xf>
    <xf numFmtId="0" fontId="16" fillId="10" borderId="38" xfId="0" applyFont="1" applyFill="1" applyBorder="1" applyAlignment="1">
      <alignment horizontal="left"/>
    </xf>
    <xf numFmtId="0" fontId="16" fillId="12" borderId="19" xfId="0" applyFont="1" applyFill="1" applyBorder="1" applyAlignment="1">
      <alignment horizontal="left"/>
    </xf>
    <xf numFmtId="0" fontId="16" fillId="12" borderId="38" xfId="0" applyFont="1" applyFill="1" applyBorder="1" applyAlignment="1">
      <alignment horizontal="left"/>
    </xf>
    <xf numFmtId="0" fontId="16" fillId="13" borderId="19" xfId="0" applyFont="1" applyFill="1" applyBorder="1" applyAlignment="1">
      <alignment horizontal="left"/>
    </xf>
    <xf numFmtId="0" fontId="16" fillId="13" borderId="38" xfId="0" applyFont="1" applyFill="1" applyBorder="1" applyAlignment="1">
      <alignment horizontal="left"/>
    </xf>
    <xf numFmtId="0" fontId="16" fillId="14" borderId="19" xfId="0" applyFont="1" applyFill="1" applyBorder="1" applyAlignment="1">
      <alignment horizontal="left"/>
    </xf>
    <xf numFmtId="0" fontId="16" fillId="14" borderId="38" xfId="0" applyFont="1" applyFill="1" applyBorder="1" applyAlignment="1">
      <alignment horizontal="left"/>
    </xf>
    <xf numFmtId="0" fontId="16" fillId="8" borderId="19" xfId="0" applyFont="1" applyFill="1" applyBorder="1" applyAlignment="1">
      <alignment horizontal="left"/>
    </xf>
    <xf numFmtId="0" fontId="16" fillId="8" borderId="38" xfId="0" applyFont="1" applyFill="1" applyBorder="1" applyAlignment="1">
      <alignment horizontal="left"/>
    </xf>
    <xf numFmtId="0" fontId="16" fillId="8" borderId="41" xfId="0" applyFont="1" applyFill="1" applyBorder="1" applyAlignment="1">
      <alignment horizontal="left"/>
    </xf>
    <xf numFmtId="0" fontId="16" fillId="8" borderId="42" xfId="0" applyFont="1" applyFill="1" applyBorder="1" applyAlignment="1">
      <alignment horizontal="left"/>
    </xf>
    <xf numFmtId="9" fontId="0" fillId="0" borderId="44" xfId="2" applyNumberFormat="1" applyFont="1" applyBorder="1" applyAlignment="1">
      <alignment horizontal="center" vertical="center"/>
    </xf>
    <xf numFmtId="0" fontId="21" fillId="2" borderId="12" xfId="0" applyFont="1" applyFill="1" applyBorder="1" applyAlignment="1">
      <alignment horizontal="center" vertical="center" wrapText="1"/>
    </xf>
    <xf numFmtId="0" fontId="16" fillId="10" borderId="45" xfId="0" applyFont="1" applyFill="1" applyBorder="1" applyAlignment="1">
      <alignment horizontal="center"/>
    </xf>
    <xf numFmtId="0" fontId="16" fillId="12" borderId="45" xfId="0" applyFont="1" applyFill="1" applyBorder="1" applyAlignment="1">
      <alignment horizontal="center"/>
    </xf>
    <xf numFmtId="0" fontId="16" fillId="13" borderId="45" xfId="0" applyFont="1" applyFill="1" applyBorder="1" applyAlignment="1">
      <alignment horizontal="center"/>
    </xf>
    <xf numFmtId="0" fontId="16" fillId="14" borderId="45" xfId="0" applyFont="1" applyFill="1" applyBorder="1" applyAlignment="1">
      <alignment horizontal="center"/>
    </xf>
    <xf numFmtId="0" fontId="16" fillId="8" borderId="45" xfId="0" applyFont="1" applyFill="1" applyBorder="1" applyAlignment="1">
      <alignment horizontal="center"/>
    </xf>
    <xf numFmtId="0" fontId="16" fillId="8" borderId="46" xfId="0" applyFont="1" applyFill="1" applyBorder="1" applyAlignment="1">
      <alignment horizontal="center"/>
    </xf>
    <xf numFmtId="1" fontId="0" fillId="0" borderId="0" xfId="2" applyNumberFormat="1" applyFont="1"/>
    <xf numFmtId="0" fontId="0" fillId="0" borderId="0" xfId="0" applyFont="1" applyFill="1" applyBorder="1" applyAlignment="1">
      <alignment horizontal="left" textRotation="90"/>
    </xf>
    <xf numFmtId="0" fontId="0" fillId="0" borderId="6" xfId="0" applyFont="1" applyFill="1" applyBorder="1"/>
    <xf numFmtId="1" fontId="0" fillId="0" borderId="6" xfId="0" applyNumberFormat="1" applyFont="1" applyFill="1" applyBorder="1" applyAlignment="1">
      <alignment horizontal="left"/>
    </xf>
    <xf numFmtId="164" fontId="0" fillId="0" borderId="6" xfId="0" applyNumberFormat="1" applyFont="1" applyFill="1" applyBorder="1" applyAlignment="1">
      <alignment horizontal="left"/>
    </xf>
    <xf numFmtId="0" fontId="0" fillId="0" borderId="6" xfId="0" applyFill="1" applyBorder="1" applyAlignment="1">
      <alignment horizontal="left"/>
    </xf>
    <xf numFmtId="0" fontId="18" fillId="0" borderId="6" xfId="0" applyFont="1" applyFill="1" applyBorder="1" applyAlignment="1">
      <alignment wrapText="1"/>
    </xf>
    <xf numFmtId="164" fontId="0" fillId="0" borderId="0" xfId="0" applyNumberFormat="1" applyFont="1" applyFill="1" applyBorder="1" applyAlignment="1">
      <alignment horizontal="left"/>
    </xf>
    <xf numFmtId="0" fontId="14" fillId="5" borderId="6" xfId="0" applyFont="1" applyFill="1" applyBorder="1" applyAlignment="1">
      <alignment horizontal="left" vertical="center"/>
    </xf>
    <xf numFmtId="0" fontId="22" fillId="10" borderId="5" xfId="0" applyFont="1" applyFill="1" applyBorder="1" applyAlignment="1">
      <alignment horizontal="center" vertical="center" textRotation="45"/>
    </xf>
    <xf numFmtId="0" fontId="22" fillId="10" borderId="6" xfId="0" applyFont="1" applyFill="1" applyBorder="1" applyAlignment="1">
      <alignment horizontal="center" vertical="center" textRotation="45"/>
    </xf>
    <xf numFmtId="49" fontId="10" fillId="0" borderId="6" xfId="0" applyNumberFormat="1" applyFont="1" applyFill="1" applyBorder="1" applyAlignment="1">
      <alignment horizontal="left"/>
    </xf>
    <xf numFmtId="49" fontId="0" fillId="0" borderId="6" xfId="0" applyNumberFormat="1" applyFont="1" applyFill="1" applyBorder="1" applyAlignment="1">
      <alignment horizontal="left"/>
    </xf>
    <xf numFmtId="0" fontId="0" fillId="0" borderId="0" xfId="0" applyAlignment="1">
      <alignment horizontal="right"/>
    </xf>
    <xf numFmtId="0" fontId="0" fillId="0" borderId="0" xfId="0" applyAlignment="1">
      <alignment wrapText="1"/>
    </xf>
    <xf numFmtId="0" fontId="0" fillId="7" borderId="6" xfId="0" applyFont="1" applyFill="1" applyBorder="1" applyAlignment="1">
      <alignment horizontal="left"/>
    </xf>
    <xf numFmtId="0" fontId="0" fillId="3" borderId="0" xfId="0" applyFont="1" applyFill="1" applyBorder="1" applyAlignment="1">
      <alignment horizontal="left"/>
    </xf>
    <xf numFmtId="49" fontId="0" fillId="0" borderId="6" xfId="0" applyNumberFormat="1" applyBorder="1" applyAlignment="1">
      <alignment horizontal="left"/>
    </xf>
    <xf numFmtId="0" fontId="0" fillId="0" borderId="6" xfId="0" applyBorder="1" applyAlignment="1">
      <alignment horizontal="left"/>
    </xf>
    <xf numFmtId="0" fontId="0" fillId="3" borderId="6" xfId="0" applyFont="1" applyFill="1" applyBorder="1" applyAlignment="1">
      <alignment horizontal="left"/>
    </xf>
    <xf numFmtId="0" fontId="0" fillId="4" borderId="6" xfId="0" applyFont="1" applyFill="1" applyBorder="1" applyAlignment="1">
      <alignment horizontal="left"/>
    </xf>
    <xf numFmtId="0" fontId="0" fillId="0" borderId="0" xfId="0" applyFill="1" applyBorder="1" applyAlignment="1">
      <alignment horizontal="left"/>
    </xf>
    <xf numFmtId="0" fontId="0" fillId="6" borderId="6" xfId="0" applyFont="1" applyFill="1" applyBorder="1" applyAlignment="1">
      <alignment horizontal="left"/>
    </xf>
    <xf numFmtId="49" fontId="0" fillId="0" borderId="6" xfId="0" applyNumberFormat="1" applyFill="1" applyBorder="1" applyAlignment="1">
      <alignment horizontal="left"/>
    </xf>
    <xf numFmtId="0" fontId="10" fillId="15" borderId="0" xfId="0" applyFont="1" applyFill="1" applyBorder="1" applyAlignment="1">
      <alignment horizontal="left" textRotation="45"/>
    </xf>
    <xf numFmtId="0" fontId="0" fillId="15" borderId="0" xfId="0" applyFont="1" applyFill="1" applyBorder="1" applyAlignment="1">
      <alignment horizontal="left"/>
    </xf>
    <xf numFmtId="0" fontId="14" fillId="15" borderId="0" xfId="0" applyFont="1" applyFill="1" applyBorder="1" applyAlignment="1">
      <alignment horizontal="left" vertical="center"/>
    </xf>
    <xf numFmtId="0" fontId="0" fillId="0" borderId="0" xfId="0" quotePrefix="1"/>
    <xf numFmtId="14" fontId="0" fillId="0" borderId="0" xfId="0" applyNumberFormat="1"/>
    <xf numFmtId="0" fontId="24" fillId="0" borderId="7" xfId="0" applyFont="1" applyBorder="1" applyAlignment="1">
      <alignment wrapText="1"/>
    </xf>
    <xf numFmtId="0" fontId="24" fillId="0" borderId="7" xfId="0" applyFont="1" applyBorder="1"/>
    <xf numFmtId="0" fontId="23" fillId="0" borderId="0" xfId="5" applyAlignment="1">
      <alignment wrapText="1"/>
    </xf>
    <xf numFmtId="49" fontId="0" fillId="0" borderId="0" xfId="0" applyNumberFormat="1" applyBorder="1" applyAlignment="1">
      <alignment horizontal="left"/>
    </xf>
    <xf numFmtId="166" fontId="9" fillId="0" borderId="3" xfId="2" applyNumberFormat="1" applyFont="1" applyBorder="1" applyAlignment="1">
      <alignment horizontal="center" vertical="center" wrapText="1"/>
    </xf>
    <xf numFmtId="166" fontId="9" fillId="0" borderId="2" xfId="2" applyNumberFormat="1" applyFont="1" applyBorder="1" applyAlignment="1">
      <alignment horizontal="center" vertical="center" wrapText="1"/>
    </xf>
    <xf numFmtId="166" fontId="9" fillId="0" borderId="4" xfId="2" applyNumberFormat="1" applyFont="1" applyBorder="1" applyAlignment="1">
      <alignment horizontal="center" vertical="center" wrapText="1"/>
    </xf>
    <xf numFmtId="0" fontId="20" fillId="11" borderId="10" xfId="0" applyFont="1" applyFill="1" applyBorder="1" applyAlignment="1">
      <alignment horizontal="center" vertical="center"/>
    </xf>
    <xf numFmtId="0" fontId="20" fillId="11" borderId="11" xfId="0" applyFont="1" applyFill="1" applyBorder="1" applyAlignment="1">
      <alignment horizontal="center" vertical="center"/>
    </xf>
    <xf numFmtId="0" fontId="20" fillId="11" borderId="12" xfId="0" applyFont="1" applyFill="1" applyBorder="1" applyAlignment="1">
      <alignment horizontal="center" vertical="center"/>
    </xf>
    <xf numFmtId="0" fontId="20" fillId="11" borderId="13" xfId="0" applyFont="1" applyFill="1" applyBorder="1" applyAlignment="1">
      <alignment horizontal="center" vertical="center"/>
    </xf>
    <xf numFmtId="0" fontId="20" fillId="11" borderId="0" xfId="0" applyFont="1" applyFill="1" applyBorder="1" applyAlignment="1">
      <alignment horizontal="center" vertical="center"/>
    </xf>
    <xf numFmtId="0" fontId="22" fillId="10" borderId="37" xfId="0" applyFont="1" applyFill="1" applyBorder="1" applyAlignment="1">
      <alignment horizontal="center" vertical="center" textRotation="45"/>
    </xf>
    <xf numFmtId="0" fontId="22" fillId="10" borderId="5" xfId="0" applyFont="1" applyFill="1" applyBorder="1" applyAlignment="1">
      <alignment horizontal="center" vertical="center" textRotation="45"/>
    </xf>
    <xf numFmtId="0" fontId="22" fillId="8" borderId="37" xfId="0" applyFont="1" applyFill="1" applyBorder="1" applyAlignment="1">
      <alignment horizontal="center" vertical="center" textRotation="45"/>
    </xf>
    <xf numFmtId="0" fontId="22" fillId="8" borderId="5" xfId="0" applyFont="1" applyFill="1" applyBorder="1" applyAlignment="1">
      <alignment horizontal="center" vertical="center" textRotation="45"/>
    </xf>
    <xf numFmtId="0" fontId="22" fillId="8" borderId="40" xfId="0" applyFont="1" applyFill="1" applyBorder="1" applyAlignment="1">
      <alignment horizontal="center" vertical="center" textRotation="45"/>
    </xf>
    <xf numFmtId="0" fontId="22" fillId="14" borderId="37" xfId="0" applyFont="1" applyFill="1" applyBorder="1" applyAlignment="1">
      <alignment horizontal="center" vertical="center" textRotation="45"/>
    </xf>
    <xf numFmtId="0" fontId="22" fillId="14" borderId="5" xfId="0" applyFont="1" applyFill="1" applyBorder="1" applyAlignment="1">
      <alignment horizontal="center" vertical="center" textRotation="45"/>
    </xf>
    <xf numFmtId="0" fontId="22" fillId="12" borderId="37" xfId="0" applyFont="1" applyFill="1" applyBorder="1" applyAlignment="1">
      <alignment horizontal="center" vertical="center" textRotation="45"/>
    </xf>
    <xf numFmtId="0" fontId="22" fillId="12" borderId="5" xfId="0" applyFont="1" applyFill="1" applyBorder="1" applyAlignment="1">
      <alignment horizontal="center" vertical="center" textRotation="45"/>
    </xf>
    <xf numFmtId="9" fontId="0" fillId="0" borderId="22" xfId="2" applyNumberFormat="1" applyFont="1" applyBorder="1" applyAlignment="1">
      <alignment horizontal="center" vertical="center"/>
    </xf>
    <xf numFmtId="9" fontId="0" fillId="0" borderId="6" xfId="2" applyNumberFormat="1" applyFont="1" applyBorder="1" applyAlignment="1">
      <alignment horizontal="center" vertical="center"/>
    </xf>
    <xf numFmtId="9" fontId="0" fillId="0" borderId="18" xfId="2" applyNumberFormat="1" applyFont="1" applyBorder="1" applyAlignment="1">
      <alignment horizontal="center" vertical="center"/>
    </xf>
    <xf numFmtId="0" fontId="22" fillId="13" borderId="37" xfId="0" applyFont="1" applyFill="1" applyBorder="1" applyAlignment="1">
      <alignment horizontal="center" vertical="center" textRotation="45"/>
    </xf>
    <xf numFmtId="0" fontId="22" fillId="13" borderId="5" xfId="0" applyFont="1" applyFill="1" applyBorder="1" applyAlignment="1">
      <alignment horizontal="center" vertical="center" textRotation="45"/>
    </xf>
    <xf numFmtId="0" fontId="19" fillId="0" borderId="31" xfId="0" applyFont="1" applyBorder="1" applyAlignment="1">
      <alignment horizontal="center" vertical="center"/>
    </xf>
    <xf numFmtId="0" fontId="19" fillId="0" borderId="32" xfId="0" applyFont="1" applyBorder="1" applyAlignment="1">
      <alignment horizontal="center" vertical="center"/>
    </xf>
    <xf numFmtId="0" fontId="0" fillId="8" borderId="47" xfId="0" applyFont="1" applyFill="1" applyBorder="1" applyAlignment="1">
      <alignment horizontal="center" vertical="center" wrapText="1"/>
    </xf>
    <xf numFmtId="0" fontId="0" fillId="8" borderId="43" xfId="0" applyFont="1" applyFill="1" applyBorder="1" applyAlignment="1">
      <alignment horizontal="center" vertical="center" wrapText="1"/>
    </xf>
    <xf numFmtId="0" fontId="22" fillId="10" borderId="22" xfId="0" applyFont="1" applyFill="1" applyBorder="1" applyAlignment="1">
      <alignment horizontal="center" vertical="center" textRotation="45"/>
    </xf>
    <xf numFmtId="0" fontId="22" fillId="10" borderId="6" xfId="0" applyFont="1" applyFill="1" applyBorder="1" applyAlignment="1">
      <alignment horizontal="center" vertical="center" textRotation="45"/>
    </xf>
    <xf numFmtId="0" fontId="22" fillId="12" borderId="22" xfId="0" applyFont="1" applyFill="1" applyBorder="1" applyAlignment="1">
      <alignment horizontal="center" vertical="center" textRotation="45"/>
    </xf>
    <xf numFmtId="0" fontId="22" fillId="12" borderId="6" xfId="0" applyFont="1" applyFill="1" applyBorder="1" applyAlignment="1">
      <alignment horizontal="center" vertical="center" textRotation="45"/>
    </xf>
    <xf numFmtId="0" fontId="22" fillId="13" borderId="22" xfId="0" applyFont="1" applyFill="1" applyBorder="1" applyAlignment="1">
      <alignment horizontal="center" vertical="center" textRotation="45"/>
    </xf>
    <xf numFmtId="0" fontId="22" fillId="13" borderId="6" xfId="0" applyFont="1" applyFill="1" applyBorder="1" applyAlignment="1">
      <alignment horizontal="center" vertical="center" textRotation="45"/>
    </xf>
    <xf numFmtId="0" fontId="19" fillId="0" borderId="30" xfId="0" applyFont="1" applyBorder="1" applyAlignment="1">
      <alignment horizontal="center" vertical="center"/>
    </xf>
    <xf numFmtId="166" fontId="0" fillId="0" borderId="30" xfId="2" applyNumberFormat="1" applyFont="1" applyBorder="1" applyAlignment="1">
      <alignment horizontal="center" vertical="center"/>
    </xf>
    <xf numFmtId="166" fontId="0" fillId="0" borderId="32" xfId="2" applyNumberFormat="1" applyFont="1" applyBorder="1" applyAlignment="1">
      <alignment horizontal="center" vertical="center"/>
    </xf>
    <xf numFmtId="0" fontId="22" fillId="14" borderId="22" xfId="0" applyFont="1" applyFill="1" applyBorder="1" applyAlignment="1">
      <alignment horizontal="center" vertical="center" textRotation="45"/>
    </xf>
    <xf numFmtId="0" fontId="22" fillId="14" borderId="6" xfId="0" applyFont="1" applyFill="1" applyBorder="1" applyAlignment="1">
      <alignment horizontal="center" vertical="center" textRotation="45"/>
    </xf>
    <xf numFmtId="0" fontId="22" fillId="8" borderId="22" xfId="0" applyFont="1" applyFill="1" applyBorder="1" applyAlignment="1">
      <alignment horizontal="center" vertical="center" textRotation="45"/>
    </xf>
    <xf numFmtId="0" fontId="22" fillId="8" borderId="6" xfId="0" applyFont="1" applyFill="1" applyBorder="1" applyAlignment="1">
      <alignment horizontal="center" vertical="center" textRotation="45"/>
    </xf>
    <xf numFmtId="0" fontId="22" fillId="8" borderId="18" xfId="0" applyFont="1" applyFill="1" applyBorder="1" applyAlignment="1">
      <alignment horizontal="center" vertical="center" textRotation="45"/>
    </xf>
    <xf numFmtId="0" fontId="2" fillId="11" borderId="0" xfId="0" applyFont="1" applyFill="1" applyBorder="1" applyAlignment="1">
      <alignment horizontal="center" wrapText="1"/>
    </xf>
    <xf numFmtId="0" fontId="17" fillId="0" borderId="34" xfId="0" applyFont="1" applyFill="1" applyBorder="1" applyAlignment="1">
      <alignment horizontal="center" vertical="center" textRotation="90"/>
    </xf>
    <xf numFmtId="0" fontId="17" fillId="0" borderId="8" xfId="0" applyFont="1" applyFill="1" applyBorder="1" applyAlignment="1">
      <alignment horizontal="center" vertical="center" textRotation="90"/>
    </xf>
    <xf numFmtId="0" fontId="17" fillId="0" borderId="9" xfId="0" applyFont="1" applyFill="1" applyBorder="1" applyAlignment="1">
      <alignment horizontal="center" vertical="center" textRotation="90"/>
    </xf>
    <xf numFmtId="166" fontId="0" fillId="5" borderId="10" xfId="2" applyNumberFormat="1" applyFont="1" applyFill="1" applyBorder="1" applyAlignment="1">
      <alignment horizontal="center" vertical="center"/>
    </xf>
    <xf numFmtId="166" fontId="0" fillId="5" borderId="12" xfId="2" applyNumberFormat="1" applyFont="1" applyFill="1" applyBorder="1" applyAlignment="1">
      <alignment horizontal="center" vertical="center"/>
    </xf>
    <xf numFmtId="166" fontId="0" fillId="5" borderId="13" xfId="2" applyNumberFormat="1" applyFont="1" applyFill="1" applyBorder="1" applyAlignment="1">
      <alignment horizontal="center" vertical="center"/>
    </xf>
    <xf numFmtId="166" fontId="0" fillId="5" borderId="14" xfId="2" applyNumberFormat="1" applyFont="1" applyFill="1" applyBorder="1" applyAlignment="1">
      <alignment horizontal="center" vertical="center"/>
    </xf>
    <xf numFmtId="166" fontId="0" fillId="5" borderId="15" xfId="2" applyNumberFormat="1" applyFont="1" applyFill="1" applyBorder="1" applyAlignment="1">
      <alignment horizontal="center" vertical="center"/>
    </xf>
    <xf numFmtId="166" fontId="0" fillId="5" borderId="17" xfId="2" applyNumberFormat="1" applyFont="1" applyFill="1" applyBorder="1" applyAlignment="1">
      <alignment horizontal="center" vertical="center"/>
    </xf>
    <xf numFmtId="0" fontId="3" fillId="0" borderId="3" xfId="0" applyFont="1" applyBorder="1" applyAlignment="1">
      <alignment horizontal="right" vertical="center" textRotation="90"/>
    </xf>
    <xf numFmtId="0" fontId="3" fillId="0" borderId="2" xfId="0" applyFont="1" applyBorder="1" applyAlignment="1">
      <alignment horizontal="right" vertical="center" textRotation="90"/>
    </xf>
    <xf numFmtId="0" fontId="3" fillId="0" borderId="4" xfId="0" applyFont="1" applyBorder="1" applyAlignment="1">
      <alignment horizontal="right" vertical="center" textRotation="90"/>
    </xf>
    <xf numFmtId="9" fontId="0" fillId="0" borderId="3" xfId="2" applyNumberFormat="1" applyFont="1" applyBorder="1" applyAlignment="1">
      <alignment horizontal="center" vertical="center"/>
    </xf>
    <xf numFmtId="9" fontId="0" fillId="0" borderId="2" xfId="2" applyNumberFormat="1" applyFont="1" applyBorder="1" applyAlignment="1">
      <alignment horizontal="center" vertical="center"/>
    </xf>
    <xf numFmtId="9" fontId="0" fillId="0" borderId="4" xfId="2" applyNumberFormat="1" applyFont="1" applyBorder="1" applyAlignment="1">
      <alignment horizontal="center" vertical="center"/>
    </xf>
    <xf numFmtId="0" fontId="11" fillId="0" borderId="0" xfId="0" applyFont="1" applyBorder="1" applyAlignment="1">
      <alignment horizontal="center" vertical="center"/>
    </xf>
    <xf numFmtId="0" fontId="11" fillId="0" borderId="16" xfId="0" applyFont="1" applyBorder="1" applyAlignment="1">
      <alignment horizontal="center" vertical="center"/>
    </xf>
    <xf numFmtId="9" fontId="0" fillId="0" borderId="3" xfId="2" applyFont="1" applyBorder="1" applyAlignment="1">
      <alignment horizontal="center" vertical="center"/>
    </xf>
    <xf numFmtId="9" fontId="0" fillId="0" borderId="2" xfId="2" applyFont="1" applyBorder="1" applyAlignment="1">
      <alignment horizontal="center" vertical="center"/>
    </xf>
    <xf numFmtId="9" fontId="0" fillId="0" borderId="4" xfId="2" applyFont="1" applyBorder="1" applyAlignment="1">
      <alignment horizontal="center" vertical="center"/>
    </xf>
    <xf numFmtId="0" fontId="12" fillId="4" borderId="10"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2" xfId="0" applyFont="1" applyFill="1" applyBorder="1" applyAlignment="1">
      <alignment horizontal="center" vertical="center"/>
    </xf>
    <xf numFmtId="0" fontId="12" fillId="4" borderId="13" xfId="0" applyFont="1" applyFill="1" applyBorder="1" applyAlignment="1">
      <alignment horizontal="center" vertical="center"/>
    </xf>
    <xf numFmtId="0" fontId="12" fillId="4" borderId="0" xfId="0" applyFont="1" applyFill="1" applyBorder="1" applyAlignment="1">
      <alignment horizontal="center" vertical="center"/>
    </xf>
    <xf numFmtId="0" fontId="12" fillId="4" borderId="14" xfId="0" applyFont="1" applyFill="1" applyBorder="1" applyAlignment="1">
      <alignment horizontal="center" vertical="center"/>
    </xf>
    <xf numFmtId="0" fontId="12" fillId="4" borderId="15" xfId="0" applyFont="1" applyFill="1" applyBorder="1" applyAlignment="1">
      <alignment horizontal="center" vertical="center"/>
    </xf>
    <xf numFmtId="0" fontId="12" fillId="4" borderId="16" xfId="0" applyFont="1" applyFill="1" applyBorder="1" applyAlignment="1">
      <alignment horizontal="center" vertical="center"/>
    </xf>
    <xf numFmtId="0" fontId="12" fillId="4" borderId="17" xfId="0" applyFont="1" applyFill="1" applyBorder="1" applyAlignment="1">
      <alignment horizontal="center" vertical="center"/>
    </xf>
    <xf numFmtId="167" fontId="3" fillId="0" borderId="3" xfId="2" applyNumberFormat="1" applyFont="1" applyBorder="1" applyAlignment="1">
      <alignment horizontal="center" vertical="center"/>
    </xf>
    <xf numFmtId="9" fontId="3" fillId="0" borderId="2" xfId="2" applyFont="1" applyBorder="1" applyAlignment="1">
      <alignment horizontal="center" vertical="center"/>
    </xf>
    <xf numFmtId="9" fontId="3" fillId="0" borderId="4" xfId="2" applyFont="1" applyBorder="1" applyAlignment="1">
      <alignment horizontal="center" vertical="center"/>
    </xf>
    <xf numFmtId="9" fontId="9" fillId="0" borderId="10" xfId="2" applyNumberFormat="1" applyFont="1" applyBorder="1" applyAlignment="1">
      <alignment horizontal="center" vertical="center" wrapText="1"/>
    </xf>
    <xf numFmtId="9" fontId="9" fillId="0" borderId="11" xfId="2" applyNumberFormat="1" applyFont="1" applyBorder="1" applyAlignment="1">
      <alignment horizontal="center" vertical="center" wrapText="1"/>
    </xf>
    <xf numFmtId="9" fontId="9" fillId="0" borderId="12" xfId="2" applyNumberFormat="1" applyFont="1" applyBorder="1" applyAlignment="1">
      <alignment horizontal="center" vertical="center" wrapText="1"/>
    </xf>
    <xf numFmtId="9" fontId="9" fillId="0" borderId="13" xfId="2" applyNumberFormat="1" applyFont="1" applyBorder="1" applyAlignment="1">
      <alignment horizontal="center" vertical="center" wrapText="1"/>
    </xf>
    <xf numFmtId="9" fontId="9" fillId="0" borderId="0" xfId="2" applyNumberFormat="1" applyFont="1" applyBorder="1" applyAlignment="1">
      <alignment horizontal="center" vertical="center" wrapText="1"/>
    </xf>
    <xf numFmtId="9" fontId="9" fillId="0" borderId="14" xfId="2" applyNumberFormat="1" applyFont="1" applyBorder="1" applyAlignment="1">
      <alignment horizontal="center" vertical="center" wrapText="1"/>
    </xf>
    <xf numFmtId="9" fontId="9" fillId="0" borderId="15" xfId="2" applyNumberFormat="1" applyFont="1" applyBorder="1" applyAlignment="1">
      <alignment horizontal="center" vertical="center" wrapText="1"/>
    </xf>
    <xf numFmtId="9" fontId="9" fillId="0" borderId="16" xfId="2" applyNumberFormat="1" applyFont="1" applyBorder="1" applyAlignment="1">
      <alignment horizontal="center" vertical="center" wrapText="1"/>
    </xf>
    <xf numFmtId="9" fontId="9" fillId="0" borderId="17" xfId="2" applyNumberFormat="1" applyFont="1" applyBorder="1" applyAlignment="1">
      <alignment horizontal="center" vertical="center" wrapText="1"/>
    </xf>
    <xf numFmtId="0" fontId="12" fillId="3" borderId="10"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14"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17" xfId="0" applyFont="1" applyFill="1" applyBorder="1" applyAlignment="1">
      <alignment horizontal="center" vertic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13" fillId="5" borderId="13" xfId="0" applyFont="1" applyFill="1" applyBorder="1" applyAlignment="1">
      <alignment horizontal="center" vertical="center"/>
    </xf>
    <xf numFmtId="0" fontId="13" fillId="5" borderId="0" xfId="0" applyFont="1" applyFill="1" applyBorder="1" applyAlignment="1">
      <alignment horizontal="center" vertical="center"/>
    </xf>
    <xf numFmtId="0" fontId="13" fillId="5" borderId="14" xfId="0" applyFont="1" applyFill="1" applyBorder="1" applyAlignment="1">
      <alignment horizontal="center" vertical="center"/>
    </xf>
    <xf numFmtId="0" fontId="13" fillId="5" borderId="15" xfId="0" applyFont="1" applyFill="1" applyBorder="1" applyAlignment="1">
      <alignment horizontal="center" vertical="center"/>
    </xf>
    <xf numFmtId="0" fontId="13" fillId="5" borderId="16" xfId="0" applyFont="1" applyFill="1" applyBorder="1" applyAlignment="1">
      <alignment horizontal="center" vertical="center"/>
    </xf>
    <xf numFmtId="0" fontId="13" fillId="5" borderId="17" xfId="0" applyFont="1" applyFill="1" applyBorder="1" applyAlignment="1">
      <alignment horizontal="center" vertical="center"/>
    </xf>
    <xf numFmtId="0" fontId="12" fillId="6" borderId="10" xfId="0" applyFont="1" applyFill="1" applyBorder="1" applyAlignment="1">
      <alignment horizontal="center" vertical="center"/>
    </xf>
    <xf numFmtId="0" fontId="12" fillId="6" borderId="11" xfId="0" applyFont="1" applyFill="1" applyBorder="1" applyAlignment="1">
      <alignment horizontal="center" vertical="center"/>
    </xf>
    <xf numFmtId="0" fontId="12" fillId="6" borderId="12" xfId="0" applyFont="1" applyFill="1" applyBorder="1" applyAlignment="1">
      <alignment horizontal="center" vertical="center"/>
    </xf>
    <xf numFmtId="0" fontId="12" fillId="6" borderId="13" xfId="0" applyFont="1" applyFill="1" applyBorder="1" applyAlignment="1">
      <alignment horizontal="center" vertical="center"/>
    </xf>
    <xf numFmtId="0" fontId="12" fillId="6" borderId="0" xfId="0" applyFont="1" applyFill="1" applyBorder="1" applyAlignment="1">
      <alignment horizontal="center" vertical="center"/>
    </xf>
    <xf numFmtId="0" fontId="12" fillId="6" borderId="14" xfId="0" applyFont="1" applyFill="1" applyBorder="1" applyAlignment="1">
      <alignment horizontal="center" vertical="center"/>
    </xf>
    <xf numFmtId="0" fontId="12" fillId="6" borderId="15" xfId="0" applyFont="1" applyFill="1" applyBorder="1" applyAlignment="1">
      <alignment horizontal="center" vertical="center"/>
    </xf>
    <xf numFmtId="0" fontId="12" fillId="6" borderId="16" xfId="0" applyFont="1" applyFill="1" applyBorder="1" applyAlignment="1">
      <alignment horizontal="center" vertical="center"/>
    </xf>
    <xf numFmtId="0" fontId="12" fillId="6" borderId="17"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12" fillId="7" borderId="12" xfId="0" applyFont="1" applyFill="1" applyBorder="1" applyAlignment="1">
      <alignment horizontal="center" vertical="center"/>
    </xf>
    <xf numFmtId="0" fontId="12" fillId="7" borderId="13" xfId="0" applyFont="1" applyFill="1" applyBorder="1" applyAlignment="1">
      <alignment horizontal="center" vertical="center"/>
    </xf>
    <xf numFmtId="0" fontId="12" fillId="7" borderId="0" xfId="0" applyFont="1" applyFill="1" applyBorder="1" applyAlignment="1">
      <alignment horizontal="center" vertical="center"/>
    </xf>
    <xf numFmtId="0" fontId="12" fillId="7" borderId="14" xfId="0" applyFont="1" applyFill="1" applyBorder="1" applyAlignment="1">
      <alignment horizontal="center" vertical="center"/>
    </xf>
    <xf numFmtId="0" fontId="12" fillId="7" borderId="15" xfId="0" applyFont="1" applyFill="1" applyBorder="1" applyAlignment="1">
      <alignment horizontal="center" vertical="center"/>
    </xf>
    <xf numFmtId="0" fontId="12" fillId="7" borderId="16" xfId="0" applyFont="1" applyFill="1" applyBorder="1" applyAlignment="1">
      <alignment horizontal="center" vertical="center"/>
    </xf>
    <xf numFmtId="0" fontId="12" fillId="7" borderId="17" xfId="0" applyFont="1" applyFill="1" applyBorder="1" applyAlignment="1">
      <alignment horizontal="center" vertical="center"/>
    </xf>
    <xf numFmtId="1" fontId="0" fillId="0" borderId="0" xfId="0" applyNumberFormat="1" applyFont="1" applyFill="1" applyBorder="1" applyAlignment="1">
      <alignment horizontal="left"/>
    </xf>
  </cellXfs>
  <cellStyles count="6">
    <cellStyle name="Comma" xfId="1" builtinId="3"/>
    <cellStyle name="Hyperlink" xfId="5" builtinId="8"/>
    <cellStyle name="Normal" xfId="0" builtinId="0"/>
    <cellStyle name="Normal 2" xfId="3"/>
    <cellStyle name="Percent" xfId="2" builtinId="5"/>
    <cellStyle name="Percent 2" xfId="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FF7D"/>
      <color rgb="FFFF2929"/>
      <color rgb="FF5ABA5A"/>
      <color rgb="FFFF3333"/>
      <color rgb="FFFF5D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G"/><Relationship Id="rId1" Type="http://schemas.openxmlformats.org/officeDocument/2006/relationships/hyperlink" Target="https://www.cisecurity.org/cis-controls-supporters/"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13</xdr:row>
      <xdr:rowOff>19050</xdr:rowOff>
    </xdr:from>
    <xdr:to>
      <xdr:col>1</xdr:col>
      <xdr:colOff>3724275</xdr:colOff>
      <xdr:row>14</xdr:row>
      <xdr:rowOff>2059</xdr:rowOff>
    </xdr:to>
    <xdr:pic>
      <xdr:nvPicPr>
        <xdr:cNvPr id="2" name="Picture 1">
          <a:hlinkClick xmlns:r="http://schemas.openxmlformats.org/officeDocument/2006/relationships" r:id="rId1"/>
          <a:extLst>
            <a:ext uri="{FF2B5EF4-FFF2-40B4-BE49-F238E27FC236}">
              <a16:creationId xmlns:a16="http://schemas.microsoft.com/office/drawing/2014/main" id="{1A991173-3B42-47A1-841B-0E0C02727E00}"/>
            </a:ext>
          </a:extLst>
        </xdr:cNvPr>
        <xdr:cNvPicPr>
          <a:picLocks noChangeAspect="1"/>
        </xdr:cNvPicPr>
      </xdr:nvPicPr>
      <xdr:blipFill>
        <a:blip xmlns:r="http://schemas.openxmlformats.org/officeDocument/2006/relationships" r:embed="rId2"/>
        <a:stretch>
          <a:fillRect/>
        </a:stretch>
      </xdr:blipFill>
      <xdr:spPr>
        <a:xfrm>
          <a:off x="4181475" y="3190875"/>
          <a:ext cx="3705225" cy="783109"/>
        </a:xfrm>
        <a:prstGeom prst="rect">
          <a:avLst/>
        </a:prstGeom>
      </xdr:spPr>
    </xdr:pic>
    <xdr:clientData/>
  </xdr:twoCellAnchor>
  <xdr:twoCellAnchor editAs="oneCell">
    <xdr:from>
      <xdr:col>0</xdr:col>
      <xdr:colOff>0</xdr:colOff>
      <xdr:row>5</xdr:row>
      <xdr:rowOff>0</xdr:rowOff>
    </xdr:from>
    <xdr:to>
      <xdr:col>0</xdr:col>
      <xdr:colOff>838200</xdr:colOff>
      <xdr:row>5</xdr:row>
      <xdr:rowOff>295275</xdr:rowOff>
    </xdr:to>
    <xdr:pic>
      <xdr:nvPicPr>
        <xdr:cNvPr id="4" name="Picture 3" descr="Creative Commons License">
          <a:extLst>
            <a:ext uri="{FF2B5EF4-FFF2-40B4-BE49-F238E27FC236}">
              <a16:creationId xmlns:a16="http://schemas.microsoft.com/office/drawing/2014/main" id="{E2139210-E39D-44DA-823C-5242B4E7C6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009650"/>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creativecommons.org/share-your-work/public-domain/freeworks" TargetMode="External"/><Relationship Id="rId2" Type="http://schemas.openxmlformats.org/officeDocument/2006/relationships/hyperlink" Target="https://www.cisecurity.org/cis-controls-supporters/" TargetMode="External"/><Relationship Id="rId1" Type="http://schemas.openxmlformats.org/officeDocument/2006/relationships/hyperlink" Target="http://www.veritysecurity.com/home/espm/" TargetMode="External"/><Relationship Id="rId5" Type="http://schemas.openxmlformats.org/officeDocument/2006/relationships/drawing" Target="../drawings/drawing1.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4" tint="-0.249977111117893"/>
    <pageSetUpPr fitToPage="1"/>
  </sheetPr>
  <dimension ref="B2:X30"/>
  <sheetViews>
    <sheetView showGridLines="0" zoomScale="95" zoomScaleNormal="95" workbookViewId="0">
      <selection activeCell="Z14" sqref="Z14"/>
    </sheetView>
  </sheetViews>
  <sheetFormatPr defaultRowHeight="15.75" x14ac:dyDescent="0.25"/>
  <cols>
    <col min="1" max="1" width="1.375" customWidth="1"/>
    <col min="2" max="2" width="1.625" customWidth="1"/>
    <col min="3" max="3" width="13.125" customWidth="1"/>
    <col min="4" max="4" width="2.125" customWidth="1"/>
    <col min="5" max="5" width="11.375" customWidth="1"/>
    <col min="6" max="6" width="2.375" customWidth="1"/>
    <col min="7" max="7" width="8.75" bestFit="1" customWidth="1"/>
    <col min="8" max="8" width="10.125" style="17" customWidth="1"/>
    <col min="9" max="9" width="8.25" customWidth="1"/>
    <col min="10" max="10" width="41.5" style="17" customWidth="1"/>
    <col min="11" max="11" width="6.625" style="17" customWidth="1"/>
    <col min="12" max="12" width="4.625" style="17" customWidth="1"/>
    <col min="13" max="23" width="4.375" style="17" customWidth="1"/>
    <col min="24" max="25" width="4.375" customWidth="1"/>
  </cols>
  <sheetData>
    <row r="2" spans="2:24" ht="7.5" customHeight="1" thickBot="1" x14ac:dyDescent="0.3"/>
    <row r="3" spans="2:24" ht="20.25" customHeight="1" thickBot="1" x14ac:dyDescent="0.3">
      <c r="B3" s="181" t="s">
        <v>768</v>
      </c>
      <c r="C3" s="182"/>
      <c r="D3" s="182"/>
      <c r="E3" s="182"/>
      <c r="F3" s="183"/>
    </row>
    <row r="4" spans="2:24" ht="31.5" customHeight="1" thickBot="1" x14ac:dyDescent="0.3">
      <c r="B4" s="184"/>
      <c r="C4" s="185"/>
      <c r="D4" s="185"/>
      <c r="E4" s="185"/>
      <c r="F4" s="185"/>
      <c r="G4" s="202" t="s">
        <v>793</v>
      </c>
      <c r="H4" s="200" t="s">
        <v>770</v>
      </c>
      <c r="I4" s="200"/>
      <c r="J4" s="201"/>
      <c r="K4" s="119" t="s">
        <v>791</v>
      </c>
      <c r="L4" s="210" t="s">
        <v>515</v>
      </c>
      <c r="M4" s="200"/>
      <c r="N4" s="200"/>
      <c r="O4" s="200"/>
      <c r="P4" s="200"/>
      <c r="Q4" s="200"/>
      <c r="R4" s="200"/>
      <c r="S4" s="200"/>
      <c r="T4" s="200"/>
      <c r="U4" s="200"/>
      <c r="V4" s="200"/>
      <c r="W4" s="211">
        <f>SUM(M6:X28)/COUNT(M6:X28)</f>
        <v>0.78143511310045144</v>
      </c>
      <c r="X4" s="212"/>
    </row>
    <row r="5" spans="2:24" ht="30" customHeight="1" thickBot="1" x14ac:dyDescent="0.3">
      <c r="B5" s="110"/>
      <c r="C5" s="120" t="s">
        <v>247</v>
      </c>
      <c r="D5" s="111"/>
      <c r="E5" s="218" t="s">
        <v>769</v>
      </c>
      <c r="F5" s="111"/>
      <c r="G5" s="203"/>
      <c r="H5" s="138" t="s">
        <v>0</v>
      </c>
      <c r="I5" s="122" t="s">
        <v>1</v>
      </c>
      <c r="J5" s="122" t="s">
        <v>68</v>
      </c>
      <c r="K5" s="122"/>
      <c r="L5" s="45">
        <v>0</v>
      </c>
      <c r="M5" s="46">
        <v>1</v>
      </c>
      <c r="N5" s="46">
        <v>2</v>
      </c>
      <c r="O5" s="46">
        <v>3</v>
      </c>
      <c r="P5" s="46">
        <v>4</v>
      </c>
      <c r="Q5" s="46">
        <v>5</v>
      </c>
      <c r="R5" s="46">
        <v>6</v>
      </c>
      <c r="S5" s="46">
        <v>7</v>
      </c>
      <c r="T5" s="46">
        <v>8</v>
      </c>
      <c r="U5" s="46">
        <v>9</v>
      </c>
      <c r="V5" s="46">
        <v>10</v>
      </c>
      <c r="W5" s="46">
        <v>11</v>
      </c>
      <c r="X5" s="47">
        <v>12</v>
      </c>
    </row>
    <row r="6" spans="2:24" ht="24.75" customHeight="1" x14ac:dyDescent="0.25">
      <c r="B6" s="110"/>
      <c r="C6" s="178">
        <f>SUM(G6:G28)/COUNT(G6:G28)</f>
        <v>0.77478806530864208</v>
      </c>
      <c r="D6" s="112"/>
      <c r="E6" s="218"/>
      <c r="F6" s="204"/>
      <c r="G6" s="137">
        <f>IF(SUMIFS(Descriptions!$L:$L,Descriptions!B:B,"ON",Descriptions!$C:$C,"ID",Descriptions!$E:$E,"AM")=0,"",SUMIFS(Descriptions!$L:$L,Descriptions!B:B,"ON",Descriptions!$C:$C,"ID",Descriptions!$E:$E,"AM")/COUNTIFS(Descriptions!B:B,"ON",Descriptions!$C:$C,"ID",Descriptions!$E:$E,"AM",Descriptions!$L:$L,"&gt;0")/100)</f>
        <v>0.83923076923076922</v>
      </c>
      <c r="H6" s="186" t="s">
        <v>252</v>
      </c>
      <c r="I6" s="139" t="s">
        <v>46</v>
      </c>
      <c r="J6" s="123" t="s">
        <v>27</v>
      </c>
      <c r="K6" s="124" t="s">
        <v>792</v>
      </c>
      <c r="L6" s="108" t="str">
        <f>IF(SUMIFS(Descriptions!$L:$L,Descriptions!B:B,"ON",Descriptions!$C:$C,"ID",Descriptions!$E:$E,"AM",Descriptions!$G:$G,"0")=0,"",SUMIFS(Descriptions!$L:$L,Descriptions!B:B,"ON",Descriptions!$C:$C,"ID",Descriptions!$E:$E,"AM",Descriptions!$G:$G,"0")/COUNTIFS(Descriptions!B:B,"ON",Descriptions!$C:$C,"ID",Descriptions!$E:$E,"AM",Descriptions!$G:$G,"0",Descriptions!$L:$L,"&gt;0")/100)</f>
        <v/>
      </c>
      <c r="M6" s="44">
        <f>IF(SUMIFS(Descriptions!$L:$L,Descriptions!B:B,"ON",Descriptions!$C:$C,"ID",Descriptions!$E:$E,"AM",Descriptions!$G:$G,"1")=0,"",SUMIFS(Descriptions!$L:$L,Descriptions!B:B,"ON",Descriptions!$C:$C,"ID",Descriptions!$E:$E,"AM",Descriptions!$G:$G,"1")/COUNTIFS(Descriptions!B:B,"ON",Descriptions!$C:$C,"ID",Descriptions!$E:$E,"AM",Descriptions!$G:$G,"1",Descriptions!$L:$L,"&gt;0")/100)</f>
        <v>0.82200000000000006</v>
      </c>
      <c r="N6" s="44">
        <f>IF(SUMIFS(Descriptions!$L:$L,Descriptions!B:B,"ON",Descriptions!$C:$C,"ID",Descriptions!$E:$E,"AM",Descriptions!$G:$G,"2")=0,"",SUMIFS(Descriptions!$L:$L,Descriptions!B:B,"ON",Descriptions!$C:$C,"ID",Descriptions!$E:$E,"AM",Descriptions!$G:$G,"2")/COUNTIFS(Descriptions!B:B,"ON",Descriptions!$C:$C,"ID",Descriptions!$E:$E,"AM",Descriptions!$G:$G,"2",Descriptions!$L:$L,"&gt;0")/100)</f>
        <v>0.77181818181818185</v>
      </c>
      <c r="O6" s="44">
        <f>IF(SUMIFS(Descriptions!$L:$L,Descriptions!B:B,"ON",Descriptions!$C:$C,"ID",Descriptions!$E:$E,"AM",Descriptions!$G:$G,"3")=0,"",SUMIFS(Descriptions!$L:$L,Descriptions!B:B,"ON",Descriptions!$C:$C,"ID",Descriptions!$E:$E,"AM",Descriptions!$G:$G,"3")/COUNTIFS(Descriptions!B:B,"ON",Descriptions!$C:$C,"ID",Descriptions!$E:$E,"AM",Descriptions!$G:$G,"3",Descriptions!$L:$L,"&gt;0")/100)</f>
        <v>0.84</v>
      </c>
      <c r="P6" s="44">
        <f>IF(SUMIFS(Descriptions!$L:$L,Descriptions!B:B,"ON",Descriptions!$C:$C,"ID",Descriptions!$E:$E,"AM",Descriptions!$G:$G,"4")=0,"",SUMIFS(Descriptions!$L:$L,Descriptions!B:B,"ON",Descriptions!$C:$C,"ID",Descriptions!$E:$E,"AM",Descriptions!$G:$G,"4")/COUNTIFS(Descriptions!B:B,"ON",Descriptions!$C:$C,"ID",Descriptions!$E:$E,"AM",Descriptions!$G:$G,"4",Descriptions!$L:$L,"&gt;0")/100)</f>
        <v>0.87</v>
      </c>
      <c r="Q6" s="44">
        <f>IF(SUMIFS(Descriptions!$L:$L,Descriptions!B:B,"ON",Descriptions!$C:$C,"ID",Descriptions!$E:$E,"AM",Descriptions!$G:$G,"5")=0,"",SUMIFS(Descriptions!$L:$L,Descriptions!B:B,"ON",Descriptions!$C:$C,"ID",Descriptions!$E:$E,"AM",Descriptions!$G:$G,"5")/COUNTIFS(Descriptions!B:B,"ON",Descriptions!$C:$C,"ID",Descriptions!$E:$E,"AM",Descriptions!$G:$G,"5",Descriptions!$L:$L,"&gt;0")/100)</f>
        <v>0.90599999999999992</v>
      </c>
      <c r="R6" s="44">
        <f>IF(SUMIFS(Descriptions!$L:$L,Descriptions!B:B,"ON",Descriptions!$C:$C,"ID",Descriptions!$E:$E,"AM",Descriptions!$G:$G,"6")=0,"",SUMIFS(Descriptions!$L:$L,Descriptions!B:B,"ON",Descriptions!$C:$C,"ID",Descriptions!$E:$E,"AM",Descriptions!$G:$G,"6")/COUNTIFS(Descriptions!B:B,"ON",Descriptions!$C:$C,"ID",Descriptions!$E:$E,"AM",Descriptions!$G:$G,"6",Descriptions!$L:$L,"&gt;0")/100)</f>
        <v>0.80538461538461537</v>
      </c>
      <c r="S6" s="71" t="str">
        <f>IF(SUMIFS(Descriptions!$L:$L,Descriptions!B:B,"ON",Descriptions!$C:$C,"ID",Descriptions!$E:$E,"AM",Descriptions!$G:$G,"7")=0,"",SUMIFS(Descriptions!$L:$L,Descriptions!B:B,"ON",Descriptions!$C:$C,"ID",Descriptions!$E:$E,"AM",Descriptions!$G:$G,"7")/COUNTIFS(Descriptions!B:B,"ON",Descriptions!$C:$C,"ID",Descriptions!$E:$E,"AM",Descriptions!$G:$G,"7",Descriptions!$L:$L,"&gt;0")/100)</f>
        <v/>
      </c>
      <c r="T6" s="71" t="str">
        <f>IF(SUMIFS(Descriptions!$L:$L,Descriptions!B:B,"ON",Descriptions!$C:$C,"ID",Descriptions!$E:$E,"AM",Descriptions!$G:$G,"8")=0,"",SUMIFS(Descriptions!$L:$L,Descriptions!B:B,"ON",Descriptions!$C:$C,"ID",Descriptions!$E:$E,"AM",Descriptions!$G:$G,"8")/COUNTIFS(Descriptions!B:B,"ON",Descriptions!$C:$C,"ID",Descriptions!$E:$E,"AM",Descriptions!$G:$G,"8",Descriptions!$L:$L,"&gt;0")/100)</f>
        <v/>
      </c>
      <c r="U6" s="71" t="str">
        <f>IF(SUMIFS(Descriptions!$L:$L,Descriptions!B:B,"ON",Descriptions!$C:$C,"ID",Descriptions!$E:$E,"AM",Descriptions!$G:$G,"9")=0,"",SUMIFS(Descriptions!$L:$L,Descriptions!B:B,"ON",Descriptions!$C:$C,"ID",Descriptions!$E:$E,"AM",Descriptions!$G:$G,"9")/COUNTIFS(Descriptions!B:B,"ON",Descriptions!$C:$C,"ID",Descriptions!$E:$E,"AM",Descriptions!$G:$G,"9",Descriptions!$L:$L,"&gt;0")/100)</f>
        <v/>
      </c>
      <c r="V6" s="71" t="str">
        <f>IF(SUMIFS(Descriptions!$L:$L,Descriptions!B:B,"ON",Descriptions!$C:$C,"ID",Descriptions!$E:$E,"AM",Descriptions!$G:$G,"10")=0,"",SUMIFS(Descriptions!$L:$L,Descriptions!B:B,"ON",Descriptions!$C:$C,"ID",Descriptions!$E:$E,"AM",Descriptions!$G:$G,"10")/COUNTIFS(Descriptions!B:B,"ON",Descriptions!$C:$C,"ID",Descriptions!$E:$E,"AM",Descriptions!$G:$G,"10",Descriptions!$L:$L,"&gt;0")/100)</f>
        <v/>
      </c>
      <c r="W6" s="71" t="str">
        <f>IF(SUMIFS(Descriptions!$L:$L,Descriptions!B:B,"ON",Descriptions!$C:$C,"ID",Descriptions!$E:$E,"AM",Descriptions!$G:$G,"11")=0,"",SUMIFS(Descriptions!$L:$L,Descriptions!B:B,"ON",Descriptions!$C:$C,"ID",Descriptions!$E:$E,"AM",Descriptions!$G:$G,"11")/COUNTIFS(Descriptions!B:B,"ON",Descriptions!$C:$C,"ID",Descriptions!$E:$E,"AM",Descriptions!$G:$G,"11",Descriptions!$L:$L,"&gt;0")/100)</f>
        <v/>
      </c>
      <c r="X6" s="72" t="str">
        <f>IF(SUMIFS(Descriptions!$L:$L,Descriptions!B:B,"ON",Descriptions!$C:$C,"ID",Descriptions!$E:$E,"AM",Descriptions!$G:$G,"12")=0,"",SUMIFS(Descriptions!$L:$L,Descriptions!B:B,"ON",Descriptions!$C:$C,"ID",Descriptions!$E:$E,"AM",Descriptions!$G:$G,"12")/COUNTIFS(Descriptions!B:B,"ON",Descriptions!$C:$C,"ID",Descriptions!$E:$E,"AM",Descriptions!$G:$G,"12",Descriptions!$L:$L,"&gt;0")/100)</f>
        <v/>
      </c>
    </row>
    <row r="7" spans="2:24" ht="24.75" customHeight="1" x14ac:dyDescent="0.25">
      <c r="B7" s="110"/>
      <c r="C7" s="179"/>
      <c r="D7" s="112"/>
      <c r="E7" s="195">
        <f>SUM(G6:G10)/COUNT(G6:G10)</f>
        <v>0.78513454885130896</v>
      </c>
      <c r="F7" s="205"/>
      <c r="G7" s="107">
        <f>IF(SUMIFS(Descriptions!$L:$L,Descriptions!B:B,"ON",Descriptions!$C:$C,"ID",Descriptions!$E:$E,"BE")=0,"",SUMIFS(Descriptions!$L:$L,Descriptions!B:B,"ON",Descriptions!$C:$C,"ID",Descriptions!$E:$E,"BE")/COUNTIFS(Descriptions!B:B,"ON",Descriptions!$C:$C,"ID",Descriptions!$E:$E,"BE",Descriptions!$L:$L,"&gt;0")/100)</f>
        <v>0.75800000000000001</v>
      </c>
      <c r="H7" s="187"/>
      <c r="I7" s="139" t="s">
        <v>47</v>
      </c>
      <c r="J7" s="125" t="s">
        <v>28</v>
      </c>
      <c r="K7" s="126" t="s">
        <v>771</v>
      </c>
      <c r="L7" s="108" t="str">
        <f>IF(SUMIFS(Descriptions!$L:$L,Descriptions!B:B,"ON",Descriptions!$C:$C,"ID",Descriptions!$E:$E,"BE",Descriptions!$G:$G,"0")=0,"",SUMIFS(Descriptions!$L:$L,Descriptions!B:B,"ON",Descriptions!$C:$C,"ID",Descriptions!$E:$E,"BE",Descriptions!$G:$G,"0")/COUNTIFS(Descriptions!B:B,"ON",Descriptions!$C:$C,"ID",Descriptions!$E:$E,"BE",Descriptions!$G:$G,"0",Descriptions!$L:$L,"&gt;0")/100)</f>
        <v/>
      </c>
      <c r="M7" s="44">
        <f>IF(SUMIFS(Descriptions!$L:$L,Descriptions!B:B,"ON",Descriptions!$C:$C,"ID",Descriptions!$E:$E,"BE",Descriptions!$G:$G,"1")=0,"",SUMIFS(Descriptions!$L:$L,Descriptions!B:B,"ON",Descriptions!$C:$C,"ID",Descriptions!$E:$E,"BE",Descriptions!$G:$G,"1")/COUNTIFS(Descriptions!B:B,"ON",Descriptions!$C:$C,"ID",Descriptions!$E:$E,"BE",Descriptions!$G:$G,"1",Descriptions!$L:$L,"&gt;0")/100)</f>
        <v>0.75</v>
      </c>
      <c r="N7" s="44">
        <f>IF(SUMIFS(Descriptions!$L:$L,Descriptions!B:B,"ON",Descriptions!$C:$C,"ID",Descriptions!$E:$E,"BE",Descriptions!$G:$G,"2")=0,"",SUMIFS(Descriptions!$L:$L,Descriptions!B:B,"ON",Descriptions!$C:$C,"ID",Descriptions!$E:$E,"BE",Descriptions!$G:$G,"2")/COUNTIFS(Descriptions!B:B,"ON",Descriptions!$C:$C,"ID",Descriptions!$E:$E,"BE",Descriptions!$G:$G,"2",Descriptions!$L:$L,"&gt;0")/100)</f>
        <v>0.75</v>
      </c>
      <c r="O7" s="44">
        <f>IF(SUMIFS(Descriptions!$L:$L,Descriptions!B:B,"ON",Descriptions!$C:$C,"ID",Descriptions!$E:$E,"BE",Descriptions!$G:$G,"3")=0,"",SUMIFS(Descriptions!$L:$L,Descriptions!B:B,"ON",Descriptions!$C:$C,"ID",Descriptions!$E:$E,"BE",Descriptions!$G:$G,"3")/COUNTIFS(Descriptions!B:B,"ON",Descriptions!$C:$C,"ID",Descriptions!$E:$E,"BE",Descriptions!$G:$G,"3",Descriptions!$L:$L,"&gt;0")/100)</f>
        <v>0.75</v>
      </c>
      <c r="P7" s="44">
        <f>IF(SUMIFS(Descriptions!$L:$L,Descriptions!B:B,"ON",Descriptions!$C:$C,"ID",Descriptions!$E:$E,"BE",Descriptions!$G:$G,"4")=0,"",SUMIFS(Descriptions!$L:$L,Descriptions!B:B,"ON",Descriptions!$C:$C,"ID",Descriptions!$E:$E,"BE",Descriptions!$G:$G,"4")/COUNTIFS(Descriptions!B:B,"ON",Descriptions!$C:$C,"ID",Descriptions!$E:$E,"BE",Descriptions!$G:$G,"4",Descriptions!$L:$L,"&gt;0")/100)</f>
        <v>0.75</v>
      </c>
      <c r="Q7" s="44">
        <f>IF(SUMIFS(Descriptions!$L:$L,Descriptions!B:B,"ON",Descriptions!$C:$C,"ID",Descriptions!$E:$E,"BE",Descriptions!$G:$G,"5")=0,"",SUMIFS(Descriptions!$L:$L,Descriptions!B:B,"ON",Descriptions!$C:$C,"ID",Descriptions!$E:$E,"BE",Descriptions!$G:$G,"5")/COUNTIFS(Descriptions!B:B,"ON",Descriptions!$C:$C,"ID",Descriptions!$E:$E,"BE",Descriptions!$G:$G,"5",Descriptions!$L:$L,"&gt;0")/100)</f>
        <v>0.78428571428571425</v>
      </c>
      <c r="R7" s="73" t="str">
        <f>IF(SUMIFS(Descriptions!$L:$L,Descriptions!B:B,"ON",Descriptions!$C:$C,"ID",Descriptions!$E:$E,"BE",Descriptions!$G:$G,"6")=0,"",SUMIFS(Descriptions!$L:$L,Descriptions!B:B,"ON",Descriptions!$C:$C,"ID",Descriptions!$E:$E,"BE",Descriptions!$G:$G,"6")/COUNTIFS(Descriptions!B:B,"ON",Descriptions!$C:$C,"ID",Descriptions!$E:$E,"BE",Descriptions!$G:$G,"6",Descriptions!$L:$L,"&gt;0")/100)</f>
        <v/>
      </c>
      <c r="S7" s="73" t="str">
        <f>IF(SUMIFS(Descriptions!$L:$L,Descriptions!B:B,"ON",Descriptions!$C:$C,"ID",Descriptions!$E:$E,"BE",Descriptions!$G:$G,"7")=0,"",SUMIFS(Descriptions!$L:$L,Descriptions!B:B,"ON",Descriptions!$C:$C,"ID",Descriptions!$E:$E,"BE",Descriptions!$G:$G,"7")/COUNTIFS(Descriptions!B:B,"ON",Descriptions!$C:$C,"ID",Descriptions!$E:$E,"BE",Descriptions!$G:$G,"7",Descriptions!$L:$L,"&gt;0")/100)</f>
        <v/>
      </c>
      <c r="T7" s="73" t="str">
        <f>IF(SUMIFS(Descriptions!$L:$L,Descriptions!B:B,"ON",Descriptions!$C:$C,"ID",Descriptions!$E:$E,"BE",Descriptions!$G:$G,"8")=0,"",SUMIFS(Descriptions!$L:$L,Descriptions!B:B,"ON",Descriptions!$C:$C,"ID",Descriptions!$E:$E,"BE",Descriptions!$G:$G,"8")/COUNTIFS(Descriptions!B:B,"ON",Descriptions!$C:$C,"ID",Descriptions!$E:$E,"BE",Descriptions!$G:$G,"8",Descriptions!$L:$L,"&gt;0")/100)</f>
        <v/>
      </c>
      <c r="U7" s="73" t="str">
        <f>IF(SUMIFS(Descriptions!$L:$L,Descriptions!B:B,"ON",Descriptions!$C:$C,"ID",Descriptions!$E:$E,"BE",Descriptions!$G:$G,"9")=0,"",SUMIFS(Descriptions!$L:$L,Descriptions!B:B,"ON",Descriptions!$C:$C,"ID",Descriptions!$E:$E,"BE",Descriptions!$G:$G,"9")/COUNTIFS(Descriptions!B:B,"ON",Descriptions!$C:$C,"ID",Descriptions!$E:$E,"BE",Descriptions!$G:$G,"9",Descriptions!$L:$L,"&gt;0")/100)</f>
        <v/>
      </c>
      <c r="V7" s="73" t="str">
        <f>IF(SUMIFS(Descriptions!$L:$L,Descriptions!B:B,"ON",Descriptions!$C:$C,"ID",Descriptions!$E:$E,"BE",Descriptions!$G:$G,"10")=0,"",SUMIFS(Descriptions!$L:$L,Descriptions!B:B,"ON",Descriptions!$C:$C,"ID",Descriptions!$E:$E,"BE",Descriptions!$G:$G,"10")/COUNTIFS(Descriptions!B:B,"ON",Descriptions!$C:$C,"ID",Descriptions!$E:$E,"BE",Descriptions!$G:$G,"10",Descriptions!$L:$L,"&gt;0")/100)</f>
        <v/>
      </c>
      <c r="W7" s="73" t="str">
        <f>IF(SUMIFS(Descriptions!$L:$L,Descriptions!B:B,"ON",Descriptions!$C:$C,"ID",Descriptions!$E:$E,"BE",Descriptions!$G:$G,"11")=0,"",SUMIFS(Descriptions!$L:$L,Descriptions!B:B,"ON",Descriptions!$C:$C,"ID",Descriptions!$E:$E,"BE",Descriptions!$G:$G,"11")/COUNTIFS(Descriptions!B:B,"ON",Descriptions!$C:$C,"ID",Descriptions!$E:$E,"BE",Descriptions!$G:$G,"11",Descriptions!$L:$L,"&gt;0")/100)</f>
        <v/>
      </c>
      <c r="X7" s="74" t="str">
        <f>IF(SUMIFS(Descriptions!$L:$L,Descriptions!B:B,"ON",Descriptions!$C:$C,"ID",Descriptions!$E:$E,"BE",Descriptions!$G:$G,"12")=0,"",SUMIFS(Descriptions!$L:$L,Descriptions!B:B,"ON",Descriptions!$C:$C,"ID",Descriptions!$E:$E,"BE",Descriptions!$G:$G,"12")/COUNTIFS(Descriptions!B:B,"ON",Descriptions!$C:$C,"ID",Descriptions!$E:$E,"BE",Descriptions!$G:$G,"12",Descriptions!$L:$L,"&gt;0")/100)</f>
        <v/>
      </c>
    </row>
    <row r="8" spans="2:24" ht="24.75" customHeight="1" thickBot="1" x14ac:dyDescent="0.3">
      <c r="B8" s="110"/>
      <c r="C8" s="180"/>
      <c r="D8" s="112"/>
      <c r="E8" s="196"/>
      <c r="F8" s="205"/>
      <c r="G8" s="107">
        <f>IF(SUMIFS(Descriptions!$L:$L,Descriptions!B:B,"ON",Descriptions!$C:$C,"ID",Descriptions!$E:$E,"GV")=0,"",SUMIFS(Descriptions!$L:$L,Descriptions!B:B,"ON",Descriptions!$C:$C,"ID",Descriptions!$E:$E,"GV")/COUNTIFS(Descriptions!B:B,"ON",Descriptions!$C:$C,"ID",Descriptions!$E:$E,"GV",Descriptions!$L:$L,"&gt;0")/100)</f>
        <v>0.80302325581395351</v>
      </c>
      <c r="H8" s="187"/>
      <c r="I8" s="139" t="s">
        <v>48</v>
      </c>
      <c r="J8" s="125" t="s">
        <v>29</v>
      </c>
      <c r="K8" s="126" t="s">
        <v>772</v>
      </c>
      <c r="L8" s="108" t="str">
        <f>IF(SUMIFS(Descriptions!$L:$L,Descriptions!B:B,"ON",Descriptions!$C:$C,"ID",Descriptions!$E:$E,"GV",Descriptions!$G:$G,"0")=0,"",SUMIFS(Descriptions!$L:$L,Descriptions!B:B,"ON",Descriptions!$C:$C,"ID",Descriptions!$E:$E,"GV",Descriptions!$G:$G,"0")/COUNTIFS(Descriptions!B:B,"ON",Descriptions!$C:$C,"ID",Descriptions!$E:$E,"GV",Descriptions!$G:$G,"0",Descriptions!$L:$L,"&gt;0")/100)</f>
        <v/>
      </c>
      <c r="M8" s="44">
        <f>IF(SUMIFS(Descriptions!$L:$L,Descriptions!B:B,"ON",Descriptions!$C:$C,"ID",Descriptions!$E:$E,"GV",Descriptions!$G:$G,"1")=0,"",SUMIFS(Descriptions!$L:$L,Descriptions!B:B,"ON",Descriptions!$C:$C,"ID",Descriptions!$E:$E,"GV",Descriptions!$G:$G,"1")/COUNTIFS(Descriptions!B:B,"ON",Descriptions!$C:$C,"ID",Descriptions!$E:$E,"GV",Descriptions!$G:$G,"1",Descriptions!$L:$L,"&gt;0")/100)</f>
        <v>0.87</v>
      </c>
      <c r="N8" s="44">
        <f>IF(SUMIFS(Descriptions!$L:$L,Descriptions!B:B,"ON",Descriptions!$C:$C,"ID",Descriptions!$E:$E,"GV",Descriptions!$G:$G,"2")=0,"",SUMIFS(Descriptions!$L:$L,Descriptions!B:B,"ON",Descriptions!$C:$C,"ID",Descriptions!$E:$E,"GV",Descriptions!$G:$G,"2")/COUNTIFS(Descriptions!B:B,"ON",Descriptions!$C:$C,"ID",Descriptions!$E:$E,"GV",Descriptions!$G:$G,"2",Descriptions!$L:$L,"&gt;0")/100)</f>
        <v>0.7659999999999999</v>
      </c>
      <c r="O8" s="44">
        <f>IF(SUMIFS(Descriptions!$L:$L,Descriptions!B:B,"ON",Descriptions!$C:$C,"ID",Descriptions!$E:$E,"GV",Descriptions!$G:$G,"3")=0,"",SUMIFS(Descriptions!$L:$L,Descriptions!B:B,"ON",Descriptions!$C:$C,"ID",Descriptions!$E:$E,"GV",Descriptions!$G:$G,"3")/COUNTIFS(Descriptions!B:B,"ON",Descriptions!$C:$C,"ID",Descriptions!$E:$E,"GV",Descriptions!$G:$G,"3",Descriptions!$L:$L,"&gt;0")/100)</f>
        <v>0.75</v>
      </c>
      <c r="P8" s="44">
        <f>IF(SUMIFS(Descriptions!$L:$L,Descriptions!B:B,"ON",Descriptions!$C:$C,"ID",Descriptions!$E:$E,"GV",Descriptions!$G:$G,"4")=0,"",SUMIFS(Descriptions!$L:$L,Descriptions!B:B,"ON",Descriptions!$C:$C,"ID",Descriptions!$E:$E,"GV",Descriptions!$G:$G,"4")/COUNTIFS(Descriptions!B:B,"ON",Descriptions!$C:$C,"ID",Descriptions!$E:$E,"GV",Descriptions!$G:$G,"4",Descriptions!$L:$L,"&gt;0")/100)</f>
        <v>0.77181818181818185</v>
      </c>
      <c r="Q8" s="73" t="str">
        <f>IF(SUMIFS(Descriptions!$L:$L,Descriptions!B:B,"ON",Descriptions!$C:$C,"ID",Descriptions!$E:$E,"GV",Descriptions!$G:$G,"5")=0,"",SUMIFS(Descriptions!$L:$L,Descriptions!B:B,"ON",Descriptions!$C:$C,"ID",Descriptions!$E:$E,"GV",Descriptions!$G:$G,"5")/COUNTIFS(Descriptions!B:B,"ON",Descriptions!$C:$C,"ID",Descriptions!$E:$E,"GV",Descriptions!$G:$G,"5",Descriptions!$L:$L,"&gt;0")/100)</f>
        <v/>
      </c>
      <c r="R8" s="73" t="str">
        <f>IF(SUMIFS(Descriptions!$L:$L,Descriptions!B:B,"ON",Descriptions!$C:$C,"ID",Descriptions!$E:$E,"GV",Descriptions!$G:$G,"6")=0,"",SUMIFS(Descriptions!$L:$L,Descriptions!B:B,"ON",Descriptions!$C:$C,"ID",Descriptions!$E:$E,"GV",Descriptions!$G:$G,"6")/COUNTIFS(Descriptions!B:B,"ON",Descriptions!$C:$C,"ID",Descriptions!$E:$E,"GV",Descriptions!$G:$G,"6",Descriptions!$L:$L,"&gt;0")/100)</f>
        <v/>
      </c>
      <c r="S8" s="73" t="str">
        <f>IF(SUMIFS(Descriptions!$L:$L,Descriptions!B:B,"ON",Descriptions!$C:$C,"ID",Descriptions!$E:$E,"GV",Descriptions!$G:$G,"7")=0,"",SUMIFS(Descriptions!$L:$L,Descriptions!B:B,"ON",Descriptions!$C:$C,"ID",Descriptions!$E:$E,"GV",Descriptions!$G:$G,"7")/COUNTIFS(Descriptions!B:B,"ON",Descriptions!$C:$C,"ID",Descriptions!$E:$E,"GV",Descriptions!$G:$G,"7",Descriptions!$L:$L,"&gt;0")/100)</f>
        <v/>
      </c>
      <c r="T8" s="73" t="str">
        <f>IF(SUMIFS(Descriptions!$L:$L,Descriptions!B:B,"ON",Descriptions!$C:$C,"ID",Descriptions!$E:$E,"GV",Descriptions!$G:$G,"8")=0,"",SUMIFS(Descriptions!$L:$L,Descriptions!B:B,"ON",Descriptions!$C:$C,"ID",Descriptions!$E:$E,"GV",Descriptions!$G:$G,"8")/COUNTIFS(Descriptions!B:B,"ON",Descriptions!$C:$C,"ID",Descriptions!$E:$E,"GV",Descriptions!$G:$G,"8",Descriptions!$L:$L,"&gt;0")/100)</f>
        <v/>
      </c>
      <c r="U8" s="73" t="str">
        <f>IF(SUMIFS(Descriptions!$L:$L,Descriptions!B:B,"ON",Descriptions!$C:$C,"ID",Descriptions!$E:$E,"GV",Descriptions!$G:$G,"9")=0,"",SUMIFS(Descriptions!$L:$L,Descriptions!B:B,"ON",Descriptions!$C:$C,"ID",Descriptions!$E:$E,"GV",Descriptions!$G:$G,"9")/COUNTIFS(Descriptions!B:B,"ON",Descriptions!$C:$C,"ID",Descriptions!$E:$E,"GV",Descriptions!$G:$G,"9",Descriptions!$L:$L,"&gt;0")/100)</f>
        <v/>
      </c>
      <c r="V8" s="73" t="str">
        <f>IF(SUMIFS(Descriptions!$L:$L,Descriptions!B:B,"ON",Descriptions!$C:$C,"ID",Descriptions!$E:$E,"GV",Descriptions!$G:$G,"10")=0,"",SUMIFS(Descriptions!$L:$L,Descriptions!B:B,"ON",Descriptions!$C:$C,"ID",Descriptions!$E:$E,"GV",Descriptions!$G:$G,"10")/COUNTIFS(Descriptions!B:B,"ON",Descriptions!$C:$C,"ID",Descriptions!$E:$E,"GV",Descriptions!$G:$G,"10",Descriptions!$L:$L,"&gt;0")/100)</f>
        <v/>
      </c>
      <c r="W8" s="73" t="str">
        <f>IF(SUMIFS(Descriptions!$L:$L,Descriptions!B:B,"ON",Descriptions!$C:$C,"ID",Descriptions!$E:$E,"GV",Descriptions!$G:$G,"11")=0,"",SUMIFS(Descriptions!$L:$L,Descriptions!B:B,"ON",Descriptions!$C:$C,"ID",Descriptions!$E:$E,"GV",Descriptions!$G:$G,"11")/COUNTIFS(Descriptions!B:B,"ON",Descriptions!$C:$C,"ID",Descriptions!$E:$E,"GV",Descriptions!$G:$G,"11",Descriptions!$L:$L,"&gt;0")/100)</f>
        <v/>
      </c>
      <c r="X8" s="74" t="str">
        <f>IF(SUMIFS(Descriptions!$L:$L,Descriptions!B:B,"ON",Descriptions!$C:$C,"ID",Descriptions!$E:$E,"GV",Descriptions!$G:$G,"12")=0,"",SUMIFS(Descriptions!$L:$L,Descriptions!B:B,"ON",Descriptions!$C:$C,"ID",Descriptions!$E:$E,"GV",Descriptions!$G:$G,"12")/COUNTIFS(Descriptions!B:B,"ON",Descriptions!$C:$C,"ID",Descriptions!$E:$E,"GV",Descriptions!$G:$G,"12",Descriptions!$L:$L,"&gt;0")/100)</f>
        <v/>
      </c>
    </row>
    <row r="9" spans="2:24" ht="24.75" customHeight="1" x14ac:dyDescent="0.25">
      <c r="B9" s="110"/>
      <c r="C9" s="113"/>
      <c r="D9" s="114"/>
      <c r="E9" s="197"/>
      <c r="F9" s="205"/>
      <c r="G9" s="107">
        <f>IF(SUMIFS(Descriptions!$L:$L,Descriptions!B:B,"ON",Descriptions!$C:$C,"ID",Descriptions!$E:$E,"RA")=0,"",SUMIFS(Descriptions!$L:$L,Descriptions!B:B,"ON",Descriptions!$C:$C,"ID",Descriptions!$E:$E,"RA")/COUNTIFS(Descriptions!B:B,"ON",Descriptions!$C:$C,"ID",Descriptions!$E:$E,"RA",Descriptions!$L:$L,"&gt;0")/100)</f>
        <v>0.75827586206896558</v>
      </c>
      <c r="H9" s="187"/>
      <c r="I9" s="139" t="s">
        <v>49</v>
      </c>
      <c r="J9" s="125" t="s">
        <v>30</v>
      </c>
      <c r="K9" s="126" t="s">
        <v>773</v>
      </c>
      <c r="L9" s="108" t="str">
        <f>IF(SUMIFS(Descriptions!$L:$L,Descriptions!B:B,"ON",Descriptions!$C:$C,"ID",Descriptions!$E:$E,"RA",Descriptions!$G:$G,"0")=0,"",SUMIFS(Descriptions!$L:$L,Descriptions!B:B,"ON",Descriptions!$C:$C,"ID",Descriptions!$E:$E,"RA",Descriptions!$G:$G,"0")/COUNTIFS(Descriptions!B:B,"ON",Descriptions!$C:$C,"ID",Descriptions!$E:$E,"RA",Descriptions!$G:$G,"0",Descriptions!$L:$L,"&gt;0")/100)</f>
        <v/>
      </c>
      <c r="M9" s="44">
        <f>IF(SUMIFS(Descriptions!$L:$L,Descriptions!B:B,"ON",Descriptions!$C:$C,"ID",Descriptions!$E:$E,"RA",Descriptions!$G:$G,"1")=0,"",SUMIFS(Descriptions!$L:$L,Descriptions!B:B,"ON",Descriptions!$C:$C,"ID",Descriptions!$E:$E,"RA",Descriptions!$G:$G,"1")/COUNTIFS(Descriptions!B:B,"ON",Descriptions!$C:$C,"ID",Descriptions!$E:$E,"RA",Descriptions!$G:$G,"1",Descriptions!$L:$L,"&gt;0")/100)</f>
        <v>0.79</v>
      </c>
      <c r="N9" s="77">
        <f>IF(SUMIFS(Descriptions!$L:$L,Descriptions!B:B,"ON",Descriptions!$C:$C,"ID",Descriptions!$E:$E,"RA",Descriptions!$G:$G,"2")=0,"",SUMIFS(Descriptions!$L:$L,Descriptions!B:B,"ON",Descriptions!$C:$C,"ID",Descriptions!$E:$E,"RA",Descriptions!$G:$G,"2")/COUNTIFS(Descriptions!B:B,"ON",Descriptions!$C:$C,"ID",Descriptions!$E:$E,"RA",Descriptions!$G:$G,"2",Descriptions!$L:$L,"&gt;0")/100)</f>
        <v>0.75</v>
      </c>
      <c r="O9" s="77">
        <f>IF(SUMIFS(Descriptions!$L:$L,Descriptions!B:B,"ON",Descriptions!$C:$C,"ID",Descriptions!$E:$E,"RA",Descriptions!$G:$G,"3")=0,"",SUMIFS(Descriptions!$L:$L,Descriptions!B:B,"ON",Descriptions!$C:$C,"ID",Descriptions!$E:$E,"RA",Descriptions!$G:$G,"3")/COUNTIFS(Descriptions!B:B,"ON",Descriptions!$C:$C,"ID",Descriptions!$E:$E,"RA",Descriptions!$G:$G,"3",Descriptions!$L:$L,"&gt;0")/100)</f>
        <v>0.75</v>
      </c>
      <c r="P9" s="77">
        <f>IF(SUMIFS(Descriptions!$L:$L,Descriptions!B:B,"ON",Descriptions!$C:$C,"ID",Descriptions!$E:$E,"RA",Descriptions!$G:$G,"4")=0,"",SUMIFS(Descriptions!$L:$L,Descriptions!B:B,"ON",Descriptions!$C:$C,"ID",Descriptions!$E:$E,"RA",Descriptions!$G:$G,"4")/COUNTIFS(Descriptions!B:B,"ON",Descriptions!$C:$C,"ID",Descriptions!$E:$E,"RA",Descriptions!$G:$G,"4",Descriptions!$L:$L,"&gt;0")/100)</f>
        <v>0.75</v>
      </c>
      <c r="Q9" s="77">
        <f>IF(SUMIFS(Descriptions!$L:$L,Descriptions!B:B,"ON",Descriptions!$C:$C,"ID",Descriptions!$E:$E,"RA",Descriptions!$G:$G,"5")=0,"",SUMIFS(Descriptions!$L:$L,Descriptions!B:B,"ON",Descriptions!$C:$C,"ID",Descriptions!$E:$E,"RA",Descriptions!$G:$G,"5")/COUNTIFS(Descriptions!B:B,"ON",Descriptions!$C:$C,"ID",Descriptions!$E:$E,"RA",Descriptions!$G:$G,"5",Descriptions!$L:$L,"&gt;0")/100)</f>
        <v>0.75</v>
      </c>
      <c r="R9" s="77">
        <f>IF(SUMIFS(Descriptions!$L:$L,Descriptions!B:B,"ON",Descriptions!$C:$C,"ID",Descriptions!$E:$E,"RA",Descriptions!$G:$G,"6")=0,"",SUMIFS(Descriptions!$L:$L,Descriptions!B:B,"ON",Descriptions!$C:$C,"ID",Descriptions!$E:$E,"RA",Descriptions!$G:$G,"6")/COUNTIFS(Descriptions!B:B,"ON",Descriptions!$C:$C,"ID",Descriptions!$E:$E,"RA",Descriptions!$G:$G,"6",Descriptions!$L:$L,"&gt;0")/100)</f>
        <v>0.75</v>
      </c>
      <c r="S9" s="73" t="str">
        <f>IF(SUMIFS(Descriptions!$L:$L,Descriptions!B:B,"ON",Descriptions!$C:$C,"ID",Descriptions!$E:$E,"RA",Descriptions!$G:$G,"7")=0,"",SUMIFS(Descriptions!$L:$L,Descriptions!B:B,"ON",Descriptions!$C:$C,"ID",Descriptions!$E:$E,"RA",Descriptions!$G:$G,"7")/COUNTIFS(Descriptions!B:B,"ON",Descriptions!$C:$C,"ID",Descriptions!$E:$E,"RA",Descriptions!$G:$G,"7",Descriptions!$L:$L,"&gt;0")/100)</f>
        <v/>
      </c>
      <c r="T9" s="73" t="str">
        <f>IF(SUMIFS(Descriptions!$L:$L,Descriptions!B:B,"ON",Descriptions!$C:$C,"ID",Descriptions!$E:$E,"RA",Descriptions!$G:$G,"8")=0,"",SUMIFS(Descriptions!$L:$L,Descriptions!B:B,"ON",Descriptions!$C:$C,"ID",Descriptions!$E:$E,"RA",Descriptions!$G:$G,"8")/COUNTIFS(Descriptions!B:B,"ON",Descriptions!$C:$C,"ID",Descriptions!$E:$E,"RA",Descriptions!$G:$G,"8",Descriptions!$L:$L,"&gt;0")/100)</f>
        <v/>
      </c>
      <c r="U9" s="73" t="str">
        <f>IF(SUMIFS(Descriptions!$L:$L,Descriptions!B:B,"ON",Descriptions!$C:$C,"ID",Descriptions!$E:$E,"RA",Descriptions!$G:$G,"9")=0,"",SUMIFS(Descriptions!$L:$L,Descriptions!B:B,"ON",Descriptions!$C:$C,"ID",Descriptions!$E:$E,"RA",Descriptions!$G:$G,"9")/COUNTIFS(Descriptions!B:B,"ON",Descriptions!$C:$C,"ID",Descriptions!$E:$E,"RA",Descriptions!$G:$G,"9",Descriptions!$L:$L,"&gt;0")/100)</f>
        <v/>
      </c>
      <c r="V9" s="73" t="str">
        <f>IF(SUMIFS(Descriptions!$L:$L,Descriptions!B:B,"ON",Descriptions!$C:$C,"ID",Descriptions!$E:$E,"RA",Descriptions!$G:$G,"10")=0,"",SUMIFS(Descriptions!$L:$L,Descriptions!B:B,"ON",Descriptions!$C:$C,"ID",Descriptions!$E:$E,"RA",Descriptions!$G:$G,"10")/COUNTIFS(Descriptions!B:B,"ON",Descriptions!$C:$C,"ID",Descriptions!$E:$E,"RA",Descriptions!$G:$G,"10",Descriptions!$L:$L,"&gt;0")/100)</f>
        <v/>
      </c>
      <c r="W9" s="73" t="str">
        <f>IF(SUMIFS(Descriptions!$L:$L,Descriptions!B:B,"ON",Descriptions!$C:$C,"ID",Descriptions!$E:$E,"RA",Descriptions!$G:$G,"11")=0,"",SUMIFS(Descriptions!$L:$L,Descriptions!B:B,"ON",Descriptions!$C:$C,"ID",Descriptions!$E:$E,"RA",Descriptions!$G:$G,"11")/COUNTIFS(Descriptions!B:B,"ON",Descriptions!$C:$C,"ID",Descriptions!$E:$E,"RA",Descriptions!$G:$G,"11",Descriptions!$L:$L,"&gt;0")/100)</f>
        <v/>
      </c>
      <c r="X9" s="74" t="str">
        <f>IF(SUMIFS(Descriptions!$L:$L,Descriptions!B:B,"ON",Descriptions!$C:$C,"ID",Descriptions!$E:$E,"RA",Descriptions!$G:$G,"12")=0,"",SUMIFS(Descriptions!$L:$L,Descriptions!B:B,"ON",Descriptions!$C:$C,"ID",Descriptions!$E:$E,"RA",Descriptions!$G:$G,"12")/COUNTIFS(Descriptions!B:B,"ON",Descriptions!$C:$C,"ID",Descriptions!$E:$E,"RA",Descriptions!$G:$G,"12",Descriptions!$L:$L,"&gt;0")/100)</f>
        <v/>
      </c>
    </row>
    <row r="10" spans="2:24" ht="24.75" customHeight="1" x14ac:dyDescent="0.25">
      <c r="B10" s="110"/>
      <c r="C10" s="113"/>
      <c r="D10" s="113"/>
      <c r="E10" s="116"/>
      <c r="F10" s="205"/>
      <c r="G10" s="107">
        <f>IF(SUMIFS(Descriptions!$L:$L,Descriptions!B:B,"ON",Descriptions!$C:$C,"ID",Descriptions!$E:$E,"RM")=0,"",SUMIFS(Descriptions!$L:$L,Descriptions!B:B,"ON",Descriptions!$C:$C,"ID",Descriptions!$E:$E,"RM")/COUNTIFS(Descriptions!B:B,"ON",Descriptions!$C:$C,"ID",Descriptions!$E:$E,"RM",Descriptions!$L:$L,"&gt;0")/100)</f>
        <v>0.76714285714285713</v>
      </c>
      <c r="H10" s="187"/>
      <c r="I10" s="139" t="s">
        <v>50</v>
      </c>
      <c r="J10" s="125" t="s">
        <v>31</v>
      </c>
      <c r="K10" s="126" t="s">
        <v>774</v>
      </c>
      <c r="L10" s="108" t="str">
        <f>IF(SUMIFS(Descriptions!$L:$L,Descriptions!B:B,"ON",Descriptions!$C:$C,"ID",Descriptions!$E:$E,"RM",Descriptions!$G:$G,"0")=0,"",SUMIFS(Descriptions!$L:$L,Descriptions!B:B,"ON",Descriptions!$C:$C,"ID",Descriptions!$E:$E,"RM",Descriptions!$G:$G,"0")/COUNTIFS(Descriptions!B:B,"ON",Descriptions!$C:$C,"ID",Descriptions!$E:$E,"RM",Descriptions!$G:$G,"0",Descriptions!$L:$L,"&gt;0")/100)</f>
        <v/>
      </c>
      <c r="M10" s="44">
        <f>IF(SUMIFS(Descriptions!$L:$L,Descriptions!B:B,"ON",Descriptions!$C:$C,"ID",Descriptions!$E:$E,"RM",Descriptions!$G:$G,"1")=0,"",SUMIFS(Descriptions!$L:$L,Descriptions!B:B,"ON",Descriptions!$C:$C,"ID",Descriptions!$E:$E,"RM",Descriptions!$G:$G,"1")/COUNTIFS(Descriptions!B:B,"ON",Descriptions!$C:$C,"ID",Descriptions!$E:$E,"RM",Descriptions!$G:$G,"1",Descriptions!$L:$L,"&gt;0")/100)</f>
        <v>0.75</v>
      </c>
      <c r="N10" s="44">
        <f>IF(SUMIFS(Descriptions!$L:$L,Descriptions!B:B,"ON",Descriptions!$C:$C,"ID",Descriptions!$E:$E,"RM",Descriptions!$G:$G,"2")=0,"",SUMIFS(Descriptions!$L:$L,Descriptions!B:B,"ON",Descriptions!$C:$C,"ID",Descriptions!$E:$E,"RM",Descriptions!$G:$G,"2")/COUNTIFS(Descriptions!B:B,"ON",Descriptions!$C:$C,"ID",Descriptions!$E:$E,"RM",Descriptions!$G:$G,"2",Descriptions!$L:$L,"&gt;0")/100)</f>
        <v>0.75</v>
      </c>
      <c r="O10" s="44">
        <f>IF(SUMIFS(Descriptions!$L:$L,Descriptions!B:B,"ON",Descriptions!$C:$C,"ID",Descriptions!$E:$E,"RM",Descriptions!$G:$G,"3")=0,"",SUMIFS(Descriptions!$L:$L,Descriptions!B:B,"ON",Descriptions!$C:$C,"ID",Descriptions!$E:$E,"RM",Descriptions!$G:$G,"3")/COUNTIFS(Descriptions!B:B,"ON",Descriptions!$C:$C,"ID",Descriptions!$E:$E,"RM",Descriptions!$G:$G,"3",Descriptions!$L:$L,"&gt;0")/100)</f>
        <v>0.78428571428571425</v>
      </c>
      <c r="P10" s="73" t="str">
        <f>IF(SUMIFS(Descriptions!$L:$L,Descriptions!B:B,"ON",Descriptions!$C:$C,"ID",Descriptions!$E:$E,"RM",Descriptions!$G:$G,"4")=0,"",SUMIFS(Descriptions!$L:$L,Descriptions!B:B,"ON",Descriptions!$C:$C,"ID",Descriptions!$E:$E,"RM",Descriptions!$G:$G,"4")/COUNTIFS(Descriptions!B:B,"ON",Descriptions!$C:$C,"ID",Descriptions!$E:$E,"RM",Descriptions!$G:$G,"4",Descriptions!$L:$L,"&gt;0")/100)</f>
        <v/>
      </c>
      <c r="Q10" s="73" t="str">
        <f>IF(SUMIFS(Descriptions!$L:$L,Descriptions!B:B,"ON",Descriptions!$C:$C,"ID",Descriptions!$E:$E,"RM",Descriptions!$G:$G,"5")=0,"",SUMIFS(Descriptions!$L:$L,Descriptions!B:B,"ON",Descriptions!$C:$C,"ID",Descriptions!$E:$E,"RM",Descriptions!$G:$G,"5")/COUNTIFS(Descriptions!B:B,"ON",Descriptions!$C:$C,"ID",Descriptions!$E:$E,"RM",Descriptions!$G:$G,"5",Descriptions!$L:$L,"&gt;0")/100)</f>
        <v/>
      </c>
      <c r="R10" s="73" t="str">
        <f>IF(SUMIFS(Descriptions!$L:$L,Descriptions!B:B,"ON",Descriptions!$C:$C,"ID",Descriptions!$E:$E,"RM",Descriptions!$G:$G,"6")=0,"",SUMIFS(Descriptions!$L:$L,Descriptions!B:B,"ON",Descriptions!$C:$C,"ID",Descriptions!$E:$E,"RM",Descriptions!$G:$G,"6")/COUNTIFS(Descriptions!B:B,"ON",Descriptions!$C:$C,"ID",Descriptions!$E:$E,"RM",Descriptions!$G:$G,"6",Descriptions!$L:$L,"&gt;0")/100)</f>
        <v/>
      </c>
      <c r="S10" s="73" t="str">
        <f>IF(SUMIFS(Descriptions!$L:$L,Descriptions!B:B,"ON",Descriptions!$C:$C,"ID",Descriptions!$E:$E,"RM",Descriptions!$G:$G,"7")=0,"",SUMIFS(Descriptions!$L:$L,Descriptions!B:B,"ON",Descriptions!$C:$C,"ID",Descriptions!$E:$E,"RM",Descriptions!$G:$G,"7")/COUNTIFS(Descriptions!B:B,"ON",Descriptions!$C:$C,"ID",Descriptions!$E:$E,"RM",Descriptions!$G:$G,"7",Descriptions!$L:$L,"&gt;0")/100)</f>
        <v/>
      </c>
      <c r="T10" s="73" t="str">
        <f>IF(SUMIFS(Descriptions!$L:$L,Descriptions!B:B,"ON",Descriptions!$C:$C,"ID",Descriptions!$E:$E,"RM",Descriptions!$G:$G,"8")=0,"",SUMIFS(Descriptions!$L:$L,Descriptions!B:B,"ON",Descriptions!$C:$C,"ID",Descriptions!$E:$E,"RM",Descriptions!$G:$G,"8")/COUNTIFS(Descriptions!B:B,"ON",Descriptions!$C:$C,"ID",Descriptions!$E:$E,"RM",Descriptions!$G:$G,"8",Descriptions!$L:$L,"&gt;0")/100)</f>
        <v/>
      </c>
      <c r="U10" s="73" t="str">
        <f>IF(SUMIFS(Descriptions!$L:$L,Descriptions!B:B,"ON",Descriptions!$C:$C,"ID",Descriptions!$E:$E,"RM",Descriptions!$G:$G,"9")=0,"",SUMIFS(Descriptions!$L:$L,Descriptions!B:B,"ON",Descriptions!$C:$C,"ID",Descriptions!$E:$E,"RM",Descriptions!$G:$G,"9")/COUNTIFS(Descriptions!B:B,"ON",Descriptions!$C:$C,"ID",Descriptions!$E:$E,"RM",Descriptions!$G:$G,"9",Descriptions!$L:$L,"&gt;0")/100)</f>
        <v/>
      </c>
      <c r="V10" s="73" t="str">
        <f>IF(SUMIFS(Descriptions!$L:$L,Descriptions!B:B,"ON",Descriptions!$C:$C,"ID",Descriptions!$E:$E,"RM",Descriptions!$G:$G,"10")=0,"",SUMIFS(Descriptions!$L:$L,Descriptions!B:B,"ON",Descriptions!$C:$C,"ID",Descriptions!$E:$E,"RM",Descriptions!$G:$G,"10")/COUNTIFS(Descriptions!B:B,"ON",Descriptions!$C:$C,"ID",Descriptions!$E:$E,"RM",Descriptions!$G:$G,"10",Descriptions!$L:$L,"&gt;0")/100)</f>
        <v/>
      </c>
      <c r="W10" s="73" t="str">
        <f>IF(SUMIFS(Descriptions!$L:$L,Descriptions!B:B,"ON",Descriptions!$C:$C,"ID",Descriptions!$E:$E,"RM",Descriptions!$G:$G,"11")=0,"",SUMIFS(Descriptions!$L:$L,Descriptions!B:B,"ON",Descriptions!$C:$C,"ID",Descriptions!$E:$E,"RM",Descriptions!$G:$G,"11")/COUNTIFS(Descriptions!B:B,"ON",Descriptions!$C:$C,"ID",Descriptions!$E:$E,"RM",Descriptions!$G:$G,"11",Descriptions!$L:$L,"&gt;0")/100)</f>
        <v/>
      </c>
      <c r="X10" s="74" t="str">
        <f>IF(SUMIFS(Descriptions!$L:$L,Descriptions!B:B,"ON",Descriptions!$C:$C,"ID",Descriptions!$E:$E,"RM",Descriptions!$G:$G,"12")=0,"",SUMIFS(Descriptions!$L:$L,Descriptions!B:B,"ON",Descriptions!$C:$C,"ID",Descriptions!$E:$E,"RM",Descriptions!$G:$G,"12")/COUNTIFS(Descriptions!B:B,"ON",Descriptions!$C:$C,"ID",Descriptions!$E:$E,"RM",Descriptions!$G:$G,"12",Descriptions!$L:$L,"&gt;0")/100)</f>
        <v/>
      </c>
    </row>
    <row r="11" spans="2:24" ht="24.75" customHeight="1" x14ac:dyDescent="0.25">
      <c r="B11" s="110"/>
      <c r="C11" s="113"/>
      <c r="D11" s="113"/>
      <c r="E11" s="116"/>
      <c r="F11" s="155"/>
      <c r="G11" s="107">
        <f>IF(SUMIFS(Descriptions!$L:$L,Descriptions!B:B,"ON",Descriptions!$C:$C,"ID",Descriptions!$E:$E,"SC")=0,"",SUMIFS(Descriptions!$L:$L,Descriptions!B:B,"ON",Descriptions!$C:$C,"ID",Descriptions!$E:$E,"SC")/COUNTIFS(Descriptions!B:B,"ON",Descriptions!$C:$C,"ID",Descriptions!$E:$E,"SC",Descriptions!$L:$L,"&gt;0")/100)</f>
        <v>0.81127659574468081</v>
      </c>
      <c r="H11" s="154"/>
      <c r="I11" s="139" t="s">
        <v>1209</v>
      </c>
      <c r="J11" s="125" t="s">
        <v>1210</v>
      </c>
      <c r="K11" s="126" t="s">
        <v>1211</v>
      </c>
      <c r="L11" s="108" t="str">
        <f>IF(SUMIFS(Descriptions!$L:$L,Descriptions!B:B,"ON",Descriptions!$C:$C,"ID",Descriptions!$E:$E,"RM",Descriptions!$G:$G,"0")=0,"",SUMIFS(Descriptions!$L:$L,Descriptions!B:B,"ON",Descriptions!$C:$C,"ID",Descriptions!$E:$E,"RM",Descriptions!$G:$G,"0")/COUNTIFS(Descriptions!B:B,"ON",Descriptions!$C:$C,"ID",Descriptions!$E:$E,"RM",Descriptions!$G:$G,"0",Descriptions!$L:$L,"&gt;0")/100)</f>
        <v/>
      </c>
      <c r="M11" s="44">
        <f>IF(SUMIFS(Descriptions!$L:$L,Descriptions!B:B,"ON",Descriptions!$C:$C,"ID",Descriptions!$E:$E,"SC",Descriptions!$G:$G,"1")=0,"",SUMIFS(Descriptions!$L:$L,Descriptions!B:B,"ON",Descriptions!$C:$C,"ID",Descriptions!$E:$E,"SC",Descriptions!$G:$G,"1")/COUNTIFS(Descriptions!B:B,"ON",Descriptions!$C:$C,"ID",Descriptions!$E:$E,"SC",Descriptions!$G:$G,"1",Descriptions!$L:$L,"&gt;0")/100)</f>
        <v>0.83</v>
      </c>
      <c r="N11" s="44">
        <f>IF(SUMIFS(Descriptions!$L:$L,Descriptions!B:B,"ON",Descriptions!$C:$C,"ID",Descriptions!$E:$E,"SC",Descriptions!$G:$G,"2")=0,"",SUMIFS(Descriptions!$L:$L,Descriptions!B:B,"ON",Descriptions!$C:$C,"ID",Descriptions!$E:$E,"SC",Descriptions!$G:$G,"2")/COUNTIFS(Descriptions!B:B,"ON",Descriptions!$C:$C,"ID",Descriptions!$E:$E,"SC",Descriptions!$G:$G,"2",Descriptions!$L:$L,"&gt;0")/100)</f>
        <v>0.87</v>
      </c>
      <c r="O11" s="44">
        <f>IF(SUMIFS(Descriptions!$L:$L,Descriptions!B:B,"ON",Descriptions!$C:$C,"ID",Descriptions!$E:$E,"SC",Descriptions!$G:$G,"3")=0,"",SUMIFS(Descriptions!$L:$L,Descriptions!B:B,"ON",Descriptions!$C:$C,"ID",Descriptions!$E:$E,"SC",Descriptions!$G:$G,"3")/COUNTIFS(Descriptions!B:B,"ON",Descriptions!$C:$C,"ID",Descriptions!$E:$E,"SC",Descriptions!$G:$G,"3",Descriptions!$L:$L,"&gt;0")/100)</f>
        <v>0.79571428571428571</v>
      </c>
      <c r="P11" s="44">
        <f>IF(SUMIFS(Descriptions!$L:$L,Descriptions!B:B,"ON",Descriptions!$C:$C,"ID",Descriptions!$E:$E,"SC",Descriptions!$G:$G,"4")=0,"",SUMIFS(Descriptions!$L:$L,Descriptions!B:B,"ON",Descriptions!$C:$C,"ID",Descriptions!$E:$E,"SC",Descriptions!$G:$G,"4")/COUNTIFS(Descriptions!B:B,"ON",Descriptions!$C:$C,"ID",Descriptions!$E:$E,"SC",Descriptions!$G:$G,"4",Descriptions!$L:$L,"&gt;0")/100)</f>
        <v>0.83</v>
      </c>
      <c r="Q11" s="44">
        <f>IF(SUMIFS(Descriptions!$L:$L,Descriptions!B:B,"ON",Descriptions!$C:$C,"ID",Descriptions!$E:$E,"SC",Descriptions!$G:$G,"5")=0,"",SUMIFS(Descriptions!$L:$L,Descriptions!B:B,"ON",Descriptions!$C:$C,"ID",Descriptions!$E:$E,"SC",Descriptions!$G:$G,"5")/COUNTIFS(Descriptions!B:B,"ON",Descriptions!$C:$C,"ID",Descriptions!$E:$E,"SC",Descriptions!$G:$G,"5",Descriptions!$L:$L,"&gt;0")/100)</f>
        <v>0.75</v>
      </c>
      <c r="R11" s="73" t="str">
        <f>IF(SUMIFS(Descriptions!$L:$L,Descriptions!B:B,"ON",Descriptions!$C:$C,"ID",Descriptions!$E:$E,"SC",Descriptions!$G:$G,"6")=0,"",SUMIFS(Descriptions!$L:$L,Descriptions!B:B,"ON",Descriptions!$C:$C,"ID",Descriptions!$E:$E,"SC",Descriptions!$G:$G,"6")/COUNTIFS(Descriptions!B:B,"ON",Descriptions!$C:$C,"ID",Descriptions!$E:$E,"SC",Descriptions!$G:$G,"6",Descriptions!$L:$L,"&gt;0")/100)</f>
        <v/>
      </c>
      <c r="S11" s="73" t="str">
        <f>IF(SUMIFS(Descriptions!$L:$L,Descriptions!B:B,"ON",Descriptions!$C:$C,"ID",Descriptions!$E:$E,"SC",Descriptions!$G:$G,"7")=0,"",SUMIFS(Descriptions!$L:$L,Descriptions!B:B,"ON",Descriptions!$C:$C,"ID",Descriptions!$E:$E,"SC",Descriptions!$G:$G,"7")/COUNTIFS(Descriptions!B:B,"ON",Descriptions!$C:$C,"ID",Descriptions!$E:$E,"SC",Descriptions!$G:$G,"7",Descriptions!$L:$L,"&gt;0")/100)</f>
        <v/>
      </c>
      <c r="T11" s="73" t="str">
        <f>IF(SUMIFS(Descriptions!$L:$L,Descriptions!B:B,"ON",Descriptions!$C:$C,"ID",Descriptions!$E:$E,"SC",Descriptions!$G:$G,"8")=0,"",SUMIFS(Descriptions!$L:$L,Descriptions!B:B,"ON",Descriptions!$C:$C,"ID",Descriptions!$E:$E,"SC",Descriptions!$G:$G,"8")/COUNTIFS(Descriptions!B:B,"ON",Descriptions!$C:$C,"ID",Descriptions!$E:$E,"SC",Descriptions!$G:$G,"8",Descriptions!$L:$L,"&gt;0")/100)</f>
        <v/>
      </c>
      <c r="U11" s="73" t="str">
        <f>IF(SUMIFS(Descriptions!$L:$L,Descriptions!B:B,"ON",Descriptions!$C:$C,"ID",Descriptions!$E:$E,"SC",Descriptions!$G:$G,"9")=0,"",SUMIFS(Descriptions!$L:$L,Descriptions!B:B,"ON",Descriptions!$C:$C,"ID",Descriptions!$E:$E,"SC",Descriptions!$G:$G,"9")/COUNTIFS(Descriptions!B:B,"ON",Descriptions!$C:$C,"ID",Descriptions!$E:$E,"SC",Descriptions!$G:$G,"9",Descriptions!$L:$L,"&gt;0")/100)</f>
        <v/>
      </c>
      <c r="V11" s="73" t="str">
        <f>IF(SUMIFS(Descriptions!$L:$L,Descriptions!B:B,"ON",Descriptions!$C:$C,"ID",Descriptions!$E:$E,"SC",Descriptions!$G:$G,"10")=0,"",SUMIFS(Descriptions!$L:$L,Descriptions!B:B,"ON",Descriptions!$C:$C,"ID",Descriptions!$E:$E,"SC",Descriptions!$G:$G,"10")/COUNTIFS(Descriptions!B:B,"ON",Descriptions!$C:$C,"ID",Descriptions!$E:$E,"SC",Descriptions!$G:$G,"10",Descriptions!$L:$L,"&gt;0")/100)</f>
        <v/>
      </c>
      <c r="W11" s="73" t="str">
        <f>IF(SUMIFS(Descriptions!$L:$L,Descriptions!B:B,"ON",Descriptions!$C:$C,"ID",Descriptions!$E:$E,"SC",Descriptions!$G:$G,"11")=0,"",SUMIFS(Descriptions!$L:$L,Descriptions!B:B,"ON",Descriptions!$C:$C,"ID",Descriptions!$E:$E,"SC",Descriptions!$G:$G,"11")/COUNTIFS(Descriptions!B:B,"ON",Descriptions!$C:$C,"ID",Descriptions!$E:$E,"SC",Descriptions!$G:$G,"11",Descriptions!$L:$L,"&gt;0")/100)</f>
        <v/>
      </c>
      <c r="X11" s="74" t="str">
        <f>IF(SUMIFS(Descriptions!$L:$L,Descriptions!B:B,"ON",Descriptions!$C:$C,"ID",Descriptions!$E:$E,"SC",Descriptions!$G:$G,"12")=0,"",SUMIFS(Descriptions!$L:$L,Descriptions!B:B,"ON",Descriptions!$C:$C,"ID",Descriptions!$E:$E,"SC",Descriptions!$G:$G,"12")/COUNTIFS(Descriptions!B:B,"ON",Descriptions!$C:$C,"ID",Descriptions!$E:$E,"SC",Descriptions!$G:$G,"12",Descriptions!$L:$L,"&gt;0")/100)</f>
        <v/>
      </c>
    </row>
    <row r="12" spans="2:24" ht="24.75" customHeight="1" x14ac:dyDescent="0.25">
      <c r="B12" s="110"/>
      <c r="C12" s="113"/>
      <c r="D12" s="115"/>
      <c r="E12" s="116"/>
      <c r="F12" s="206"/>
      <c r="G12" s="137">
        <f>IF(SUMIFS(Descriptions!$L:$L,Descriptions!B:B,"ON",Descriptions!$C:$C,"PR",Descriptions!$E:$E,"AC")=0,"",SUMIFS(Descriptions!$L:$L,Descriptions!B:B,"ON",Descriptions!$C:$C,"PR",Descriptions!$E:$E,"AC")/COUNTIFS(Descriptions!B:B,"ON",Descriptions!$C:$C,"PR",Descriptions!$E:$E,"AC",Descriptions!$L:$L,"&gt;0")/100)</f>
        <v>0.80945945945945952</v>
      </c>
      <c r="H12" s="193" t="s">
        <v>253</v>
      </c>
      <c r="I12" s="140" t="s">
        <v>51</v>
      </c>
      <c r="J12" s="127" t="s">
        <v>32</v>
      </c>
      <c r="K12" s="128" t="s">
        <v>775</v>
      </c>
      <c r="L12" s="108" t="str">
        <f>IF(SUMIFS(Descriptions!$L:$L,Descriptions!B:B,"ON",Descriptions!$C:$C,"PR",Descriptions!$E:$E,"AC",Descriptions!$G:$G,"0")=0,"",SUMIFS(Descriptions!$L:$L,Descriptions!B:B,"ON",Descriptions!$C:$C,"PR",Descriptions!$E:$E,"AC",Descriptions!$G:$G,"0")/COUNTIFS(Descriptions!B:B,"ON",Descriptions!$C:$C,"PR",Descriptions!$E:$E,"AC",Descriptions!$G:$G,"0",Descriptions!$L:$L,"&gt;0")/100)</f>
        <v/>
      </c>
      <c r="M12" s="44">
        <f>IF(SUMIFS(Descriptions!$L:$L,Descriptions!B:B,"ON",Descriptions!$C:$C,"PR",Descriptions!$E:$E,"AC",Descriptions!$G:$G,"1")=0,"",SUMIFS(Descriptions!$L:$L,Descriptions!B:B,"ON",Descriptions!$C:$C,"PR",Descriptions!$E:$E,"AC",Descriptions!$G:$G,"1")/COUNTIFS(Descriptions!B:B,"ON",Descriptions!$C:$C,"PR",Descriptions!$E:$E,"AC",Descriptions!$G:$G,"1",Descriptions!$L:$L,"&gt;0")/100)</f>
        <v>0.80739130434782613</v>
      </c>
      <c r="N12" s="44">
        <f>IF(SUMIFS(Descriptions!$L:$L,Descriptions!B:B,"ON",Descriptions!$C:$C,"PR",Descriptions!$E:$E,"AC",Descriptions!$G:$G,"2")=0,"",SUMIFS(Descriptions!$L:$L,Descriptions!B:B,"ON",Descriptions!$C:$C,"PR",Descriptions!$E:$E,"AC",Descriptions!$G:$G,"2")/COUNTIFS(Descriptions!B:B,"ON",Descriptions!$C:$C,"PR",Descriptions!$E:$E,"AC",Descriptions!$G:$G,"2",Descriptions!$L:$L,"&gt;0")/100)</f>
        <v>0.76548387096774195</v>
      </c>
      <c r="O12" s="44">
        <f>IF(SUMIFS(Descriptions!$L:$L,Descriptions!B:B,"ON",Descriptions!$C:$C,"PR",Descriptions!$E:$E,"AC",Descriptions!$G:$G,"3")=0,"",SUMIFS(Descriptions!$L:$L,Descriptions!B:B,"ON",Descriptions!$C:$C,"PR",Descriptions!$E:$E,"AC",Descriptions!$G:$G,"3")/COUNTIFS(Descriptions!B:B,"ON",Descriptions!$C:$C,"PR",Descriptions!$E:$E,"AC",Descriptions!$G:$G,"3",Descriptions!$L:$L,"&gt;0")/100)</f>
        <v>0.81260869565217386</v>
      </c>
      <c r="P12" s="44">
        <f>IF(SUMIFS(Descriptions!$L:$L,Descriptions!B:B,"ON",Descriptions!$C:$C,"PR",Descriptions!$E:$E,"AC",Descriptions!$G:$G,"4")=0,"",SUMIFS(Descriptions!$L:$L,Descriptions!B:B,"ON",Descriptions!$C:$C,"PR",Descriptions!$E:$E,"AC",Descriptions!$G:$G,"4")/COUNTIFS(Descriptions!B:B,"ON",Descriptions!$C:$C,"PR",Descriptions!$E:$E,"AC",Descriptions!$G:$G,"4",Descriptions!$L:$L,"&gt;0")/100)</f>
        <v>0.82200000000000006</v>
      </c>
      <c r="Q12" s="44">
        <f>IF(SUMIFS(Descriptions!$L:$L,Descriptions!B:B,"ON",Descriptions!$C:$C,"PR",Descriptions!$E:$E,"AC",Descriptions!$G:$G,"5")=0,"",SUMIFS(Descriptions!$L:$L,Descriptions!B:B,"ON",Descriptions!$C:$C,"PR",Descriptions!$E:$E,"AC",Descriptions!$G:$G,"5")/COUNTIFS(Descriptions!B:B,"ON",Descriptions!$C:$C,"PR",Descriptions!$E:$E,"AC",Descriptions!$G:$G,"5",Descriptions!$L:$L,"&gt;0")/100)</f>
        <v>0.79799999999999993</v>
      </c>
      <c r="R12" s="44">
        <f>IF(SUMIFS(Descriptions!$L:$L,Descriptions!B:B,"ON",Descriptions!$C:$C,"PR",Descriptions!$E:$E,"AC",Descriptions!$G:$G,"6")=0,"",SUMIFS(Descriptions!$L:$L,Descriptions!B:B,"ON",Descriptions!$C:$C,"PR",Descriptions!$E:$E,"AC",Descriptions!$G:$G,"6")/COUNTIFS(Descriptions!B:B,"ON",Descriptions!$C:$C,"PR",Descriptions!$E:$E,"AC",Descriptions!$G:$G,"6",Descriptions!$L:$L,"&gt;0")/100)</f>
        <v>0.84818181818181815</v>
      </c>
      <c r="S12" s="73" t="str">
        <f>IF(SUMIFS(Descriptions!$L:$L,Descriptions!B:B,"ON",Descriptions!$C:$C,"PR",Descriptions!$E:$E,"AC",Descriptions!$G:$G,"7")=0,"",SUMIFS(Descriptions!$L:$L,Descriptions!B:B,"ON",Descriptions!$C:$C,"PR",Descriptions!$E:$E,"AC",Descriptions!$G:$G,"7")/COUNTIFS(Descriptions!B:B,"ON",Descriptions!$C:$C,"PR",Descriptions!$E:$E,"AC",Descriptions!$G:$G,"7",Descriptions!$L:$L,"&gt;0")/100)</f>
        <v/>
      </c>
      <c r="T12" s="73" t="str">
        <f>IF(SUMIFS(Descriptions!$L:$L,Descriptions!B:B,"ON",Descriptions!$C:$C,"PR",Descriptions!$E:$E,"AC",Descriptions!$G:$G,"8")=0,"",SUMIFS(Descriptions!$L:$L,Descriptions!B:B,"ON",Descriptions!$C:$C,"PR",Descriptions!$E:$E,"AC",Descriptions!$G:$G,"8")/COUNTIFS(Descriptions!B:B,"ON",Descriptions!$C:$C,"PR",Descriptions!$E:$E,"AC",Descriptions!$G:$G,"8",Descriptions!$L:$L,"&gt;0")/100)</f>
        <v/>
      </c>
      <c r="U12" s="73" t="str">
        <f>IF(SUMIFS(Descriptions!$L:$L,Descriptions!B:B,"ON",Descriptions!$C:$C,"PR",Descriptions!$E:$E,"AC",Descriptions!$G:$G,"9")=0,"",SUMIFS(Descriptions!$L:$L,Descriptions!B:B,"ON",Descriptions!$C:$C,"PR",Descriptions!$E:$E,"AC",Descriptions!$G:$G,"9")/COUNTIFS(Descriptions!B:B,"ON",Descriptions!$C:$C,"PR",Descriptions!$E:$E,"AC",Descriptions!$G:$G,"9",Descriptions!$L:$L,"&gt;0")/100)</f>
        <v/>
      </c>
      <c r="V12" s="73" t="str">
        <f>IF(SUMIFS(Descriptions!$L:$L,Descriptions!B:B,"ON",Descriptions!$C:$C,"PR",Descriptions!$E:$E,"AC",Descriptions!$G:$G,"10")=0,"",SUMIFS(Descriptions!$L:$L,Descriptions!B:B,"ON",Descriptions!$C:$C,"PR",Descriptions!$E:$E,"AC",Descriptions!$G:$G,"10")/COUNTIFS(Descriptions!B:B,"ON",Descriptions!$C:$C,"PR",Descriptions!$E:$E,"AC",Descriptions!$G:$G,"10",Descriptions!$L:$L,"&gt;0")/100)</f>
        <v/>
      </c>
      <c r="W12" s="73" t="str">
        <f>IF(SUMIFS(Descriptions!$L:$L,Descriptions!B:B,"ON",Descriptions!$C:$C,"PR",Descriptions!$E:$E,"AC",Descriptions!$G:$G,"11")=0,"",SUMIFS(Descriptions!$L:$L,Descriptions!B:B,"ON",Descriptions!$C:$C,"PR",Descriptions!$E:$E,"AC",Descriptions!$G:$G,"11")/COUNTIFS(Descriptions!B:B,"ON",Descriptions!$C:$C,"PR",Descriptions!$E:$E,"AC",Descriptions!$G:$G,"11",Descriptions!$L:$L,"&gt;0")/100)</f>
        <v/>
      </c>
      <c r="X12" s="74" t="str">
        <f>IF(SUMIFS(Descriptions!$L:$L,Descriptions!B:B,"ON",Descriptions!$C:$C,"PR",Descriptions!$E:$E,"AC",Descriptions!$G:$G,"12")=0,"",SUMIFS(Descriptions!$L:$L,Descriptions!B:B,"ON",Descriptions!$C:$C,"PR",Descriptions!$E:$E,"AC",Descriptions!$G:$G,"12")/COUNTIFS(Descriptions!B:B,"ON",Descriptions!$C:$C,"PR",Descriptions!$E:$E,"AC",Descriptions!$G:$G,"12",Descriptions!$L:$L,"&gt;0")/100)</f>
        <v/>
      </c>
    </row>
    <row r="13" spans="2:24" ht="24.75" customHeight="1" x14ac:dyDescent="0.25">
      <c r="B13" s="110"/>
      <c r="C13" s="113"/>
      <c r="D13" s="113"/>
      <c r="E13" s="195">
        <f>SUM(G12:G17)/COUNT(G12:G17)</f>
        <v>0.78323616939182672</v>
      </c>
      <c r="F13" s="207"/>
      <c r="G13" s="107">
        <f>IF(SUMIFS(Descriptions!$L:$L,Descriptions!B:B,"ON",Descriptions!$C:$C,"PR",Descriptions!$E:$E,"AT")=0,"",SUMIFS(Descriptions!$L:$L,Descriptions!B:B,"ON",Descriptions!$C:$C,"PR",Descriptions!$E:$E,"AT")/COUNTIFS(Descriptions!B:B,"ON",Descriptions!$C:$C,"PR",Descriptions!$E:$E,"AT",Descriptions!$L:$L,"&gt;0")/100)</f>
        <v>0.79394366197183108</v>
      </c>
      <c r="H13" s="194"/>
      <c r="I13" s="140" t="s">
        <v>52</v>
      </c>
      <c r="J13" s="127" t="s">
        <v>33</v>
      </c>
      <c r="K13" s="128" t="s">
        <v>776</v>
      </c>
      <c r="L13" s="108" t="str">
        <f>IF(SUMIFS(Descriptions!$L:$L,Descriptions!B:B,"ON",Descriptions!$C:$C,"PR",Descriptions!$E:$E,"AT",Descriptions!$G:$G,"0")=0,"",SUMIFS(Descriptions!$L:$L,Descriptions!B:B,"ON",Descriptions!$C:$C,"PR",Descriptions!$E:$E,"AT",Descriptions!$G:$G,"0")/COUNTIFS(Descriptions!B:B,"ON",Descriptions!$C:$C,"PR",Descriptions!$E:$E,"AT",Descriptions!$G:$G,"0",Descriptions!$L:$L,"&gt;0")/100)</f>
        <v/>
      </c>
      <c r="M13" s="44">
        <f>IF(SUMIFS(Descriptions!$L:$L,Descriptions!B:B,"ON",Descriptions!$C:$C,"PR",Descriptions!$E:$E,"AT",Descriptions!$G:$G,"1")=0,"",SUMIFS(Descriptions!$L:$L,Descriptions!B:B,"ON",Descriptions!$C:$C,"PR",Descriptions!$E:$E,"AT",Descriptions!$G:$G,"1")/COUNTIFS(Descriptions!B:B,"ON",Descriptions!$C:$C,"PR",Descriptions!$E:$E,"AT",Descriptions!$G:$G,"1",Descriptions!$L:$L,"&gt;0")/100)</f>
        <v>0.80714285714285705</v>
      </c>
      <c r="N13" s="44">
        <f>IF(SUMIFS(Descriptions!$L:$L,Descriptions!B:B,"ON",Descriptions!$C:$C,"PR",Descriptions!$E:$E,"AT",Descriptions!$G:$G,"2")=0,"",SUMIFS(Descriptions!$L:$L,Descriptions!B:B,"ON",Descriptions!$C:$C,"PR",Descriptions!$E:$E,"AT",Descriptions!$G:$G,"2")/COUNTIFS(Descriptions!B:B,"ON",Descriptions!$C:$C,"PR",Descriptions!$E:$E,"AT",Descriptions!$G:$G,"2",Descriptions!$L:$L,"&gt;0")/100)</f>
        <v>0.80217391304347829</v>
      </c>
      <c r="O13" s="44">
        <f>IF(SUMIFS(Descriptions!$L:$L,Descriptions!B:B,"ON",Descriptions!$C:$C,"PR",Descriptions!$E:$E,"AT",Descriptions!$G:$G,"3")=0,"",SUMIFS(Descriptions!$L:$L,Descriptions!B:B,"ON",Descriptions!$C:$C,"PR",Descriptions!$E:$E,"AT",Descriptions!$G:$G,"3")/COUNTIFS(Descriptions!B:B,"ON",Descriptions!$C:$C,"PR",Descriptions!$E:$E,"AT",Descriptions!$G:$G,"3",Descriptions!$L:$L,"&gt;0")/100)</f>
        <v>0.75</v>
      </c>
      <c r="P13" s="44">
        <f>IF(SUMIFS(Descriptions!$L:$L,Descriptions!B:B,"ON",Descriptions!$C:$C,"PR",Descriptions!$E:$E,"AT",Descriptions!$G:$G,"4")=0,"",SUMIFS(Descriptions!$L:$L,Descriptions!B:B,"ON",Descriptions!$C:$C,"PR",Descriptions!$E:$E,"AT",Descriptions!$G:$G,"4")/COUNTIFS(Descriptions!B:B,"ON",Descriptions!$C:$C,"PR",Descriptions!$E:$E,"AT",Descriptions!$G:$G,"4",Descriptions!$L:$L,"&gt;0")/100)</f>
        <v>0.75</v>
      </c>
      <c r="Q13" s="44">
        <f>IF(SUMIFS(Descriptions!$L:$L,Descriptions!B:B,"ON",Descriptions!$C:$C,"PR",Descriptions!$E:$E,"AT",Descriptions!$G:$G,"5")=0,"",SUMIFS(Descriptions!$L:$L,Descriptions!B:B,"ON",Descriptions!$C:$C,"PR",Descriptions!$E:$E,"AT",Descriptions!$G:$G,"5")/COUNTIFS(Descriptions!B:B,"ON",Descriptions!$C:$C,"PR",Descriptions!$E:$E,"AT",Descriptions!$G:$G,"5",Descriptions!$L:$L,"&gt;0")/100)</f>
        <v>0.78200000000000003</v>
      </c>
      <c r="R13" s="73">
        <f>IF(SUMIFS(Descriptions!$L:$L,Descriptions!B:B,"ON",Descriptions!$C:$C,"PR",Descriptions!$E:$E,"AT",Descriptions!$G:$G,"6")=0,"",SUMIFS(Descriptions!$L:$L,Descriptions!B:B,"ON",Descriptions!$C:$C,"PR",Descriptions!$E:$E,"AT",Descriptions!$G:$G,"6")/COUNTIFS(Descriptions!B:B,"ON",Descriptions!$C:$C,"PR",Descriptions!$E:$E,"AT",Descriptions!$G:$G,"6",Descriptions!$L:$L,"&gt;0")/100)</f>
        <v>0.99</v>
      </c>
      <c r="S13" s="73" t="str">
        <f>IF(SUMIFS(Descriptions!$L:$L,Descriptions!B:B,"ON",Descriptions!$C:$C,"PR",Descriptions!$E:$E,"AT",Descriptions!$G:$G,"7")=0,"",SUMIFS(Descriptions!$L:$L,Descriptions!B:B,"ON",Descriptions!$C:$C,"PR",Descriptions!$E:$E,"AT",Descriptions!$G:$G,"7")/COUNTIFS(Descriptions!B:B,"ON",Descriptions!$C:$C,"PR",Descriptions!$E:$E,"AT",Descriptions!$G:$G,"7",Descriptions!$L:$L,"&gt;0")/100)</f>
        <v/>
      </c>
      <c r="T13" s="73" t="str">
        <f>IF(SUMIFS(Descriptions!$L:$L,Descriptions!B:B,"ON",Descriptions!$C:$C,"PR",Descriptions!$E:$E,"AT",Descriptions!$G:$G,"8")=0,"",SUMIFS(Descriptions!$L:$L,Descriptions!B:B,"ON",Descriptions!$C:$C,"PR",Descriptions!$E:$E,"AT",Descriptions!$G:$G,"8")/COUNTIFS(Descriptions!B:B,"ON",Descriptions!$C:$C,"PR",Descriptions!$E:$E,"AT",Descriptions!$G:$G,"8",Descriptions!$L:$L,"&gt;0")/100)</f>
        <v/>
      </c>
      <c r="U13" s="73" t="str">
        <f>IF(SUMIFS(Descriptions!$L:$L,Descriptions!B:B,"ON",Descriptions!$C:$C,"PR",Descriptions!$E:$E,"AT",Descriptions!$G:$G,"9")=0,"",SUMIFS(Descriptions!$L:$L,Descriptions!B:B,"ON",Descriptions!$C:$C,"PR",Descriptions!$E:$E,"AT",Descriptions!$G:$G,"9")/COUNTIFS(Descriptions!B:B,"ON",Descriptions!$C:$C,"PR",Descriptions!$E:$E,"AT",Descriptions!$G:$G,"9",Descriptions!$L:$L,"&gt;0")/100)</f>
        <v/>
      </c>
      <c r="V13" s="73" t="str">
        <f>IF(SUMIFS(Descriptions!$L:$L,Descriptions!B:B,"ON",Descriptions!$C:$C,"PR",Descriptions!$E:$E,"AT",Descriptions!$G:$G,"10")=0,"",SUMIFS(Descriptions!$L:$L,Descriptions!B:B,"ON",Descriptions!$C:$C,"PR",Descriptions!$E:$E,"AT",Descriptions!$G:$G,"10")/COUNTIFS(Descriptions!B:B,"ON",Descriptions!$C:$C,"PR",Descriptions!$E:$E,"AT",Descriptions!$G:$G,"10",Descriptions!$L:$L,"&gt;0")/100)</f>
        <v/>
      </c>
      <c r="W13" s="73" t="str">
        <f>IF(SUMIFS(Descriptions!$L:$L,Descriptions!B:B,"ON",Descriptions!$C:$C,"PR",Descriptions!$E:$E,"AT",Descriptions!$G:$G,"11")=0,"",SUMIFS(Descriptions!$L:$L,Descriptions!B:B,"ON",Descriptions!$C:$C,"PR",Descriptions!$E:$E,"AT",Descriptions!$G:$G,"11")/COUNTIFS(Descriptions!B:B,"ON",Descriptions!$C:$C,"PR",Descriptions!$E:$E,"AT",Descriptions!$G:$G,"11",Descriptions!$L:$L,"&gt;0")/100)</f>
        <v/>
      </c>
      <c r="X13" s="74" t="str">
        <f>IF(SUMIFS(Descriptions!$L:$L,Descriptions!B:B,"ON",Descriptions!$C:$C,"PR",Descriptions!$E:$E,"AT",Descriptions!$G:$G,"12")=0,"",SUMIFS(Descriptions!$L:$L,Descriptions!B:B,"ON",Descriptions!$C:$C,"PR",Descriptions!$E:$E,"AT",Descriptions!$G:$G,"12")/COUNTIFS(Descriptions!B:B,"ON",Descriptions!$C:$C,"PR",Descriptions!$E:$E,"AT",Descriptions!$G:$G,"12",Descriptions!$L:$L,"&gt;0")/100)</f>
        <v/>
      </c>
    </row>
    <row r="14" spans="2:24" ht="24.75" customHeight="1" x14ac:dyDescent="0.25">
      <c r="B14" s="110"/>
      <c r="C14" s="113"/>
      <c r="D14" s="113"/>
      <c r="E14" s="196"/>
      <c r="F14" s="207"/>
      <c r="G14" s="107">
        <f>IF(SUMIFS(Descriptions!$L:$L,Descriptions!B:B,"ON",Descriptions!$C:$C,"PR",Descriptions!$E:$E,"DS")=0,"",SUMIFS(Descriptions!$L:$L,Descriptions!B:B,"ON",Descriptions!$C:$C,"PR",Descriptions!$E:$E,"DS")/COUNTIFS(Descriptions!B:B,"ON",Descriptions!$C:$C,"PR",Descriptions!$E:$E,"DS",Descriptions!$L:$L,"&gt;0")/100)</f>
        <v>0.80142857142857138</v>
      </c>
      <c r="H14" s="194"/>
      <c r="I14" s="140" t="s">
        <v>53</v>
      </c>
      <c r="J14" s="127" t="s">
        <v>34</v>
      </c>
      <c r="K14" s="128" t="s">
        <v>777</v>
      </c>
      <c r="L14" s="108" t="str">
        <f>IF(SUMIFS(Descriptions!$L:$L,Descriptions!B:B,"ON",Descriptions!$C:$C,"PR",Descriptions!$E:$E,"DS",Descriptions!$G:$G,"0")=0,"",SUMIFS(Descriptions!$L:$L,Descriptions!B:B,"ON",Descriptions!$C:$C,"PR",Descriptions!$E:$E,"DS",Descriptions!$G:$G,"0")/COUNTIFS(Descriptions!B:B,"ON",Descriptions!$C:$C,"PR",Descriptions!$E:$E,"DS",Descriptions!$G:$G,"0",Descriptions!$L:$L,"&gt;0")/100)</f>
        <v/>
      </c>
      <c r="M14" s="44">
        <f>IF(SUMIFS(Descriptions!$L:$L,Descriptions!B:B,"ON",Descriptions!$C:$C,"PR",Descriptions!$E:$E,"DS",Descriptions!$G:$G,"1")=0,"",SUMIFS(Descriptions!$L:$L,Descriptions!B:B,"ON",Descriptions!$C:$C,"PR",Descriptions!$E:$E,"DS",Descriptions!$G:$G,"1")/COUNTIFS(Descriptions!B:B,"ON",Descriptions!$C:$C,"PR",Descriptions!$E:$E,"DS",Descriptions!$G:$G,"1",Descriptions!$L:$L,"&gt;0")/100)</f>
        <v>0.77400000000000002</v>
      </c>
      <c r="N14" s="44">
        <f>IF(SUMIFS(Descriptions!$L:$L,Descriptions!B:B,"ON",Descriptions!$C:$C,"PR",Descriptions!$E:$E,"DS",Descriptions!$G:$G,"2")=0,"",SUMIFS(Descriptions!$L:$L,Descriptions!B:B,"ON",Descriptions!$C:$C,"PR",Descriptions!$E:$E,"DS",Descriptions!$G:$G,"2")/COUNTIFS(Descriptions!B:B,"ON",Descriptions!$C:$C,"PR",Descriptions!$E:$E,"DS",Descriptions!$G:$G,"2",Descriptions!$L:$L,"&gt;0")/100)</f>
        <v>0.79</v>
      </c>
      <c r="O14" s="44">
        <f>IF(SUMIFS(Descriptions!$L:$L,Descriptions!B:B,"ON",Descriptions!$C:$C,"PR",Descriptions!$E:$E,"DS",Descriptions!$G:$G,"3")=0,"",SUMIFS(Descriptions!$L:$L,Descriptions!B:B,"ON",Descriptions!$C:$C,"PR",Descriptions!$E:$E,"DS",Descriptions!$G:$G,"3")/COUNTIFS(Descriptions!B:B,"ON",Descriptions!$C:$C,"PR",Descriptions!$E:$E,"DS",Descriptions!$G:$G,"3",Descriptions!$L:$L,"&gt;0")/100)</f>
        <v>0.78130434782608704</v>
      </c>
      <c r="P14" s="44">
        <f>IF(SUMIFS(Descriptions!$L:$L,Descriptions!B:B,"ON",Descriptions!$C:$C,"PR",Descriptions!$E:$E,"DS",Descriptions!$G:$G,"4")=0,"",SUMIFS(Descriptions!$L:$L,Descriptions!B:B,"ON",Descriptions!$C:$C,"PR",Descriptions!$E:$E,"DS",Descriptions!$G:$G,"4")/COUNTIFS(Descriptions!B:B,"ON",Descriptions!$C:$C,"PR",Descriptions!$E:$E,"DS",Descriptions!$G:$G,"4",Descriptions!$L:$L,"&gt;0")/100)</f>
        <v>0.84333333333333327</v>
      </c>
      <c r="Q14" s="44">
        <f>IF(SUMIFS(Descriptions!$L:$L,Descriptions!B:B,"ON",Descriptions!$C:$C,"PR",Descriptions!$E:$E,"DS",Descriptions!$G:$G,"5")=0,"",SUMIFS(Descriptions!$L:$L,Descriptions!B:B,"ON",Descriptions!$C:$C,"PR",Descriptions!$E:$E,"DS",Descriptions!$G:$G,"5")/COUNTIFS(Descriptions!B:B,"ON",Descriptions!$C:$C,"PR",Descriptions!$E:$E,"DS",Descriptions!$G:$G,"5",Descriptions!$L:$L,"&gt;0")/100)</f>
        <v>0.79421052631578948</v>
      </c>
      <c r="R14" s="44">
        <f>IF(SUMIFS(Descriptions!$L:$L,Descriptions!B:B,"ON",Descriptions!$C:$C,"PR",Descriptions!$E:$E,"DS",Descriptions!$G:$G,"6")=0,"",SUMIFS(Descriptions!$L:$L,Descriptions!B:B,"ON",Descriptions!$C:$C,"PR",Descriptions!$E:$E,"DS",Descriptions!$G:$G,"6")/COUNTIFS(Descriptions!B:B,"ON",Descriptions!$C:$C,"PR",Descriptions!$E:$E,"DS",Descriptions!$G:$G,"6",Descriptions!$L:$L,"&gt;0")/100)</f>
        <v>0.8439130434782609</v>
      </c>
      <c r="S14" s="44">
        <f>IF(SUMIFS(Descriptions!$L:$L,Descriptions!B:B,"ON",Descriptions!$C:$C,"PR",Descriptions!$E:$E,"DS",Descriptions!$G:$G,"7")=0,"",SUMIFS(Descriptions!$L:$L,Descriptions!B:B,"ON",Descriptions!$C:$C,"PR",Descriptions!$E:$E,"DS",Descriptions!$G:$G,"7")/COUNTIFS(Descriptions!B:B,"ON",Descriptions!$C:$C,"PR",Descriptions!$E:$E,"DS",Descriptions!$G:$G,"7",Descriptions!$L:$L,"&gt;0")/100)</f>
        <v>0.75</v>
      </c>
      <c r="T14" s="44">
        <f>IF(SUMIFS(Descriptions!$L:$L,Descriptions!B:B,"ON",Descriptions!$C:$C,"PR",Descriptions!$E:$E,"DS",Descriptions!$G:$G,"8")=0,"",SUMIFS(Descriptions!$L:$L,Descriptions!B:B,"ON",Descriptions!$C:$C,"PR",Descriptions!$E:$E,"DS",Descriptions!$G:$G,"8")/COUNTIFS(Descriptions!B:B,"ON",Descriptions!$C:$C,"PR",Descriptions!$E:$E,"DS",Descriptions!$G:$G,"8",Descriptions!$L:$L,"&gt;0")/100)</f>
        <v>0.87</v>
      </c>
      <c r="U14" s="73" t="str">
        <f>IF(SUMIFS(Descriptions!$L:$L,Descriptions!B:B,"ON",Descriptions!$C:$C,"PR",Descriptions!$E:$E,"DS",Descriptions!$G:$G,"9")=0,"",SUMIFS(Descriptions!$L:$L,Descriptions!B:B,"ON",Descriptions!$C:$C,"PR",Descriptions!$E:$E,"DS",Descriptions!$G:$G,"9")/COUNTIFS(Descriptions!B:B,"ON",Descriptions!$C:$C,"PR",Descriptions!$E:$E,"DS",Descriptions!$G:$G,"9",Descriptions!$L:$L,"&gt;0")/100)</f>
        <v/>
      </c>
      <c r="V14" s="73" t="str">
        <f>IF(SUMIFS(Descriptions!$L:$L,Descriptions!B:B,"ON",Descriptions!$C:$C,"PR",Descriptions!$E:$E,"DS",Descriptions!$G:$G,"10")=0,"",SUMIFS(Descriptions!$L:$L,Descriptions!B:B,"ON",Descriptions!$C:$C,"PR",Descriptions!$E:$E,"DS",Descriptions!$G:$G,"10")/COUNTIFS(Descriptions!B:B,"ON",Descriptions!$C:$C,"PR",Descriptions!$E:$E,"DS",Descriptions!$G:$G,"10",Descriptions!$L:$L,"&gt;0")/100)</f>
        <v/>
      </c>
      <c r="W14" s="73" t="str">
        <f>IF(SUMIFS(Descriptions!$L:$L,Descriptions!B:B,"ON",Descriptions!$C:$C,"PR",Descriptions!$E:$E,"DS",Descriptions!$G:$G,"11")=0,"",SUMIFS(Descriptions!$L:$L,Descriptions!B:B,"ON",Descriptions!$C:$C,"PR",Descriptions!$E:$E,"DS",Descriptions!$G:$G,"11")/COUNTIFS(Descriptions!B:B,"ON",Descriptions!$C:$C,"PR",Descriptions!$E:$E,"DS",Descriptions!$G:$G,"11",Descriptions!$L:$L,"&gt;0")/100)</f>
        <v/>
      </c>
      <c r="X14" s="74" t="str">
        <f>IF(SUMIFS(Descriptions!$L:$L,Descriptions!B:B,"ON",Descriptions!$C:$C,"PR",Descriptions!$E:$E,"DS",Descriptions!$G:$G,"12")=0,"",SUMIFS(Descriptions!$L:$L,Descriptions!B:B,"ON",Descriptions!$C:$C,"PR",Descriptions!$E:$E,"DS",Descriptions!$G:$G,"12")/COUNTIFS(Descriptions!B:B,"ON",Descriptions!$C:$C,"PR",Descriptions!$E:$E,"DS",Descriptions!$G:$G,"12",Descriptions!$L:$L,"&gt;0")/100)</f>
        <v/>
      </c>
    </row>
    <row r="15" spans="2:24" ht="24.75" customHeight="1" x14ac:dyDescent="0.25">
      <c r="B15" s="110"/>
      <c r="C15" s="113"/>
      <c r="D15" s="113"/>
      <c r="E15" s="197"/>
      <c r="F15" s="207"/>
      <c r="G15" s="107">
        <f>IF(SUMIFS(Descriptions!$L:$L,Descriptions!B:B,"ON",Descriptions!$C:$C,"PR",Descriptions!$E:$E,"IP")=0,"",SUMIFS(Descriptions!$L:$L,Descriptions!B:B,"ON",Descriptions!$C:$C,"PR",Descriptions!$E:$E,"IP")/COUNTIFS(Descriptions!B:B,"ON",Descriptions!$C:$C,"PR",Descriptions!$E:$E,"IP",Descriptions!$L:$L,"&gt;0")/100)</f>
        <v>0.76224489795918371</v>
      </c>
      <c r="H15" s="194"/>
      <c r="I15" s="140" t="s">
        <v>54</v>
      </c>
      <c r="J15" s="127" t="s">
        <v>35</v>
      </c>
      <c r="K15" s="128" t="s">
        <v>778</v>
      </c>
      <c r="L15" s="108" t="str">
        <f>IF(SUMIFS(Descriptions!$L:$L,Descriptions!B:B,"ON",Descriptions!$C:$C,"PR",Descriptions!$E:$E,"IP",Descriptions!$G:$G,"0")=0,"",SUMIFS(Descriptions!$L:$L,Descriptions!B:B,"ON",Descriptions!$C:$C,"PR",Descriptions!$E:$E,"IP",Descriptions!$G:$G,"0")/COUNTIFS(Descriptions!B:B,"ON",Descriptions!$C:$C,"PR",Descriptions!$E:$E,"IP",Descriptions!$G:$G,"0",Descriptions!$L:$L,"&gt;0")/100)</f>
        <v/>
      </c>
      <c r="M15" s="44">
        <f>IF(SUMIFS(Descriptions!$L:$L,Descriptions!B:B,"ON",Descriptions!$C:$C,"PR",Descriptions!$E:$E,"IP",Descriptions!$G:$G,"1")=0,"",SUMIFS(Descriptions!$L:$L,Descriptions!B:B,"ON",Descriptions!$C:$C,"PR",Descriptions!$E:$E,"IP",Descriptions!$G:$G,"1")/COUNTIFS(Descriptions!B:B,"ON",Descriptions!$C:$C,"PR",Descriptions!$E:$E,"IP",Descriptions!$G:$G,"1",Descriptions!$L:$L,"&gt;0")/100)</f>
        <v>0.77</v>
      </c>
      <c r="N15" s="44">
        <f>IF(SUMIFS(Descriptions!$L:$L,Descriptions!B:B,"ON",Descriptions!$C:$C,"PR",Descriptions!$E:$E,"IP",Descriptions!$G:$G,"2")=0,"",SUMIFS(Descriptions!$L:$L,Descriptions!B:B,"ON",Descriptions!$C:$C,"PR",Descriptions!$E:$E,"IP",Descriptions!$G:$G,"2")/COUNTIFS(Descriptions!B:B,"ON",Descriptions!$C:$C,"PR",Descriptions!$E:$E,"IP",Descriptions!$G:$G,"2",Descriptions!$L:$L,"&gt;0")/100)</f>
        <v>0.75</v>
      </c>
      <c r="O15" s="44">
        <f>IF(SUMIFS(Descriptions!$L:$L,Descriptions!B:B,"ON",Descriptions!$C:$C,"PR",Descriptions!$E:$E,"IP",Descriptions!$G:$G,"3")=0,"",SUMIFS(Descriptions!$L:$L,Descriptions!B:B,"ON",Descriptions!$C:$C,"PR",Descriptions!$E:$E,"IP",Descriptions!$G:$G,"3")/COUNTIFS(Descriptions!B:B,"ON",Descriptions!$C:$C,"PR",Descriptions!$E:$E,"IP",Descriptions!$G:$G,"3",Descriptions!$L:$L,"&gt;0")/100)</f>
        <v>0.7659999999999999</v>
      </c>
      <c r="P15" s="44">
        <f>IF(SUMIFS(Descriptions!$L:$L,Descriptions!B:B,"ON",Descriptions!$C:$C,"PR",Descriptions!$E:$E,"IP",Descriptions!$G:$G,"4")=0,"",SUMIFS(Descriptions!$L:$L,Descriptions!B:B,"ON",Descriptions!$C:$C,"PR",Descriptions!$E:$E,"IP",Descriptions!$G:$G,"4")/COUNTIFS(Descriptions!B:B,"ON",Descriptions!$C:$C,"PR",Descriptions!$E:$E,"IP",Descriptions!$G:$G,"4",Descriptions!$L:$L,"&gt;0")/100)</f>
        <v>0.76200000000000001</v>
      </c>
      <c r="Q15" s="44">
        <f>IF(SUMIFS(Descriptions!$L:$L,Descriptions!B:B,"ON",Descriptions!$C:$C,"PR",Descriptions!$E:$E,"IP",Descriptions!$G:$G,"5")=0,"",SUMIFS(Descriptions!$L:$L,Descriptions!B:B,"ON",Descriptions!$C:$C,"PR",Descriptions!$E:$E,"IP",Descriptions!$G:$G,"5")/COUNTIFS(Descriptions!B:B,"ON",Descriptions!$C:$C,"PR",Descriptions!$E:$E,"IP",Descriptions!$G:$G,"5",Descriptions!$L:$L,"&gt;0")/100)</f>
        <v>0.76846153846153842</v>
      </c>
      <c r="R15" s="44">
        <f>IF(SUMIFS(Descriptions!$L:$L,Descriptions!B:B,"ON",Descriptions!$C:$C,"PR",Descriptions!$E:$E,"IP",Descriptions!$G:$G,"6")=0,"",SUMIFS(Descriptions!$L:$L,Descriptions!B:B,"ON",Descriptions!$C:$C,"PR",Descriptions!$E:$E,"IP",Descriptions!$G:$G,"6")/COUNTIFS(Descriptions!B:B,"ON",Descriptions!$C:$C,"PR",Descriptions!$E:$E,"IP",Descriptions!$G:$G,"6",Descriptions!$L:$L,"&gt;0")/100)</f>
        <v>0.78</v>
      </c>
      <c r="S15" s="44">
        <f>IF(SUMIFS(Descriptions!$L:$L,Descriptions!B:B,"ON",Descriptions!$C:$C,"PR",Descriptions!$E:$E,"IP",Descriptions!$G:$G,"7")=0,"",SUMIFS(Descriptions!$L:$L,Descriptions!B:B,"ON",Descriptions!$C:$C,"PR",Descriptions!$E:$E,"IP",Descriptions!$G:$G,"7")/COUNTIFS(Descriptions!B:B,"ON",Descriptions!$C:$C,"PR",Descriptions!$E:$E,"IP",Descriptions!$G:$G,"7",Descriptions!$L:$L,"&gt;0")/100)</f>
        <v>0.75</v>
      </c>
      <c r="T15" s="44">
        <f>IF(SUMIFS(Descriptions!$L:$L,Descriptions!B:B,"ON",Descriptions!$C:$C,"PR",Descriptions!$E:$E,"IP",Descriptions!$G:$G,"8")=0,"",SUMIFS(Descriptions!$L:$L,Descriptions!B:B,"ON",Descriptions!$C:$C,"PR",Descriptions!$E:$E,"IP",Descriptions!$G:$G,"8")/COUNTIFS(Descriptions!B:B,"ON",Descriptions!$C:$C,"PR",Descriptions!$E:$E,"IP",Descriptions!$G:$G,"8",Descriptions!$L:$L,"&gt;0")/100)</f>
        <v>0.75</v>
      </c>
      <c r="U15" s="44">
        <f>IF(SUMIFS(Descriptions!$L:$L,Descriptions!B:B,"ON",Descriptions!$C:$C,"PR",Descriptions!$E:$E,"IP",Descriptions!$G:$G,"9")=0,"",SUMIFS(Descriptions!$L:$L,Descriptions!B:B,"ON",Descriptions!$C:$C,"PR",Descriptions!$E:$E,"IP",Descriptions!$G:$G,"9")/COUNTIFS(Descriptions!B:B,"ON",Descriptions!$C:$C,"PR",Descriptions!$E:$E,"IP",Descriptions!$G:$G,"9",Descriptions!$L:$L,"&gt;0")/100)</f>
        <v>0.77823529411764714</v>
      </c>
      <c r="V15" s="44">
        <f>IF(SUMIFS(Descriptions!$L:$L,Descriptions!B:B,"ON",Descriptions!$C:$C,"PR",Descriptions!$E:$E,"IP",Descriptions!$G:$G,"10")=0,"",SUMIFS(Descriptions!$L:$L,Descriptions!B:B,"ON",Descriptions!$C:$C,"PR",Descriptions!$E:$E,"IP",Descriptions!$G:$G,"10")/COUNTIFS(Descriptions!B:B,"ON",Descriptions!$C:$C,"PR",Descriptions!$E:$E,"IP",Descriptions!$G:$G,"10",Descriptions!$L:$L,"&gt;0")/100)</f>
        <v>0.75</v>
      </c>
      <c r="W15" s="44">
        <f>IF(SUMIFS(Descriptions!$L:$L,Descriptions!B:B,"ON",Descriptions!$C:$C,"PR",Descriptions!$E:$E,"IP",Descriptions!$G:$G,"11")=0,"",SUMIFS(Descriptions!$L:$L,Descriptions!B:B,"ON",Descriptions!$C:$C,"PR",Descriptions!$E:$E,"IP",Descriptions!$G:$G,"11")/COUNTIFS(Descriptions!B:B,"ON",Descriptions!$C:$C,"PR",Descriptions!$E:$E,"IP",Descriptions!$G:$G,"11",Descriptions!$L:$L,"&gt;0")/100)</f>
        <v>0.75</v>
      </c>
      <c r="X15" s="48">
        <f>IF(SUMIFS(Descriptions!$L:$L,Descriptions!B:B,"ON",Descriptions!$C:$C,"PR",Descriptions!$E:$E,"IP",Descriptions!$G:$G,"12")=0,"",SUMIFS(Descriptions!$L:$L,Descriptions!B:B,"ON",Descriptions!$C:$C,"PR",Descriptions!$E:$E,"IP",Descriptions!$G:$G,"12")/COUNTIFS(Descriptions!B:B,"ON",Descriptions!$C:$C,"PR",Descriptions!$E:$E,"IP",Descriptions!$G:$G,"12",Descriptions!$L:$L,"&gt;0")/100)</f>
        <v>0.77181818181818185</v>
      </c>
    </row>
    <row r="16" spans="2:24" ht="24.75" customHeight="1" x14ac:dyDescent="0.25">
      <c r="B16" s="110"/>
      <c r="C16" s="113"/>
      <c r="D16" s="113"/>
      <c r="E16" s="116"/>
      <c r="F16" s="207"/>
      <c r="G16" s="107">
        <f>IF(SUMIFS(Descriptions!$L:$L,Descriptions!B:B,"ON",Descriptions!$C:$C,"PR",Descriptions!$E:$E,"MA")=0,"",SUMIFS(Descriptions!$L:$L,Descriptions!B:B,"ON",Descriptions!$C:$C,"PR",Descriptions!$E:$E,"MA")/COUNTIFS(Descriptions!B:B,"ON",Descriptions!$C:$C,"PR",Descriptions!$E:$E,"MA",Descriptions!$L:$L,"&gt;0")/100)</f>
        <v>0.75</v>
      </c>
      <c r="H16" s="194"/>
      <c r="I16" s="140" t="s">
        <v>55</v>
      </c>
      <c r="J16" s="127" t="s">
        <v>36</v>
      </c>
      <c r="K16" s="128" t="s">
        <v>779</v>
      </c>
      <c r="L16" s="108" t="str">
        <f>IF(SUMIFS(Descriptions!$L:$L,Descriptions!B:B,"ON",Descriptions!$C:$C,"PR",Descriptions!$E:$E,"MA",Descriptions!$G:$G,"0")=0,"",SUMIFS(Descriptions!$L:$L,Descriptions!B:B,"ON",Descriptions!$C:$C,"PR",Descriptions!$E:$E,"MA",Descriptions!$G:$G,"0")/COUNTIFS(Descriptions!B:B,"ON",Descriptions!$C:$C,"PR",Descriptions!$E:$E,"MA",Descriptions!$G:$G,"0",Descriptions!$L:$L,"&gt;0")/100)</f>
        <v/>
      </c>
      <c r="M16" s="44">
        <f>IF(SUMIFS(Descriptions!$L:$L,Descriptions!B:B,"ON",Descriptions!$C:$C,"PR",Descriptions!$E:$E,"MA",Descriptions!$G:$G,"1")=0,"",SUMIFS(Descriptions!$L:$L,Descriptions!B:B,"ON",Descriptions!$C:$C,"PR",Descriptions!$E:$E,"MA",Descriptions!$G:$G,"1")/COUNTIFS(Descriptions!B:B,"ON",Descriptions!$C:$C,"PR",Descriptions!$E:$E,"MA",Descriptions!$G:$G,"1",Descriptions!$L:$L,"&gt;0")/100)</f>
        <v>0.75</v>
      </c>
      <c r="N16" s="44">
        <f>IF(SUMIFS(Descriptions!$L:$L,Descriptions!B:B,"ON",Descriptions!$C:$C,"PR",Descriptions!$E:$E,"MA",Descriptions!$G:$G,"2")=0,"",SUMIFS(Descriptions!$L:$L,Descriptions!B:B,"ON",Descriptions!$C:$C,"PR",Descriptions!$E:$E,"MA",Descriptions!$G:$G,"2")/COUNTIFS(Descriptions!B:B,"ON",Descriptions!$C:$C,"PR",Descriptions!$E:$E,"MA",Descriptions!$G:$G,"2",Descriptions!$L:$L,"&gt;0")/100)</f>
        <v>0.75</v>
      </c>
      <c r="O16" s="73" t="str">
        <f>IF(SUMIFS(Descriptions!$L:$L,Descriptions!B:B,"ON",Descriptions!$C:$C,"PR",Descriptions!$E:$E,"MA",Descriptions!$G:$G,"3")=0,"",SUMIFS(Descriptions!$L:$L,Descriptions!B:B,"ON",Descriptions!$C:$C,"PR",Descriptions!$E:$E,"MA",Descriptions!$G:$G,"3")/COUNTIFS(Descriptions!B:B,"ON",Descriptions!$C:$C,"PR",Descriptions!$E:$E,"MA",Descriptions!$G:$G,"3",Descriptions!$L:$L,"&gt;0")/100)</f>
        <v/>
      </c>
      <c r="P16" s="73" t="str">
        <f>IF(SUMIFS(Descriptions!$L:$L,Descriptions!B:B,"ON",Descriptions!$C:$C,"PR",Descriptions!$E:$E,"MA",Descriptions!$G:$G,"4")=0,"",SUMIFS(Descriptions!$L:$L,Descriptions!B:B,"ON",Descriptions!$C:$C,"PR",Descriptions!$E:$E,"MA",Descriptions!$G:$G,"4")/COUNTIFS(Descriptions!B:B,"ON",Descriptions!$C:$C,"PR",Descriptions!$E:$E,"MA",Descriptions!$G:$G,"4",Descriptions!$L:$L,"&gt;0")/100)</f>
        <v/>
      </c>
      <c r="Q16" s="73" t="str">
        <f>IF(SUMIFS(Descriptions!$L:$L,Descriptions!B:B,"ON",Descriptions!$C:$C,"PR",Descriptions!$E:$E,"MA",Descriptions!$G:$G,"5")=0,"",SUMIFS(Descriptions!$L:$L,Descriptions!B:B,"ON",Descriptions!$C:$C,"PR",Descriptions!$E:$E,"MA",Descriptions!$G:$G,"5")/COUNTIFS(Descriptions!B:B,"ON",Descriptions!$C:$C,"PR",Descriptions!$E:$E,"MA",Descriptions!$G:$G,"5",Descriptions!$L:$L,"&gt;0")/100)</f>
        <v/>
      </c>
      <c r="R16" s="73" t="str">
        <f>IF(SUMIFS(Descriptions!$L:$L,Descriptions!B:B,"ON",Descriptions!$C:$C,"PR",Descriptions!$E:$E,"MA",Descriptions!$G:$G,"6")=0,"",SUMIFS(Descriptions!$L:$L,Descriptions!B:B,"ON",Descriptions!$C:$C,"PR",Descriptions!$E:$E,"MA",Descriptions!$G:$G,"6")/COUNTIFS(Descriptions!B:B,"ON",Descriptions!$C:$C,"PR",Descriptions!$E:$E,"MA",Descriptions!$G:$G,"6",Descriptions!$L:$L,"&gt;0")/100)</f>
        <v/>
      </c>
      <c r="S16" s="73" t="str">
        <f>IF(SUMIFS(Descriptions!$L:$L,Descriptions!B:B,"ON",Descriptions!$C:$C,"PR",Descriptions!$E:$E,"MA",Descriptions!$G:$G,"7")=0,"",SUMIFS(Descriptions!$L:$L,Descriptions!B:B,"ON",Descriptions!$C:$C,"PR",Descriptions!$E:$E,"MA",Descriptions!$G:$G,"7")/COUNTIFS(Descriptions!B:B,"ON",Descriptions!$C:$C,"PR",Descriptions!$E:$E,"MA",Descriptions!$G:$G,"7",Descriptions!$L:$L,"&gt;0")/100)</f>
        <v/>
      </c>
      <c r="T16" s="73" t="str">
        <f>IF(SUMIFS(Descriptions!$L:$L,Descriptions!B:B,"ON",Descriptions!$C:$C,"PR",Descriptions!$E:$E,"MA",Descriptions!$G:$G,"8")=0,"",SUMIFS(Descriptions!$L:$L,Descriptions!B:B,"ON",Descriptions!$C:$C,"PR",Descriptions!$E:$E,"MA",Descriptions!$G:$G,"8")/COUNTIFS(Descriptions!B:B,"ON",Descriptions!$C:$C,"PR",Descriptions!$E:$E,"MA",Descriptions!$G:$G,"8",Descriptions!$L:$L,"&gt;0")/100)</f>
        <v/>
      </c>
      <c r="U16" s="73" t="str">
        <f>IF(SUMIFS(Descriptions!$L:$L,Descriptions!B:B,"ON",Descriptions!$C:$C,"PR",Descriptions!$E:$E,"MA",Descriptions!$G:$G,"9")=0,"",SUMIFS(Descriptions!$L:$L,Descriptions!B:B,"ON",Descriptions!$C:$C,"PR",Descriptions!$E:$E,"MA",Descriptions!$G:$G,"9")/COUNTIFS(Descriptions!B:B,"ON",Descriptions!$C:$C,"PR",Descriptions!$E:$E,"MA",Descriptions!$G:$G,"9",Descriptions!$L:$L,"&gt;0")/100)</f>
        <v/>
      </c>
      <c r="V16" s="73" t="str">
        <f>IF(SUMIFS(Descriptions!$L:$L,Descriptions!B:B,"ON",Descriptions!$C:$C,"PR",Descriptions!$E:$E,"MA",Descriptions!$G:$G,"10")=0,"",SUMIFS(Descriptions!$L:$L,Descriptions!B:B,"ON",Descriptions!$C:$C,"PR",Descriptions!$E:$E,"MA",Descriptions!$G:$G,"10")/COUNTIFS(Descriptions!B:B,"ON",Descriptions!$C:$C,"PR",Descriptions!$E:$E,"MA",Descriptions!$G:$G,"10",Descriptions!$L:$L,"&gt;0")/100)</f>
        <v/>
      </c>
      <c r="W16" s="73" t="str">
        <f>IF(SUMIFS(Descriptions!$L:$L,Descriptions!B:B,"ON",Descriptions!$C:$C,"PR",Descriptions!$E:$E,"MA",Descriptions!$G:$G,"11")=0,"",SUMIFS(Descriptions!$L:$L,Descriptions!B:B,"ON",Descriptions!$C:$C,"PR",Descriptions!$E:$E,"MA",Descriptions!$G:$G,"11")/COUNTIFS(Descriptions!B:B,"ON",Descriptions!$C:$C,"PR",Descriptions!$E:$E,"MA",Descriptions!$G:$G,"11",Descriptions!$L:$L,"&gt;0")/100)</f>
        <v/>
      </c>
      <c r="X16" s="74" t="str">
        <f>IF(SUMIFS(Descriptions!$L:$L,Descriptions!B:B,"ON",Descriptions!$C:$C,"PR",Descriptions!$E:$E,"MA",Descriptions!$G:$G,"12")=0,"",SUMIFS(Descriptions!$L:$L,Descriptions!B:B,"ON",Descriptions!$C:$C,"PR",Descriptions!$E:$E,"MA",Descriptions!$G:$G,"12")/COUNTIFS(Descriptions!B:B,"ON",Descriptions!$C:$C,"PR",Descriptions!$E:$E,"MA",Descriptions!$G:$G,"12",Descriptions!$L:$L,"&gt;0")/100)</f>
        <v/>
      </c>
    </row>
    <row r="17" spans="2:24" ht="24.75" customHeight="1" x14ac:dyDescent="0.25">
      <c r="B17" s="110"/>
      <c r="C17" s="113"/>
      <c r="D17" s="113"/>
      <c r="E17" s="116"/>
      <c r="F17" s="207"/>
      <c r="G17" s="107">
        <f>IF(SUMIFS(Descriptions!$L:$L,Descriptions!B:B,"ON",Descriptions!$C:$C,"PR",Descriptions!$E:$E,"PT")=0,"",SUMIFS(Descriptions!$L:$L,Descriptions!B:B,"ON",Descriptions!$C:$C,"PR",Descriptions!$E:$E,"PT")/COUNTIFS(Descriptions!B:B,"ON",Descriptions!$C:$C,"PR",Descriptions!$E:$E,"PT",Descriptions!$L:$L,"&gt;0")/100)</f>
        <v>0.78234042553191485</v>
      </c>
      <c r="H17" s="194"/>
      <c r="I17" s="140" t="s">
        <v>56</v>
      </c>
      <c r="J17" s="127" t="s">
        <v>37</v>
      </c>
      <c r="K17" s="128" t="s">
        <v>780</v>
      </c>
      <c r="L17" s="108" t="str">
        <f>IF(SUMIFS(Descriptions!$L:$L,Descriptions!B:B,"ON",Descriptions!$C:$C,"PR",Descriptions!$E:$E,"PT",Descriptions!$G:$G,"0")=0,"",SUMIFS(Descriptions!$L:$L,Descriptions!B:B,"ON",Descriptions!$C:$C,"PR",Descriptions!$E:$E,"PT",Descriptions!$G:$G,"0")/COUNTIFS(Descriptions!B:B,"ON",Descriptions!$C:$C,"PR",Descriptions!$E:$E,"PT",Descriptions!$G:$G,"0",Descriptions!$L:$L,"&gt;0")/100)</f>
        <v/>
      </c>
      <c r="M17" s="44">
        <f>IF(SUMIFS(Descriptions!$L:$L,Descriptions!B:B,"ON",Descriptions!$C:$C,"PR",Descriptions!$E:$E,"PT",Descriptions!$G:$G,"1")=0,"",SUMIFS(Descriptions!$L:$L,Descriptions!B:B,"ON",Descriptions!$C:$C,"PR",Descriptions!$E:$E,"PT",Descriptions!$G:$G,"1")/COUNTIFS(Descriptions!B:B,"ON",Descriptions!$C:$C,"PR",Descriptions!$E:$E,"PT",Descriptions!$G:$G,"1",Descriptions!$L:$L,"&gt;0")/100)</f>
        <v>0.81171428571428583</v>
      </c>
      <c r="N17" s="44">
        <f>IF(SUMIFS(Descriptions!$L:$L,Descriptions!B:B,"ON",Descriptions!$C:$C,"PR",Descriptions!$E:$E,"PT",Descriptions!$G:$G,"2")=0,"",SUMIFS(Descriptions!$L:$L,Descriptions!B:B,"ON",Descriptions!$C:$C,"PR",Descriptions!$E:$E,"PT",Descriptions!$G:$G,"2")/COUNTIFS(Descriptions!B:B,"ON",Descriptions!$C:$C,"PR",Descriptions!$E:$E,"PT",Descriptions!$G:$G,"2",Descriptions!$L:$L,"&gt;0")/100)</f>
        <v>0.76263157894736833</v>
      </c>
      <c r="O17" s="44">
        <f>IF(SUMIFS(Descriptions!$L:$L,Descriptions!B:B,"ON",Descriptions!$C:$C,"PR",Descriptions!$E:$E,"PT",Descriptions!$G:$G,"3")=0,"",SUMIFS(Descriptions!$L:$L,Descriptions!B:B,"ON",Descriptions!$C:$C,"PR",Descriptions!$E:$E,"PT",Descriptions!$G:$G,"3")/COUNTIFS(Descriptions!B:B,"ON",Descriptions!$C:$C,"PR",Descriptions!$E:$E,"PT",Descriptions!$G:$G,"3",Descriptions!$L:$L,"&gt;0")/100)</f>
        <v>0.77181818181818185</v>
      </c>
      <c r="P17" s="44">
        <f>IF(SUMIFS(Descriptions!$L:$L,Descriptions!B:B,"ON",Descriptions!$C:$C,"PR",Descriptions!$E:$E,"PT",Descriptions!$G:$G,"4")=0,"",SUMIFS(Descriptions!$L:$L,Descriptions!B:B,"ON",Descriptions!$C:$C,"PR",Descriptions!$E:$E,"PT",Descriptions!$G:$G,"4")/COUNTIFS(Descriptions!B:B,"ON",Descriptions!$C:$C,"PR",Descriptions!$E:$E,"PT",Descriptions!$G:$G,"4",Descriptions!$L:$L,"&gt;0")/100)</f>
        <v>0.77571428571428569</v>
      </c>
      <c r="Q17" s="44">
        <f>IF(SUMIFS(Descriptions!$L:$L,Descriptions!B:B,"ON",Descriptions!$C:$C,"PR",Descriptions!$E:$E,"PT",Descriptions!$G:$G,"5")=0,"",SUMIFS(Descriptions!$L:$L,Descriptions!B:B,"ON",Descriptions!$C:$C,"PR",Descriptions!$E:$E,"PT",Descriptions!$G:$G,"5")/COUNTIFS(Descriptions!B:B,"ON",Descriptions!$C:$C,"PR",Descriptions!$E:$E,"PT",Descriptions!$G:$G,"5",Descriptions!$L:$L,"&gt;0")/100)</f>
        <v>0.81</v>
      </c>
      <c r="R17" s="73" t="str">
        <f>IF(SUMIFS(Descriptions!$L:$L,Descriptions!B:B,"ON",Descriptions!$C:$C,"PR",Descriptions!$E:$E,"PT",Descriptions!$G:$G,"6")=0,"",SUMIFS(Descriptions!$L:$L,Descriptions!B:B,"ON",Descriptions!$C:$C,"PR",Descriptions!$E:$E,"PT",Descriptions!$G:$G,"6")/COUNTIFS(Descriptions!B:B,"ON",Descriptions!$C:$C,"PR",Descriptions!$E:$E,"PT",Descriptions!$G:$G,"6",Descriptions!$L:$L,"&gt;0")/100)</f>
        <v/>
      </c>
      <c r="S17" s="73" t="str">
        <f>IF(SUMIFS(Descriptions!$L:$L,Descriptions!B:B,"ON",Descriptions!$C:$C,"PR",Descriptions!$E:$E,"PT",Descriptions!$G:$G,"7")=0,"",SUMIFS(Descriptions!$L:$L,Descriptions!B:B,"ON",Descriptions!$C:$C,"PR",Descriptions!$E:$E,"PT",Descriptions!$G:$G,"7")/COUNTIFS(Descriptions!B:B,"ON",Descriptions!$C:$C,"PR",Descriptions!$E:$E,"PT",Descriptions!$G:$G,"7",Descriptions!$L:$L,"&gt;0")/100)</f>
        <v/>
      </c>
      <c r="T17" s="73" t="str">
        <f>IF(SUMIFS(Descriptions!$L:$L,Descriptions!B:B,"ON",Descriptions!$C:$C,"PR",Descriptions!$E:$E,"PT",Descriptions!$G:$G,"8")=0,"",SUMIFS(Descriptions!$L:$L,Descriptions!B:B,"ON",Descriptions!$C:$C,"PR",Descriptions!$E:$E,"PT",Descriptions!$G:$G,"8")/COUNTIFS(Descriptions!B:B,"ON",Descriptions!$C:$C,"PR",Descriptions!$E:$E,"PT",Descriptions!$G:$G,"8",Descriptions!$L:$L,"&gt;0")/100)</f>
        <v/>
      </c>
      <c r="U17" s="73" t="str">
        <f>IF(SUMIFS(Descriptions!$L:$L,Descriptions!B:B,"ON",Descriptions!$C:$C,"PR",Descriptions!$E:$E,"PT",Descriptions!$G:$G,"9")=0,"",SUMIFS(Descriptions!$L:$L,Descriptions!B:B,"ON",Descriptions!$C:$C,"PR",Descriptions!$E:$E,"PT",Descriptions!$G:$G,"9")/COUNTIFS(Descriptions!B:B,"ON",Descriptions!$C:$C,"PR",Descriptions!$E:$E,"PT",Descriptions!$G:$G,"9",Descriptions!$L:$L,"&gt;0")/100)</f>
        <v/>
      </c>
      <c r="V17" s="73" t="str">
        <f>IF(SUMIFS(Descriptions!$L:$L,Descriptions!B:B,"ON",Descriptions!$C:$C,"PR",Descriptions!$E:$E,"PT",Descriptions!$G:$G,"10")=0,"",SUMIFS(Descriptions!$L:$L,Descriptions!B:B,"ON",Descriptions!$C:$C,"PR",Descriptions!$E:$E,"PT",Descriptions!$G:$G,"10")/COUNTIFS(Descriptions!B:B,"ON",Descriptions!$C:$C,"PR",Descriptions!$E:$E,"PT",Descriptions!$G:$G,"10",Descriptions!$L:$L,"&gt;0")/100)</f>
        <v/>
      </c>
      <c r="W17" s="73" t="str">
        <f>IF(SUMIFS(Descriptions!$L:$L,Descriptions!B:B,"ON",Descriptions!$C:$C,"PR",Descriptions!$E:$E,"PT",Descriptions!$G:$G,"11")=0,"",SUMIFS(Descriptions!$L:$L,Descriptions!B:B,"ON",Descriptions!$C:$C,"PR",Descriptions!$E:$E,"PT",Descriptions!$G:$G,"11")/COUNTIFS(Descriptions!B:B,"ON",Descriptions!$C:$C,"PR",Descriptions!$E:$E,"PT",Descriptions!$G:$G,"11",Descriptions!$L:$L,"&gt;0")/100)</f>
        <v/>
      </c>
      <c r="X17" s="74" t="str">
        <f>IF(SUMIFS(Descriptions!$L:$L,Descriptions!B:B,"ON",Descriptions!$C:$C,"PR",Descriptions!$E:$E,"PT",Descriptions!$G:$G,"12")=0,"",SUMIFS(Descriptions!$L:$L,Descriptions!B:B,"ON",Descriptions!$C:$C,"PR",Descriptions!$E:$E,"PT",Descriptions!$G:$G,"12")/COUNTIFS(Descriptions!B:B,"ON",Descriptions!$C:$C,"PR",Descriptions!$E:$E,"PT",Descriptions!$G:$G,"12",Descriptions!$L:$L,"&gt;0")/100)</f>
        <v/>
      </c>
    </row>
    <row r="18" spans="2:24" ht="24.75" customHeight="1" x14ac:dyDescent="0.25">
      <c r="B18" s="110"/>
      <c r="C18" s="113"/>
      <c r="D18" s="113"/>
      <c r="E18" s="195">
        <f>SUM(G18:G20)/COUNT(G18:G20)</f>
        <v>0.78135655058043119</v>
      </c>
      <c r="F18" s="208"/>
      <c r="G18" s="137">
        <f>IF(SUMIFS(Descriptions!$L:$L,Descriptions!B:B,"ON",Descriptions!$C:$C,"DE",Descriptions!$E:$E,"AE")=0,"",SUMIFS(Descriptions!$L:$L,Descriptions!B:B,"ON",Descriptions!$C:$C,"DE",Descriptions!$E:$E,"AE")/COUNTIFS(Descriptions!B:B,"ON",Descriptions!$C:$C,"DE",Descriptions!$E:$E,"AE",Descriptions!$L:$L,"&gt;0")/100)</f>
        <v>0.79266666666666663</v>
      </c>
      <c r="H18" s="198" t="s">
        <v>254</v>
      </c>
      <c r="I18" s="141" t="s">
        <v>57</v>
      </c>
      <c r="J18" s="129" t="s">
        <v>38</v>
      </c>
      <c r="K18" s="130" t="s">
        <v>781</v>
      </c>
      <c r="L18" s="108" t="str">
        <f>IF(SUMIFS(Descriptions!$L:$L,Descriptions!B:B,"ON",Descriptions!$C:$C,"DE",Descriptions!$E:$E,"AE",Descriptions!$G:$G,"0")=0,"",SUMIFS(Descriptions!$L:$L,Descriptions!B:B,"ON",Descriptions!$C:$C,"DE",Descriptions!$E:$E,"AE",Descriptions!$G:$G,"0")/COUNTIFS(Descriptions!B:B,"ON",Descriptions!$C:$C,"DE",Descriptions!$E:$E,"AE",Descriptions!$G:$G,"0",Descriptions!$L:$L,"&gt;0")/100)</f>
        <v/>
      </c>
      <c r="M18" s="44">
        <f>IF(SUMIFS(Descriptions!$L:$L,Descriptions!B:B,"ON",Descriptions!$C:$C,"DE",Descriptions!$E:$E,"AE",Descriptions!$G:$G,"1")=0,"",SUMIFS(Descriptions!$L:$L,Descriptions!B:B,"ON",Descriptions!$C:$C,"DE",Descriptions!$E:$E,"AE",Descriptions!$G:$G,"1")/COUNTIFS(Descriptions!B:B,"ON",Descriptions!$C:$C,"DE",Descriptions!$E:$E,"AE",Descriptions!$G:$G,"1",Descriptions!$L:$L,"&gt;0")/100)</f>
        <v>0.83</v>
      </c>
      <c r="N18" s="44">
        <f>IF(SUMIFS(Descriptions!$L:$L,Descriptions!B:B,"ON",Descriptions!$C:$C,"DE",Descriptions!$E:$E,"AE",Descriptions!$G:$G,"2")=0,"",SUMIFS(Descriptions!$L:$L,Descriptions!B:B,"ON",Descriptions!$C:$C,"DE",Descriptions!$E:$E,"AE",Descriptions!$G:$G,"2")/COUNTIFS(Descriptions!B:B,"ON",Descriptions!$C:$C,"DE",Descriptions!$E:$E,"AE",Descriptions!$G:$G,"2",Descriptions!$L:$L,"&gt;0")/100)</f>
        <v>0.77</v>
      </c>
      <c r="O18" s="44">
        <f>IF(SUMIFS(Descriptions!$L:$L,Descriptions!B:B,"ON",Descriptions!$C:$C,"DE",Descriptions!$E:$E,"AE",Descriptions!$G:$G,"3")=0,"",SUMIFS(Descriptions!$L:$L,Descriptions!B:B,"ON",Descriptions!$C:$C,"DE",Descriptions!$E:$E,"AE",Descriptions!$G:$G,"3")/COUNTIFS(Descriptions!B:B,"ON",Descriptions!$C:$C,"DE",Descriptions!$E:$E,"AE",Descriptions!$G:$G,"3",Descriptions!$L:$L,"&gt;0")/100)</f>
        <v>0.78</v>
      </c>
      <c r="P18" s="44">
        <f>IF(SUMIFS(Descriptions!$L:$L,Descriptions!B:B,"ON",Descriptions!$C:$C,"DE",Descriptions!$E:$E,"AE",Descriptions!$G:$G,"4")=0,"",SUMIFS(Descriptions!$L:$L,Descriptions!B:B,"ON",Descriptions!$C:$C,"DE",Descriptions!$E:$E,"AE",Descriptions!$G:$G,"4")/COUNTIFS(Descriptions!B:B,"ON",Descriptions!$C:$C,"DE",Descriptions!$E:$E,"AE",Descriptions!$G:$G,"4",Descriptions!$L:$L,"&gt;0")/100)</f>
        <v>0.83</v>
      </c>
      <c r="Q18" s="44">
        <f>IF(SUMIFS(Descriptions!$L:$L,Descriptions!B:B,"ON",Descriptions!$C:$C,"DE",Descriptions!$E:$E,"AE",Descriptions!$G:$G,"5")=0,"",SUMIFS(Descriptions!$L:$L,Descriptions!B:B,"ON",Descriptions!$C:$C,"DE",Descriptions!$E:$E,"AE",Descriptions!$G:$G,"5")/COUNTIFS(Descriptions!B:B,"ON",Descriptions!$C:$C,"DE",Descriptions!$E:$E,"AE",Descriptions!$G:$G,"5",Descriptions!$L:$L,"&gt;0")/100)</f>
        <v>0.79799999999999993</v>
      </c>
      <c r="R18" s="73" t="str">
        <f>IF(SUMIFS(Descriptions!$L:$L,Descriptions!B:B,"ON",Descriptions!$C:$C,"DE",Descriptions!$E:$E,"AE",Descriptions!$G:$G,"6")=0,"",SUMIFS(Descriptions!$L:$L,Descriptions!B:B,"ON",Descriptions!$C:$C,"DE",Descriptions!$E:$E,"AE",Descriptions!$G:$G,"6")/COUNTIFS(Descriptions!B:B,"ON",Descriptions!$C:$C,"DE",Descriptions!$E:$E,"AE",Descriptions!$G:$G,"6",Descriptions!$L:$L,"&gt;0")/100)</f>
        <v/>
      </c>
      <c r="S18" s="73" t="str">
        <f>IF(SUMIFS(Descriptions!$L:$L,Descriptions!B:B,"ON",Descriptions!$C:$C,"DE",Descriptions!$E:$E,"AE",Descriptions!$G:$G,"7")=0,"",SUMIFS(Descriptions!$L:$L,Descriptions!B:B,"ON",Descriptions!$C:$C,"DE",Descriptions!$E:$E,"AE",Descriptions!$G:$G,"7")/COUNTIFS(Descriptions!B:B,"ON",Descriptions!$C:$C,"DE",Descriptions!$E:$E,"AE",Descriptions!$G:$G,"7",Descriptions!$L:$L,"&gt;0")/100)</f>
        <v/>
      </c>
      <c r="T18" s="73" t="str">
        <f>IF(SUMIFS(Descriptions!$L:$L,Descriptions!B:B,"ON",Descriptions!$C:$C,"DE",Descriptions!$E:$E,"AE",Descriptions!$G:$G,"8")=0,"",SUMIFS(Descriptions!$L:$L,Descriptions!B:B,"ON",Descriptions!$C:$C,"DE",Descriptions!$E:$E,"AE",Descriptions!$G:$G,"8")/COUNTIFS(Descriptions!B:B,"ON",Descriptions!$C:$C,"DE",Descriptions!$E:$E,"AE",Descriptions!$G:$G,"8",Descriptions!$L:$L,"&gt;0")/100)</f>
        <v/>
      </c>
      <c r="U18" s="73" t="str">
        <f>IF(SUMIFS(Descriptions!$L:$L,Descriptions!B:B,"ON",Descriptions!$C:$C,"DE",Descriptions!$E:$E,"AE",Descriptions!$G:$G,"9")=0,"",SUMIFS(Descriptions!$L:$L,Descriptions!B:B,"ON",Descriptions!$C:$C,"DE",Descriptions!$E:$E,"AE",Descriptions!$G:$G,"9")/COUNTIFS(Descriptions!B:B,"ON",Descriptions!$C:$C,"DE",Descriptions!$E:$E,"AE",Descriptions!$G:$G,"9",Descriptions!$L:$L,"&gt;0")/100)</f>
        <v/>
      </c>
      <c r="V18" s="73" t="str">
        <f>IF(SUMIFS(Descriptions!$L:$L,Descriptions!B:B,"ON",Descriptions!$C:$C,"DE",Descriptions!$E:$E,"AE",Descriptions!$G:$G,"10")=0,"",SUMIFS(Descriptions!$L:$L,Descriptions!B:B,"ON",Descriptions!$C:$C,"DE",Descriptions!$E:$E,"AE",Descriptions!$G:$G,"10")/COUNTIFS(Descriptions!B:B,"ON",Descriptions!$C:$C,"DE",Descriptions!$E:$E,"AE",Descriptions!$G:$G,"10",Descriptions!$L:$L,"&gt;0")/100)</f>
        <v/>
      </c>
      <c r="W18" s="73" t="str">
        <f>IF(SUMIFS(Descriptions!$L:$L,Descriptions!B:B,"ON",Descriptions!$C:$C,"DE",Descriptions!$E:$E,"AE",Descriptions!$G:$G,"11")=0,"",SUMIFS(Descriptions!$L:$L,Descriptions!B:B,"ON",Descriptions!$C:$C,"DE",Descriptions!$E:$E,"AE",Descriptions!$G:$G,"11")/COUNTIFS(Descriptions!B:B,"ON",Descriptions!$C:$C,"DE",Descriptions!$E:$E,"AE",Descriptions!$G:$G,"11",Descriptions!$L:$L,"&gt;0")/100)</f>
        <v/>
      </c>
      <c r="X18" s="74" t="str">
        <f>IF(SUMIFS(Descriptions!$L:$L,Descriptions!B:B,"ON",Descriptions!$C:$C,"DE",Descriptions!$E:$E,"AE",Descriptions!$G:$G,"12")=0,"",SUMIFS(Descriptions!$L:$L,Descriptions!B:B,"ON",Descriptions!$C:$C,"DE",Descriptions!$E:$E,"AE",Descriptions!$G:$G,"12")/COUNTIFS(Descriptions!B:B,"ON",Descriptions!$C:$C,"DE",Descriptions!$E:$E,"AE",Descriptions!$G:$G,"12",Descriptions!$L:$L,"&gt;0")/100)</f>
        <v/>
      </c>
    </row>
    <row r="19" spans="2:24" ht="24.75" customHeight="1" x14ac:dyDescent="0.25">
      <c r="B19" s="110"/>
      <c r="C19" s="113"/>
      <c r="D19" s="113"/>
      <c r="E19" s="196"/>
      <c r="F19" s="209"/>
      <c r="G19" s="107">
        <f>IF(SUMIFS(Descriptions!$L:$L,Descriptions!B:B,"ON",Descriptions!$C:$C,"DE",Descriptions!$E:$E,"CM")=0,"",SUMIFS(Descriptions!$L:$L,Descriptions!B:B,"ON",Descriptions!$C:$C,"DE",Descriptions!$E:$E,"CM")/COUNTIFS(Descriptions!B:B,"ON",Descriptions!$C:$C,"DE",Descriptions!$E:$E,"CM",Descriptions!$L:$L,"&gt;0")/100)</f>
        <v>0.78940298507462681</v>
      </c>
      <c r="H19" s="199"/>
      <c r="I19" s="141" t="s">
        <v>58</v>
      </c>
      <c r="J19" s="129" t="s">
        <v>39</v>
      </c>
      <c r="K19" s="130" t="s">
        <v>782</v>
      </c>
      <c r="L19" s="108" t="str">
        <f>IF(SUMIFS(Descriptions!$L:$L,Descriptions!B:B,"ON",Descriptions!$C:$C,"DE",Descriptions!$E:$E,"CM",Descriptions!$G:$G,"0")=0,"",SUMIFS(Descriptions!$L:$L,Descriptions!B:B,"ON",Descriptions!$C:$C,"DE",Descriptions!$E:$E,"CM",Descriptions!$G:$G,"0")/COUNTIFS(Descriptions!B:B,"ON",Descriptions!$C:$C,"DE",Descriptions!$E:$E,"CM",Descriptions!$G:$G,"0",Descriptions!$L:$L,"&gt;0")/100)</f>
        <v/>
      </c>
      <c r="M19" s="44">
        <f>IF(SUMIFS(Descriptions!$L:$L,Descriptions!B:B,"ON",Descriptions!$C:$C,"DE",Descriptions!$E:$E,"CM",Descriptions!$G:$G,"1")=0,"",SUMIFS(Descriptions!$L:$L,Descriptions!B:B,"ON",Descriptions!$C:$C,"DE",Descriptions!$E:$E,"CM",Descriptions!$G:$G,"1")/COUNTIFS(Descriptions!B:B,"ON",Descriptions!$C:$C,"DE",Descriptions!$E:$E,"CM",Descriptions!$G:$G,"1",Descriptions!$L:$L,"&gt;0")/100)</f>
        <v>0.7878947368421052</v>
      </c>
      <c r="N19" s="44">
        <f>IF(SUMIFS(Descriptions!$L:$L,Descriptions!B:B,"ON",Descriptions!$C:$C,"DE",Descriptions!$E:$E,"CM",Descriptions!$G:$G,"2")=0,"",SUMIFS(Descriptions!$L:$L,Descriptions!B:B,"ON",Descriptions!$C:$C,"DE",Descriptions!$E:$E,"CM",Descriptions!$G:$G,"2")/COUNTIFS(Descriptions!B:B,"ON",Descriptions!$C:$C,"DE",Descriptions!$E:$E,"CM",Descriptions!$G:$G,"2",Descriptions!$L:$L,"&gt;0")/100)</f>
        <v>0.75</v>
      </c>
      <c r="O19" s="44">
        <f>IF(SUMIFS(Descriptions!$L:$L,Descriptions!B:B,"ON",Descriptions!$C:$C,"DE",Descriptions!$E:$E,"CM",Descriptions!$G:$G,"3")=0,"",SUMIFS(Descriptions!$L:$L,Descriptions!B:B,"ON",Descriptions!$C:$C,"DE",Descriptions!$E:$E,"CM",Descriptions!$G:$G,"3")/COUNTIFS(Descriptions!B:B,"ON",Descriptions!$C:$C,"DE",Descriptions!$E:$E,"CM",Descriptions!$G:$G,"3",Descriptions!$L:$L,"&gt;0")/100)</f>
        <v>0.81</v>
      </c>
      <c r="P19" s="44">
        <f>IF(SUMIFS(Descriptions!$L:$L,Descriptions!B:B,"ON",Descriptions!$C:$C,"DE",Descriptions!$E:$E,"CM",Descriptions!$G:$G,"4")=0,"",SUMIFS(Descriptions!$L:$L,Descriptions!B:B,"ON",Descriptions!$C:$C,"DE",Descriptions!$E:$E,"CM",Descriptions!$G:$G,"4")/COUNTIFS(Descriptions!B:B,"ON",Descriptions!$C:$C,"DE",Descriptions!$E:$E,"CM",Descriptions!$G:$G,"4",Descriptions!$L:$L,"&gt;0")/100)</f>
        <v>0.75</v>
      </c>
      <c r="Q19" s="44">
        <f>IF(SUMIFS(Descriptions!$L:$L,Descriptions!B:B,"ON",Descriptions!$C:$C,"DE",Descriptions!$E:$E,"CM",Descriptions!$G:$G,"5")=0,"",SUMIFS(Descriptions!$L:$L,Descriptions!B:B,"ON",Descriptions!$C:$C,"DE",Descriptions!$E:$E,"CM",Descriptions!$G:$G,"5")/COUNTIFS(Descriptions!B:B,"ON",Descriptions!$C:$C,"DE",Descriptions!$E:$E,"CM",Descriptions!$G:$G,"5",Descriptions!$L:$L,"&gt;0")/100)</f>
        <v>0.75</v>
      </c>
      <c r="R19" s="44">
        <f>IF(SUMIFS(Descriptions!$L:$L,Descriptions!B:B,"ON",Descriptions!$C:$C,"DE",Descriptions!$E:$E,"CM",Descriptions!$G:$G,"6")=0,"",SUMIFS(Descriptions!$L:$L,Descriptions!B:B,"ON",Descriptions!$C:$C,"DE",Descriptions!$E:$E,"CM",Descriptions!$G:$G,"6")/COUNTIFS(Descriptions!B:B,"ON",Descriptions!$C:$C,"DE",Descriptions!$E:$E,"CM",Descriptions!$G:$G,"6",Descriptions!$L:$L,"&gt;0")/100)</f>
        <v>0.81</v>
      </c>
      <c r="S19" s="44">
        <f>IF(SUMIFS(Descriptions!$L:$L,Descriptions!B:B,"ON",Descriptions!$C:$C,"DE",Descriptions!$E:$E,"CM",Descriptions!$G:$G,"7")=0,"",SUMIFS(Descriptions!$L:$L,Descriptions!B:B,"ON",Descriptions!$C:$C,"DE",Descriptions!$E:$E,"CM",Descriptions!$G:$G,"7")/COUNTIFS(Descriptions!B:B,"ON",Descriptions!$C:$C,"DE",Descriptions!$E:$E,"CM",Descriptions!$G:$G,"7",Descriptions!$L:$L,"&gt;0")/100)</f>
        <v>0.8175</v>
      </c>
      <c r="T19" s="44">
        <f>IF(SUMIFS(Descriptions!$L:$L,Descriptions!B:B,"ON",Descriptions!$C:$C,"DE",Descriptions!$E:$E,"CM",Descriptions!$G:$G,"8")=0,"",SUMIFS(Descriptions!$L:$L,Descriptions!B:B,"ON",Descriptions!$C:$C,"DE",Descriptions!$E:$E,"CM",Descriptions!$G:$G,"8")/COUNTIFS(Descriptions!B:B,"ON",Descriptions!$C:$C,"DE",Descriptions!$E:$E,"CM",Descriptions!$G:$G,"8",Descriptions!$L:$L,"&gt;0")/100)</f>
        <v>0.77</v>
      </c>
      <c r="U19" s="73" t="str">
        <f>IF(SUMIFS(Descriptions!$L:$L,Descriptions!B:B,"ON",Descriptions!$C:$C,"DE",Descriptions!$E:$E,"CM",Descriptions!$G:$G,"9")=0,"",SUMIFS(Descriptions!$L:$L,Descriptions!B:B,"ON",Descriptions!$C:$C,"DE",Descriptions!$E:$E,"CM",Descriptions!$G:$G,"9")/COUNTIFS(Descriptions!B:B,"ON",Descriptions!$C:$C,"DE",Descriptions!$E:$E,"CM",Descriptions!$G:$G,"9",Descriptions!$L:$L,"&gt;0")/100)</f>
        <v/>
      </c>
      <c r="V19" s="73" t="str">
        <f>IF(SUMIFS(Descriptions!$L:$L,Descriptions!B:B,"ON",Descriptions!$C:$C,"DE",Descriptions!$E:$E,"CM",Descriptions!$G:$G,"10")=0,"",SUMIFS(Descriptions!$L:$L,Descriptions!B:B,"ON",Descriptions!$C:$C,"DE",Descriptions!$E:$E,"CM",Descriptions!$G:$G,"10")/COUNTIFS(Descriptions!B:B,"ON",Descriptions!$C:$C,"DE",Descriptions!$E:$E,"CM",Descriptions!$G:$G,"10",Descriptions!$L:$L,"&gt;0")/100)</f>
        <v/>
      </c>
      <c r="W19" s="73" t="str">
        <f>IF(SUMIFS(Descriptions!$L:$L,Descriptions!B:B,"ON",Descriptions!$C:$C,"DE",Descriptions!$E:$E,"CM",Descriptions!$G:$G,"11")=0,"",SUMIFS(Descriptions!$L:$L,Descriptions!B:B,"ON",Descriptions!$C:$C,"DE",Descriptions!$E:$E,"CM",Descriptions!$G:$G,"11")/COUNTIFS(Descriptions!B:B,"ON",Descriptions!$C:$C,"DE",Descriptions!$E:$E,"CM",Descriptions!$G:$G,"11",Descriptions!$L:$L,"&gt;0")/100)</f>
        <v/>
      </c>
      <c r="X19" s="74" t="str">
        <f>IF(SUMIFS(Descriptions!$L:$L,Descriptions!B:B,"ON",Descriptions!$C:$C,"DE",Descriptions!$E:$E,"CM",Descriptions!$G:$G,"12")=0,"",SUMIFS(Descriptions!$L:$L,Descriptions!B:B,"ON",Descriptions!$C:$C,"DE",Descriptions!$E:$E,"CM",Descriptions!$G:$G,"12")/COUNTIFS(Descriptions!B:B,"ON",Descriptions!$C:$C,"DE",Descriptions!$E:$E,"CM",Descriptions!$G:$G,"12",Descriptions!$L:$L,"&gt;0")/100)</f>
        <v/>
      </c>
    </row>
    <row r="20" spans="2:24" ht="24.75" customHeight="1" x14ac:dyDescent="0.25">
      <c r="B20" s="110"/>
      <c r="C20" s="113"/>
      <c r="D20" s="113"/>
      <c r="E20" s="197"/>
      <c r="F20" s="209"/>
      <c r="G20" s="107">
        <f>IF(SUMIFS(Descriptions!$L:$L,Descriptions!B:B,"ON",Descriptions!$C:$C,"DE",Descriptions!$E:$E,"DP")=0,"",SUMIFS(Descriptions!$L:$L,Descriptions!B:B,"ON",Descriptions!$C:$C,"DE",Descriptions!$E:$E,"DP")/COUNTIFS(Descriptions!B:B,"ON",Descriptions!$C:$C,"DE",Descriptions!$E:$E,"DP",Descriptions!$L:$L,"&gt;0")/100)</f>
        <v>0.76200000000000001</v>
      </c>
      <c r="H20" s="199"/>
      <c r="I20" s="141" t="s">
        <v>59</v>
      </c>
      <c r="J20" s="129" t="s">
        <v>40</v>
      </c>
      <c r="K20" s="130" t="s">
        <v>783</v>
      </c>
      <c r="L20" s="108" t="str">
        <f>IF(SUMIFS(Descriptions!$L:$L,Descriptions!B:B,"ON",Descriptions!$C:$C,"DE",Descriptions!$E:$E,"DP",Descriptions!$G:$G,"0")=0,"",SUMIFS(Descriptions!$L:$L,Descriptions!B:B,"ON",Descriptions!$C:$C,"DE",Descriptions!$E:$E,"DP",Descriptions!$G:$G,"0")/COUNTIFS(Descriptions!B:B,"ON",Descriptions!$C:$C,"DE",Descriptions!$E:$E,"DP",Descriptions!$G:$G,"0",Descriptions!$L:$L,"&gt;0")/100)</f>
        <v/>
      </c>
      <c r="M20" s="44">
        <f>IF(SUMIFS(Descriptions!$L:$L,Descriptions!B:B,"ON",Descriptions!$C:$C,"DE",Descriptions!$E:$E,"DP",Descriptions!$G:$G,"1")=0,"",SUMIFS(Descriptions!$L:$L,Descriptions!B:B,"ON",Descriptions!$C:$C,"DE",Descriptions!$E:$E,"DP",Descriptions!$G:$G,"1")/COUNTIFS(Descriptions!B:B,"ON",Descriptions!$C:$C,"DE",Descriptions!$E:$E,"DP",Descriptions!$G:$G,"1",Descriptions!$L:$L,"&gt;0")/100)</f>
        <v>0.76714285714285713</v>
      </c>
      <c r="N20" s="44">
        <f>IF(SUMIFS(Descriptions!$L:$L,Descriptions!B:B,"ON",Descriptions!$C:$C,"DE",Descriptions!$E:$E,"DP",Descriptions!$G:$G,"2")=0,"",SUMIFS(Descriptions!$L:$L,Descriptions!B:B,"ON",Descriptions!$C:$C,"DE",Descriptions!$E:$E,"DP",Descriptions!$G:$G,"2")/COUNTIFS(Descriptions!B:B,"ON",Descriptions!$C:$C,"DE",Descriptions!$E:$E,"DP",Descriptions!$G:$G,"2",Descriptions!$L:$L,"&gt;0")/100)</f>
        <v>0.75</v>
      </c>
      <c r="O20" s="44">
        <f>IF(SUMIFS(Descriptions!$L:$L,Descriptions!B:B,"ON",Descriptions!$C:$C,"DE",Descriptions!$E:$E,"DP",Descriptions!$G:$G,"3")=0,"",SUMIFS(Descriptions!$L:$L,Descriptions!B:B,"ON",Descriptions!$C:$C,"DE",Descriptions!$E:$E,"DP",Descriptions!$G:$G,"3")/COUNTIFS(Descriptions!B:B,"ON",Descriptions!$C:$C,"DE",Descriptions!$E:$E,"DP",Descriptions!$G:$G,"3",Descriptions!$L:$L,"&gt;0")/100)</f>
        <v>0.75</v>
      </c>
      <c r="P20" s="44">
        <f>IF(SUMIFS(Descriptions!$L:$L,Descriptions!B:B,"ON",Descriptions!$C:$C,"DE",Descriptions!$E:$E,"DP",Descriptions!$G:$G,"4")=0,"",SUMIFS(Descriptions!$L:$L,Descriptions!B:B,"ON",Descriptions!$C:$C,"DE",Descriptions!$E:$E,"DP",Descriptions!$G:$G,"4")/COUNTIFS(Descriptions!B:B,"ON",Descriptions!$C:$C,"DE",Descriptions!$E:$E,"DP",Descriptions!$G:$G,"4",Descriptions!$L:$L,"&gt;0")/100)</f>
        <v>0.75</v>
      </c>
      <c r="Q20" s="44">
        <f>IF(SUMIFS(Descriptions!$L:$L,Descriptions!B:B,"ON",Descriptions!$C:$C,"DE",Descriptions!$E:$E,"DP",Descriptions!$G:$G,"5")=0,"",SUMIFS(Descriptions!$L:$L,Descriptions!B:B,"ON",Descriptions!$C:$C,"DE",Descriptions!$E:$E,"DP",Descriptions!$G:$G,"5")/COUNTIFS(Descriptions!B:B,"ON",Descriptions!$C:$C,"DE",Descriptions!$E:$E,"DP",Descriptions!$G:$G,"5",Descriptions!$L:$L,"&gt;0")/100)</f>
        <v>0.78</v>
      </c>
      <c r="R20" s="73" t="str">
        <f>IF(SUMIFS(Descriptions!$L:$L,Descriptions!B:B,"ON",Descriptions!$C:$C,"DE",Descriptions!$E:$E,"DP",Descriptions!$G:$G,"6")=0,"",SUMIFS(Descriptions!$L:$L,Descriptions!B:B,"ON",Descriptions!$C:$C,"DE",Descriptions!$E:$E,"DP",Descriptions!$G:$G,"6")/COUNTIFS(Descriptions!B:B,"ON",Descriptions!$C:$C,"DE",Descriptions!$E:$E,"DP",Descriptions!$G:$G,"6",Descriptions!$L:$L,"&gt;0")/100)</f>
        <v/>
      </c>
      <c r="S20" s="73" t="str">
        <f>IF(SUMIFS(Descriptions!$L:$L,Descriptions!B:B,"ON",Descriptions!$C:$C,"DE",Descriptions!$E:$E,"DP",Descriptions!$G:$G,"7")=0,"",SUMIFS(Descriptions!$L:$L,Descriptions!B:B,"ON",Descriptions!$C:$C,"DE",Descriptions!$E:$E,"DP",Descriptions!$G:$G,"7")/COUNTIFS(Descriptions!B:B,"ON",Descriptions!$C:$C,"DE",Descriptions!$E:$E,"DP",Descriptions!$G:$G,"7",Descriptions!$L:$L,"&gt;0")/100)</f>
        <v/>
      </c>
      <c r="T20" s="73" t="str">
        <f>IF(SUMIFS(Descriptions!$L:$L,Descriptions!B:B,"ON",Descriptions!$C:$C,"DE",Descriptions!$E:$E,"DP",Descriptions!$G:$G,"8")=0,"",SUMIFS(Descriptions!$L:$L,Descriptions!B:B,"ON",Descriptions!$C:$C,"DE",Descriptions!$E:$E,"DP",Descriptions!$G:$G,"8")/COUNTIFS(Descriptions!B:B,"ON",Descriptions!$C:$C,"DE",Descriptions!$E:$E,"DP",Descriptions!$G:$G,"8",Descriptions!$L:$L,"&gt;0")/100)</f>
        <v/>
      </c>
      <c r="U20" s="73" t="str">
        <f>IF(SUMIFS(Descriptions!$L:$L,Descriptions!B:B,"ON",Descriptions!$C:$C,"DE",Descriptions!$E:$E,"DP",Descriptions!$G:$G,"9")=0,"",SUMIFS(Descriptions!$L:$L,Descriptions!B:B,"ON",Descriptions!$C:$C,"DE",Descriptions!$E:$E,"DP",Descriptions!$G:$G,"9")/COUNTIFS(Descriptions!B:B,"ON",Descriptions!$C:$C,"DE",Descriptions!$E:$E,"DP",Descriptions!$G:$G,"9",Descriptions!$L:$L,"&gt;0")/100)</f>
        <v/>
      </c>
      <c r="V20" s="73" t="str">
        <f>IF(SUMIFS(Descriptions!$L:$L,Descriptions!B:B,"ON",Descriptions!$C:$C,"DE",Descriptions!$E:$E,"DP",Descriptions!$G:$G,"10")=0,"",SUMIFS(Descriptions!$L:$L,Descriptions!B:B,"ON",Descriptions!$C:$C,"DE",Descriptions!$E:$E,"DP",Descriptions!$G:$G,"10")/COUNTIFS(Descriptions!B:B,"ON",Descriptions!$C:$C,"DE",Descriptions!$E:$E,"DP",Descriptions!$G:$G,"10",Descriptions!$L:$L,"&gt;0")/100)</f>
        <v/>
      </c>
      <c r="W20" s="73" t="str">
        <f>IF(SUMIFS(Descriptions!$L:$L,Descriptions!B:B,"ON",Descriptions!$C:$C,"DE",Descriptions!$E:$E,"DP",Descriptions!$G:$G,"11")=0,"",SUMIFS(Descriptions!$L:$L,Descriptions!B:B,"ON",Descriptions!$C:$C,"DE",Descriptions!$E:$E,"DP",Descriptions!$G:$G,"11")/COUNTIFS(Descriptions!B:B,"ON",Descriptions!$C:$C,"DE",Descriptions!$E:$E,"DP",Descriptions!$G:$G,"11",Descriptions!$L:$L,"&gt;0")/100)</f>
        <v/>
      </c>
      <c r="X20" s="74" t="str">
        <f>IF(SUMIFS(Descriptions!$L:$L,Descriptions!B:B,"ON",Descriptions!$C:$C,"DE",Descriptions!$E:$E,"DP",Descriptions!$G:$G,"12")=0,"",SUMIFS(Descriptions!$L:$L,Descriptions!B:B,"ON",Descriptions!$C:$C,"DE",Descriptions!$E:$E,"DP",Descriptions!$G:$G,"12")/COUNTIFS(Descriptions!B:B,"ON",Descriptions!$C:$C,"DE",Descriptions!$E:$E,"DP",Descriptions!$G:$G,"12",Descriptions!$L:$L,"&gt;0")/100)</f>
        <v/>
      </c>
    </row>
    <row r="21" spans="2:24" ht="24.75" customHeight="1" x14ac:dyDescent="0.25">
      <c r="B21" s="110"/>
      <c r="C21" s="113"/>
      <c r="D21" s="113"/>
      <c r="E21" s="116"/>
      <c r="F21" s="213"/>
      <c r="G21" s="137">
        <f>IF(SUMIFS(Descriptions!$L:$L,Descriptions!B:B,"ON",Descriptions!$C:$C,"RS",Descriptions!$E:$E,"AN")=0,"",SUMIFS(Descriptions!$L:$L,Descriptions!B:B,"ON",Descriptions!$C:$C,"RS",Descriptions!$E:$E,"AN")/COUNTIFS(Descriptions!B:B,"ON",Descriptions!$C:$C,"RS",Descriptions!$E:$E,"AN",Descriptions!$L:$L,"&gt;0")/100)</f>
        <v>0.77057142857142868</v>
      </c>
      <c r="H21" s="191" t="s">
        <v>255</v>
      </c>
      <c r="I21" s="142" t="s">
        <v>63</v>
      </c>
      <c r="J21" s="131" t="s">
        <v>42</v>
      </c>
      <c r="K21" s="132" t="s">
        <v>784</v>
      </c>
      <c r="L21" s="108" t="str">
        <f>IF(SUMIFS(Descriptions!$L:$L,Descriptions!B:B,"ON",Descriptions!$C:$C,"RS",Descriptions!$E:$E,"AN",Descriptions!$G:$G,"0")=0,"",SUMIFS(Descriptions!$L:$L,Descriptions!B:B,"ON",Descriptions!$C:$C,"RS",Descriptions!$E:$E,"AN",Descriptions!$G:$G,"0")/COUNTIFS(Descriptions!B:B,"ON",Descriptions!$C:$C,"RS",Descriptions!$E:$E,"AN",Descriptions!$G:$G,"0",Descriptions!$L:$L,"&gt;0")/100)</f>
        <v/>
      </c>
      <c r="M21" s="44">
        <f>IF(SUMIFS(Descriptions!$L:$L,Descriptions!B:B,"ON",Descriptions!$C:$C,"RS",Descriptions!$E:$E,"AN",Descriptions!$G:$G,"1")=0,"",SUMIFS(Descriptions!$L:$L,Descriptions!B:B,"ON",Descriptions!$C:$C,"RS",Descriptions!$E:$E,"AN",Descriptions!$G:$G,"1")/COUNTIFS(Descriptions!B:B,"ON",Descriptions!$C:$C,"RS",Descriptions!$E:$E,"AN",Descriptions!$G:$G,"1",Descriptions!$L:$L,"&gt;0")/100)</f>
        <v>0.76090909090909098</v>
      </c>
      <c r="N21" s="44">
        <f>IF(SUMIFS(Descriptions!$L:$L,Descriptions!B:B,"ON",Descriptions!$C:$C,"RS",Descriptions!$E:$E,"AN",Descriptions!$G:$G,"2")=0,"",SUMIFS(Descriptions!$L:$L,Descriptions!B:B,"ON",Descriptions!$C:$C,"RS",Descriptions!$E:$E,"AN",Descriptions!$G:$G,"2")/COUNTIFS(Descriptions!B:B,"ON",Descriptions!$C:$C,"RS",Descriptions!$E:$E,"AN",Descriptions!$G:$G,"2",Descriptions!$L:$L,"&gt;0")/100)</f>
        <v>0.78</v>
      </c>
      <c r="O21" s="44">
        <f>IF(SUMIFS(Descriptions!$L:$L,Descriptions!B:B,"ON",Descriptions!$C:$C,"RS",Descriptions!$E:$E,"AN",Descriptions!$G:$G,"3")=0,"",SUMIFS(Descriptions!$L:$L,Descriptions!B:B,"ON",Descriptions!$C:$C,"RS",Descriptions!$E:$E,"AN",Descriptions!$G:$G,"3")/COUNTIFS(Descriptions!B:B,"ON",Descriptions!$C:$C,"RS",Descriptions!$E:$E,"AN",Descriptions!$G:$G,"3",Descriptions!$L:$L,"&gt;0")/100)</f>
        <v>0.75</v>
      </c>
      <c r="P21" s="44">
        <f>IF(SUMIFS(Descriptions!$L:$L,Descriptions!B:B,"ON",Descriptions!$C:$C,"RS",Descriptions!$E:$E,"AN",Descriptions!$G:$G,"4")=0,"",SUMIFS(Descriptions!$L:$L,Descriptions!B:B,"ON",Descriptions!$C:$C,"RS",Descriptions!$E:$E,"AN",Descriptions!$G:$G,"4")/COUNTIFS(Descriptions!B:B,"ON",Descriptions!$C:$C,"RS",Descriptions!$E:$E,"AN",Descriptions!$G:$G,"4",Descriptions!$L:$L,"&gt;0")/100)</f>
        <v>0.83</v>
      </c>
      <c r="Q21" s="73" t="str">
        <f>IF(SUMIFS(Descriptions!$L:$L,Descriptions!B:B,"ON",Descriptions!$C:$C,"RS",Descriptions!$E:$E,"AN",Descriptions!$G:$G,"5")=0,"",SUMIFS(Descriptions!$L:$L,Descriptions!B:B,"ON",Descriptions!$C:$C,"RS",Descriptions!$E:$E,"AN",Descriptions!$G:$G,"5")/COUNTIFS(Descriptions!B:B,"ON",Descriptions!$C:$C,"RS",Descriptions!$E:$E,"AN",Descriptions!$G:$G,"5",Descriptions!$L:$L,"&gt;0")/100)</f>
        <v/>
      </c>
      <c r="R21" s="73" t="str">
        <f>IF(SUMIFS(Descriptions!$L:$L,Descriptions!B:B,"ON",Descriptions!$C:$C,"RS",Descriptions!$E:$E,"AN",Descriptions!$G:$G,"6")=0,"",SUMIFS(Descriptions!$L:$L,Descriptions!B:B,"ON",Descriptions!$C:$C,"RS",Descriptions!$E:$E,"AN",Descriptions!$G:$G,"6")/COUNTIFS(Descriptions!B:B,"ON",Descriptions!$C:$C,"RS",Descriptions!$E:$E,"AN",Descriptions!$G:$G,"6",Descriptions!$L:$L,"&gt;0")/100)</f>
        <v/>
      </c>
      <c r="S21" s="73" t="str">
        <f>IF(SUMIFS(Descriptions!$L:$L,Descriptions!B:B,"ON",Descriptions!$C:$C,"RS",Descriptions!$E:$E,"AN",Descriptions!$G:$G,"7")=0,"",SUMIFS(Descriptions!$L:$L,Descriptions!B:B,"ON",Descriptions!$C:$C,"RS",Descriptions!$E:$E,"AN",Descriptions!$G:$G,"7")/COUNTIFS(Descriptions!B:B,"ON",Descriptions!$C:$C,"RS",Descriptions!$E:$E,"AN",Descriptions!$G:$G,"7",Descriptions!$L:$L,"&gt;0")/100)</f>
        <v/>
      </c>
      <c r="T21" s="73" t="str">
        <f>IF(SUMIFS(Descriptions!$L:$L,Descriptions!B:B,"ON",Descriptions!$C:$C,"RS",Descriptions!$E:$E,"AN",Descriptions!$G:$G,"8")=0,"",SUMIFS(Descriptions!$L:$L,Descriptions!B:B,"ON",Descriptions!$C:$C,"RS",Descriptions!$E:$E,"AN",Descriptions!$G:$G,"8")/COUNTIFS(Descriptions!B:B,"ON",Descriptions!$C:$C,"RS",Descriptions!$E:$E,"AN",Descriptions!$G:$G,"8",Descriptions!$L:$L,"&gt;0")/100)</f>
        <v/>
      </c>
      <c r="U21" s="73" t="str">
        <f>IF(SUMIFS(Descriptions!$L:$L,Descriptions!B:B,"ON",Descriptions!$C:$C,"RS",Descriptions!$E:$E,"AN",Descriptions!$G:$G,"9")=0,"",SUMIFS(Descriptions!$L:$L,Descriptions!B:B,"ON",Descriptions!$C:$C,"RS",Descriptions!$E:$E,"AN",Descriptions!$G:$G,"9")/COUNTIFS(Descriptions!B:B,"ON",Descriptions!$C:$C,"RS",Descriptions!$E:$E,"AN",Descriptions!$G:$G,"9",Descriptions!$L:$L,"&gt;0")/100)</f>
        <v/>
      </c>
      <c r="V21" s="73" t="str">
        <f>IF(SUMIFS(Descriptions!$L:$L,Descriptions!B:B,"ON",Descriptions!$C:$C,"RS",Descriptions!$E:$E,"AN",Descriptions!$G:$G,"10")=0,"",SUMIFS(Descriptions!$L:$L,Descriptions!B:B,"ON",Descriptions!$C:$C,"RS",Descriptions!$E:$E,"AN",Descriptions!$G:$G,"10")/COUNTIFS(Descriptions!B:B,"ON",Descriptions!$C:$C,"RS",Descriptions!$E:$E,"AN",Descriptions!$G:$G,"10",Descriptions!$L:$L,"&gt;0")/100)</f>
        <v/>
      </c>
      <c r="W21" s="73" t="str">
        <f>IF(SUMIFS(Descriptions!$L:$L,Descriptions!B:B,"ON",Descriptions!$C:$C,"RS",Descriptions!$E:$E,"AN",Descriptions!$G:$G,"11")=0,"",SUMIFS(Descriptions!$L:$L,Descriptions!B:B,"ON",Descriptions!$C:$C,"RS",Descriptions!$E:$E,"AN",Descriptions!$G:$G,"11")/COUNTIFS(Descriptions!B:B,"ON",Descriptions!$C:$C,"RS",Descriptions!$E:$E,"AN",Descriptions!$G:$G,"11",Descriptions!$L:$L,"&gt;0")/100)</f>
        <v/>
      </c>
      <c r="X21" s="74" t="str">
        <f>IF(SUMIFS(Descriptions!$L:$L,Descriptions!B:B,"ON",Descriptions!$C:$C,"RS",Descriptions!$E:$E,"AN",Descriptions!$G:$G,"12")=0,"",SUMIFS(Descriptions!$L:$L,Descriptions!B:B,"ON",Descriptions!$C:$C,"RS",Descriptions!$E:$E,"AN",Descriptions!$G:$G,"12")/COUNTIFS(Descriptions!B:B,"ON",Descriptions!$C:$C,"RS",Descriptions!$E:$E,"AN",Descriptions!$G:$G,"12",Descriptions!$L:$L,"&gt;0")/100)</f>
        <v/>
      </c>
    </row>
    <row r="22" spans="2:24" ht="24.75" customHeight="1" x14ac:dyDescent="0.25">
      <c r="B22" s="110"/>
      <c r="C22" s="113"/>
      <c r="D22" s="113"/>
      <c r="E22" s="195">
        <f>SUM(G21:G25)/COUNT(G21:G25)</f>
        <v>0.75793789880105655</v>
      </c>
      <c r="F22" s="214"/>
      <c r="G22" s="107">
        <f>IF(SUMIFS(Descriptions!$L:$L,Descriptions!B:B,"ON",Descriptions!$C:$C,"RS",Descriptions!$E:$E,"CO")=0,"",SUMIFS(Descriptions!$L:$L,Descriptions!B:B,"ON",Descriptions!$C:$C,"RS",Descriptions!$E:$E,"CO")/COUNTIFS(Descriptions!B:B,"ON",Descriptions!$C:$C,"RS",Descriptions!$E:$E,"CO",Descriptions!$L:$L,"&gt;0")/100)</f>
        <v>0.75648648648648642</v>
      </c>
      <c r="H22" s="192"/>
      <c r="I22" s="142" t="s">
        <v>61</v>
      </c>
      <c r="J22" s="131" t="s">
        <v>41</v>
      </c>
      <c r="K22" s="132" t="s">
        <v>785</v>
      </c>
      <c r="L22" s="108" t="str">
        <f>IF(SUMIFS(Descriptions!$L:$L,Descriptions!B:B,"ON",Descriptions!$C:$C,"RS",Descriptions!$E:$E,"CO",Descriptions!$G:$G,"0")=0,"",SUMIFS(Descriptions!$L:$L,Descriptions!B:B,"ON",Descriptions!$C:$C,"RS",Descriptions!$E:$E,"CO",Descriptions!$G:$G,"0")/COUNTIFS(Descriptions!B:B,"ON",Descriptions!$C:$C,"RS",Descriptions!$E:$E,"CO",Descriptions!$G:$G,"0",Descriptions!$L:$L,"&gt;0")/100)</f>
        <v/>
      </c>
      <c r="M22" s="44">
        <f>IF(SUMIFS(Descriptions!$L:$L,Descriptions!B:B,"ON",Descriptions!$C:$C,"RS",Descriptions!$E:$E,"CO",Descriptions!$G:$G,"1")=0,"",SUMIFS(Descriptions!$L:$L,Descriptions!B:B,"ON",Descriptions!$C:$C,"RS",Descriptions!$E:$E,"CO",Descriptions!$G:$G,"1")/COUNTIFS(Descriptions!B:B,"ON",Descriptions!$C:$C,"RS",Descriptions!$E:$E,"CO",Descriptions!$G:$G,"1",Descriptions!$L:$L,"&gt;0")/100)</f>
        <v>0.75</v>
      </c>
      <c r="N22" s="44">
        <f>IF(SUMIFS(Descriptions!$L:$L,Descriptions!B:B,"ON",Descriptions!$C:$C,"RS",Descriptions!$E:$E,"CO",Descriptions!$G:$G,"2")=0,"",SUMIFS(Descriptions!$L:$L,Descriptions!B:B,"ON",Descriptions!$C:$C,"RS",Descriptions!$E:$E,"CO",Descriptions!$G:$G,"2")/COUNTIFS(Descriptions!B:B,"ON",Descriptions!$C:$C,"RS",Descriptions!$E:$E,"CO",Descriptions!$G:$G,"2",Descriptions!$L:$L,"&gt;0")/100)</f>
        <v>0.77666666666666673</v>
      </c>
      <c r="O22" s="44">
        <f>IF(SUMIFS(Descriptions!$L:$L,Descriptions!B:B,"ON",Descriptions!$C:$C,"RS",Descriptions!$E:$E,"CO",Descriptions!$G:$G,"3")=0,"",SUMIFS(Descriptions!$L:$L,Descriptions!B:B,"ON",Descriptions!$C:$C,"RS",Descriptions!$E:$E,"CO",Descriptions!$G:$G,"3")/COUNTIFS(Descriptions!B:B,"ON",Descriptions!$C:$C,"RS",Descriptions!$E:$E,"CO",Descriptions!$G:$G,"3",Descriptions!$L:$L,"&gt;0")/100)</f>
        <v>0.75</v>
      </c>
      <c r="P22" s="44">
        <f>IF(SUMIFS(Descriptions!$L:$L,Descriptions!B:B,"ON",Descriptions!$C:$C,"RS",Descriptions!$E:$E,"CO",Descriptions!$G:$G,"4")=0,"",SUMIFS(Descriptions!$L:$L,Descriptions!B:B,"ON",Descriptions!$C:$C,"RS",Descriptions!$E:$E,"CO",Descriptions!$G:$G,"4")/COUNTIFS(Descriptions!B:B,"ON",Descriptions!$C:$C,"RS",Descriptions!$E:$E,"CO",Descriptions!$G:$G,"4",Descriptions!$L:$L,"&gt;0")/100)</f>
        <v>0.75</v>
      </c>
      <c r="Q22" s="44">
        <f>IF(SUMIFS(Descriptions!$L:$L,Descriptions!B:B,"ON",Descriptions!$C:$C,"RS",Descriptions!$E:$E,"CO",Descriptions!$G:$G,"5")=0,"",SUMIFS(Descriptions!$L:$L,Descriptions!B:B,"ON",Descriptions!$C:$C,"RS",Descriptions!$E:$E,"CO",Descriptions!$G:$G,"5")/COUNTIFS(Descriptions!B:B,"ON",Descriptions!$C:$C,"RS",Descriptions!$E:$E,"CO",Descriptions!$G:$G,"5",Descriptions!$L:$L,"&gt;0")/100)</f>
        <v>0.75</v>
      </c>
      <c r="R22" s="73" t="str">
        <f>IF(SUMIFS(Descriptions!$L:$L,Descriptions!B:B,"ON",Descriptions!$C:$C,"RS",Descriptions!$E:$E,"CO",Descriptions!$G:$G,"6")=0,"",SUMIFS(Descriptions!$L:$L,Descriptions!B:B,"ON",Descriptions!$C:$C,"RS",Descriptions!$E:$E,"CO",Descriptions!$G:$G,"6")/COUNTIFS(Descriptions!B:B,"ON",Descriptions!$C:$C,"RS",Descriptions!$E:$E,"CO",Descriptions!$G:$G,"6",Descriptions!$L:$L,"&gt;0")/100)</f>
        <v/>
      </c>
      <c r="S22" s="73" t="str">
        <f>IF(SUMIFS(Descriptions!$L:$L,Descriptions!B:B,"ON",Descriptions!$C:$C,"RS",Descriptions!$E:$E,"CO",Descriptions!$G:$G,"7")=0,"",SUMIFS(Descriptions!$L:$L,Descriptions!B:B,"ON",Descriptions!$C:$C,"RS",Descriptions!$E:$E,"CO",Descriptions!$G:$G,"7")/COUNTIFS(Descriptions!B:B,"ON",Descriptions!$C:$C,"RS",Descriptions!$E:$E,"CO",Descriptions!$G:$G,"7",Descriptions!$L:$L,"&gt;0")/100)</f>
        <v/>
      </c>
      <c r="T22" s="73" t="str">
        <f>IF(SUMIFS(Descriptions!$L:$L,Descriptions!B:B,"ON",Descriptions!$C:$C,"RS",Descriptions!$E:$E,"CO",Descriptions!$G:$G,"8")=0,"",SUMIFS(Descriptions!$L:$L,Descriptions!B:B,"ON",Descriptions!$C:$C,"RS",Descriptions!$E:$E,"CO",Descriptions!$G:$G,"8")/COUNTIFS(Descriptions!B:B,"ON",Descriptions!$C:$C,"RS",Descriptions!$E:$E,"CO",Descriptions!$G:$G,"8",Descriptions!$L:$L,"&gt;0")/100)</f>
        <v/>
      </c>
      <c r="U22" s="73" t="str">
        <f>IF(SUMIFS(Descriptions!$L:$L,Descriptions!B:B,"ON",Descriptions!$C:$C,"RS",Descriptions!$E:$E,"CO",Descriptions!$G:$G,"9")=0,"",SUMIFS(Descriptions!$L:$L,Descriptions!B:B,"ON",Descriptions!$C:$C,"RS",Descriptions!$E:$E,"CO",Descriptions!$G:$G,"9")/COUNTIFS(Descriptions!B:B,"ON",Descriptions!$C:$C,"RS",Descriptions!$E:$E,"CO",Descriptions!$G:$G,"9",Descriptions!$L:$L,"&gt;0")/100)</f>
        <v/>
      </c>
      <c r="V22" s="73" t="str">
        <f>IF(SUMIFS(Descriptions!$L:$L,Descriptions!B:B,"ON",Descriptions!$C:$C,"RS",Descriptions!$E:$E,"CO",Descriptions!$G:$G,"10")=0,"",SUMIFS(Descriptions!$L:$L,Descriptions!B:B,"ON",Descriptions!$C:$C,"RS",Descriptions!$E:$E,"CO",Descriptions!$G:$G,"10")/COUNTIFS(Descriptions!B:B,"ON",Descriptions!$C:$C,"RS",Descriptions!$E:$E,"CO",Descriptions!$G:$G,"10",Descriptions!$L:$L,"&gt;0")/100)</f>
        <v/>
      </c>
      <c r="W22" s="73" t="str">
        <f>IF(SUMIFS(Descriptions!$L:$L,Descriptions!B:B,"ON",Descriptions!$C:$C,"RS",Descriptions!$E:$E,"CO",Descriptions!$G:$G,"11")=0,"",SUMIFS(Descriptions!$L:$L,Descriptions!B:B,"ON",Descriptions!$C:$C,"RS",Descriptions!$E:$E,"CO",Descriptions!$G:$G,"11")/COUNTIFS(Descriptions!B:B,"ON",Descriptions!$C:$C,"RS",Descriptions!$E:$E,"CO",Descriptions!$G:$G,"11",Descriptions!$L:$L,"&gt;0")/100)</f>
        <v/>
      </c>
      <c r="X22" s="74" t="str">
        <f>IF(SUMIFS(Descriptions!$L:$L,Descriptions!B:B,"ON",Descriptions!$C:$C,"RS",Descriptions!$E:$E,"CO",Descriptions!$G:$G,"12")=0,"",SUMIFS(Descriptions!$L:$L,Descriptions!B:B,"ON",Descriptions!$C:$C,"RS",Descriptions!$E:$E,"CO",Descriptions!$G:$G,"12")/COUNTIFS(Descriptions!B:B,"ON",Descriptions!$C:$C,"RS",Descriptions!$E:$E,"CO",Descriptions!$G:$G,"12",Descriptions!$L:$L,"&gt;0")/100)</f>
        <v/>
      </c>
    </row>
    <row r="23" spans="2:24" ht="24.75" customHeight="1" x14ac:dyDescent="0.25">
      <c r="B23" s="110"/>
      <c r="C23" s="113"/>
      <c r="D23" s="113"/>
      <c r="E23" s="196"/>
      <c r="F23" s="214"/>
      <c r="G23" s="107">
        <f>IF(SUMIFS(Descriptions!$L:$L,Descriptions!B:B,"ON",Descriptions!$C:$C,"RS",Descriptions!$E:$E,"IM")=0,"",SUMIFS(Descriptions!$L:$L,Descriptions!B:B,"ON",Descriptions!$C:$C,"RS",Descriptions!$E:$E,"IM")/COUNTIFS(Descriptions!B:B,"ON",Descriptions!$C:$C,"RS",Descriptions!$E:$E,"IM",Descriptions!$L:$L,"&gt;0")/100)</f>
        <v>0.75</v>
      </c>
      <c r="H23" s="192"/>
      <c r="I23" s="142" t="s">
        <v>65</v>
      </c>
      <c r="J23" s="131" t="s">
        <v>43</v>
      </c>
      <c r="K23" s="132" t="s">
        <v>786</v>
      </c>
      <c r="L23" s="108" t="str">
        <f>IF(SUMIFS(Descriptions!$L:$L,Descriptions!B:B,"ON",Descriptions!$C:$C,"RS",Descriptions!$E:$E,"IM",Descriptions!$G:$G,"0")=0,"",SUMIFS(Descriptions!$L:$L,Descriptions!B:B,"ON",Descriptions!$C:$C,"RS",Descriptions!$E:$E,"IM",Descriptions!$G:$G,"0")/COUNTIFS(Descriptions!B:B,"ON",Descriptions!$C:$C,"RS",Descriptions!$E:$E,"IM",Descriptions!$G:$G,"0",Descriptions!$L:$L,"&gt;0")/100)</f>
        <v/>
      </c>
      <c r="M23" s="44">
        <f>IF(SUMIFS(Descriptions!$L:$L,Descriptions!B:B,"ON",Descriptions!$C:$C,"RS",Descriptions!$E:$E,"IM",Descriptions!$G:$G,"1")=0,"",SUMIFS(Descriptions!$L:$L,Descriptions!B:B,"ON",Descriptions!$C:$C,"RS",Descriptions!$E:$E,"IM",Descriptions!$G:$G,"1")/COUNTIFS(Descriptions!B:B,"ON",Descriptions!$C:$C,"RS",Descriptions!$E:$E,"IM",Descriptions!$G:$G,"1",Descriptions!$L:$L,"&gt;0")/100)</f>
        <v>0.75</v>
      </c>
      <c r="N23" s="44">
        <f>IF(SUMIFS(Descriptions!$L:$L,Descriptions!B:B,"ON",Descriptions!$C:$C,"RS",Descriptions!$E:$E,"IM",Descriptions!$G:$G,"2")=0,"",SUMIFS(Descriptions!$L:$L,Descriptions!B:B,"ON",Descriptions!$C:$C,"RS",Descriptions!$E:$E,"IM",Descriptions!$G:$G,"2")/COUNTIFS(Descriptions!B:B,"ON",Descriptions!$C:$C,"RS",Descriptions!$E:$E,"IM",Descriptions!$G:$G,"2",Descriptions!$L:$L,"&gt;0")/100)</f>
        <v>0.75</v>
      </c>
      <c r="O23" s="73" t="str">
        <f>IF(SUMIFS(Descriptions!$L:$L,Descriptions!B:B,"ON",Descriptions!$C:$C,"RS",Descriptions!$E:$E,"IM",Descriptions!$G:$G,"3")=0,"",SUMIFS(Descriptions!$L:$L,Descriptions!B:B,"ON",Descriptions!$C:$C,"RS",Descriptions!$E:$E,"IM",Descriptions!$G:$G,"3")/COUNTIFS(Descriptions!B:B,"ON",Descriptions!$C:$C,"RS",Descriptions!$E:$E,"IM",Descriptions!$G:$G,"3",Descriptions!$L:$L,"&gt;0")/100)</f>
        <v/>
      </c>
      <c r="P23" s="73" t="str">
        <f>IF(SUMIFS(Descriptions!$L:$L,Descriptions!B:B,"ON",Descriptions!$C:$C,"RS",Descriptions!$E:$E,"IM",Descriptions!$G:$G,"4")=0,"",SUMIFS(Descriptions!$L:$L,Descriptions!B:B,"ON",Descriptions!$C:$C,"RS",Descriptions!$E:$E,"IM",Descriptions!$G:$G,"4")/COUNTIFS(Descriptions!B:B,"ON",Descriptions!$C:$C,"RS",Descriptions!$E:$E,"IM",Descriptions!$G:$G,"4",Descriptions!$L:$L,"&gt;0")/100)</f>
        <v/>
      </c>
      <c r="Q23" s="73" t="str">
        <f>IF(SUMIFS(Descriptions!$L:$L,Descriptions!B:B,"ON",Descriptions!$C:$C,"RS",Descriptions!$E:$E,"IM",Descriptions!$G:$G,"5")=0,"",SUMIFS(Descriptions!$L:$L,Descriptions!B:B,"ON",Descriptions!$C:$C,"RS",Descriptions!$E:$E,"IM",Descriptions!$G:$G,"5")/COUNTIFS(Descriptions!B:B,"ON",Descriptions!$C:$C,"RS",Descriptions!$E:$E,"IM",Descriptions!$G:$G,"5",Descriptions!$L:$L,"&gt;0")/100)</f>
        <v/>
      </c>
      <c r="R23" s="73" t="str">
        <f>IF(SUMIFS(Descriptions!$L:$L,Descriptions!B:B,"ON",Descriptions!$C:$C,"RS",Descriptions!$E:$E,"IM",Descriptions!$G:$G,"6")=0,"",SUMIFS(Descriptions!$L:$L,Descriptions!B:B,"ON",Descriptions!$C:$C,"RS",Descriptions!$E:$E,"IM",Descriptions!$G:$G,"6")/COUNTIFS(Descriptions!B:B,"ON",Descriptions!$C:$C,"RS",Descriptions!$E:$E,"IM",Descriptions!$G:$G,"6",Descriptions!$L:$L,"&gt;0")/100)</f>
        <v/>
      </c>
      <c r="S23" s="73" t="str">
        <f>IF(SUMIFS(Descriptions!$L:$L,Descriptions!B:B,"ON",Descriptions!$C:$C,"RS",Descriptions!$E:$E,"IM",Descriptions!$G:$G,"7")=0,"",SUMIFS(Descriptions!$L:$L,Descriptions!B:B,"ON",Descriptions!$C:$C,"RS",Descriptions!$E:$E,"IM",Descriptions!$G:$G,"7")/COUNTIFS(Descriptions!B:B,"ON",Descriptions!$C:$C,"RS",Descriptions!$E:$E,"IM",Descriptions!$G:$G,"7",Descriptions!$L:$L,"&gt;0")/100)</f>
        <v/>
      </c>
      <c r="T23" s="73" t="str">
        <f>IF(SUMIFS(Descriptions!$L:$L,Descriptions!B:B,"ON",Descriptions!$C:$C,"RS",Descriptions!$E:$E,"IM",Descriptions!$G:$G,"8")=0,"",SUMIFS(Descriptions!$L:$L,Descriptions!B:B,"ON",Descriptions!$C:$C,"RS",Descriptions!$E:$E,"IM",Descriptions!$G:$G,"8")/COUNTIFS(Descriptions!B:B,"ON",Descriptions!$C:$C,"RS",Descriptions!$E:$E,"IM",Descriptions!$G:$G,"8",Descriptions!$L:$L,"&gt;0")/100)</f>
        <v/>
      </c>
      <c r="U23" s="73" t="str">
        <f>IF(SUMIFS(Descriptions!$L:$L,Descriptions!B:B,"ON",Descriptions!$C:$C,"RS",Descriptions!$E:$E,"IM",Descriptions!$G:$G,"9")=0,"",SUMIFS(Descriptions!$L:$L,Descriptions!B:B,"ON",Descriptions!$C:$C,"RS",Descriptions!$E:$E,"IM",Descriptions!$G:$G,"9")/COUNTIFS(Descriptions!B:B,"ON",Descriptions!$C:$C,"RS",Descriptions!$E:$E,"IM",Descriptions!$G:$G,"9",Descriptions!$L:$L,"&gt;0")/100)</f>
        <v/>
      </c>
      <c r="V23" s="73" t="str">
        <f>IF(SUMIFS(Descriptions!$L:$L,Descriptions!B:B,"ON",Descriptions!$C:$C,"RS",Descriptions!$E:$E,"IM",Descriptions!$G:$G,"10")=0,"",SUMIFS(Descriptions!$L:$L,Descriptions!B:B,"ON",Descriptions!$C:$C,"RS",Descriptions!$E:$E,"IM",Descriptions!$G:$G,"10")/COUNTIFS(Descriptions!B:B,"ON",Descriptions!$C:$C,"RS",Descriptions!$E:$E,"IM",Descriptions!$G:$G,"10",Descriptions!$L:$L,"&gt;0")/100)</f>
        <v/>
      </c>
      <c r="W23" s="73" t="str">
        <f>IF(SUMIFS(Descriptions!$L:$L,Descriptions!B:B,"ON",Descriptions!$C:$C,"RS",Descriptions!$E:$E,"IM",Descriptions!$G:$G,"11")=0,"",SUMIFS(Descriptions!$L:$L,Descriptions!B:B,"ON",Descriptions!$C:$C,"RS",Descriptions!$E:$E,"IM",Descriptions!$G:$G,"11")/COUNTIFS(Descriptions!B:B,"ON",Descriptions!$C:$C,"RS",Descriptions!$E:$E,"IM",Descriptions!$G:$G,"11",Descriptions!$L:$L,"&gt;0")/100)</f>
        <v/>
      </c>
      <c r="X23" s="74" t="str">
        <f>IF(SUMIFS(Descriptions!$L:$L,Descriptions!B:B,"ON",Descriptions!$C:$C,"RS",Descriptions!$E:$E,"IM",Descriptions!$G:$G,"12")=0,"",SUMIFS(Descriptions!$L:$L,Descriptions!B:B,"ON",Descriptions!$C:$C,"RS",Descriptions!$E:$E,"IM",Descriptions!$G:$G,"12")/COUNTIFS(Descriptions!B:B,"ON",Descriptions!$C:$C,"RS",Descriptions!$E:$E,"IM",Descriptions!$G:$G,"12",Descriptions!$L:$L,"&gt;0")/100)</f>
        <v/>
      </c>
    </row>
    <row r="24" spans="2:24" ht="24.75" customHeight="1" x14ac:dyDescent="0.25">
      <c r="B24" s="110"/>
      <c r="C24" s="113"/>
      <c r="D24" s="113"/>
      <c r="E24" s="197"/>
      <c r="F24" s="214"/>
      <c r="G24" s="107">
        <f>IF(SUMIFS(Descriptions!$L:$L,Descriptions!B:B,"ON",Descriptions!$C:$C,"RS",Descriptions!$E:$E,"MI")=0,"",SUMIFS(Descriptions!$L:$L,Descriptions!B:B,"ON",Descriptions!$C:$C,"RS",Descriptions!$E:$E,"MI")/COUNTIFS(Descriptions!B:B,"ON",Descriptions!$C:$C,"RS",Descriptions!$E:$E,"MI",Descriptions!$L:$L,"&gt;0")/100)</f>
        <v>0.76263157894736833</v>
      </c>
      <c r="H24" s="192"/>
      <c r="I24" s="142" t="s">
        <v>66</v>
      </c>
      <c r="J24" s="131" t="s">
        <v>44</v>
      </c>
      <c r="K24" s="132" t="s">
        <v>787</v>
      </c>
      <c r="L24" s="108" t="str">
        <f>IF(SUMIFS(Descriptions!$L:$L,Descriptions!B:B,"ON",Descriptions!$C:$C,"RS",Descriptions!$E:$E,"MI",Descriptions!$G:$G,"0")=0,"",SUMIFS(Descriptions!$L:$L,Descriptions!B:B,"ON",Descriptions!$C:$C,"RS",Descriptions!$E:$E,"MI",Descriptions!$G:$G,"0")/COUNTIFS(Descriptions!B:B,"ON",Descriptions!$C:$C,"RS",Descriptions!$E:$E,"MI",Descriptions!$G:$G,"0",Descriptions!$L:$L,"&gt;0")/100)</f>
        <v/>
      </c>
      <c r="M24" s="44">
        <f>IF(SUMIFS(Descriptions!$L:$L,Descriptions!B:B,"ON",Descriptions!$C:$C,"RS",Descriptions!$E:$E,"MI",Descriptions!$G:$G,"1")=0,"",SUMIFS(Descriptions!$L:$L,Descriptions!B:B,"ON",Descriptions!$C:$C,"RS",Descriptions!$E:$E,"MI",Descriptions!$G:$G,"1")/COUNTIFS(Descriptions!B:B,"ON",Descriptions!$C:$C,"RS",Descriptions!$E:$E,"MI",Descriptions!$G:$G,"1",Descriptions!$L:$L,"&gt;0")/100)</f>
        <v>0.75</v>
      </c>
      <c r="N24" s="44">
        <f>IF(SUMIFS(Descriptions!$L:$L,Descriptions!B:B,"ON",Descriptions!$C:$C,"RS",Descriptions!$E:$E,"MI",Descriptions!$G:$G,"2")=0,"",SUMIFS(Descriptions!$L:$L,Descriptions!B:B,"ON",Descriptions!$C:$C,"RS",Descriptions!$E:$E,"MI",Descriptions!$G:$G,"2")/COUNTIFS(Descriptions!B:B,"ON",Descriptions!$C:$C,"RS",Descriptions!$E:$E,"MI",Descriptions!$G:$G,"2",Descriptions!$L:$L,"&gt;0")/100)</f>
        <v>0.79799999999999993</v>
      </c>
      <c r="O24" s="44">
        <f>IF(SUMIFS(Descriptions!$L:$L,Descriptions!B:B,"ON",Descriptions!$C:$C,"RS",Descriptions!$E:$E,"MI",Descriptions!$G:$G,"3")=0,"",SUMIFS(Descriptions!$L:$L,Descriptions!B:B,"ON",Descriptions!$C:$C,"RS",Descriptions!$E:$E,"MI",Descriptions!$G:$G,"3")/COUNTIFS(Descriptions!B:B,"ON",Descriptions!$C:$C,"RS",Descriptions!$E:$E,"MI",Descriptions!$G:$G,"3",Descriptions!$L:$L,"&gt;0")/100)</f>
        <v>0.75</v>
      </c>
      <c r="P24" s="73" t="str">
        <f>IF(SUMIFS(Descriptions!$L:$L,Descriptions!B:B,"ON",Descriptions!$C:$C,"RS",Descriptions!$E:$E,"MI",Descriptions!$G:$G,"4")=0,"",SUMIFS(Descriptions!$L:$L,Descriptions!B:B,"ON",Descriptions!$C:$C,"RS",Descriptions!$E:$E,"MI",Descriptions!$G:$G,"4")/COUNTIFS(Descriptions!B:B,"ON",Descriptions!$C:$C,"RS",Descriptions!$E:$E,"MI",Descriptions!$G:$G,"4",Descriptions!$L:$L,"&gt;0")/100)</f>
        <v/>
      </c>
      <c r="Q24" s="73" t="str">
        <f>IF(SUMIFS(Descriptions!$L:$L,Descriptions!B:B,"ON",Descriptions!$C:$C,"RS",Descriptions!$E:$E,"MI",Descriptions!$G:$G,"5")=0,"",SUMIFS(Descriptions!$L:$L,Descriptions!B:B,"ON",Descriptions!$C:$C,"RS",Descriptions!$E:$E,"MI",Descriptions!$G:$G,"5")/COUNTIFS(Descriptions!B:B,"ON",Descriptions!$C:$C,"RS",Descriptions!$E:$E,"MI",Descriptions!$G:$G,"5",Descriptions!$L:$L,"&gt;0")/100)</f>
        <v/>
      </c>
      <c r="R24" s="73" t="str">
        <f>IF(SUMIFS(Descriptions!$L:$L,Descriptions!B:B,"ON",Descriptions!$C:$C,"RS",Descriptions!$E:$E,"MI",Descriptions!$G:$G,"6")=0,"",SUMIFS(Descriptions!$L:$L,Descriptions!B:B,"ON",Descriptions!$C:$C,"RS",Descriptions!$E:$E,"MI",Descriptions!$G:$G,"6")/COUNTIFS(Descriptions!B:B,"ON",Descriptions!$C:$C,"RS",Descriptions!$E:$E,"MI",Descriptions!$G:$G,"6",Descriptions!$L:$L,"&gt;0")/100)</f>
        <v/>
      </c>
      <c r="S24" s="73" t="str">
        <f>IF(SUMIFS(Descriptions!$L:$L,Descriptions!B:B,"ON",Descriptions!$C:$C,"RS",Descriptions!$E:$E,"MI",Descriptions!$G:$G,"7")=0,"",SUMIFS(Descriptions!$L:$L,Descriptions!B:B,"ON",Descriptions!$C:$C,"RS",Descriptions!$E:$E,"MI",Descriptions!$G:$G,"7")/COUNTIFS(Descriptions!B:B,"ON",Descriptions!$C:$C,"RS",Descriptions!$E:$E,"MI",Descriptions!$G:$G,"7",Descriptions!$L:$L,"&gt;0")/100)</f>
        <v/>
      </c>
      <c r="T24" s="73" t="str">
        <f>IF(SUMIFS(Descriptions!$L:$L,Descriptions!B:B,"ON",Descriptions!$C:$C,"RS",Descriptions!$E:$E,"MI",Descriptions!$G:$G,"8")=0,"",SUMIFS(Descriptions!$L:$L,Descriptions!B:B,"ON",Descriptions!$C:$C,"RS",Descriptions!$E:$E,"MI",Descriptions!$G:$G,"8")/COUNTIFS(Descriptions!B:B,"ON",Descriptions!$C:$C,"RS",Descriptions!$E:$E,"MI",Descriptions!$G:$G,"8",Descriptions!$L:$L,"&gt;0")/100)</f>
        <v/>
      </c>
      <c r="U24" s="73" t="str">
        <f>IF(SUMIFS(Descriptions!$L:$L,Descriptions!B:B,"ON",Descriptions!$C:$C,"RS",Descriptions!$E:$E,"MI",Descriptions!$G:$G,"9")=0,"",SUMIFS(Descriptions!$L:$L,Descriptions!B:B,"ON",Descriptions!$C:$C,"RS",Descriptions!$E:$E,"MI",Descriptions!$G:$G,"9")/COUNTIFS(Descriptions!B:B,"ON",Descriptions!$C:$C,"RS",Descriptions!$E:$E,"MI",Descriptions!$G:$G,"9",Descriptions!$L:$L,"&gt;0")/100)</f>
        <v/>
      </c>
      <c r="V24" s="73" t="str">
        <f>IF(SUMIFS(Descriptions!$L:$L,Descriptions!B:B,"ON",Descriptions!$C:$C,"RS",Descriptions!$E:$E,"MI",Descriptions!$G:$G,"10")=0,"",SUMIFS(Descriptions!$L:$L,Descriptions!B:B,"ON",Descriptions!$C:$C,"RS",Descriptions!$E:$E,"MI",Descriptions!$G:$G,"10")/COUNTIFS(Descriptions!B:B,"ON",Descriptions!$C:$C,"RS",Descriptions!$E:$E,"MI",Descriptions!$G:$G,"10",Descriptions!$L:$L,"&gt;0")/100)</f>
        <v/>
      </c>
      <c r="W24" s="73" t="str">
        <f>IF(SUMIFS(Descriptions!$L:$L,Descriptions!B:B,"ON",Descriptions!$C:$C,"RS",Descriptions!$E:$E,"MI",Descriptions!$G:$G,"11")=0,"",SUMIFS(Descriptions!$L:$L,Descriptions!B:B,"ON",Descriptions!$C:$C,"RS",Descriptions!$E:$E,"MI",Descriptions!$G:$G,"11")/COUNTIFS(Descriptions!B:B,"ON",Descriptions!$C:$C,"RS",Descriptions!$E:$E,"MI",Descriptions!$G:$G,"11",Descriptions!$L:$L,"&gt;0")/100)</f>
        <v/>
      </c>
      <c r="X24" s="74" t="str">
        <f>IF(SUMIFS(Descriptions!$L:$L,Descriptions!B:B,"ON",Descriptions!$C:$C,"RS",Descriptions!$E:$E,"MI",Descriptions!$G:$G,"12")=0,"",SUMIFS(Descriptions!$L:$L,Descriptions!B:B,"ON",Descriptions!$C:$C,"RS",Descriptions!$E:$E,"MI",Descriptions!$G:$G,"12")/COUNTIFS(Descriptions!B:B,"ON",Descriptions!$C:$C,"RS",Descriptions!$E:$E,"MI",Descriptions!$G:$G,"12",Descriptions!$L:$L,"&gt;0")/100)</f>
        <v/>
      </c>
    </row>
    <row r="25" spans="2:24" ht="24.75" customHeight="1" x14ac:dyDescent="0.25">
      <c r="B25" s="110"/>
      <c r="C25" s="113"/>
      <c r="D25" s="113"/>
      <c r="E25" s="116"/>
      <c r="F25" s="214"/>
      <c r="G25" s="107">
        <f>IF(SUMIFS(Descriptions!$L:$L,Descriptions!B:B,"ON",Descriptions!$C:$C,"RS",Descriptions!$E:$E,"RP")=0,"",SUMIFS(Descriptions!$L:$L,Descriptions!B:B,"ON",Descriptions!$C:$C,"RS",Descriptions!$E:$E,"RP")/COUNTIFS(Descriptions!B:B,"ON",Descriptions!$C:$C,"RS",Descriptions!$E:$E,"RP",Descriptions!$L:$L,"&gt;0")/100)</f>
        <v>0.75</v>
      </c>
      <c r="H25" s="192"/>
      <c r="I25" s="142" t="s">
        <v>67</v>
      </c>
      <c r="J25" s="131" t="s">
        <v>45</v>
      </c>
      <c r="K25" s="132" t="s">
        <v>788</v>
      </c>
      <c r="L25" s="108" t="str">
        <f>IF(SUMIFS(Descriptions!$L:$L,Descriptions!B:B,"ON",Descriptions!$C:$C,"RS",Descriptions!$E:$E,"RP",Descriptions!$G:$G,"0")=0,"",SUMIFS(Descriptions!$L:$L,Descriptions!B:B,"ON",Descriptions!$C:$C,"RS",Descriptions!$E:$E,"RP",Descriptions!$G:$G,"0")/COUNTIFS(Descriptions!B:B,"ON",Descriptions!$C:$C,"RS",Descriptions!$E:$E,"RP",Descriptions!$G:$G,"0",Descriptions!$L:$L,"&gt;0")/100)</f>
        <v/>
      </c>
      <c r="M25" s="44">
        <f>IF(SUMIFS(Descriptions!$L:$L,Descriptions!B:B,"ON",Descriptions!$C:$C,"RS",Descriptions!$E:$E,"RP",Descriptions!$G:$G,"1")=0,"",SUMIFS(Descriptions!$L:$L,Descriptions!B:B,"ON",Descriptions!$C:$C,"RS",Descriptions!$E:$E,"RP",Descriptions!$G:$G,"1")/COUNTIFS(Descriptions!B:B,"ON",Descriptions!$C:$C,"RS",Descriptions!$E:$E,"RP",Descriptions!$G:$G,"1",Descriptions!$L:$L,"&gt;0")/100)</f>
        <v>0.75</v>
      </c>
      <c r="N25" s="73" t="str">
        <f>IF(SUMIFS(Descriptions!$L:$L,Descriptions!B:B,"ON",Descriptions!$C:$C,"RS",Descriptions!$E:$E,"RP",Descriptions!$G:$G,"2")=0,"",SUMIFS(Descriptions!$L:$L,Descriptions!B:B,"ON",Descriptions!$C:$C,"RS",Descriptions!$E:$E,"RP",Descriptions!$G:$G,"2")/COUNTIFS(Descriptions!B:B,"ON",Descriptions!$C:$C,"RS",Descriptions!$E:$E,"RP",Descriptions!$G:$G,"2",Descriptions!$L:$L,"&gt;0")/100)</f>
        <v/>
      </c>
      <c r="O25" s="73" t="str">
        <f>IF(SUMIFS(Descriptions!$L:$L,Descriptions!B:B,"ON",Descriptions!$C:$C,"RS",Descriptions!$E:$E,"RP",Descriptions!$G:$G,"3")=0,"",SUMIFS(Descriptions!$L:$L,Descriptions!B:B,"ON",Descriptions!$C:$C,"RS",Descriptions!$E:$E,"RP",Descriptions!$G:$G,"3")/COUNTIFS(Descriptions!B:B,"ON",Descriptions!$C:$C,"RS",Descriptions!$E:$E,"RP",Descriptions!$G:$G,"3",Descriptions!$L:$L,"&gt;0")/100)</f>
        <v/>
      </c>
      <c r="P25" s="73" t="str">
        <f>IF(SUMIFS(Descriptions!$L:$L,Descriptions!B:B,"ON",Descriptions!$C:$C,"RS",Descriptions!$E:$E,"RP",Descriptions!$G:$G,"4")=0,"",SUMIFS(Descriptions!$L:$L,Descriptions!B:B,"ON",Descriptions!$C:$C,"RS",Descriptions!$E:$E,"RP",Descriptions!$G:$G,"4")/COUNTIFS(Descriptions!B:B,"ON",Descriptions!$C:$C,"RS",Descriptions!$E:$E,"RP",Descriptions!$G:$G,"4",Descriptions!$L:$L,"&gt;0")/100)</f>
        <v/>
      </c>
      <c r="Q25" s="73" t="str">
        <f>IF(SUMIFS(Descriptions!$L:$L,Descriptions!B:B,"ON",Descriptions!$C:$C,"RS",Descriptions!$E:$E,"RP",Descriptions!$G:$G,"5")=0,"",SUMIFS(Descriptions!$L:$L,Descriptions!B:B,"ON",Descriptions!$C:$C,"RS",Descriptions!$E:$E,"RP",Descriptions!$G:$G,"5")/COUNTIFS(Descriptions!B:B,"ON",Descriptions!$C:$C,"RS",Descriptions!$E:$E,"RP",Descriptions!$G:$G,"5",Descriptions!$L:$L,"&gt;0")/100)</f>
        <v/>
      </c>
      <c r="R25" s="73" t="str">
        <f>IF(SUMIFS(Descriptions!$L:$L,Descriptions!B:B,"ON",Descriptions!$C:$C,"RS",Descriptions!$E:$E,"RP",Descriptions!$G:$G,"6")=0,"",SUMIFS(Descriptions!$L:$L,Descriptions!B:B,"ON",Descriptions!$C:$C,"RS",Descriptions!$E:$E,"RP",Descriptions!$G:$G,"6")/COUNTIFS(Descriptions!B:B,"ON",Descriptions!$C:$C,"RS",Descriptions!$E:$E,"RP",Descriptions!$G:$G,"6",Descriptions!$L:$L,"&gt;0")/100)</f>
        <v/>
      </c>
      <c r="S25" s="73" t="str">
        <f>IF(SUMIFS(Descriptions!$L:$L,Descriptions!B:B,"ON",Descriptions!$C:$C,"RS",Descriptions!$E:$E,"RP",Descriptions!$G:$G,"7")=0,"",SUMIFS(Descriptions!$L:$L,Descriptions!B:B,"ON",Descriptions!$C:$C,"RS",Descriptions!$E:$E,"RP",Descriptions!$G:$G,"7")/COUNTIFS(Descriptions!B:B,"ON",Descriptions!$C:$C,"RS",Descriptions!$E:$E,"RP",Descriptions!$G:$G,"7",Descriptions!$L:$L,"&gt;0")/100)</f>
        <v/>
      </c>
      <c r="T25" s="73" t="str">
        <f>IF(SUMIFS(Descriptions!$L:$L,Descriptions!B:B,"ON",Descriptions!$C:$C,"RS",Descriptions!$E:$E,"RP",Descriptions!$G:$G,"8")=0,"",SUMIFS(Descriptions!$L:$L,Descriptions!B:B,"ON",Descriptions!$C:$C,"RS",Descriptions!$E:$E,"RP",Descriptions!$G:$G,"8")/COUNTIFS(Descriptions!B:B,"ON",Descriptions!$C:$C,"RS",Descriptions!$E:$E,"RP",Descriptions!$G:$G,"8",Descriptions!$L:$L,"&gt;0")/100)</f>
        <v/>
      </c>
      <c r="U25" s="73" t="str">
        <f>IF(SUMIFS(Descriptions!$L:$L,Descriptions!B:B,"ON",Descriptions!$C:$C,"RS",Descriptions!$E:$E,"RP",Descriptions!$G:$G,"9")=0,"",SUMIFS(Descriptions!$L:$L,Descriptions!B:B,"ON",Descriptions!$C:$C,"RS",Descriptions!$E:$E,"RP",Descriptions!$G:$G,"9")/COUNTIFS(Descriptions!B:B,"ON",Descriptions!$C:$C,"RS",Descriptions!$E:$E,"RP",Descriptions!$G:$G,"9",Descriptions!$L:$L,"&gt;0")/100)</f>
        <v/>
      </c>
      <c r="V25" s="73" t="str">
        <f>IF(SUMIFS(Descriptions!$L:$L,Descriptions!B:B,"ON",Descriptions!$C:$C,"RS",Descriptions!$E:$E,"RP",Descriptions!$G:$G,"10")=0,"",SUMIFS(Descriptions!$L:$L,Descriptions!B:B,"ON",Descriptions!$C:$C,"RS",Descriptions!$E:$E,"RP",Descriptions!$G:$G,"10")/COUNTIFS(Descriptions!B:B,"ON",Descriptions!$C:$C,"RS",Descriptions!$E:$E,"RP",Descriptions!$G:$G,"10",Descriptions!$L:$L,"&gt;0")/100)</f>
        <v/>
      </c>
      <c r="W25" s="73" t="str">
        <f>IF(SUMIFS(Descriptions!$L:$L,Descriptions!B:B,"ON",Descriptions!$C:$C,"RS",Descriptions!$E:$E,"RP",Descriptions!$G:$G,"11")=0,"",SUMIFS(Descriptions!$L:$L,Descriptions!B:B,"ON",Descriptions!$C:$C,"RS",Descriptions!$E:$E,"RP",Descriptions!$G:$G,"11")/COUNTIFS(Descriptions!B:B,"ON",Descriptions!$C:$C,"RS",Descriptions!$E:$E,"RP",Descriptions!$G:$G,"11",Descriptions!$L:$L,"&gt;0")/100)</f>
        <v/>
      </c>
      <c r="X25" s="74" t="str">
        <f>IF(SUMIFS(Descriptions!$L:$L,Descriptions!B:B,"ON",Descriptions!$C:$C,"RS",Descriptions!$E:$E,"RP",Descriptions!$G:$G,"12")=0,"",SUMIFS(Descriptions!$L:$L,Descriptions!B:B,"ON",Descriptions!$C:$C,"RS",Descriptions!$E:$E,"RP",Descriptions!$G:$G,"12")/COUNTIFS(Descriptions!B:B,"ON",Descriptions!$C:$C,"RS",Descriptions!$E:$E,"RP",Descriptions!$G:$G,"12",Descriptions!$L:$L,"&gt;0")/100)</f>
        <v/>
      </c>
    </row>
    <row r="26" spans="2:24" ht="24.75" customHeight="1" x14ac:dyDescent="0.25">
      <c r="B26" s="110"/>
      <c r="C26" s="113"/>
      <c r="D26" s="113"/>
      <c r="E26" s="195">
        <f>SUM(G26:G28)/COUNT(G26:G28)</f>
        <v>0.75</v>
      </c>
      <c r="F26" s="215"/>
      <c r="G26" s="137">
        <f>IF(SUMIFS(Descriptions!$L:$L,Descriptions!B:B,"ON",Descriptions!$C:$C,"RC",Descriptions!$E:$E,"CO")=0,"",SUMIFS(Descriptions!$L:$L,Descriptions!B:B,"ON",Descriptions!$C:$C,"RC",Descriptions!$E:$E,"CO")/COUNTIFS(Descriptions!B:B,"ON",Descriptions!$C:$C,"RC",Descriptions!$E:$E,"CO",Descriptions!$L:$L,"&gt;0")/100)</f>
        <v>0.75</v>
      </c>
      <c r="H26" s="188" t="s">
        <v>256</v>
      </c>
      <c r="I26" s="143" t="s">
        <v>60</v>
      </c>
      <c r="J26" s="133" t="s">
        <v>41</v>
      </c>
      <c r="K26" s="134" t="s">
        <v>789</v>
      </c>
      <c r="L26" s="108" t="str">
        <f>IF(SUMIFS(Descriptions!$L:$L,Descriptions!B:B,"ON",Descriptions!$C:$C,"RC",Descriptions!$E:$E,"CO",Descriptions!$G:$G,"0")=0,"",SUMIFS(Descriptions!$L:$L,Descriptions!B:B,"ON",Descriptions!$C:$C,"RC",Descriptions!$E:$E,"CO",Descriptions!$G:$G,"0")/COUNTIFS(Descriptions!B:B,"ON",Descriptions!$C:$C,"RC",Descriptions!$E:$E,"CO",Descriptions!$G:$G,"0",Descriptions!$L:$L,"&gt;0")/100)</f>
        <v/>
      </c>
      <c r="M26" s="44">
        <f>IF(SUMIFS(Descriptions!$L:$L,Descriptions!B:B,"ON",Descriptions!$C:$C,"RC",Descriptions!$E:$E,"CO",Descriptions!$G:$G,"1")=0,"",SUMIFS(Descriptions!$L:$L,Descriptions!B:B,"ON",Descriptions!$C:$C,"RC",Descriptions!$E:$E,"CO",Descriptions!$G:$G,"1")/COUNTIFS(Descriptions!B:B,"ON",Descriptions!$C:$C,"RC",Descriptions!$E:$E,"CO",Descriptions!$G:$G,"1",Descriptions!$L:$L,"&gt;0")/100)</f>
        <v>0.75</v>
      </c>
      <c r="N26" s="44">
        <f>IF(SUMIFS(Descriptions!$L:$L,Descriptions!B:B,"ON",Descriptions!$C:$C,"RC",Descriptions!$E:$E,"CO",Descriptions!$G:$G,"2")=0,"",SUMIFS(Descriptions!$L:$L,Descriptions!B:B,"ON",Descriptions!$C:$C,"RC",Descriptions!$E:$E,"CO",Descriptions!$G:$G,"2")/COUNTIFS(Descriptions!B:B,"ON",Descriptions!$C:$C,"RC",Descriptions!$E:$E,"CO",Descriptions!$G:$G,"2",Descriptions!$L:$L,"&gt;0")/100)</f>
        <v>0.75</v>
      </c>
      <c r="O26" s="44">
        <f>IF(SUMIFS(Descriptions!$L:$L,Descriptions!B:B,"ON",Descriptions!$C:$C,"RC",Descriptions!$E:$E,"CO",Descriptions!$G:$G,"3")=0,"",SUMIFS(Descriptions!$L:$L,Descriptions!B:B,"ON",Descriptions!$C:$C,"RC",Descriptions!$E:$E,"CO",Descriptions!$G:$G,"3")/COUNTIFS(Descriptions!B:B,"ON",Descriptions!$C:$C,"RC",Descriptions!$E:$E,"CO",Descriptions!$G:$G,"3",Descriptions!$L:$L,"&gt;0")/100)</f>
        <v>0.75</v>
      </c>
      <c r="P26" s="73" t="str">
        <f>IF(SUMIFS(Descriptions!$L:$L,Descriptions!B:B,"ON",Descriptions!$C:$C,"RC",Descriptions!$E:$E,"CO",Descriptions!$G:$G,"4")=0,"",SUMIFS(Descriptions!$L:$L,Descriptions!B:B,"ON",Descriptions!$C:$C,"RC",Descriptions!$E:$E,"CO",Descriptions!$G:$G,"4")/COUNTIFS(Descriptions!B:B,"ON",Descriptions!$C:$C,"RC",Descriptions!$E:$E,"CO",Descriptions!$G:$G,"4",Descriptions!$L:$L,"&gt;0")/100)</f>
        <v/>
      </c>
      <c r="Q26" s="73" t="str">
        <f>IF(SUMIFS(Descriptions!$L:$L,Descriptions!B:B,"ON",Descriptions!$C:$C,"RC",Descriptions!$E:$E,"CO",Descriptions!$G:$G,"5")=0,"",SUMIFS(Descriptions!$L:$L,Descriptions!B:B,"ON",Descriptions!$C:$C,"RC",Descriptions!$E:$E,"CO",Descriptions!$G:$G,"5")/COUNTIFS(Descriptions!B:B,"ON",Descriptions!$C:$C,"RC",Descriptions!$E:$E,"CO",Descriptions!$G:$G,"5",Descriptions!$L:$L,"&gt;0")/100)</f>
        <v/>
      </c>
      <c r="R26" s="73" t="str">
        <f>IF(SUMIFS(Descriptions!$L:$L,Descriptions!B:B,"ON",Descriptions!$C:$C,"RC",Descriptions!$E:$E,"CO",Descriptions!$G:$G,"6")=0,"",SUMIFS(Descriptions!$L:$L,Descriptions!B:B,"ON",Descriptions!$C:$C,"RC",Descriptions!$E:$E,"CO",Descriptions!$G:$G,"6")/COUNTIFS(Descriptions!B:B,"ON",Descriptions!$C:$C,"RC",Descriptions!$E:$E,"CO",Descriptions!$G:$G,"6",Descriptions!$L:$L,"&gt;0")/100)</f>
        <v/>
      </c>
      <c r="S26" s="73" t="str">
        <f>IF(SUMIFS(Descriptions!$L:$L,Descriptions!B:B,"ON",Descriptions!$C:$C,"RC",Descriptions!$E:$E,"CO",Descriptions!$G:$G,"7")=0,"",SUMIFS(Descriptions!$L:$L,Descriptions!B:B,"ON",Descriptions!$C:$C,"RC",Descriptions!$E:$E,"CO",Descriptions!$G:$G,"7")/COUNTIFS(Descriptions!B:B,"ON",Descriptions!$C:$C,"RC",Descriptions!$E:$E,"CO",Descriptions!$G:$G,"7",Descriptions!$L:$L,"&gt;0")/100)</f>
        <v/>
      </c>
      <c r="T26" s="73" t="str">
        <f>IF(SUMIFS(Descriptions!$L:$L,Descriptions!B:B,"ON",Descriptions!$C:$C,"RC",Descriptions!$E:$E,"CO",Descriptions!$G:$G,"8")=0,"",SUMIFS(Descriptions!$L:$L,Descriptions!B:B,"ON",Descriptions!$C:$C,"RC",Descriptions!$E:$E,"CO",Descriptions!$G:$G,"8")/COUNTIFS(Descriptions!B:B,"ON",Descriptions!$C:$C,"RC",Descriptions!$E:$E,"CO",Descriptions!$G:$G,"8",Descriptions!$L:$L,"&gt;0")/100)</f>
        <v/>
      </c>
      <c r="U26" s="73" t="str">
        <f>IF(SUMIFS(Descriptions!$L:$L,Descriptions!B:B,"ON",Descriptions!$C:$C,"RC",Descriptions!$E:$E,"CO",Descriptions!$G:$G,"9")=0,"",SUMIFS(Descriptions!$L:$L,Descriptions!B:B,"ON",Descriptions!$C:$C,"RC",Descriptions!$E:$E,"CO",Descriptions!$G:$G,"9")/COUNTIFS(Descriptions!B:B,"ON",Descriptions!$C:$C,"RC",Descriptions!$E:$E,"CO",Descriptions!$G:$G,"9",Descriptions!$L:$L,"&gt;0")/100)</f>
        <v/>
      </c>
      <c r="V26" s="73" t="str">
        <f>IF(SUMIFS(Descriptions!$L:$L,Descriptions!B:B,"ON",Descriptions!$C:$C,"RC",Descriptions!$E:$E,"CO",Descriptions!$G:$G,"10")=0,"",SUMIFS(Descriptions!$L:$L,Descriptions!B:B,"ON",Descriptions!$C:$C,"RC",Descriptions!$E:$E,"CO",Descriptions!$G:$G,"10")/COUNTIFS(Descriptions!B:B,"ON",Descriptions!$C:$C,"RC",Descriptions!$E:$E,"CO",Descriptions!$G:$G,"10",Descriptions!$L:$L,"&gt;0")/100)</f>
        <v/>
      </c>
      <c r="W26" s="73" t="str">
        <f>IF(SUMIFS(Descriptions!$L:$L,Descriptions!B:B,"ON",Descriptions!$C:$C,"RC",Descriptions!$E:$E,"CO",Descriptions!$G:$G,"11")=0,"",SUMIFS(Descriptions!$L:$L,Descriptions!B:B,"ON",Descriptions!$C:$C,"RC",Descriptions!$E:$E,"CO",Descriptions!$G:$G,"11")/COUNTIFS(Descriptions!B:B,"ON",Descriptions!$C:$C,"RC",Descriptions!$E:$E,"CO",Descriptions!$G:$G,"11",Descriptions!$L:$L,"&gt;0")/100)</f>
        <v/>
      </c>
      <c r="X26" s="74" t="str">
        <f>IF(SUMIFS(Descriptions!$L:$L,Descriptions!B:B,"ON",Descriptions!$C:$C,"RC",Descriptions!$E:$E,"CO",Descriptions!$G:$G,"12")=0,"",SUMIFS(Descriptions!$L:$L,Descriptions!B:B,"ON",Descriptions!$C:$C,"RC",Descriptions!$E:$E,"CO",Descriptions!$G:$G,"12")/COUNTIFS(Descriptions!B:B,"ON",Descriptions!$C:$C,"RC",Descriptions!$E:$E,"CO",Descriptions!$G:$G,"12",Descriptions!$L:$L,"&gt;0")/100)</f>
        <v/>
      </c>
    </row>
    <row r="27" spans="2:24" ht="24.75" customHeight="1" x14ac:dyDescent="0.25">
      <c r="B27" s="110"/>
      <c r="C27" s="113"/>
      <c r="D27" s="113"/>
      <c r="E27" s="196"/>
      <c r="F27" s="216"/>
      <c r="G27" s="107">
        <f>IF(SUMIFS(Descriptions!$L:$L,Descriptions!B:B,"ON",Descriptions!$C:$C,"RC",Descriptions!$E:$E,"IM")=0,"",SUMIFS(Descriptions!$L:$L,Descriptions!B:B,"ON",Descriptions!$C:$C,"RC",Descriptions!$E:$E,"IM")/COUNTIFS(Descriptions!B:B,"ON",Descriptions!$C:$C,"RC",Descriptions!$E:$E,"IM",Descriptions!$L:$L,"&gt;0")/100)</f>
        <v>0.75</v>
      </c>
      <c r="H27" s="189"/>
      <c r="I27" s="143" t="s">
        <v>64</v>
      </c>
      <c r="J27" s="133" t="s">
        <v>43</v>
      </c>
      <c r="K27" s="134" t="s">
        <v>790</v>
      </c>
      <c r="L27" s="108" t="str">
        <f>IF(SUMIFS(Descriptions!$L:$L,Descriptions!B:B,"ON",Descriptions!$C:$C,"RC",Descriptions!$E:$E,"IM",Descriptions!$G:$G,"0")=0,"",SUMIFS(Descriptions!$L:$L,Descriptions!B:B,"ON",Descriptions!$C:$C,"RC",Descriptions!$E:$E,"IM",Descriptions!$G:$G,"0")/COUNTIFS(Descriptions!B:B,"ON",Descriptions!$C:$C,"RC",Descriptions!$E:$E,"IM",Descriptions!$G:$G,"0",Descriptions!$L:$L,"&gt;0")/100)</f>
        <v/>
      </c>
      <c r="M27" s="44">
        <f>IF(SUMIFS(Descriptions!$L:$L,Descriptions!B:B,"ON",Descriptions!$C:$C,"RC",Descriptions!$E:$E,"IM",Descriptions!$G:$G,"1")=0,"",SUMIFS(Descriptions!$L:$L,Descriptions!B:B,"ON",Descriptions!$C:$C,"RC",Descriptions!$E:$E,"IM",Descriptions!$G:$G,"1")/COUNTIFS(Descriptions!B:B,"ON",Descriptions!$C:$C,"RC",Descriptions!$E:$E,"IM",Descriptions!$G:$G,"1",Descriptions!$L:$L,"&gt;0")/100)</f>
        <v>0.75</v>
      </c>
      <c r="N27" s="44">
        <f>IF(SUMIFS(Descriptions!$L:$L,Descriptions!B:B,"ON",Descriptions!$C:$C,"RC",Descriptions!$E:$E,"IM",Descriptions!$G:$G,"2")=0,"",SUMIFS(Descriptions!$L:$L,Descriptions!B:B,"ON",Descriptions!$C:$C,"RC",Descriptions!$E:$E,"IM",Descriptions!$G:$G,"2")/COUNTIFS(Descriptions!B:B,"ON",Descriptions!$C:$C,"RC",Descriptions!$E:$E,"IM",Descriptions!$G:$G,"2",Descriptions!$L:$L,"&gt;0")/100)</f>
        <v>0.75</v>
      </c>
      <c r="O27" s="73" t="str">
        <f>IF(SUMIFS(Descriptions!$L:$L,Descriptions!B:B,"ON",Descriptions!$C:$C,"RC",Descriptions!$E:$E,"IM",Descriptions!$G:$G,"3")=0,"",SUMIFS(Descriptions!$L:$L,Descriptions!B:B,"ON",Descriptions!$C:$C,"RC",Descriptions!$E:$E,"IM",Descriptions!$G:$G,"3")/COUNTIFS(Descriptions!B:B,"ON",Descriptions!$C:$C,"RC",Descriptions!$E:$E,"IM",Descriptions!$G:$G,"3",Descriptions!$L:$L,"&gt;0")/100)</f>
        <v/>
      </c>
      <c r="P27" s="73" t="str">
        <f>IF(SUMIFS(Descriptions!$L:$L,Descriptions!B:B,"ON",Descriptions!$C:$C,"RC",Descriptions!$E:$E,"IM",Descriptions!$G:$G,"4")=0,"",SUMIFS(Descriptions!$L:$L,Descriptions!B:B,"ON",Descriptions!$C:$C,"RC",Descriptions!$E:$E,"IM",Descriptions!$G:$G,"4")/COUNTIFS(Descriptions!B:B,"ON",Descriptions!$C:$C,"RC",Descriptions!$E:$E,"IM",Descriptions!$G:$G,"4",Descriptions!$L:$L,"&gt;0")/100)</f>
        <v/>
      </c>
      <c r="Q27" s="73" t="str">
        <f>IF(SUMIFS(Descriptions!$L:$L,Descriptions!B:B,"ON",Descriptions!$C:$C,"RC",Descriptions!$E:$E,"IM",Descriptions!$G:$G,"5")=0,"",SUMIFS(Descriptions!$L:$L,Descriptions!B:B,"ON",Descriptions!$C:$C,"RC",Descriptions!$E:$E,"IM",Descriptions!$G:$G,"5")/COUNTIFS(Descriptions!B:B,"ON",Descriptions!$C:$C,"RC",Descriptions!$E:$E,"IM",Descriptions!$G:$G,"5",Descriptions!$L:$L,"&gt;0")/100)</f>
        <v/>
      </c>
      <c r="R27" s="73" t="str">
        <f>IF(SUMIFS(Descriptions!$L:$L,Descriptions!B:B,"ON",Descriptions!$C:$C,"RC",Descriptions!$E:$E,"IM",Descriptions!$G:$G,"6")=0,"",SUMIFS(Descriptions!$L:$L,Descriptions!B:B,"ON",Descriptions!$C:$C,"RC",Descriptions!$E:$E,"IM",Descriptions!$G:$G,"6")/COUNTIFS(Descriptions!B:B,"ON",Descriptions!$C:$C,"RC",Descriptions!$E:$E,"IM",Descriptions!$G:$G,"6",Descriptions!$L:$L,"&gt;0")/100)</f>
        <v/>
      </c>
      <c r="S27" s="73" t="str">
        <f>IF(SUMIFS(Descriptions!$L:$L,Descriptions!B:B,"ON",Descriptions!$C:$C,"RC",Descriptions!$E:$E,"IM",Descriptions!$G:$G,"7")=0,"",SUMIFS(Descriptions!$L:$L,Descriptions!B:B,"ON",Descriptions!$C:$C,"RC",Descriptions!$E:$E,"IM",Descriptions!$G:$G,"7")/COUNTIFS(Descriptions!B:B,"ON",Descriptions!$C:$C,"RC",Descriptions!$E:$E,"IM",Descriptions!$G:$G,"7",Descriptions!$L:$L,"&gt;0")/100)</f>
        <v/>
      </c>
      <c r="T27" s="73" t="str">
        <f>IF(SUMIFS(Descriptions!$L:$L,Descriptions!B:B,"ON",Descriptions!$C:$C,"RC",Descriptions!$E:$E,"IM",Descriptions!$G:$G,"8")=0,"",SUMIFS(Descriptions!$L:$L,Descriptions!B:B,"ON",Descriptions!$C:$C,"RC",Descriptions!$E:$E,"IM",Descriptions!$G:$G,"8")/COUNTIFS(Descriptions!B:B,"ON",Descriptions!$C:$C,"RC",Descriptions!$E:$E,"IM",Descriptions!$G:$G,"8",Descriptions!$L:$L,"&gt;0")/100)</f>
        <v/>
      </c>
      <c r="U27" s="73" t="str">
        <f>IF(SUMIFS(Descriptions!$L:$L,Descriptions!B:B,"ON",Descriptions!$C:$C,"RC",Descriptions!$E:$E,"IM",Descriptions!$G:$G,"9")=0,"",SUMIFS(Descriptions!$L:$L,Descriptions!B:B,"ON",Descriptions!$C:$C,"RC",Descriptions!$E:$E,"IM",Descriptions!$G:$G,"9")/COUNTIFS(Descriptions!B:B,"ON",Descriptions!$C:$C,"RC",Descriptions!$E:$E,"IM",Descriptions!$G:$G,"9",Descriptions!$L:$L,"&gt;0")/100)</f>
        <v/>
      </c>
      <c r="V27" s="73" t="str">
        <f>IF(SUMIFS(Descriptions!$L:$L,Descriptions!B:B,"ON",Descriptions!$C:$C,"RC",Descriptions!$E:$E,"IM",Descriptions!$G:$G,"10")=0,"",SUMIFS(Descriptions!$L:$L,Descriptions!B:B,"ON",Descriptions!$C:$C,"RC",Descriptions!$E:$E,"IM",Descriptions!$G:$G,"10")/COUNTIFS(Descriptions!B:B,"ON",Descriptions!$C:$C,"RC",Descriptions!$E:$E,"IM",Descriptions!$G:$G,"10",Descriptions!$L:$L,"&gt;0")/100)</f>
        <v/>
      </c>
      <c r="W27" s="73" t="str">
        <f>IF(SUMIFS(Descriptions!$L:$L,Descriptions!B:B,"ON",Descriptions!$C:$C,"RC",Descriptions!$E:$E,"IM",Descriptions!$G:$G,"11")=0,"",SUMIFS(Descriptions!$L:$L,Descriptions!B:B,"ON",Descriptions!$C:$C,"RC",Descriptions!$E:$E,"IM",Descriptions!$G:$G,"11")/COUNTIFS(Descriptions!B:B,"ON",Descriptions!$C:$C,"RC",Descriptions!$E:$E,"IM",Descriptions!$G:$G,"11",Descriptions!$L:$L,"&gt;0")/100)</f>
        <v/>
      </c>
      <c r="X27" s="74" t="str">
        <f>IF(SUMIFS(Descriptions!$L:$L,Descriptions!B:B,"ON",Descriptions!$C:$C,"RC",Descriptions!$E:$E,"IM",Descriptions!$G:$G,"12")=0,"",SUMIFS(Descriptions!$L:$L,Descriptions!B:B,"ON",Descriptions!$C:$C,"RC",Descriptions!$E:$E,"IM",Descriptions!$G:$G,"12")/COUNTIFS(Descriptions!B:B,"ON",Descriptions!$C:$C,"RC",Descriptions!$E:$E,"IM",Descriptions!$G:$G,"12",Descriptions!$L:$L,"&gt;0")/100)</f>
        <v/>
      </c>
    </row>
    <row r="28" spans="2:24" ht="24.75" customHeight="1" thickBot="1" x14ac:dyDescent="0.3">
      <c r="B28" s="110"/>
      <c r="C28" s="113"/>
      <c r="D28" s="113"/>
      <c r="E28" s="197"/>
      <c r="F28" s="217"/>
      <c r="G28" s="121">
        <f>IF(SUMIFS(Descriptions!$L:$L,Descriptions!B:B,"ON",Descriptions!$C:$C,"RC",Descriptions!$E:$E,"RP")=0,"",SUMIFS(Descriptions!$L:$L,Descriptions!B:B,"ON",Descriptions!$C:$C,"RC",Descriptions!$E:$E,"RP")/COUNTIFS(Descriptions!B:B,"ON",Descriptions!$C:$C,"RC",Descriptions!$E:$E,"RP",Descriptions!$L:$L,"&gt;0")/100)</f>
        <v>0.75</v>
      </c>
      <c r="H28" s="190"/>
      <c r="I28" s="144" t="s">
        <v>62</v>
      </c>
      <c r="J28" s="135" t="s">
        <v>815</v>
      </c>
      <c r="K28" s="136" t="s">
        <v>795</v>
      </c>
      <c r="L28" s="49" t="str">
        <f>IF(SUMIFS(Descriptions!$L:$L,Descriptions!B:B,"ON",Descriptions!$C:$C,"RC",Descriptions!$E:$E,"RP",Descriptions!$G:$G,"0")=0,"",SUMIFS(Descriptions!$L:$L,Descriptions!B:B,"ON",Descriptions!$C:$C,"RC",Descriptions!$E:$E,"RP",Descriptions!$G:$G,"0")/COUNTIFS(Descriptions!B:B,"ON",Descriptions!$C:$C,"RC",Descriptions!$E:$E,"RP",Descriptions!$G:$G,"0",Descriptions!$L:$L,"&gt;0")/100)</f>
        <v/>
      </c>
      <c r="M28" s="50">
        <f>IF(SUMIFS(Descriptions!$L:$L,Descriptions!B:B,"ON",Descriptions!$C:$C,"RC",Descriptions!$E:$E,"RP",Descriptions!$G:$G,"1")=0,"",SUMIFS(Descriptions!$L:$L,Descriptions!B:B,"ON",Descriptions!$C:$C,"RC",Descriptions!$E:$E,"RP",Descriptions!$G:$G,"1")/COUNTIFS(Descriptions!B:B,"ON",Descriptions!$C:$C,"RC",Descriptions!$E:$E,"RP",Descriptions!$G:$G,"1",Descriptions!$L:$L,"&gt;0")/100)</f>
        <v>0.75</v>
      </c>
      <c r="N28" s="75" t="str">
        <f>IF(SUMIFS(Descriptions!$L:$L,Descriptions!B:B,"ON",Descriptions!$C:$C,"RC",Descriptions!$E:$E,"RP",Descriptions!$G:$G,"2")=0,"",SUMIFS(Descriptions!$L:$L,Descriptions!B:B,"ON",Descriptions!$C:$C,"RC",Descriptions!$E:$E,"RP",Descriptions!$G:$G,"2")/COUNTIFS(Descriptions!B:B,"ON",Descriptions!$C:$C,"RC",Descriptions!$E:$E,"RP",Descriptions!$G:$G,"2",Descriptions!$L:$L,"&gt;0")/100)</f>
        <v/>
      </c>
      <c r="O28" s="75" t="str">
        <f>IF(SUMIFS(Descriptions!$L:$L,Descriptions!B:B,"ON",Descriptions!$C:$C,"RC",Descriptions!$E:$E,"RP",Descriptions!$G:$G,"3")=0,"",SUMIFS(Descriptions!$L:$L,Descriptions!B:B,"ON",Descriptions!$C:$C,"RC",Descriptions!$E:$E,"RP",Descriptions!$G:$G,"3")/COUNTIFS(Descriptions!B:B,"ON",Descriptions!$C:$C,"RC",Descriptions!$E:$E,"RP",Descriptions!$G:$G,"3",Descriptions!$L:$L,"&gt;0")/100)</f>
        <v/>
      </c>
      <c r="P28" s="75" t="str">
        <f>IF(SUMIFS(Descriptions!$L:$L,Descriptions!B:B,"ON",Descriptions!$C:$C,"RC",Descriptions!$E:$E,"RP",Descriptions!$G:$G,"4")=0,"",SUMIFS(Descriptions!$L:$L,Descriptions!B:B,"ON",Descriptions!$C:$C,"RC",Descriptions!$E:$E,"RP",Descriptions!$G:$G,"4")/COUNTIFS(Descriptions!B:B,"ON",Descriptions!$C:$C,"RC",Descriptions!$E:$E,"RP",Descriptions!$G:$G,"4",Descriptions!$L:$L,"&gt;0")/100)</f>
        <v/>
      </c>
      <c r="Q28" s="75" t="str">
        <f>IF(SUMIFS(Descriptions!$L:$L,Descriptions!B:B,"ON",Descriptions!$C:$C,"RC",Descriptions!$E:$E,"RP",Descriptions!$G:$G,"5")=0,"",SUMIFS(Descriptions!$L:$L,Descriptions!B:B,"ON",Descriptions!$C:$C,"RC",Descriptions!$E:$E,"RP",Descriptions!$G:$G,"5")/COUNTIFS(Descriptions!B:B,"ON",Descriptions!$C:$C,"RC",Descriptions!$E:$E,"RP",Descriptions!$G:$G,"5",Descriptions!$L:$L,"&gt;0")/100)</f>
        <v/>
      </c>
      <c r="R28" s="75" t="str">
        <f>IF(SUMIFS(Descriptions!$L:$L,Descriptions!B:B,"ON",Descriptions!$C:$C,"RC",Descriptions!$E:$E,"RP",Descriptions!$G:$G,"6")=0,"",SUMIFS(Descriptions!$L:$L,Descriptions!B:B,"ON",Descriptions!$C:$C,"RC",Descriptions!$E:$E,"RP",Descriptions!$G:$G,"6")/COUNTIFS(Descriptions!B:B,"ON",Descriptions!$C:$C,"RC",Descriptions!$E:$E,"RP",Descriptions!$G:$G,"6",Descriptions!$L:$L,"&gt;0")/100)</f>
        <v/>
      </c>
      <c r="S28" s="75" t="str">
        <f>IF(SUMIFS(Descriptions!$L:$L,Descriptions!B:B,"ON",Descriptions!$C:$C,"RC",Descriptions!$E:$E,"RP",Descriptions!$G:$G,"7")=0,"",SUMIFS(Descriptions!$L:$L,Descriptions!B:B,"ON",Descriptions!$C:$C,"RC",Descriptions!$E:$E,"RP",Descriptions!$G:$G,"7")/COUNTIFS(Descriptions!B:B,"ON",Descriptions!$C:$C,"RC",Descriptions!$E:$E,"RP",Descriptions!$G:$G,"7",Descriptions!$L:$L,"&gt;0")/100)</f>
        <v/>
      </c>
      <c r="T28" s="75" t="str">
        <f>IF(SUMIFS(Descriptions!$L:$L,Descriptions!B:B,"ON",Descriptions!$C:$C,"RC",Descriptions!$E:$E,"RP",Descriptions!$G:$G,"8")=0,"",SUMIFS(Descriptions!$L:$L,Descriptions!B:B,"ON",Descriptions!$C:$C,"RC",Descriptions!$E:$E,"RP",Descriptions!$G:$G,"8")/COUNTIFS(Descriptions!B:B,"ON",Descriptions!$C:$C,"RC",Descriptions!$E:$E,"RP",Descriptions!$G:$G,"8",Descriptions!$L:$L,"&gt;0")/100)</f>
        <v/>
      </c>
      <c r="U28" s="75" t="str">
        <f>IF(SUMIFS(Descriptions!$L:$L,Descriptions!B:B,"ON",Descriptions!$C:$C,"RC",Descriptions!$E:$E,"RP",Descriptions!$G:$G,"9")=0,"",SUMIFS(Descriptions!$L:$L,Descriptions!B:B,"ON",Descriptions!$C:$C,"RC",Descriptions!$E:$E,"RP",Descriptions!$G:$G,"9")/COUNTIFS(Descriptions!B:B,"ON",Descriptions!$C:$C,"RC",Descriptions!$E:$E,"RP",Descriptions!$G:$G,"9",Descriptions!$L:$L,"&gt;0")/100)</f>
        <v/>
      </c>
      <c r="V28" s="75" t="str">
        <f>IF(SUMIFS(Descriptions!$L:$L,Descriptions!B:B,"ON",Descriptions!$C:$C,"RC",Descriptions!$E:$E,"RP",Descriptions!$G:$G,"10")=0,"",SUMIFS(Descriptions!$L:$L,Descriptions!B:B,"ON",Descriptions!$C:$C,"RC",Descriptions!$E:$E,"RP",Descriptions!$G:$G,"10")/COUNTIFS(Descriptions!B:B,"ON",Descriptions!$C:$C,"RC",Descriptions!$E:$E,"RP",Descriptions!$G:$G,"10",Descriptions!$L:$L,"&gt;0")/100)</f>
        <v/>
      </c>
      <c r="W28" s="75" t="str">
        <f>IF(SUMIFS(Descriptions!$L:$L,Descriptions!B:B,"ON",Descriptions!$C:$C,"RC",Descriptions!$E:$E,"RP",Descriptions!$G:$G,"11")=0,"",SUMIFS(Descriptions!$L:$L,Descriptions!B:B,"ON",Descriptions!$C:$C,"RC",Descriptions!$E:$E,"RP",Descriptions!$G:$G,"11")/COUNTIFS(Descriptions!B:B,"ON",Descriptions!$C:$C,"RC",Descriptions!$E:$E,"RP",Descriptions!$G:$G,"11",Descriptions!$L:$L,"&gt;0")/100)</f>
        <v/>
      </c>
      <c r="X28" s="76" t="str">
        <f>IF(SUMIFS(Descriptions!$L:$L,Descriptions!B:B,"ON",Descriptions!$C:$C,"RC",Descriptions!$E:$E,"RP",Descriptions!$G:$G,"12")=0,"",SUMIFS(Descriptions!$L:$L,Descriptions!B:B,"ON",Descriptions!$C:$C,"RC",Descriptions!$E:$E,"RP",Descriptions!$G:$G,"12")/COUNTIFS(Descriptions!B:B,"ON",Descriptions!$C:$C,"RC",Descriptions!$E:$E,"RP",Descriptions!$G:$G,"12",Descriptions!$L:$L,"&gt;0")/100)</f>
        <v/>
      </c>
    </row>
    <row r="29" spans="2:24" ht="20.25" customHeight="1" thickBot="1" x14ac:dyDescent="0.3">
      <c r="B29" s="118"/>
      <c r="C29" s="117"/>
      <c r="D29" s="117"/>
      <c r="E29" s="117"/>
      <c r="F29" s="109"/>
      <c r="G29" s="2"/>
      <c r="H29" s="11"/>
    </row>
    <row r="30" spans="2:24" x14ac:dyDescent="0.25">
      <c r="C30" s="2"/>
      <c r="D30" s="2"/>
      <c r="E30" s="2"/>
      <c r="F30" s="2"/>
      <c r="G30" s="2"/>
      <c r="H30" s="11"/>
    </row>
  </sheetData>
  <sheetProtection algorithmName="SHA-512" hashValue="bqO4a0/LVjOwNsd3feQTqWRT2pXTeUqvMutXguPWBCF7QbGyeots+8gKFkIuRXxhhdL4Msg6feQB1OLdcNFwng==" saltValue="wl7Ph17eNSTMv+X/R6EbkA==" spinCount="100000" sheet="1" objects="1" scenarios="1" selectLockedCells="1" selectUnlockedCells="1"/>
  <mergeCells count="22">
    <mergeCell ref="L4:V4"/>
    <mergeCell ref="W4:X4"/>
    <mergeCell ref="F21:F25"/>
    <mergeCell ref="F26:F28"/>
    <mergeCell ref="E7:E9"/>
    <mergeCell ref="E13:E15"/>
    <mergeCell ref="E5:E6"/>
    <mergeCell ref="C6:C8"/>
    <mergeCell ref="B3:F4"/>
    <mergeCell ref="H6:H10"/>
    <mergeCell ref="H26:H28"/>
    <mergeCell ref="H21:H25"/>
    <mergeCell ref="H12:H17"/>
    <mergeCell ref="E18:E20"/>
    <mergeCell ref="E22:E24"/>
    <mergeCell ref="E26:E28"/>
    <mergeCell ref="H18:H20"/>
    <mergeCell ref="H4:J4"/>
    <mergeCell ref="G4:G5"/>
    <mergeCell ref="F6:F10"/>
    <mergeCell ref="F12:F17"/>
    <mergeCell ref="F18:F20"/>
  </mergeCells>
  <conditionalFormatting sqref="D9">
    <cfRule type="colorScale" priority="56">
      <colorScale>
        <cfvo type="min"/>
        <cfvo type="percentile" val="50"/>
        <cfvo type="max"/>
        <color rgb="FFF8696B"/>
        <color rgb="FFFFEB84"/>
        <color rgb="FF63BE7B"/>
      </colorScale>
    </cfRule>
  </conditionalFormatting>
  <conditionalFormatting sqref="D6">
    <cfRule type="top10" dxfId="2" priority="52" percent="1" rank="10"/>
  </conditionalFormatting>
  <conditionalFormatting sqref="E18:E20 E22:E24 E26:E28">
    <cfRule type="colorScale" priority="47">
      <colorScale>
        <cfvo type="min"/>
        <cfvo type="percentile" val="50"/>
        <cfvo type="max"/>
        <color rgb="FFF8696B"/>
        <color rgb="FFFFEB84"/>
        <color rgb="FF63BE7B"/>
      </colorScale>
    </cfRule>
  </conditionalFormatting>
  <conditionalFormatting sqref="E18:E20">
    <cfRule type="colorScale" priority="44">
      <colorScale>
        <cfvo type="min"/>
        <cfvo type="percentile" val="50"/>
        <cfvo type="max"/>
        <color rgb="FFF8696B"/>
        <color rgb="FFFFEB84"/>
        <color rgb="FF63BE7B"/>
      </colorScale>
    </cfRule>
  </conditionalFormatting>
  <conditionalFormatting sqref="H29:H30">
    <cfRule type="top10" dxfId="1" priority="42" percent="1" rank="10"/>
  </conditionalFormatting>
  <conditionalFormatting sqref="H29:H30">
    <cfRule type="colorScale" priority="41">
      <colorScale>
        <cfvo type="min"/>
        <cfvo type="percentile" val="50"/>
        <cfvo type="max"/>
        <color rgb="FFF8696B"/>
        <color rgb="FFFFEB84"/>
        <color rgb="FF63BE7B"/>
      </colorScale>
    </cfRule>
  </conditionalFormatting>
  <conditionalFormatting sqref="C6 E7 E13 E18:E20 E22:E24 E26:E28">
    <cfRule type="colorScale" priority="40">
      <colorScale>
        <cfvo type="min"/>
        <cfvo type="percentile" val="50"/>
        <cfvo type="max"/>
        <color rgb="FFF8696B"/>
        <color rgb="FFFFEB84"/>
        <color rgb="FF63BE7B"/>
      </colorScale>
    </cfRule>
  </conditionalFormatting>
  <conditionalFormatting sqref="G6:G28">
    <cfRule type="colorScale" priority="38">
      <colorScale>
        <cfvo type="min"/>
        <cfvo type="percentile" val="50"/>
        <cfvo type="max"/>
        <color rgb="FFF8696B"/>
        <color rgb="FFFFEB84"/>
        <color rgb="FF63BE7B"/>
      </colorScale>
    </cfRule>
  </conditionalFormatting>
  <conditionalFormatting sqref="M20:U20 M18:U18 M16:V16 M19:T19 M21:T22 L28:U28 M26:X26 M25:U25 M27:V27 M23:V24 X16:X28 M8:X10 L6:X7 M17:T17 M12:X15">
    <cfRule type="colorScale" priority="37">
      <colorScale>
        <cfvo type="min"/>
        <cfvo type="percentile" val="50"/>
        <cfvo type="max"/>
        <color rgb="FFF8696B"/>
        <color rgb="FFFFEB84"/>
        <color rgb="FF63BE7B"/>
      </colorScale>
    </cfRule>
  </conditionalFormatting>
  <conditionalFormatting sqref="V18:X18">
    <cfRule type="colorScale" priority="29">
      <colorScale>
        <cfvo type="min"/>
        <cfvo type="percentile" val="50"/>
        <cfvo type="max"/>
        <color rgb="FFF8696B"/>
        <color rgb="FFFFEB84"/>
        <color rgb="FF63BE7B"/>
      </colorScale>
    </cfRule>
  </conditionalFormatting>
  <conditionalFormatting sqref="U17:X17">
    <cfRule type="colorScale" priority="28">
      <colorScale>
        <cfvo type="min"/>
        <cfvo type="percentile" val="50"/>
        <cfvo type="max"/>
        <color rgb="FFF8696B"/>
        <color rgb="FFFFEB84"/>
        <color rgb="FF63BE7B"/>
      </colorScale>
    </cfRule>
  </conditionalFormatting>
  <conditionalFormatting sqref="W16:X16">
    <cfRule type="colorScale" priority="27">
      <colorScale>
        <cfvo type="min"/>
        <cfvo type="percentile" val="50"/>
        <cfvo type="max"/>
        <color rgb="FFF8696B"/>
        <color rgb="FFFFEB84"/>
        <color rgb="FF63BE7B"/>
      </colorScale>
    </cfRule>
  </conditionalFormatting>
  <conditionalFormatting sqref="U19:X19">
    <cfRule type="colorScale" priority="26">
      <colorScale>
        <cfvo type="min"/>
        <cfvo type="percentile" val="50"/>
        <cfvo type="max"/>
        <color rgb="FFF8696B"/>
        <color rgb="FFFFEB84"/>
        <color rgb="FF63BE7B"/>
      </colorScale>
    </cfRule>
  </conditionalFormatting>
  <conditionalFormatting sqref="V20:X20">
    <cfRule type="colorScale" priority="25">
      <colorScale>
        <cfvo type="min"/>
        <cfvo type="percentile" val="50"/>
        <cfvo type="max"/>
        <color rgb="FFF8696B"/>
        <color rgb="FFFFEB84"/>
        <color rgb="FF63BE7B"/>
      </colorScale>
    </cfRule>
  </conditionalFormatting>
  <conditionalFormatting sqref="U21:X21">
    <cfRule type="colorScale" priority="24">
      <colorScale>
        <cfvo type="min"/>
        <cfvo type="percentile" val="50"/>
        <cfvo type="max"/>
        <color rgb="FFF8696B"/>
        <color rgb="FFFFEB84"/>
        <color rgb="FF63BE7B"/>
      </colorScale>
    </cfRule>
  </conditionalFormatting>
  <conditionalFormatting sqref="U22:X22">
    <cfRule type="colorScale" priority="23">
      <colorScale>
        <cfvo type="min"/>
        <cfvo type="percentile" val="50"/>
        <cfvo type="max"/>
        <color rgb="FFF8696B"/>
        <color rgb="FFFFEB84"/>
        <color rgb="FF63BE7B"/>
      </colorScale>
    </cfRule>
  </conditionalFormatting>
  <conditionalFormatting sqref="V28:X28">
    <cfRule type="colorScale" priority="22">
      <colorScale>
        <cfvo type="min"/>
        <cfvo type="percentile" val="50"/>
        <cfvo type="max"/>
        <color rgb="FFF8696B"/>
        <color rgb="FFFFEB84"/>
        <color rgb="FF63BE7B"/>
      </colorScale>
    </cfRule>
  </conditionalFormatting>
  <conditionalFormatting sqref="V25:X25">
    <cfRule type="colorScale" priority="21">
      <colorScale>
        <cfvo type="min"/>
        <cfvo type="percentile" val="50"/>
        <cfvo type="max"/>
        <color rgb="FFF8696B"/>
        <color rgb="FFFFEB84"/>
        <color rgb="FF63BE7B"/>
      </colorScale>
    </cfRule>
  </conditionalFormatting>
  <conditionalFormatting sqref="W27:X27">
    <cfRule type="colorScale" priority="20">
      <colorScale>
        <cfvo type="min"/>
        <cfvo type="percentile" val="50"/>
        <cfvo type="max"/>
        <color rgb="FFF8696B"/>
        <color rgb="FFFFEB84"/>
        <color rgb="FF63BE7B"/>
      </colorScale>
    </cfRule>
  </conditionalFormatting>
  <conditionalFormatting sqref="W24:X24">
    <cfRule type="colorScale" priority="19">
      <colorScale>
        <cfvo type="min"/>
        <cfvo type="percentile" val="50"/>
        <cfvo type="max"/>
        <color rgb="FFF8696B"/>
        <color rgb="FFFFEB84"/>
        <color rgb="FF63BE7B"/>
      </colorScale>
    </cfRule>
  </conditionalFormatting>
  <conditionalFormatting sqref="W23:X23">
    <cfRule type="colorScale" priority="18">
      <colorScale>
        <cfvo type="min"/>
        <cfvo type="percentile" val="50"/>
        <cfvo type="max"/>
        <color rgb="FFF8696B"/>
        <color rgb="FFFFEB84"/>
        <color rgb="FF63BE7B"/>
      </colorScale>
    </cfRule>
  </conditionalFormatting>
  <conditionalFormatting sqref="C6">
    <cfRule type="colorScale" priority="8">
      <colorScale>
        <cfvo type="min"/>
        <cfvo type="percentile" val="50"/>
        <cfvo type="max"/>
        <color rgb="FFF8696B"/>
        <color rgb="FFFFEB84"/>
        <color rgb="FF63BE7B"/>
      </colorScale>
    </cfRule>
  </conditionalFormatting>
  <conditionalFormatting sqref="L8:L10 L12:L27">
    <cfRule type="colorScale" priority="5">
      <colorScale>
        <cfvo type="min"/>
        <cfvo type="percentile" val="50"/>
        <cfvo type="max"/>
        <color rgb="FFF8696B"/>
        <color rgb="FFFFEB84"/>
        <color rgb="FF63BE7B"/>
      </colorScale>
    </cfRule>
  </conditionalFormatting>
  <conditionalFormatting sqref="L6:X10 L12:X28">
    <cfRule type="colorScale" priority="4">
      <colorScale>
        <cfvo type="min"/>
        <cfvo type="percentile" val="50"/>
        <cfvo type="max"/>
        <color rgb="FFF8696B"/>
        <color rgb="FFFFEB84"/>
        <color rgb="FF63BE7B"/>
      </colorScale>
    </cfRule>
  </conditionalFormatting>
  <conditionalFormatting sqref="M11:X11">
    <cfRule type="colorScale" priority="3">
      <colorScale>
        <cfvo type="min"/>
        <cfvo type="percentile" val="50"/>
        <cfvo type="max"/>
        <color rgb="FFF8696B"/>
        <color rgb="FFFFEB84"/>
        <color rgb="FF63BE7B"/>
      </colorScale>
    </cfRule>
  </conditionalFormatting>
  <conditionalFormatting sqref="L11">
    <cfRule type="colorScale" priority="2">
      <colorScale>
        <cfvo type="min"/>
        <cfvo type="percentile" val="50"/>
        <cfvo type="max"/>
        <color rgb="FFF8696B"/>
        <color rgb="FFFFEB84"/>
        <color rgb="FF63BE7B"/>
      </colorScale>
    </cfRule>
  </conditionalFormatting>
  <conditionalFormatting sqref="L11:X11">
    <cfRule type="colorScale" priority="1">
      <colorScale>
        <cfvo type="min"/>
        <cfvo type="percentile" val="50"/>
        <cfvo type="max"/>
        <color rgb="FFF8696B"/>
        <color rgb="FFFFEB84"/>
        <color rgb="FF63BE7B"/>
      </colorScale>
    </cfRule>
  </conditionalFormatting>
  <pageMargins left="0.7" right="0.7" top="0.75" bottom="0.75" header="0.3" footer="0.3"/>
  <pageSetup scale="69"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sheetPr>
  <dimension ref="A1:AG2205"/>
  <sheetViews>
    <sheetView tabSelected="1" zoomScale="150" zoomScaleNormal="150" workbookViewId="0">
      <pane ySplit="1" topLeftCell="A380" activePane="bottomLeft" state="frozen"/>
      <selection activeCell="H6" sqref="H6"/>
      <selection pane="bottomLeft" activeCell="L399" sqref="L399"/>
    </sheetView>
  </sheetViews>
  <sheetFormatPr defaultRowHeight="15.75" x14ac:dyDescent="0.25"/>
  <cols>
    <col min="1" max="1" width="8.5" style="33" customWidth="1"/>
    <col min="2" max="2" width="4.25" style="33" customWidth="1"/>
    <col min="3" max="3" width="3.5" style="39" customWidth="1"/>
    <col min="4" max="4" width="2.25" style="33" customWidth="1"/>
    <col min="5" max="5" width="3.75" style="33" customWidth="1"/>
    <col min="6" max="6" width="2.875" style="33" bestFit="1" customWidth="1"/>
    <col min="7" max="7" width="3.5" style="170" customWidth="1"/>
    <col min="8" max="8" width="3.25" style="38" customWidth="1"/>
    <col min="9" max="9" width="22" style="3" customWidth="1"/>
    <col min="10" max="10" width="12.125" style="157" customWidth="1"/>
    <col min="11" max="11" width="76.25" style="34" customWidth="1"/>
    <col min="12" max="12" width="7.875" style="67" bestFit="1" customWidth="1"/>
    <col min="13" max="13" width="5.625" style="3" customWidth="1"/>
    <col min="14" max="14" width="3.375" style="3" bestFit="1" customWidth="1"/>
    <col min="15" max="15" width="4" style="3" customWidth="1"/>
    <col min="16" max="16" width="2.5" style="3" customWidth="1"/>
    <col min="17" max="17" width="2.875" style="82" customWidth="1"/>
    <col min="18" max="32" width="2.875" style="3" customWidth="1"/>
    <col min="33" max="33" width="9" style="82"/>
    <col min="34" max="16384" width="9" style="3"/>
  </cols>
  <sheetData>
    <row r="1" spans="1:33" ht="69.75" x14ac:dyDescent="0.25">
      <c r="A1" s="33" t="s">
        <v>3161</v>
      </c>
      <c r="B1" s="146" t="s">
        <v>813</v>
      </c>
      <c r="C1" s="36" t="s">
        <v>264</v>
      </c>
      <c r="D1" s="36"/>
      <c r="E1" s="36" t="s">
        <v>263</v>
      </c>
      <c r="F1" s="36"/>
      <c r="G1" s="169" t="s">
        <v>265</v>
      </c>
      <c r="H1" s="36" t="s">
        <v>598</v>
      </c>
      <c r="I1" s="3" t="s">
        <v>1230</v>
      </c>
      <c r="J1" s="156" t="s">
        <v>1231</v>
      </c>
      <c r="K1" s="34" t="s">
        <v>105</v>
      </c>
      <c r="L1" s="43" t="s">
        <v>249</v>
      </c>
      <c r="M1" s="42" t="s">
        <v>248</v>
      </c>
      <c r="N1" s="42" t="s">
        <v>250</v>
      </c>
      <c r="O1" s="43" t="s">
        <v>251</v>
      </c>
      <c r="P1" s="43" t="s">
        <v>816</v>
      </c>
      <c r="Q1" s="102">
        <v>1</v>
      </c>
      <c r="R1" s="103">
        <v>2</v>
      </c>
      <c r="S1" s="103">
        <v>3</v>
      </c>
      <c r="T1" s="103">
        <v>4</v>
      </c>
      <c r="U1" s="103">
        <v>5</v>
      </c>
      <c r="V1" s="103">
        <v>6</v>
      </c>
      <c r="W1" s="103">
        <v>7</v>
      </c>
      <c r="X1" s="103">
        <v>8</v>
      </c>
      <c r="Y1" s="103">
        <v>9</v>
      </c>
      <c r="Z1" s="103">
        <v>10</v>
      </c>
      <c r="AA1" s="103">
        <v>11</v>
      </c>
      <c r="AB1" s="103">
        <v>12</v>
      </c>
      <c r="AC1" s="103">
        <v>13</v>
      </c>
      <c r="AD1" s="103">
        <v>14</v>
      </c>
      <c r="AE1" s="106" t="s">
        <v>817</v>
      </c>
      <c r="AF1" s="106" t="s">
        <v>766</v>
      </c>
      <c r="AG1" s="151"/>
    </row>
    <row r="2" spans="1:33" s="2" customFormat="1" ht="15.75" customHeight="1" x14ac:dyDescent="0.25">
      <c r="A2" s="33" t="str">
        <f>CONCATENATE(D2,".",F2,"-",G2,".",H2,"")</f>
        <v>1.1-0.0</v>
      </c>
      <c r="B2" s="33" t="s">
        <v>1229</v>
      </c>
      <c r="C2" s="40" t="s">
        <v>335</v>
      </c>
      <c r="D2" s="33">
        <f>IF(C2="ID",1,(IF(C2="PR",2,(IF(C2="DE",3,(IF(C2="RS",4,(IF(C2="RC",5,0)))))))))</f>
        <v>1</v>
      </c>
      <c r="E2" s="33" t="s">
        <v>339</v>
      </c>
      <c r="F2" s="33">
        <f>IF(E2="AM",1,(IF(E2="BE",2,(IF(E2="GV",3,(IF(E2="RA",4,(IF(E2="RM",5,(IF(E2="AC",1,(IF(E2="AT",2,(IF(E2="DS",3,(IF(E2="IP",4,(IF(E2="MA",5,(IF(E2="PT",6,(IF(E2="AE",1,(IF(E2="CM",2,(IF(E2="DP",3,(IF(E2="AN",1,(IF(E2="CO",2,(IF(E2="IM",3,(IF(E2="MI",4,(IF(E2="RP",5,(IF(E2="SC",6,0)))))))))))))))))))))))))))))))))))))))</f>
        <v>1</v>
      </c>
      <c r="G2" s="170">
        <v>0</v>
      </c>
      <c r="H2" s="38" t="s">
        <v>597</v>
      </c>
      <c r="I2" s="27" t="s">
        <v>1200</v>
      </c>
      <c r="J2" s="161" t="s">
        <v>642</v>
      </c>
      <c r="K2" s="97" t="s">
        <v>724</v>
      </c>
      <c r="L2" s="66" t="str">
        <f>IF(O2="","",N2*O2*M2)</f>
        <v/>
      </c>
      <c r="M2" s="8">
        <v>1</v>
      </c>
      <c r="N2" s="1">
        <v>1</v>
      </c>
      <c r="O2" s="15" t="str">
        <f>IF(SUM(Q2:AF2)&lt;1,"",SUM(Q2:AF2)/COUNTIF(Q2:AF2,"&gt;0"))</f>
        <v/>
      </c>
      <c r="P2" s="16"/>
      <c r="Q2" s="13"/>
      <c r="R2" s="4"/>
      <c r="S2" s="4"/>
      <c r="Y2" s="4"/>
      <c r="AB2" s="4"/>
      <c r="AC2" s="4"/>
      <c r="AD2" s="4"/>
      <c r="AE2" s="4"/>
      <c r="AF2" s="14"/>
    </row>
    <row r="3" spans="1:33" s="2" customFormat="1" ht="15.75" customHeight="1" x14ac:dyDescent="0.25">
      <c r="A3" s="33" t="str">
        <f>CONCATENATE(D3,".",F3,"-",G3,".",H3,"")</f>
        <v>1.1-0.1</v>
      </c>
      <c r="B3" s="33" t="s">
        <v>1229</v>
      </c>
      <c r="C3" s="40" t="s">
        <v>335</v>
      </c>
      <c r="D3" s="33">
        <f>IF(C3="ID",1,(IF(C3="PR",2,(IF(C3="DE",3,(IF(C3="RS",4,(IF(C3="RC",5,0)))))))))</f>
        <v>1</v>
      </c>
      <c r="E3" s="33" t="s">
        <v>339</v>
      </c>
      <c r="F3" s="33">
        <f>IF(E3="AM",1,(IF(E3="BE",2,(IF(E3="GV",3,(IF(E3="RA",4,(IF(E3="RM",5,(IF(E3="AC",1,(IF(E3="AT",2,(IF(E3="DS",3,(IF(E3="IP",4,(IF(E3="MA",5,(IF(E3="PT",6,(IF(E3="AE",1,(IF(E3="CM",2,(IF(E3="DP",3,(IF(E3="AN",1,(IF(E3="CO",2,(IF(E3="IM",3,(IF(E3="MI",4,(IF(E3="RP",5,(IF(E3="SC",6,0)))))))))))))))))))))))))))))))))))))))</f>
        <v>1</v>
      </c>
      <c r="G3" s="170">
        <v>0</v>
      </c>
      <c r="H3" s="38" t="s">
        <v>511</v>
      </c>
      <c r="I3" s="27" t="s">
        <v>1200</v>
      </c>
      <c r="J3" s="161" t="s">
        <v>642</v>
      </c>
      <c r="K3" s="97" t="s">
        <v>725</v>
      </c>
      <c r="L3" s="66" t="str">
        <f>IF(O3="","",N3*O3*M3)</f>
        <v/>
      </c>
      <c r="M3" s="8">
        <v>1</v>
      </c>
      <c r="N3" s="1">
        <v>1</v>
      </c>
      <c r="O3" s="15" t="str">
        <f>IF(SUM(Q3:AF3)&lt;1,"",SUM(Q3:AF3)/COUNTIF(Q3:AF3,"&gt;0"))</f>
        <v/>
      </c>
      <c r="P3" s="16"/>
      <c r="Q3" s="13"/>
      <c r="R3" s="4"/>
      <c r="S3" s="4"/>
      <c r="Y3" s="4"/>
      <c r="AB3" s="4"/>
      <c r="AC3" s="4"/>
      <c r="AD3" s="4"/>
      <c r="AE3" s="4"/>
      <c r="AF3" s="14"/>
    </row>
    <row r="4" spans="1:33" s="2" customFormat="1" ht="15.75" customHeight="1" x14ac:dyDescent="0.25">
      <c r="A4" s="33" t="str">
        <f>CONCATENATE(D4,".",F4,"-",G4,".",H4,"")</f>
        <v>1.1-1.0</v>
      </c>
      <c r="B4" s="33" t="s">
        <v>814</v>
      </c>
      <c r="C4" s="40" t="s">
        <v>335</v>
      </c>
      <c r="D4" s="33">
        <f>IF(C4="ID",1,(IF(C4="PR",2,(IF(C4="DE",3,(IF(C4="RS",4,(IF(C4="RC",5,0)))))))))</f>
        <v>1</v>
      </c>
      <c r="E4" s="33" t="s">
        <v>339</v>
      </c>
      <c r="F4" s="33">
        <f>IF(E4="AM",1,(IF(E4="BE",2,(IF(E4="GV",3,(IF(E4="RA",4,(IF(E4="RM",5,(IF(E4="AC",1,(IF(E4="AT",2,(IF(E4="DS",3,(IF(E4="IP",4,(IF(E4="MA",5,(IF(E4="PT",6,(IF(E4="AE",1,(IF(E4="CM",2,(IF(E4="DP",3,(IF(E4="AN",1,(IF(E4="CO",2,(IF(E4="IM",3,(IF(E4="MI",4,(IF(E4="RP",5,(IF(E4="SC",6,0)))))))))))))))))))))))))))))))))))))))</f>
        <v>1</v>
      </c>
      <c r="G4" s="170">
        <v>1</v>
      </c>
      <c r="H4" s="38" t="s">
        <v>597</v>
      </c>
      <c r="I4" s="27" t="s">
        <v>1200</v>
      </c>
      <c r="J4" s="149" t="s">
        <v>604</v>
      </c>
      <c r="K4" s="97" t="s">
        <v>353</v>
      </c>
      <c r="L4" s="66">
        <f>IF(O4="","",N4*O4*M4)</f>
        <v>75</v>
      </c>
      <c r="M4" s="8">
        <v>1</v>
      </c>
      <c r="N4" s="1">
        <v>1</v>
      </c>
      <c r="O4" s="15">
        <f>IF(SUM(Q4:AF4)&lt;1,"",SUM(Q4:AF4)/COUNTIF(Q4:AF4,"&gt;0"))</f>
        <v>75</v>
      </c>
      <c r="P4" s="16"/>
      <c r="Q4" s="13"/>
      <c r="R4" s="4"/>
      <c r="S4" s="4"/>
      <c r="T4" s="4">
        <v>75</v>
      </c>
      <c r="Y4" s="4"/>
      <c r="AB4" s="4"/>
      <c r="AC4" s="4"/>
      <c r="AD4" s="4"/>
      <c r="AE4" s="4"/>
      <c r="AF4" s="14"/>
    </row>
    <row r="5" spans="1:33" s="2" customFormat="1" ht="15.75" customHeight="1" x14ac:dyDescent="0.25">
      <c r="A5" s="33" t="str">
        <f>CONCATENATE(D5,".",F5,"-",G5,".",H5,"")</f>
        <v>1.1-1.1</v>
      </c>
      <c r="B5" s="33" t="s">
        <v>814</v>
      </c>
      <c r="C5" s="39" t="s">
        <v>335</v>
      </c>
      <c r="D5" s="33">
        <f>IF(C5="ID",1,(IF(C5="PR",2,(IF(C5="DE",3,(IF(C5="RS",4,(IF(C5="RC",5,0)))))))))</f>
        <v>1</v>
      </c>
      <c r="E5" s="33" t="s">
        <v>339</v>
      </c>
      <c r="F5" s="33">
        <f>IF(E5="AM",1,(IF(E5="BE",2,(IF(E5="GV",3,(IF(E5="RA",4,(IF(E5="RM",5,(IF(E5="AC",1,(IF(E5="AT",2,(IF(E5="DS",3,(IF(E5="IP",4,(IF(E5="MA",5,(IF(E5="PT",6,(IF(E5="AE",1,(IF(E5="CM",2,(IF(E5="DP",3,(IF(E5="AN",1,(IF(E5="CO",2,(IF(E5="IM",3,(IF(E5="MI",4,(IF(E5="RP",5,(IF(E5="SC",6,0)))))))))))))))))))))))))))))))))))))))</f>
        <v>1</v>
      </c>
      <c r="G5" s="170">
        <v>1</v>
      </c>
      <c r="H5" s="38" t="s">
        <v>511</v>
      </c>
      <c r="I5" s="35" t="s">
        <v>1176</v>
      </c>
      <c r="J5" s="162">
        <v>1</v>
      </c>
      <c r="K5" s="80" t="s">
        <v>1039</v>
      </c>
      <c r="L5" s="66">
        <f>IF(O5="","",N5*O5*M5)</f>
        <v>75</v>
      </c>
      <c r="M5" s="8">
        <v>1</v>
      </c>
      <c r="N5" s="3">
        <v>1</v>
      </c>
      <c r="O5" s="15">
        <f>IF(SUM(Q5:AF5)&lt;1,"",SUM(Q5:AF5)/COUNTIF(Q5:AF5,"&gt;0"))</f>
        <v>75</v>
      </c>
      <c r="P5" s="16"/>
      <c r="Q5" s="13"/>
      <c r="R5" s="4"/>
      <c r="S5" s="4"/>
      <c r="T5" s="4">
        <v>75</v>
      </c>
      <c r="Y5" s="4"/>
      <c r="AB5" s="4"/>
      <c r="AC5" s="4"/>
      <c r="AD5" s="4"/>
      <c r="AE5" s="4"/>
      <c r="AF5" s="14"/>
    </row>
    <row r="6" spans="1:33" s="2" customFormat="1" ht="15.75" customHeight="1" x14ac:dyDescent="0.25">
      <c r="A6" s="33" t="str">
        <f>CONCATENATE(D6,".",F6,"-",G6,".",H6,"")</f>
        <v>1.1-1.1</v>
      </c>
      <c r="B6" s="33" t="s">
        <v>814</v>
      </c>
      <c r="C6" s="39" t="s">
        <v>335</v>
      </c>
      <c r="D6" s="33">
        <f>IF(C6="ID",1,(IF(C6="PR",2,(IF(C6="DE",3,(IF(C6="RS",4,(IF(C6="RC",5,0)))))))))</f>
        <v>1</v>
      </c>
      <c r="E6" s="33" t="s">
        <v>339</v>
      </c>
      <c r="F6" s="33">
        <f>IF(E6="AM",1,(IF(E6="BE",2,(IF(E6="GV",3,(IF(E6="RA",4,(IF(E6="RM",5,(IF(E6="AC",1,(IF(E6="AT",2,(IF(E6="DS",3,(IF(E6="IP",4,(IF(E6="MA",5,(IF(E6="PT",6,(IF(E6="AE",1,(IF(E6="CM",2,(IF(E6="DP",3,(IF(E6="AN",1,(IF(E6="CO",2,(IF(E6="IM",3,(IF(E6="MI",4,(IF(E6="RP",5,(IF(E6="SC",6,0)))))))))))))))))))))))))))))))))))))))</f>
        <v>1</v>
      </c>
      <c r="G6" s="170">
        <v>1</v>
      </c>
      <c r="H6" s="38" t="s">
        <v>511</v>
      </c>
      <c r="I6" s="35" t="s">
        <v>1176</v>
      </c>
      <c r="J6" s="162">
        <v>1.1000000000000001</v>
      </c>
      <c r="K6" s="80" t="s">
        <v>1040</v>
      </c>
      <c r="L6" s="66">
        <f>IF(O6="","",N6*O6*M6)</f>
        <v>75</v>
      </c>
      <c r="M6" s="8">
        <v>1</v>
      </c>
      <c r="N6" s="3">
        <v>1</v>
      </c>
      <c r="O6" s="15">
        <f>IF(SUM(Q6:AF6)&lt;1,"",SUM(Q6:AF6)/COUNTIF(Q6:AF6,"&gt;0"))</f>
        <v>75</v>
      </c>
      <c r="P6" s="16"/>
      <c r="Q6" s="13"/>
      <c r="R6" s="4"/>
      <c r="S6" s="4"/>
      <c r="T6" s="4">
        <v>75</v>
      </c>
      <c r="Y6" s="4"/>
      <c r="AB6" s="4"/>
      <c r="AC6" s="4"/>
      <c r="AD6" s="4"/>
      <c r="AE6" s="4"/>
      <c r="AF6" s="14"/>
    </row>
    <row r="7" spans="1:33" s="2" customFormat="1" ht="15.75" customHeight="1" x14ac:dyDescent="0.25">
      <c r="A7" s="33" t="str">
        <f>CONCATENATE(D7,".",F7,"-",G7,".",H7,"")</f>
        <v>1.1-1.1</v>
      </c>
      <c r="B7" s="33" t="s">
        <v>814</v>
      </c>
      <c r="C7" s="39" t="s">
        <v>335</v>
      </c>
      <c r="D7" s="33">
        <f>IF(C7="ID",1,(IF(C7="PR",2,(IF(C7="DE",3,(IF(C7="RS",4,(IF(C7="RC",5,0)))))))))</f>
        <v>1</v>
      </c>
      <c r="E7" s="33" t="s">
        <v>339</v>
      </c>
      <c r="F7" s="33">
        <f>IF(E7="AM",1,(IF(E7="BE",2,(IF(E7="GV",3,(IF(E7="RA",4,(IF(E7="RM",5,(IF(E7="AC",1,(IF(E7="AT",2,(IF(E7="DS",3,(IF(E7="IP",4,(IF(E7="MA",5,(IF(E7="PT",6,(IF(E7="AE",1,(IF(E7="CM",2,(IF(E7="DP",3,(IF(E7="AN",1,(IF(E7="CO",2,(IF(E7="IM",3,(IF(E7="MI",4,(IF(E7="RP",5,(IF(E7="SC",6,0)))))))))))))))))))))))))))))))))))))))</f>
        <v>1</v>
      </c>
      <c r="G7" s="170">
        <v>1</v>
      </c>
      <c r="H7" s="38" t="s">
        <v>511</v>
      </c>
      <c r="I7" s="35" t="s">
        <v>1176</v>
      </c>
      <c r="J7" s="162">
        <v>1.3</v>
      </c>
      <c r="K7" s="80" t="s">
        <v>1042</v>
      </c>
      <c r="L7" s="66">
        <f>IF(O7="","",N7*O7*M7)</f>
        <v>75</v>
      </c>
      <c r="M7" s="8">
        <v>1</v>
      </c>
      <c r="N7" s="3">
        <v>1</v>
      </c>
      <c r="O7" s="15">
        <f>IF(SUM(Q7:AF7)&lt;1,"",SUM(Q7:AF7)/COUNTIF(Q7:AF7,"&gt;0"))</f>
        <v>75</v>
      </c>
      <c r="P7" s="16"/>
      <c r="Q7" s="13"/>
      <c r="R7" s="4"/>
      <c r="S7" s="4"/>
      <c r="T7" s="4">
        <v>75</v>
      </c>
      <c r="Y7" s="4"/>
      <c r="AB7" s="4"/>
      <c r="AC7" s="4"/>
      <c r="AD7" s="4"/>
      <c r="AE7" s="4"/>
      <c r="AF7" s="14"/>
    </row>
    <row r="8" spans="1:33" s="2" customFormat="1" ht="15.75" customHeight="1" x14ac:dyDescent="0.25">
      <c r="A8" s="33" t="str">
        <f>CONCATENATE(D8,".",F8,"-",G8,".",H8,"")</f>
        <v>1.1-1.1</v>
      </c>
      <c r="B8" s="33" t="s">
        <v>814</v>
      </c>
      <c r="C8" s="39" t="s">
        <v>335</v>
      </c>
      <c r="D8" s="33">
        <f>IF(C8="ID",1,(IF(C8="PR",2,(IF(C8="DE",3,(IF(C8="RS",4,(IF(C8="RC",5,0)))))))))</f>
        <v>1</v>
      </c>
      <c r="E8" s="33" t="s">
        <v>339</v>
      </c>
      <c r="F8" s="33">
        <f>IF(E8="AM",1,(IF(E8="BE",2,(IF(E8="GV",3,(IF(E8="RA",4,(IF(E8="RM",5,(IF(E8="AC",1,(IF(E8="AT",2,(IF(E8="DS",3,(IF(E8="IP",4,(IF(E8="MA",5,(IF(E8="PT",6,(IF(E8="AE",1,(IF(E8="CM",2,(IF(E8="DP",3,(IF(E8="AN",1,(IF(E8="CO",2,(IF(E8="IM",3,(IF(E8="MI",4,(IF(E8="RP",5,(IF(E8="SC",6,0)))))))))))))))))))))))))))))))))))))))</f>
        <v>1</v>
      </c>
      <c r="G8" s="170">
        <v>1</v>
      </c>
      <c r="H8" s="38" t="s">
        <v>511</v>
      </c>
      <c r="I8" s="105" t="s">
        <v>1449</v>
      </c>
      <c r="J8" s="157" t="s">
        <v>1945</v>
      </c>
      <c r="K8" s="34" t="s">
        <v>1946</v>
      </c>
      <c r="L8" s="5">
        <f>IF(O8="","",N8*O8*M8)</f>
        <v>99</v>
      </c>
      <c r="M8" s="8">
        <v>1</v>
      </c>
      <c r="N8" s="1">
        <v>1</v>
      </c>
      <c r="O8" s="15">
        <f>IF(SUM(Q8:AF8)&lt;1,"",SUM(Q8:AF8)/COUNTIF(Q8:AF8,"&gt;0"))</f>
        <v>99</v>
      </c>
      <c r="P8" s="16"/>
      <c r="Q8" s="13"/>
      <c r="R8" s="4"/>
      <c r="S8" s="4"/>
      <c r="T8" s="4">
        <v>99</v>
      </c>
      <c r="Y8" s="4"/>
      <c r="AB8" s="4"/>
      <c r="AC8" s="4"/>
      <c r="AD8" s="4"/>
      <c r="AE8" s="4"/>
      <c r="AF8" s="14"/>
    </row>
    <row r="9" spans="1:33" s="2" customFormat="1" ht="15.75" customHeight="1" x14ac:dyDescent="0.25">
      <c r="A9" s="33" t="str">
        <f>CONCATENATE(D9,".",F9,"-",G9,".",H9,"")</f>
        <v>1.1-1.1</v>
      </c>
      <c r="B9" s="33" t="s">
        <v>814</v>
      </c>
      <c r="C9" s="39" t="s">
        <v>335</v>
      </c>
      <c r="D9" s="33">
        <f>IF(C9="ID",1,(IF(C9="PR",2,(IF(C9="DE",3,(IF(C9="RS",4,(IF(C9="RC",5,0)))))))))</f>
        <v>1</v>
      </c>
      <c r="E9" s="33" t="s">
        <v>339</v>
      </c>
      <c r="F9" s="33">
        <f>IF(E9="AM",1,(IF(E9="BE",2,(IF(E9="GV",3,(IF(E9="RA",4,(IF(E9="RM",5,(IF(E9="AC",1,(IF(E9="AT",2,(IF(E9="DS",3,(IF(E9="IP",4,(IF(E9="MA",5,(IF(E9="PT",6,(IF(E9="AE",1,(IF(E9="CM",2,(IF(E9="DP",3,(IF(E9="AN",1,(IF(E9="CO",2,(IF(E9="IM",3,(IF(E9="MI",4,(IF(E9="RP",5,(IF(E9="SC",6,0)))))))))))))))))))))))))))))))))))))))</f>
        <v>1</v>
      </c>
      <c r="G9" s="170">
        <v>1</v>
      </c>
      <c r="H9" s="38" t="s">
        <v>511</v>
      </c>
      <c r="I9" s="105" t="s">
        <v>1449</v>
      </c>
      <c r="J9" s="157" t="s">
        <v>1947</v>
      </c>
      <c r="K9" s="34" t="s">
        <v>1948</v>
      </c>
      <c r="L9" s="5">
        <f>IF(O9="","",N9*O9*M9)</f>
        <v>99</v>
      </c>
      <c r="M9" s="8">
        <v>1</v>
      </c>
      <c r="N9" s="1">
        <v>1</v>
      </c>
      <c r="O9" s="15">
        <f>IF(SUM(Q9:AF9)&lt;1,"",SUM(Q9:AF9)/COUNTIF(Q9:AF9,"&gt;0"))</f>
        <v>99</v>
      </c>
      <c r="P9" s="16"/>
      <c r="Q9" s="13"/>
      <c r="R9" s="4"/>
      <c r="S9" s="4"/>
      <c r="T9" s="4">
        <v>99</v>
      </c>
      <c r="Y9" s="4"/>
      <c r="AB9" s="4"/>
      <c r="AC9" s="4"/>
      <c r="AD9" s="4"/>
      <c r="AE9" s="4"/>
      <c r="AF9" s="14"/>
    </row>
    <row r="10" spans="1:33" s="2" customFormat="1" ht="15.75" customHeight="1" x14ac:dyDescent="0.25">
      <c r="A10" s="33" t="str">
        <f>CONCATENATE(D10,".",F10,"-",G10,".",H10,"")</f>
        <v>1.1-1.1</v>
      </c>
      <c r="B10" s="33" t="s">
        <v>814</v>
      </c>
      <c r="C10" s="39" t="s">
        <v>335</v>
      </c>
      <c r="D10" s="33">
        <f>IF(C10="ID",1,(IF(C10="PR",2,(IF(C10="DE",3,(IF(C10="RS",4,(IF(C10="RC",5,0)))))))))</f>
        <v>1</v>
      </c>
      <c r="E10" s="33" t="s">
        <v>339</v>
      </c>
      <c r="F10" s="33">
        <f>IF(E10="AM",1,(IF(E10="BE",2,(IF(E10="GV",3,(IF(E10="RA",4,(IF(E10="RM",5,(IF(E10="AC",1,(IF(E10="AT",2,(IF(E10="DS",3,(IF(E10="IP",4,(IF(E10="MA",5,(IF(E10="PT",6,(IF(E10="AE",1,(IF(E10="CM",2,(IF(E10="DP",3,(IF(E10="AN",1,(IF(E10="CO",2,(IF(E10="IM",3,(IF(E10="MI",4,(IF(E10="RP",5,(IF(E10="SC",6,0)))))))))))))))))))))))))))))))))))))))</f>
        <v>1</v>
      </c>
      <c r="G10" s="170">
        <v>1</v>
      </c>
      <c r="H10" s="38" t="s">
        <v>511</v>
      </c>
      <c r="I10" s="105" t="s">
        <v>1449</v>
      </c>
      <c r="J10" s="157" t="s">
        <v>1949</v>
      </c>
      <c r="K10" s="34" t="s">
        <v>1950</v>
      </c>
      <c r="L10" s="5">
        <f>IF(O10="","",N10*O10*M10)</f>
        <v>99</v>
      </c>
      <c r="M10" s="8">
        <v>1</v>
      </c>
      <c r="N10" s="1">
        <v>1</v>
      </c>
      <c r="O10" s="15">
        <f>IF(SUM(Q10:AF10)&lt;1,"",SUM(Q10:AF10)/COUNTIF(Q10:AF10,"&gt;0"))</f>
        <v>99</v>
      </c>
      <c r="P10" s="16"/>
      <c r="Q10" s="13"/>
      <c r="R10" s="4"/>
      <c r="S10" s="4"/>
      <c r="T10" s="4">
        <v>99</v>
      </c>
      <c r="Y10" s="4"/>
      <c r="AB10" s="4"/>
      <c r="AC10" s="4"/>
      <c r="AD10" s="4"/>
      <c r="AE10" s="4"/>
      <c r="AF10" s="14"/>
    </row>
    <row r="11" spans="1:33" s="2" customFormat="1" ht="15.75" customHeight="1" x14ac:dyDescent="0.25">
      <c r="A11" s="33" t="str">
        <f>CONCATENATE(D11,".",F11,"-",G11,".",H11,"")</f>
        <v>1.1-1.1</v>
      </c>
      <c r="B11" s="33" t="s">
        <v>814</v>
      </c>
      <c r="C11" s="39" t="s">
        <v>335</v>
      </c>
      <c r="D11" s="33">
        <f>IF(C11="ID",1,(IF(C11="PR",2,(IF(C11="DE",3,(IF(C11="RS",4,(IF(C11="RC",5,0)))))))))</f>
        <v>1</v>
      </c>
      <c r="E11" s="33" t="s">
        <v>339</v>
      </c>
      <c r="F11" s="33">
        <f>IF(E11="AM",1,(IF(E11="BE",2,(IF(E11="GV",3,(IF(E11="RA",4,(IF(E11="RM",5,(IF(E11="AC",1,(IF(E11="AT",2,(IF(E11="DS",3,(IF(E11="IP",4,(IF(E11="MA",5,(IF(E11="PT",6,(IF(E11="AE",1,(IF(E11="CM",2,(IF(E11="DP",3,(IF(E11="AN",1,(IF(E11="CO",2,(IF(E11="IM",3,(IF(E11="MI",4,(IF(E11="RP",5,(IF(E11="SC",6,0)))))))))))))))))))))))))))))))))))))))</f>
        <v>1</v>
      </c>
      <c r="G11" s="170">
        <v>1</v>
      </c>
      <c r="H11" s="38" t="s">
        <v>511</v>
      </c>
      <c r="I11" s="105" t="s">
        <v>1449</v>
      </c>
      <c r="J11" s="157" t="s">
        <v>1959</v>
      </c>
      <c r="K11" s="34" t="s">
        <v>1960</v>
      </c>
      <c r="L11" s="5">
        <f>IF(O11="","",N11*O11*M11)</f>
        <v>99</v>
      </c>
      <c r="M11" s="8">
        <v>1</v>
      </c>
      <c r="N11" s="1">
        <v>1</v>
      </c>
      <c r="O11" s="15">
        <f>IF(SUM(Q11:AF11)&lt;1,"",SUM(Q11:AF11)/COUNTIF(Q11:AF11,"&gt;0"))</f>
        <v>99</v>
      </c>
      <c r="P11" s="16"/>
      <c r="Q11" s="13"/>
      <c r="R11" s="4"/>
      <c r="S11" s="4"/>
      <c r="T11" s="4">
        <v>99</v>
      </c>
      <c r="Y11" s="4"/>
      <c r="AB11" s="4"/>
      <c r="AC11" s="4"/>
      <c r="AD11" s="4"/>
      <c r="AE11" s="4"/>
      <c r="AF11" s="14"/>
    </row>
    <row r="12" spans="1:33" s="2" customFormat="1" ht="15.75" customHeight="1" x14ac:dyDescent="0.25">
      <c r="A12" s="33" t="str">
        <f>CONCATENATE(D12,".",F12,"-",G12,".",H12,"")</f>
        <v>1.1-1.1</v>
      </c>
      <c r="B12" s="33" t="s">
        <v>814</v>
      </c>
      <c r="C12" s="39" t="s">
        <v>335</v>
      </c>
      <c r="D12" s="33">
        <f>IF(C12="ID",1,(IF(C12="PR",2,(IF(C12="DE",3,(IF(C12="RS",4,(IF(C12="RC",5,0)))))))))</f>
        <v>1</v>
      </c>
      <c r="E12" s="33" t="s">
        <v>339</v>
      </c>
      <c r="F12" s="33">
        <f>IF(E12="AM",1,(IF(E12="BE",2,(IF(E12="GV",3,(IF(E12="RA",4,(IF(E12="RM",5,(IF(E12="AC",1,(IF(E12="AT",2,(IF(E12="DS",3,(IF(E12="IP",4,(IF(E12="MA",5,(IF(E12="PT",6,(IF(E12="AE",1,(IF(E12="CM",2,(IF(E12="DP",3,(IF(E12="AN",1,(IF(E12="CO",2,(IF(E12="IM",3,(IF(E12="MI",4,(IF(E12="RP",5,(IF(E12="SC",6,0)))))))))))))))))))))))))))))))))))))))</f>
        <v>1</v>
      </c>
      <c r="G12" s="170">
        <v>1</v>
      </c>
      <c r="H12" s="38" t="s">
        <v>511</v>
      </c>
      <c r="I12" s="105" t="s">
        <v>1449</v>
      </c>
      <c r="J12" s="157" t="s">
        <v>1963</v>
      </c>
      <c r="K12" s="34" t="s">
        <v>1964</v>
      </c>
      <c r="L12" s="5">
        <f>IF(O12="","",N12*O12*M12)</f>
        <v>99</v>
      </c>
      <c r="M12" s="8">
        <v>1</v>
      </c>
      <c r="N12" s="1">
        <v>1</v>
      </c>
      <c r="O12" s="15">
        <f>IF(SUM(Q12:AF12)&lt;1,"",SUM(Q12:AF12)/COUNTIF(Q12:AF12,"&gt;0"))</f>
        <v>99</v>
      </c>
      <c r="P12" s="16"/>
      <c r="Q12" s="13"/>
      <c r="R12" s="4"/>
      <c r="S12" s="4"/>
      <c r="T12" s="4">
        <v>99</v>
      </c>
      <c r="Y12" s="4"/>
      <c r="AB12" s="4"/>
      <c r="AC12" s="4"/>
      <c r="AD12" s="4"/>
      <c r="AE12" s="4"/>
      <c r="AF12" s="14"/>
    </row>
    <row r="13" spans="1:33" s="2" customFormat="1" ht="15.75" customHeight="1" x14ac:dyDescent="0.25">
      <c r="A13" s="33" t="str">
        <f>CONCATENATE(D13,".",F13,"-",G13,".",H13,"")</f>
        <v>1.1-1.1</v>
      </c>
      <c r="B13" s="33" t="s">
        <v>814</v>
      </c>
      <c r="C13" s="39" t="s">
        <v>335</v>
      </c>
      <c r="D13" s="33">
        <f>IF(C13="ID",1,(IF(C13="PR",2,(IF(C13="DE",3,(IF(C13="RS",4,(IF(C13="RC",5,0)))))))))</f>
        <v>1</v>
      </c>
      <c r="E13" s="33" t="s">
        <v>339</v>
      </c>
      <c r="F13" s="33">
        <f>IF(E13="AM",1,(IF(E13="BE",2,(IF(E13="GV",3,(IF(E13="RA",4,(IF(E13="RM",5,(IF(E13="AC",1,(IF(E13="AT",2,(IF(E13="DS",3,(IF(E13="IP",4,(IF(E13="MA",5,(IF(E13="PT",6,(IF(E13="AE",1,(IF(E13="CM",2,(IF(E13="DP",3,(IF(E13="AN",1,(IF(E13="CO",2,(IF(E13="IM",3,(IF(E13="MI",4,(IF(E13="RP",5,(IF(E13="SC",6,0)))))))))))))))))))))))))))))))))))))))</f>
        <v>1</v>
      </c>
      <c r="G13" s="170">
        <v>1</v>
      </c>
      <c r="H13" s="38" t="s">
        <v>511</v>
      </c>
      <c r="I13" s="105" t="s">
        <v>1449</v>
      </c>
      <c r="J13" s="157" t="s">
        <v>2503</v>
      </c>
      <c r="K13" s="34" t="s">
        <v>2504</v>
      </c>
      <c r="L13" s="5">
        <f>IF(O13="","",N13*O13*M13)</f>
        <v>99</v>
      </c>
      <c r="M13" s="8">
        <v>1</v>
      </c>
      <c r="N13" s="1">
        <v>1</v>
      </c>
      <c r="O13" s="15">
        <f>IF(SUM(Q13:AF13)&lt;1,"",SUM(Q13:AF13)/COUNTIF(Q13:AF13,"&gt;0"))</f>
        <v>99</v>
      </c>
      <c r="P13" s="16"/>
      <c r="Q13" s="13"/>
      <c r="R13" s="4"/>
      <c r="S13" s="4"/>
      <c r="T13" s="4">
        <v>99</v>
      </c>
      <c r="Y13" s="4"/>
      <c r="AB13" s="4"/>
      <c r="AC13" s="4"/>
      <c r="AD13" s="4"/>
      <c r="AE13" s="4"/>
      <c r="AF13" s="14"/>
    </row>
    <row r="14" spans="1:33" s="2" customFormat="1" ht="15.75" customHeight="1" x14ac:dyDescent="0.25">
      <c r="A14" s="33" t="str">
        <f>CONCATENATE(D14,".",F14,"-",G14,".",H14,"")</f>
        <v>1.1-1.2</v>
      </c>
      <c r="B14" s="33" t="s">
        <v>814</v>
      </c>
      <c r="C14" s="39" t="s">
        <v>335</v>
      </c>
      <c r="D14" s="33">
        <f>IF(C14="ID",1,(IF(C14="PR",2,(IF(C14="DE",3,(IF(C14="RS",4,(IF(C14="RC",5,0)))))))))</f>
        <v>1</v>
      </c>
      <c r="E14" s="33" t="s">
        <v>339</v>
      </c>
      <c r="F14" s="33">
        <f>IF(E14="AM",1,(IF(E14="BE",2,(IF(E14="GV",3,(IF(E14="RA",4,(IF(E14="RM",5,(IF(E14="AC",1,(IF(E14="AT",2,(IF(E14="DS",3,(IF(E14="IP",4,(IF(E14="MA",5,(IF(E14="PT",6,(IF(E14="AE",1,(IF(E14="CM",2,(IF(E14="DP",3,(IF(E14="AN",1,(IF(E14="CO",2,(IF(E14="IM",3,(IF(E14="MI",4,(IF(E14="RP",5,(IF(E14="SC",6,0)))))))))))))))))))))))))))))))))))))))</f>
        <v>1</v>
      </c>
      <c r="G14" s="170">
        <v>1</v>
      </c>
      <c r="H14" s="38" t="s">
        <v>512</v>
      </c>
      <c r="I14" s="105" t="s">
        <v>821</v>
      </c>
      <c r="J14" s="150">
        <v>2.4</v>
      </c>
      <c r="K14" s="79" t="s">
        <v>1283</v>
      </c>
      <c r="L14" s="66">
        <f>IF(O14="","",N14*O14*M14)</f>
        <v>75</v>
      </c>
      <c r="M14" s="8">
        <v>1</v>
      </c>
      <c r="N14" s="3">
        <v>1</v>
      </c>
      <c r="O14" s="15">
        <f>IF(SUM(Q14:AF14)&lt;1,"",SUM(Q14:AF14)/COUNTIF(Q14:AF14,"&gt;0"))</f>
        <v>75</v>
      </c>
      <c r="P14" s="16"/>
      <c r="Q14" s="13"/>
      <c r="R14" s="4"/>
      <c r="S14" s="4"/>
      <c r="T14" s="4">
        <v>75</v>
      </c>
      <c r="Y14" s="4"/>
      <c r="AB14" s="4"/>
      <c r="AC14" s="4"/>
      <c r="AD14" s="4"/>
      <c r="AE14" s="4"/>
      <c r="AF14" s="14"/>
    </row>
    <row r="15" spans="1:33" s="2" customFormat="1" ht="15.75" customHeight="1" x14ac:dyDescent="0.25">
      <c r="A15" s="33" t="str">
        <f>CONCATENATE(D15,".",F15,"-",G15,".",H15,"")</f>
        <v>1.1-1.2</v>
      </c>
      <c r="B15" s="33" t="s">
        <v>814</v>
      </c>
      <c r="C15" s="39" t="s">
        <v>335</v>
      </c>
      <c r="D15" s="33">
        <f>IF(C15="ID",1,(IF(C15="PR",2,(IF(C15="DE",3,(IF(C15="RS",4,(IF(C15="RC",5,0)))))))))</f>
        <v>1</v>
      </c>
      <c r="E15" s="33" t="s">
        <v>339</v>
      </c>
      <c r="F15" s="33">
        <f>IF(E15="AM",1,(IF(E15="BE",2,(IF(E15="GV",3,(IF(E15="RA",4,(IF(E15="RM",5,(IF(E15="AC",1,(IF(E15="AT",2,(IF(E15="DS",3,(IF(E15="IP",4,(IF(E15="MA",5,(IF(E15="PT",6,(IF(E15="AE",1,(IF(E15="CM",2,(IF(E15="DP",3,(IF(E15="AN",1,(IF(E15="CO",2,(IF(E15="IM",3,(IF(E15="MI",4,(IF(E15="RP",5,(IF(E15="SC",6,0)))))))))))))))))))))))))))))))))))))))</f>
        <v>1</v>
      </c>
      <c r="G15" s="170">
        <v>1</v>
      </c>
      <c r="H15" s="38" t="s">
        <v>512</v>
      </c>
      <c r="I15" s="105" t="s">
        <v>821</v>
      </c>
      <c r="J15" s="150" t="s">
        <v>87</v>
      </c>
      <c r="K15" s="79" t="s">
        <v>1283</v>
      </c>
      <c r="L15" s="66">
        <f>IF(O15="","",N15*O15*M15)</f>
        <v>75</v>
      </c>
      <c r="M15" s="8">
        <v>1</v>
      </c>
      <c r="N15" s="3">
        <v>1</v>
      </c>
      <c r="O15" s="15">
        <f>IF(SUM(Q15:AF15)&lt;1,"",SUM(Q15:AF15)/COUNTIF(Q15:AF15,"&gt;0"))</f>
        <v>75</v>
      </c>
      <c r="P15" s="16"/>
      <c r="Q15" s="13"/>
      <c r="R15" s="4"/>
      <c r="S15" s="4"/>
      <c r="T15" s="4">
        <v>75</v>
      </c>
      <c r="Y15" s="4"/>
      <c r="AB15" s="4"/>
      <c r="AC15" s="4"/>
      <c r="AD15" s="4"/>
      <c r="AE15" s="4"/>
      <c r="AF15" s="14"/>
    </row>
    <row r="16" spans="1:33" s="2" customFormat="1" ht="15.75" customHeight="1" x14ac:dyDescent="0.25">
      <c r="A16" s="33" t="str">
        <f>CONCATENATE(D16,".",F16,"-",G16,".",H16,"")</f>
        <v>1.1-1.2</v>
      </c>
      <c r="B16" s="33" t="s">
        <v>814</v>
      </c>
      <c r="C16" s="39" t="s">
        <v>335</v>
      </c>
      <c r="D16" s="33">
        <f>IF(C16="ID",1,(IF(C16="PR",2,(IF(C16="DE",3,(IF(C16="RS",4,(IF(C16="RC",5,0)))))))))</f>
        <v>1</v>
      </c>
      <c r="E16" s="33" t="s">
        <v>339</v>
      </c>
      <c r="F16" s="33">
        <f>IF(E16="AM",1,(IF(E16="BE",2,(IF(E16="GV",3,(IF(E16="RA",4,(IF(E16="RM",5,(IF(E16="AC",1,(IF(E16="AT",2,(IF(E16="DS",3,(IF(E16="IP",4,(IF(E16="MA",5,(IF(E16="PT",6,(IF(E16="AE",1,(IF(E16="CM",2,(IF(E16="DP",3,(IF(E16="AN",1,(IF(E16="CO",2,(IF(E16="IM",3,(IF(E16="MI",4,(IF(E16="RP",5,(IF(E16="SC",6,0)))))))))))))))))))))))))))))))))))))))</f>
        <v>1</v>
      </c>
      <c r="G16" s="170">
        <v>1</v>
      </c>
      <c r="H16" s="38" t="s">
        <v>512</v>
      </c>
      <c r="I16" s="105" t="s">
        <v>821</v>
      </c>
      <c r="J16" s="150" t="s">
        <v>185</v>
      </c>
      <c r="K16" s="79" t="s">
        <v>1283</v>
      </c>
      <c r="L16" s="66">
        <f>IF(O16="","",N16*O16*M16)</f>
        <v>75</v>
      </c>
      <c r="M16" s="8">
        <v>1</v>
      </c>
      <c r="N16" s="3">
        <v>1</v>
      </c>
      <c r="O16" s="15">
        <f>IF(SUM(Q16:AF16)&lt;1,"",SUM(Q16:AF16)/COUNTIF(Q16:AF16,"&gt;0"))</f>
        <v>75</v>
      </c>
      <c r="P16" s="16"/>
      <c r="Q16" s="13"/>
      <c r="R16" s="4"/>
      <c r="S16" s="4"/>
      <c r="T16" s="4">
        <v>75</v>
      </c>
      <c r="Y16" s="4"/>
      <c r="AB16" s="4"/>
      <c r="AC16" s="4"/>
      <c r="AD16" s="4"/>
      <c r="AE16" s="4"/>
      <c r="AF16" s="14"/>
    </row>
    <row r="17" spans="1:33" s="2" customFormat="1" ht="15.75" customHeight="1" x14ac:dyDescent="0.25">
      <c r="A17" s="33" t="str">
        <f>CONCATENATE(D17,".",F17,"-",G17,".",H17,"")</f>
        <v>1.1-1.3</v>
      </c>
      <c r="B17" s="33" t="s">
        <v>814</v>
      </c>
      <c r="C17" s="39" t="s">
        <v>335</v>
      </c>
      <c r="D17" s="33">
        <f>IF(C17="ID",1,(IF(C17="PR",2,(IF(C17="DE",3,(IF(C17="RS",4,(IF(C17="RC",5,0)))))))))</f>
        <v>1</v>
      </c>
      <c r="E17" s="33" t="s">
        <v>339</v>
      </c>
      <c r="F17" s="33">
        <f>IF(E17="AM",1,(IF(E17="BE",2,(IF(E17="GV",3,(IF(E17="RA",4,(IF(E17="RM",5,(IF(E17="AC",1,(IF(E17="AT",2,(IF(E17="DS",3,(IF(E17="IP",4,(IF(E17="MA",5,(IF(E17="PT",6,(IF(E17="AE",1,(IF(E17="CM",2,(IF(E17="DP",3,(IF(E17="AN",1,(IF(E17="CO",2,(IF(E17="IM",3,(IF(E17="MI",4,(IF(E17="RP",5,(IF(E17="SC",6,0)))))))))))))))))))))))))))))))))))))))</f>
        <v>1</v>
      </c>
      <c r="G17" s="170">
        <v>1</v>
      </c>
      <c r="H17" s="38" t="s">
        <v>513</v>
      </c>
      <c r="I17" s="27" t="s">
        <v>266</v>
      </c>
      <c r="J17" s="149" t="s">
        <v>501</v>
      </c>
      <c r="K17" s="79" t="s">
        <v>1416</v>
      </c>
      <c r="L17" s="66">
        <f>IF(O17="","",N17*O17*M17)</f>
        <v>75</v>
      </c>
      <c r="M17" s="8">
        <v>1</v>
      </c>
      <c r="N17" s="1">
        <v>1</v>
      </c>
      <c r="O17" s="15">
        <f>IF(SUM(Q17:AF17)&lt;1,"",SUM(Q17:AF17)/COUNTIF(Q17:AF17,"&gt;0"))</f>
        <v>75</v>
      </c>
      <c r="P17" s="16"/>
      <c r="Q17" s="13"/>
      <c r="R17" s="4"/>
      <c r="S17" s="4"/>
      <c r="T17" s="4">
        <v>75</v>
      </c>
      <c r="Y17" s="4"/>
      <c r="AB17" s="4"/>
      <c r="AC17" s="4"/>
      <c r="AD17" s="4"/>
      <c r="AE17" s="4"/>
      <c r="AF17" s="14"/>
    </row>
    <row r="18" spans="1:33" s="2" customFormat="1" ht="15.75" customHeight="1" x14ac:dyDescent="0.25">
      <c r="A18" s="33" t="str">
        <f>CONCATENATE(D18,".",F18,"-",G18,".",H18,"")</f>
        <v>1.1-1.3</v>
      </c>
      <c r="B18" s="33" t="s">
        <v>814</v>
      </c>
      <c r="C18" s="41" t="s">
        <v>335</v>
      </c>
      <c r="D18" s="33">
        <f>IF(C18="ID",1,(IF(C18="PR",2,(IF(C18="DE",3,(IF(C18="RS",4,(IF(C18="RC",5,0)))))))))</f>
        <v>1</v>
      </c>
      <c r="E18" s="33" t="s">
        <v>339</v>
      </c>
      <c r="F18" s="33">
        <f>IF(E18="AM",1,(IF(E18="BE",2,(IF(E18="GV",3,(IF(E18="RA",4,(IF(E18="RM",5,(IF(E18="AC",1,(IF(E18="AT",2,(IF(E18="DS",3,(IF(E18="IP",4,(IF(E18="MA",5,(IF(E18="PT",6,(IF(E18="AE",1,(IF(E18="CM",2,(IF(E18="DP",3,(IF(E18="AN",1,(IF(E18="CO",2,(IF(E18="IM",3,(IF(E18="MI",4,(IF(E18="RP",5,(IF(E18="SC",6,0)))))))))))))))))))))))))))))))))))))))</f>
        <v>1</v>
      </c>
      <c r="G18" s="170">
        <v>1</v>
      </c>
      <c r="H18" s="38" t="s">
        <v>513</v>
      </c>
      <c r="I18" s="27" t="s">
        <v>266</v>
      </c>
      <c r="J18" s="149" t="s">
        <v>291</v>
      </c>
      <c r="K18" s="79" t="s">
        <v>1418</v>
      </c>
      <c r="L18" s="5">
        <f>IF(O18="","",N18*O18*M18)</f>
        <v>75</v>
      </c>
      <c r="M18" s="8">
        <v>1</v>
      </c>
      <c r="N18" s="1">
        <v>1</v>
      </c>
      <c r="O18" s="15">
        <f>IF(SUM(Q18:AF18)&lt;1,"",SUM(Q18:AF18)/COUNTIF(Q18:AF18,"&gt;0"))</f>
        <v>75</v>
      </c>
      <c r="P18" s="16"/>
      <c r="Q18" s="13"/>
      <c r="R18" s="4"/>
      <c r="S18" s="4"/>
      <c r="T18" s="4">
        <v>75</v>
      </c>
      <c r="Y18" s="4"/>
      <c r="AB18" s="4"/>
      <c r="AC18" s="4"/>
      <c r="AD18" s="4"/>
      <c r="AE18" s="4"/>
      <c r="AF18" s="14"/>
    </row>
    <row r="19" spans="1:33" s="2" customFormat="1" ht="15.75" customHeight="1" x14ac:dyDescent="0.25">
      <c r="A19" s="33" t="str">
        <f>CONCATENATE(D19,".",F19,"-",G19,".",H19,"")</f>
        <v>1.1-1.4</v>
      </c>
      <c r="B19" s="33" t="s">
        <v>814</v>
      </c>
      <c r="C19" s="39" t="s">
        <v>335</v>
      </c>
      <c r="D19" s="33">
        <f>IF(C19="ID",1,(IF(C19="PR",2,(IF(C19="DE",3,(IF(C19="RS",4,(IF(C19="RC",5,0)))))))))</f>
        <v>1</v>
      </c>
      <c r="E19" s="33" t="s">
        <v>339</v>
      </c>
      <c r="F19" s="33">
        <f>IF(E19="AM",1,(IF(E19="BE",2,(IF(E19="GV",3,(IF(E19="RA",4,(IF(E19="RM",5,(IF(E19="AC",1,(IF(E19="AT",2,(IF(E19="DS",3,(IF(E19="IP",4,(IF(E19="MA",5,(IF(E19="PT",6,(IF(E19="AE",1,(IF(E19="CM",2,(IF(E19="DP",3,(IF(E19="AN",1,(IF(E19="CO",2,(IF(E19="IM",3,(IF(E19="MI",4,(IF(E19="RP",5,(IF(E19="SC",6,0)))))))))))))))))))))))))))))))))))))))</f>
        <v>1</v>
      </c>
      <c r="G19" s="170">
        <v>1</v>
      </c>
      <c r="H19" s="38" t="s">
        <v>514</v>
      </c>
      <c r="I19" s="35" t="s">
        <v>1176</v>
      </c>
      <c r="J19" s="162">
        <v>1</v>
      </c>
      <c r="K19" t="s">
        <v>1039</v>
      </c>
      <c r="L19" s="66">
        <f>IF(O19="","",N19*O19*M19)</f>
        <v>75</v>
      </c>
      <c r="M19" s="8">
        <v>1</v>
      </c>
      <c r="N19" s="3">
        <v>1</v>
      </c>
      <c r="O19" s="15">
        <f>IF(SUM(Q19:AF19)&lt;1,"",SUM(Q19:AF19)/COUNTIF(Q19:AF19,"&gt;0"))</f>
        <v>75</v>
      </c>
      <c r="P19" s="16"/>
      <c r="Q19" s="13"/>
      <c r="R19" s="4"/>
      <c r="S19" s="4"/>
      <c r="T19" s="4">
        <v>75</v>
      </c>
      <c r="Y19" s="4"/>
      <c r="AB19" s="4"/>
      <c r="AC19" s="4"/>
      <c r="AD19" s="4"/>
      <c r="AE19" s="4"/>
      <c r="AF19" s="14"/>
    </row>
    <row r="20" spans="1:33" s="2" customFormat="1" ht="15.75" customHeight="1" x14ac:dyDescent="0.25">
      <c r="A20" s="33" t="str">
        <f>CONCATENATE(D20,".",F20,"-",G20,".",H20,"")</f>
        <v>1.1-1.4</v>
      </c>
      <c r="B20" s="33" t="s">
        <v>814</v>
      </c>
      <c r="C20" s="39" t="s">
        <v>335</v>
      </c>
      <c r="D20" s="33">
        <f>IF(C20="ID",1,(IF(C20="PR",2,(IF(C20="DE",3,(IF(C20="RS",4,(IF(C20="RC",5,0)))))))))</f>
        <v>1</v>
      </c>
      <c r="E20" s="33" t="s">
        <v>339</v>
      </c>
      <c r="F20" s="33">
        <f>IF(E20="AM",1,(IF(E20="BE",2,(IF(E20="GV",3,(IF(E20="RA",4,(IF(E20="RM",5,(IF(E20="AC",1,(IF(E20="AT",2,(IF(E20="DS",3,(IF(E20="IP",4,(IF(E20="MA",5,(IF(E20="PT",6,(IF(E20="AE",1,(IF(E20="CM",2,(IF(E20="DP",3,(IF(E20="AN",1,(IF(E20="CO",2,(IF(E20="IM",3,(IF(E20="MI",4,(IF(E20="RP",5,(IF(E20="SC",6,0)))))))))))))))))))))))))))))))))))))))</f>
        <v>1</v>
      </c>
      <c r="G20" s="170">
        <v>1</v>
      </c>
      <c r="H20" s="38" t="s">
        <v>514</v>
      </c>
      <c r="I20" s="35" t="s">
        <v>1176</v>
      </c>
      <c r="J20" s="162">
        <v>1.1000000000000001</v>
      </c>
      <c r="K20" t="s">
        <v>1040</v>
      </c>
      <c r="L20" s="66">
        <f>IF(O20="","",N20*O20*M20)</f>
        <v>75</v>
      </c>
      <c r="M20" s="8">
        <v>1</v>
      </c>
      <c r="N20" s="3">
        <v>1</v>
      </c>
      <c r="O20" s="15">
        <f>IF(SUM(Q20:AF20)&lt;1,"",SUM(Q20:AF20)/COUNTIF(Q20:AF20,"&gt;0"))</f>
        <v>75</v>
      </c>
      <c r="P20" s="16"/>
      <c r="Q20" s="13"/>
      <c r="R20" s="4"/>
      <c r="S20" s="4"/>
      <c r="T20" s="4">
        <v>75</v>
      </c>
      <c r="Y20" s="4"/>
      <c r="AB20" s="4"/>
      <c r="AC20" s="4"/>
      <c r="AD20" s="4"/>
      <c r="AE20" s="4"/>
      <c r="AF20" s="14"/>
    </row>
    <row r="21" spans="1:33" s="2" customFormat="1" ht="15.75" customHeight="1" x14ac:dyDescent="0.25">
      <c r="A21" s="33" t="str">
        <f>CONCATENATE(D21,".",F21,"-",G21,".",H21,"")</f>
        <v>1.1-1.4</v>
      </c>
      <c r="B21" s="33" t="s">
        <v>814</v>
      </c>
      <c r="C21" s="39" t="s">
        <v>335</v>
      </c>
      <c r="D21" s="33">
        <f>IF(C21="ID",1,(IF(C21="PR",2,(IF(C21="DE",3,(IF(C21="RS",4,(IF(C21="RC",5,0)))))))))</f>
        <v>1</v>
      </c>
      <c r="E21" s="33" t="s">
        <v>339</v>
      </c>
      <c r="F21" s="33">
        <f>IF(E21="AM",1,(IF(E21="BE",2,(IF(E21="GV",3,(IF(E21="RA",4,(IF(E21="RM",5,(IF(E21="AC",1,(IF(E21="AT",2,(IF(E21="DS",3,(IF(E21="IP",4,(IF(E21="MA",5,(IF(E21="PT",6,(IF(E21="AE",1,(IF(E21="CM",2,(IF(E21="DP",3,(IF(E21="AN",1,(IF(E21="CO",2,(IF(E21="IM",3,(IF(E21="MI",4,(IF(E21="RP",5,(IF(E21="SC",6,0)))))))))))))))))))))))))))))))))))))))</f>
        <v>1</v>
      </c>
      <c r="G21" s="170">
        <v>1</v>
      </c>
      <c r="H21" s="38" t="s">
        <v>514</v>
      </c>
      <c r="I21" s="35" t="s">
        <v>1176</v>
      </c>
      <c r="J21" s="162">
        <v>1.2</v>
      </c>
      <c r="K21" t="s">
        <v>1041</v>
      </c>
      <c r="L21" s="66">
        <f>IF(O21="","",N21*O21*M21)</f>
        <v>75</v>
      </c>
      <c r="M21" s="8">
        <v>1</v>
      </c>
      <c r="N21" s="3">
        <v>1</v>
      </c>
      <c r="O21" s="15">
        <f>IF(SUM(Q21:AF21)&lt;1,"",SUM(Q21:AF21)/COUNTIF(Q21:AF21,"&gt;0"))</f>
        <v>75</v>
      </c>
      <c r="P21" s="16"/>
      <c r="Q21" s="13"/>
      <c r="R21" s="4"/>
      <c r="S21" s="4"/>
      <c r="T21" s="4">
        <v>75</v>
      </c>
      <c r="Y21" s="4"/>
      <c r="AB21" s="4"/>
      <c r="AC21" s="4"/>
      <c r="AD21" s="4"/>
      <c r="AE21" s="4"/>
      <c r="AF21" s="14"/>
    </row>
    <row r="22" spans="1:33" s="2" customFormat="1" ht="15.75" customHeight="1" x14ac:dyDescent="0.25">
      <c r="A22" s="33" t="str">
        <f>CONCATENATE(D22,".",F22,"-",G22,".",H22,"")</f>
        <v>1.1-1.4</v>
      </c>
      <c r="B22" s="33" t="s">
        <v>814</v>
      </c>
      <c r="C22" s="39" t="s">
        <v>335</v>
      </c>
      <c r="D22" s="33">
        <f>IF(C22="ID",1,(IF(C22="PR",2,(IF(C22="DE",3,(IF(C22="RS",4,(IF(C22="RC",5,0)))))))))</f>
        <v>1</v>
      </c>
      <c r="E22" s="33" t="s">
        <v>339</v>
      </c>
      <c r="F22" s="33">
        <f>IF(E22="AM",1,(IF(E22="BE",2,(IF(E22="GV",3,(IF(E22="RA",4,(IF(E22="RM",5,(IF(E22="AC",1,(IF(E22="AT",2,(IF(E22="DS",3,(IF(E22="IP",4,(IF(E22="MA",5,(IF(E22="PT",6,(IF(E22="AE",1,(IF(E22="CM",2,(IF(E22="DP",3,(IF(E22="AN",1,(IF(E22="CO",2,(IF(E22="IM",3,(IF(E22="MI",4,(IF(E22="RP",5,(IF(E22="SC",6,0)))))))))))))))))))))))))))))))))))))))</f>
        <v>1</v>
      </c>
      <c r="G22" s="170">
        <v>1</v>
      </c>
      <c r="H22" s="38" t="s">
        <v>514</v>
      </c>
      <c r="I22" s="35" t="s">
        <v>1176</v>
      </c>
      <c r="J22" s="162">
        <v>1.3</v>
      </c>
      <c r="K22" t="s">
        <v>1042</v>
      </c>
      <c r="L22" s="66">
        <f>IF(O22="","",N22*O22*M22)</f>
        <v>75</v>
      </c>
      <c r="M22" s="8">
        <v>1</v>
      </c>
      <c r="N22" s="3">
        <v>1</v>
      </c>
      <c r="O22" s="15">
        <f>IF(SUM(Q22:AF22)&lt;1,"",SUM(Q22:AF22)/COUNTIF(Q22:AF22,"&gt;0"))</f>
        <v>75</v>
      </c>
      <c r="P22" s="16"/>
      <c r="Q22" s="13"/>
      <c r="R22" s="4"/>
      <c r="S22" s="4"/>
      <c r="T22" s="4">
        <v>75</v>
      </c>
      <c r="Y22" s="4"/>
      <c r="AB22" s="4"/>
      <c r="AC22" s="4"/>
      <c r="AD22" s="4"/>
      <c r="AE22" s="4"/>
      <c r="AF22" s="14"/>
    </row>
    <row r="23" spans="1:33" s="2" customFormat="1" ht="15.75" customHeight="1" x14ac:dyDescent="0.25">
      <c r="A23" s="33" t="str">
        <f>CONCATENATE(D23,".",F23,"-",G23,".",H23,"")</f>
        <v>1.1-1.4</v>
      </c>
      <c r="B23" s="33" t="s">
        <v>814</v>
      </c>
      <c r="C23" s="39" t="s">
        <v>335</v>
      </c>
      <c r="D23" s="33">
        <f>IF(C23="ID",1,(IF(C23="PR",2,(IF(C23="DE",3,(IF(C23="RS",4,(IF(C23="RC",5,0)))))))))</f>
        <v>1</v>
      </c>
      <c r="E23" s="33" t="s">
        <v>339</v>
      </c>
      <c r="F23" s="33">
        <f>IF(E23="AM",1,(IF(E23="BE",2,(IF(E23="GV",3,(IF(E23="RA",4,(IF(E23="RM",5,(IF(E23="AC",1,(IF(E23="AT",2,(IF(E23="DS",3,(IF(E23="IP",4,(IF(E23="MA",5,(IF(E23="PT",6,(IF(E23="AE",1,(IF(E23="CM",2,(IF(E23="DP",3,(IF(E23="AN",1,(IF(E23="CO",2,(IF(E23="IM",3,(IF(E23="MI",4,(IF(E23="RP",5,(IF(E23="SC",6,0)))))))))))))))))))))))))))))))))))))))</f>
        <v>1</v>
      </c>
      <c r="G23" s="170">
        <v>1</v>
      </c>
      <c r="H23" s="38" t="s">
        <v>514</v>
      </c>
      <c r="I23" s="35" t="s">
        <v>1176</v>
      </c>
      <c r="J23" s="162">
        <v>1.4</v>
      </c>
      <c r="K23" t="s">
        <v>1043</v>
      </c>
      <c r="L23" s="66">
        <f>IF(O23="","",N23*O23*M23)</f>
        <v>75</v>
      </c>
      <c r="M23" s="8">
        <v>1</v>
      </c>
      <c r="N23" s="3">
        <v>1</v>
      </c>
      <c r="O23" s="15">
        <f>IF(SUM(Q23:AF23)&lt;1,"",SUM(Q23:AF23)/COUNTIF(Q23:AF23,"&gt;0"))</f>
        <v>75</v>
      </c>
      <c r="P23" s="16"/>
      <c r="Q23" s="13"/>
      <c r="R23" s="4"/>
      <c r="S23" s="4"/>
      <c r="T23" s="4">
        <v>75</v>
      </c>
      <c r="Y23" s="4"/>
      <c r="AB23" s="4"/>
      <c r="AC23" s="4"/>
      <c r="AD23" s="4"/>
      <c r="AE23" s="4"/>
      <c r="AF23" s="14"/>
    </row>
    <row r="24" spans="1:33" s="2" customFormat="1" ht="15.75" customHeight="1" x14ac:dyDescent="0.25">
      <c r="A24" s="33" t="str">
        <f>CONCATENATE(D24,".",F24,"-",G24,".",H24,"")</f>
        <v>1.1-2.0</v>
      </c>
      <c r="B24" s="33" t="s">
        <v>814</v>
      </c>
      <c r="C24" s="40" t="s">
        <v>335</v>
      </c>
      <c r="D24" s="33">
        <f>IF(C24="ID",1,(IF(C24="PR",2,(IF(C24="DE",3,(IF(C24="RS",4,(IF(C24="RC",5,0)))))))))</f>
        <v>1</v>
      </c>
      <c r="E24" s="33" t="s">
        <v>339</v>
      </c>
      <c r="F24" s="33">
        <f>IF(E24="AM",1,(IF(E24="BE",2,(IF(E24="GV",3,(IF(E24="RA",4,(IF(E24="RM",5,(IF(E24="AC",1,(IF(E24="AT",2,(IF(E24="DS",3,(IF(E24="IP",4,(IF(E24="MA",5,(IF(E24="PT",6,(IF(E24="AE",1,(IF(E24="CM",2,(IF(E24="DP",3,(IF(E24="AN",1,(IF(E24="CO",2,(IF(E24="IM",3,(IF(E24="MI",4,(IF(E24="RP",5,(IF(E24="SC",6,0)))))))))))))))))))))))))))))))))))))))</f>
        <v>1</v>
      </c>
      <c r="G24" s="170">
        <v>2</v>
      </c>
      <c r="H24" s="38" t="s">
        <v>597</v>
      </c>
      <c r="I24" s="27" t="s">
        <v>1200</v>
      </c>
      <c r="J24" s="149" t="s">
        <v>605</v>
      </c>
      <c r="K24" s="97" t="s">
        <v>354</v>
      </c>
      <c r="L24" s="66">
        <f>IF(O24="","",N24*O24*M24)</f>
        <v>75</v>
      </c>
      <c r="M24" s="8">
        <v>1</v>
      </c>
      <c r="N24" s="1">
        <v>1</v>
      </c>
      <c r="O24" s="15">
        <f>IF(SUM(Q24:AF24)&lt;1,"",SUM(Q24:AF24)/COUNTIF(Q24:AF24,"&gt;0"))</f>
        <v>75</v>
      </c>
      <c r="P24" s="16"/>
      <c r="Q24" s="13"/>
      <c r="R24" s="4"/>
      <c r="S24" s="4"/>
      <c r="T24" s="4">
        <v>75</v>
      </c>
      <c r="Y24" s="4"/>
      <c r="AB24" s="4"/>
      <c r="AC24" s="4"/>
      <c r="AD24" s="4"/>
      <c r="AE24" s="4"/>
      <c r="AF24" s="14"/>
    </row>
    <row r="25" spans="1:33" s="2" customFormat="1" ht="15.75" customHeight="1" x14ac:dyDescent="0.25">
      <c r="A25" s="33" t="str">
        <f>CONCATENATE(D25,".",F25,"-",G25,".",H25,"")</f>
        <v>1.1-2.1</v>
      </c>
      <c r="B25" s="33" t="s">
        <v>814</v>
      </c>
      <c r="C25" s="39" t="s">
        <v>335</v>
      </c>
      <c r="D25" s="33">
        <f>IF(C25="ID",1,(IF(C25="PR",2,(IF(C25="DE",3,(IF(C25="RS",4,(IF(C25="RC",5,0)))))))))</f>
        <v>1</v>
      </c>
      <c r="E25" s="33" t="s">
        <v>339</v>
      </c>
      <c r="F25" s="33">
        <f>IF(E25="AM",1,(IF(E25="BE",2,(IF(E25="GV",3,(IF(E25="RA",4,(IF(E25="RM",5,(IF(E25="AC",1,(IF(E25="AT",2,(IF(E25="DS",3,(IF(E25="IP",4,(IF(E25="MA",5,(IF(E25="PT",6,(IF(E25="AE",1,(IF(E25="CM",2,(IF(E25="DP",3,(IF(E25="AN",1,(IF(E25="CO",2,(IF(E25="IM",3,(IF(E25="MI",4,(IF(E25="RP",5,(IF(E25="SC",6,0)))))))))))))))))))))))))))))))))))))))</f>
        <v>1</v>
      </c>
      <c r="G25" s="170">
        <v>2</v>
      </c>
      <c r="H25" s="38" t="s">
        <v>511</v>
      </c>
      <c r="I25" s="35" t="s">
        <v>1176</v>
      </c>
      <c r="J25" s="162">
        <v>2</v>
      </c>
      <c r="K25" t="s">
        <v>1045</v>
      </c>
      <c r="L25" s="66">
        <f>IF(O25="","",N25*O25*M25)</f>
        <v>75</v>
      </c>
      <c r="M25" s="8">
        <v>1</v>
      </c>
      <c r="N25" s="3">
        <v>1</v>
      </c>
      <c r="O25" s="15">
        <f>IF(SUM(Q25:AF25)&lt;1,"",SUM(Q25:AF25)/COUNTIF(Q25:AF25,"&gt;0"))</f>
        <v>75</v>
      </c>
      <c r="P25" s="16"/>
      <c r="Q25" s="13"/>
      <c r="R25" s="4"/>
      <c r="S25" s="4"/>
      <c r="T25" s="4">
        <v>75</v>
      </c>
      <c r="Y25" s="4"/>
      <c r="AB25" s="4"/>
      <c r="AC25" s="4"/>
      <c r="AD25" s="4"/>
      <c r="AE25" s="4"/>
      <c r="AF25" s="14"/>
    </row>
    <row r="26" spans="1:33" s="2" customFormat="1" ht="15.75" customHeight="1" x14ac:dyDescent="0.25">
      <c r="A26" s="33" t="str">
        <f>CONCATENATE(D26,".",F26,"-",G26,".",H26,"")</f>
        <v>1.1-2.1</v>
      </c>
      <c r="B26" s="33" t="s">
        <v>814</v>
      </c>
      <c r="C26" s="39" t="s">
        <v>335</v>
      </c>
      <c r="D26" s="33">
        <f>IF(C26="ID",1,(IF(C26="PR",2,(IF(C26="DE",3,(IF(C26="RS",4,(IF(C26="RC",5,0)))))))))</f>
        <v>1</v>
      </c>
      <c r="E26" s="33" t="s">
        <v>339</v>
      </c>
      <c r="F26" s="33">
        <f>IF(E26="AM",1,(IF(E26="BE",2,(IF(E26="GV",3,(IF(E26="RA",4,(IF(E26="RM",5,(IF(E26="AC",1,(IF(E26="AT",2,(IF(E26="DS",3,(IF(E26="IP",4,(IF(E26="MA",5,(IF(E26="PT",6,(IF(E26="AE",1,(IF(E26="CM",2,(IF(E26="DP",3,(IF(E26="AN",1,(IF(E26="CO",2,(IF(E26="IM",3,(IF(E26="MI",4,(IF(E26="RP",5,(IF(E26="SC",6,0)))))))))))))))))))))))))))))))))))))))</f>
        <v>1</v>
      </c>
      <c r="G26" s="170">
        <v>2</v>
      </c>
      <c r="H26" s="38" t="s">
        <v>511</v>
      </c>
      <c r="I26" s="35" t="s">
        <v>1176</v>
      </c>
      <c r="J26" s="162">
        <v>2.2999999999999998</v>
      </c>
      <c r="K26" s="80" t="s">
        <v>1048</v>
      </c>
      <c r="L26" s="66">
        <f>IF(O26="","",N26*O26*M26)</f>
        <v>75</v>
      </c>
      <c r="M26" s="8">
        <v>1</v>
      </c>
      <c r="N26" s="3">
        <v>1</v>
      </c>
      <c r="O26" s="15">
        <f>IF(SUM(Q26:AF26)&lt;1,"",SUM(Q26:AF26)/COUNTIF(Q26:AF26,"&gt;0"))</f>
        <v>75</v>
      </c>
      <c r="P26" s="16"/>
      <c r="Q26" s="13"/>
      <c r="R26" s="4"/>
      <c r="S26" s="4"/>
      <c r="T26" s="4">
        <v>75</v>
      </c>
      <c r="Y26" s="4"/>
      <c r="AB26" s="4"/>
      <c r="AC26" s="4"/>
      <c r="AD26" s="4"/>
      <c r="AE26" s="4"/>
      <c r="AF26" s="14"/>
    </row>
    <row r="27" spans="1:33" s="2" customFormat="1" ht="15.75" customHeight="1" x14ac:dyDescent="0.25">
      <c r="A27" s="33" t="str">
        <f>CONCATENATE(D27,".",F27,"-",G27,".",H27,"")</f>
        <v>1.1-2.1</v>
      </c>
      <c r="B27" s="33" t="s">
        <v>814</v>
      </c>
      <c r="C27" s="39" t="s">
        <v>335</v>
      </c>
      <c r="D27" s="33">
        <f>IF(C27="ID",1,(IF(C27="PR",2,(IF(C27="DE",3,(IF(C27="RS",4,(IF(C27="RC",5,0)))))))))</f>
        <v>1</v>
      </c>
      <c r="E27" s="33" t="s">
        <v>339</v>
      </c>
      <c r="F27" s="33">
        <f>IF(E27="AM",1,(IF(E27="BE",2,(IF(E27="GV",3,(IF(E27="RA",4,(IF(E27="RM",5,(IF(E27="AC",1,(IF(E27="AT",2,(IF(E27="DS",3,(IF(E27="IP",4,(IF(E27="MA",5,(IF(E27="PT",6,(IF(E27="AE",1,(IF(E27="CM",2,(IF(E27="DP",3,(IF(E27="AN",1,(IF(E27="CO",2,(IF(E27="IM",3,(IF(E27="MI",4,(IF(E27="RP",5,(IF(E27="SC",6,0)))))))))))))))))))))))))))))))))))))))</f>
        <v>1</v>
      </c>
      <c r="G27" s="170">
        <v>2</v>
      </c>
      <c r="H27" s="38" t="s">
        <v>511</v>
      </c>
      <c r="I27" s="35" t="s">
        <v>1176</v>
      </c>
      <c r="J27" s="162">
        <v>4.5</v>
      </c>
      <c r="K27" t="s">
        <v>1058</v>
      </c>
      <c r="L27" s="66">
        <f>IF(O27="","",N27*O27*M27)</f>
        <v>75</v>
      </c>
      <c r="M27" s="8">
        <v>1</v>
      </c>
      <c r="N27" s="3">
        <v>1</v>
      </c>
      <c r="O27" s="15">
        <f>IF(SUM(Q27:AF27)&lt;1,"",SUM(Q27:AF27)/COUNTIF(Q27:AF27,"&gt;0"))</f>
        <v>75</v>
      </c>
      <c r="P27" s="16"/>
      <c r="Q27" s="13"/>
      <c r="R27" s="4"/>
      <c r="S27" s="4"/>
      <c r="T27" s="4">
        <v>75</v>
      </c>
      <c r="Y27" s="4"/>
      <c r="AB27" s="4"/>
      <c r="AC27" s="4"/>
      <c r="AD27" s="4"/>
      <c r="AE27" s="4"/>
      <c r="AF27" s="4"/>
      <c r="AG27" s="13"/>
    </row>
    <row r="28" spans="1:33" s="2" customFormat="1" ht="15.75" customHeight="1" x14ac:dyDescent="0.25">
      <c r="A28" s="33" t="str">
        <f>CONCATENATE(D28,".",F28,"-",G28,".",H28,"")</f>
        <v>1.1-2.1</v>
      </c>
      <c r="B28" s="33" t="s">
        <v>814</v>
      </c>
      <c r="C28" s="39" t="s">
        <v>335</v>
      </c>
      <c r="D28" s="33">
        <f>IF(C28="ID",1,(IF(C28="PR",2,(IF(C28="DE",3,(IF(C28="RS",4,(IF(C28="RC",5,0)))))))))</f>
        <v>1</v>
      </c>
      <c r="E28" s="33" t="s">
        <v>339</v>
      </c>
      <c r="F28" s="33">
        <f>IF(E28="AM",1,(IF(E28="BE",2,(IF(E28="GV",3,(IF(E28="RA",4,(IF(E28="RM",5,(IF(E28="AC",1,(IF(E28="AT",2,(IF(E28="DS",3,(IF(E28="IP",4,(IF(E28="MA",5,(IF(E28="PT",6,(IF(E28="AE",1,(IF(E28="CM",2,(IF(E28="DP",3,(IF(E28="AN",1,(IF(E28="CO",2,(IF(E28="IM",3,(IF(E28="MI",4,(IF(E28="RP",5,(IF(E28="SC",6,0)))))))))))))))))))))))))))))))))))))))</f>
        <v>1</v>
      </c>
      <c r="G28" s="170">
        <v>2</v>
      </c>
      <c r="H28" s="38" t="s">
        <v>511</v>
      </c>
      <c r="I28" s="105" t="s">
        <v>821</v>
      </c>
      <c r="J28" s="150" t="s">
        <v>234</v>
      </c>
      <c r="K28" s="79" t="s">
        <v>1283</v>
      </c>
      <c r="L28" s="66">
        <f>IF(O28="","",N28*O28*M28)</f>
        <v>75</v>
      </c>
      <c r="M28" s="8">
        <v>1</v>
      </c>
      <c r="N28" s="3">
        <v>1</v>
      </c>
      <c r="O28" s="15">
        <f>IF(SUM(Q28:AF28)&lt;1,"",SUM(Q28:AF28)/COUNTIF(Q28:AF28,"&gt;0"))</f>
        <v>75</v>
      </c>
      <c r="P28" s="16"/>
      <c r="Q28" s="13"/>
      <c r="R28" s="4"/>
      <c r="S28" s="4"/>
      <c r="T28" s="4">
        <v>75</v>
      </c>
      <c r="Y28" s="4"/>
      <c r="AB28" s="4"/>
      <c r="AC28" s="4"/>
      <c r="AD28" s="4"/>
      <c r="AE28" s="4"/>
      <c r="AF28" s="14"/>
    </row>
    <row r="29" spans="1:33" s="2" customFormat="1" ht="15.75" customHeight="1" x14ac:dyDescent="0.25">
      <c r="A29" s="33" t="str">
        <f>CONCATENATE(D29,".",F29,"-",G29,".",H29,"")</f>
        <v>1.1-2.1</v>
      </c>
      <c r="B29" s="33" t="s">
        <v>814</v>
      </c>
      <c r="C29" s="39" t="s">
        <v>335</v>
      </c>
      <c r="D29" s="33">
        <f>IF(C29="ID",1,(IF(C29="PR",2,(IF(C29="DE",3,(IF(C29="RS",4,(IF(C29="RC",5,0)))))))))</f>
        <v>1</v>
      </c>
      <c r="E29" s="33" t="s">
        <v>339</v>
      </c>
      <c r="F29" s="33">
        <f>IF(E29="AM",1,(IF(E29="BE",2,(IF(E29="GV",3,(IF(E29="RA",4,(IF(E29="RM",5,(IF(E29="AC",1,(IF(E29="AT",2,(IF(E29="DS",3,(IF(E29="IP",4,(IF(E29="MA",5,(IF(E29="PT",6,(IF(E29="AE",1,(IF(E29="CM",2,(IF(E29="DP",3,(IF(E29="AN",1,(IF(E29="CO",2,(IF(E29="IM",3,(IF(E29="MI",4,(IF(E29="RP",5,(IF(E29="SC",6,0)))))))))))))))))))))))))))))))))))))))</f>
        <v>1</v>
      </c>
      <c r="G29" s="170">
        <v>2</v>
      </c>
      <c r="H29" s="38" t="s">
        <v>511</v>
      </c>
      <c r="I29" s="27" t="s">
        <v>266</v>
      </c>
      <c r="J29" s="149" t="s">
        <v>461</v>
      </c>
      <c r="K29" s="79" t="s">
        <v>1322</v>
      </c>
      <c r="L29" s="66">
        <f>IF(O29="","",N29*O29*M29)</f>
        <v>75</v>
      </c>
      <c r="M29" s="8">
        <v>1</v>
      </c>
      <c r="N29" s="1">
        <v>1</v>
      </c>
      <c r="O29" s="15">
        <f>IF(SUM(Q29:AF29)&lt;1,"",SUM(Q29:AF29)/COUNTIF(Q29:AF29,"&gt;0"))</f>
        <v>75</v>
      </c>
      <c r="P29" s="16"/>
      <c r="Q29" s="13"/>
      <c r="R29" s="4"/>
      <c r="S29" s="4"/>
      <c r="T29" s="4">
        <v>75</v>
      </c>
      <c r="Y29" s="4"/>
      <c r="AB29" s="4"/>
      <c r="AC29" s="4"/>
      <c r="AD29" s="4"/>
      <c r="AE29" s="4"/>
      <c r="AF29" s="14"/>
    </row>
    <row r="30" spans="1:33" s="2" customFormat="1" ht="15.75" customHeight="1" x14ac:dyDescent="0.25">
      <c r="A30" s="33" t="str">
        <f>CONCATENATE(D30,".",F30,"-",G30,".",H30,"")</f>
        <v>1.1-2.1</v>
      </c>
      <c r="B30" s="33" t="s">
        <v>814</v>
      </c>
      <c r="C30" s="39" t="s">
        <v>335</v>
      </c>
      <c r="D30" s="33">
        <f>IF(C30="ID",1,(IF(C30="PR",2,(IF(C30="DE",3,(IF(C30="RS",4,(IF(C30="RC",5,0)))))))))</f>
        <v>1</v>
      </c>
      <c r="E30" s="33" t="s">
        <v>339</v>
      </c>
      <c r="F30" s="33">
        <f>IF(E30="AM",1,(IF(E30="BE",2,(IF(E30="GV",3,(IF(E30="RA",4,(IF(E30="RM",5,(IF(E30="AC",1,(IF(E30="AT",2,(IF(E30="DS",3,(IF(E30="IP",4,(IF(E30="MA",5,(IF(E30="PT",6,(IF(E30="AE",1,(IF(E30="CM",2,(IF(E30="DP",3,(IF(E30="AN",1,(IF(E30="CO",2,(IF(E30="IM",3,(IF(E30="MI",4,(IF(E30="RP",5,(IF(E30="SC",6,0)))))))))))))))))))))))))))))))))))))))</f>
        <v>1</v>
      </c>
      <c r="G30" s="170">
        <v>2</v>
      </c>
      <c r="H30" s="38" t="s">
        <v>511</v>
      </c>
      <c r="I30" s="27" t="s">
        <v>266</v>
      </c>
      <c r="J30" s="149" t="s">
        <v>283</v>
      </c>
      <c r="K30" s="79" t="s">
        <v>1351</v>
      </c>
      <c r="L30" s="66">
        <f>IF(O30="","",N30*O30*M30)</f>
        <v>75</v>
      </c>
      <c r="M30" s="8">
        <v>1</v>
      </c>
      <c r="N30" s="1">
        <v>1</v>
      </c>
      <c r="O30" s="15">
        <f>IF(SUM(Q30:AF30)&lt;1,"",SUM(Q30:AF30)/COUNTIF(Q30:AF30,"&gt;0"))</f>
        <v>75</v>
      </c>
      <c r="P30" s="16"/>
      <c r="Q30" s="13"/>
      <c r="R30" s="4"/>
      <c r="S30" s="4"/>
      <c r="T30" s="4">
        <v>75</v>
      </c>
      <c r="Y30" s="4"/>
      <c r="AB30" s="4"/>
      <c r="AC30" s="4"/>
      <c r="AD30" s="4"/>
      <c r="AE30" s="4"/>
      <c r="AF30" s="14"/>
    </row>
    <row r="31" spans="1:33" s="2" customFormat="1" ht="15.75" customHeight="1" x14ac:dyDescent="0.25">
      <c r="A31" s="33" t="str">
        <f>CONCATENATE(D31,".",F31,"-",G31,".",H31,"")</f>
        <v>1.1-2.1</v>
      </c>
      <c r="B31" s="33" t="s">
        <v>814</v>
      </c>
      <c r="C31" s="39" t="s">
        <v>335</v>
      </c>
      <c r="D31" s="33">
        <f>IF(C31="ID",1,(IF(C31="PR",2,(IF(C31="DE",3,(IF(C31="RS",4,(IF(C31="RC",5,0)))))))))</f>
        <v>1</v>
      </c>
      <c r="E31" s="33" t="s">
        <v>339</v>
      </c>
      <c r="F31" s="33">
        <f>IF(E31="AM",1,(IF(E31="BE",2,(IF(E31="GV",3,(IF(E31="RA",4,(IF(E31="RM",5,(IF(E31="AC",1,(IF(E31="AT",2,(IF(E31="DS",3,(IF(E31="IP",4,(IF(E31="MA",5,(IF(E31="PT",6,(IF(E31="AE",1,(IF(E31="CM",2,(IF(E31="DP",3,(IF(E31="AN",1,(IF(E31="CO",2,(IF(E31="IM",3,(IF(E31="MI",4,(IF(E31="RP",5,(IF(E31="SC",6,0)))))))))))))))))))))))))))))))))))))))</f>
        <v>1</v>
      </c>
      <c r="G31" s="170">
        <v>2</v>
      </c>
      <c r="H31" s="38" t="s">
        <v>511</v>
      </c>
      <c r="I31" s="105" t="s">
        <v>1449</v>
      </c>
      <c r="J31" s="157" t="s">
        <v>1963</v>
      </c>
      <c r="K31" s="34" t="s">
        <v>1964</v>
      </c>
      <c r="L31" s="5">
        <f>IF(O31="","",N31*O31*M31)</f>
        <v>99</v>
      </c>
      <c r="M31" s="8">
        <v>1</v>
      </c>
      <c r="N31" s="1">
        <v>1</v>
      </c>
      <c r="O31" s="15">
        <f>IF(SUM(Q31:AF31)&lt;1,"",SUM(Q31:AF31)/COUNTIF(Q31:AF31,"&gt;0"))</f>
        <v>99</v>
      </c>
      <c r="P31" s="16"/>
      <c r="Q31" s="13"/>
      <c r="R31" s="4"/>
      <c r="S31" s="4"/>
      <c r="T31" s="4">
        <v>99</v>
      </c>
      <c r="Y31" s="4"/>
      <c r="AB31" s="4"/>
      <c r="AC31" s="4"/>
      <c r="AD31" s="4"/>
      <c r="AE31" s="4"/>
      <c r="AF31" s="14"/>
    </row>
    <row r="32" spans="1:33" s="2" customFormat="1" ht="15.75" customHeight="1" x14ac:dyDescent="0.25">
      <c r="A32" s="33" t="str">
        <f>CONCATENATE(D32,".",F32,"-",G32,".",H32,"")</f>
        <v>1.1-2.2</v>
      </c>
      <c r="B32" s="33" t="s">
        <v>814</v>
      </c>
      <c r="C32" s="39" t="s">
        <v>335</v>
      </c>
      <c r="D32" s="33">
        <f>IF(C32="ID",1,(IF(C32="PR",2,(IF(C32="DE",3,(IF(C32="RS",4,(IF(C32="RC",5,0)))))))))</f>
        <v>1</v>
      </c>
      <c r="E32" s="33" t="s">
        <v>339</v>
      </c>
      <c r="F32" s="33">
        <f>IF(E32="AM",1,(IF(E32="BE",2,(IF(E32="GV",3,(IF(E32="RA",4,(IF(E32="RM",5,(IF(E32="AC",1,(IF(E32="AT",2,(IF(E32="DS",3,(IF(E32="IP",4,(IF(E32="MA",5,(IF(E32="PT",6,(IF(E32="AE",1,(IF(E32="CM",2,(IF(E32="DP",3,(IF(E32="AN",1,(IF(E32="CO",2,(IF(E32="IM",3,(IF(E32="MI",4,(IF(E32="RP",5,(IF(E32="SC",6,0)))))))))))))))))))))))))))))))))))))))</f>
        <v>1</v>
      </c>
      <c r="G32" s="170">
        <v>2</v>
      </c>
      <c r="H32" s="38" t="s">
        <v>512</v>
      </c>
      <c r="I32" s="35" t="s">
        <v>1176</v>
      </c>
      <c r="J32" s="168">
        <v>2.1</v>
      </c>
      <c r="K32" t="s">
        <v>1046</v>
      </c>
      <c r="L32" s="66">
        <f>IF(O32="","",N32*O32*M32)</f>
        <v>75</v>
      </c>
      <c r="M32" s="8">
        <v>1</v>
      </c>
      <c r="N32" s="3">
        <v>1</v>
      </c>
      <c r="O32" s="15">
        <f>IF(SUM(Q32:AF32)&lt;1,"",SUM(Q32:AF32)/COUNTIF(Q32:AF32,"&gt;0"))</f>
        <v>75</v>
      </c>
      <c r="P32" s="16"/>
      <c r="Q32" s="13"/>
      <c r="R32" s="4"/>
      <c r="S32" s="4"/>
      <c r="T32" s="4">
        <v>75</v>
      </c>
      <c r="Y32" s="4"/>
      <c r="AB32" s="4"/>
      <c r="AC32" s="4"/>
      <c r="AD32" s="4"/>
      <c r="AE32" s="4"/>
      <c r="AF32" s="14"/>
    </row>
    <row r="33" spans="1:32" s="2" customFormat="1" ht="15.75" customHeight="1" x14ac:dyDescent="0.25">
      <c r="A33" s="33" t="str">
        <f>CONCATENATE(D33,".",F33,"-",G33,".",H33,"")</f>
        <v>1.1-2.2</v>
      </c>
      <c r="B33" s="33" t="s">
        <v>814</v>
      </c>
      <c r="C33" s="39" t="s">
        <v>335</v>
      </c>
      <c r="D33" s="33">
        <f>IF(C33="ID",1,(IF(C33="PR",2,(IF(C33="DE",3,(IF(C33="RS",4,(IF(C33="RC",5,0)))))))))</f>
        <v>1</v>
      </c>
      <c r="E33" s="33" t="s">
        <v>339</v>
      </c>
      <c r="F33" s="33">
        <f>IF(E33="AM",1,(IF(E33="BE",2,(IF(E33="GV",3,(IF(E33="RA",4,(IF(E33="RM",5,(IF(E33="AC",1,(IF(E33="AT",2,(IF(E33="DS",3,(IF(E33="IP",4,(IF(E33="MA",5,(IF(E33="PT",6,(IF(E33="AE",1,(IF(E33="CM",2,(IF(E33="DP",3,(IF(E33="AN",1,(IF(E33="CO",2,(IF(E33="IM",3,(IF(E33="MI",4,(IF(E33="RP",5,(IF(E33="SC",6,0)))))))))))))))))))))))))))))))))))))))</f>
        <v>1</v>
      </c>
      <c r="G33" s="170">
        <v>2</v>
      </c>
      <c r="H33" s="38" t="s">
        <v>512</v>
      </c>
      <c r="I33" s="35" t="s">
        <v>1176</v>
      </c>
      <c r="J33" s="162">
        <v>2.2999999999999998</v>
      </c>
      <c r="K33" t="s">
        <v>1048</v>
      </c>
      <c r="L33" s="66">
        <f>IF(O33="","",N33*O33*M33)</f>
        <v>75</v>
      </c>
      <c r="M33" s="8">
        <v>1</v>
      </c>
      <c r="N33" s="3">
        <v>1</v>
      </c>
      <c r="O33" s="15">
        <f>IF(SUM(Q33:AF33)&lt;1,"",SUM(Q33:AF33)/COUNTIF(Q33:AF33,"&gt;0"))</f>
        <v>75</v>
      </c>
      <c r="P33" s="16"/>
      <c r="Q33" s="13"/>
      <c r="R33" s="4"/>
      <c r="S33" s="4"/>
      <c r="T33" s="4">
        <v>75</v>
      </c>
      <c r="Y33" s="4"/>
      <c r="AB33" s="4"/>
      <c r="AC33" s="4"/>
      <c r="AD33" s="4"/>
      <c r="AE33" s="4"/>
      <c r="AF33" s="14"/>
    </row>
    <row r="34" spans="1:32" s="2" customFormat="1" ht="15.75" customHeight="1" x14ac:dyDescent="0.25">
      <c r="A34" s="33" t="str">
        <f>CONCATENATE(D34,".",F34,"-",G34,".",H34,"")</f>
        <v>1.1-2.2</v>
      </c>
      <c r="B34" s="33" t="s">
        <v>814</v>
      </c>
      <c r="C34" s="39" t="s">
        <v>335</v>
      </c>
      <c r="D34" s="33">
        <f>IF(C34="ID",1,(IF(C34="PR",2,(IF(C34="DE",3,(IF(C34="RS",4,(IF(C34="RC",5,0)))))))))</f>
        <v>1</v>
      </c>
      <c r="E34" s="33" t="s">
        <v>339</v>
      </c>
      <c r="F34" s="33">
        <f>IF(E34="AM",1,(IF(E34="BE",2,(IF(E34="GV",3,(IF(E34="RA",4,(IF(E34="RM",5,(IF(E34="AC",1,(IF(E34="AT",2,(IF(E34="DS",3,(IF(E34="IP",4,(IF(E34="MA",5,(IF(E34="PT",6,(IF(E34="AE",1,(IF(E34="CM",2,(IF(E34="DP",3,(IF(E34="AN",1,(IF(E34="CO",2,(IF(E34="IM",3,(IF(E34="MI",4,(IF(E34="RP",5,(IF(E34="SC",6,0)))))))))))))))))))))))))))))))))))))))</f>
        <v>1</v>
      </c>
      <c r="G34" s="170">
        <v>2</v>
      </c>
      <c r="H34" s="38" t="s">
        <v>512</v>
      </c>
      <c r="I34" s="27" t="s">
        <v>266</v>
      </c>
      <c r="J34" s="149" t="s">
        <v>504</v>
      </c>
      <c r="K34" s="79" t="s">
        <v>1422</v>
      </c>
      <c r="L34" s="66">
        <f>IF(O34="","",N34*O34*M34)</f>
        <v>75</v>
      </c>
      <c r="M34" s="8">
        <v>1</v>
      </c>
      <c r="N34" s="1">
        <v>1</v>
      </c>
      <c r="O34" s="15">
        <f>IF(SUM(Q34:AF34)&lt;1,"",SUM(Q34:AF34)/COUNTIF(Q34:AF34,"&gt;0"))</f>
        <v>75</v>
      </c>
      <c r="P34" s="16"/>
      <c r="Q34" s="13"/>
      <c r="R34" s="4"/>
      <c r="S34" s="4"/>
      <c r="T34" s="4">
        <v>75</v>
      </c>
      <c r="Y34" s="4"/>
      <c r="AB34" s="4"/>
      <c r="AC34" s="4"/>
      <c r="AD34" s="4"/>
      <c r="AE34" s="4"/>
      <c r="AF34" s="14"/>
    </row>
    <row r="35" spans="1:32" s="2" customFormat="1" ht="15.75" customHeight="1" x14ac:dyDescent="0.25">
      <c r="A35" s="33" t="str">
        <f>CONCATENATE(D35,".",F35,"-",G35,".",H35,"")</f>
        <v>1.1-3.0</v>
      </c>
      <c r="B35" s="33" t="s">
        <v>814</v>
      </c>
      <c r="C35" s="40" t="s">
        <v>335</v>
      </c>
      <c r="D35" s="33">
        <f>IF(C35="ID",1,(IF(C35="PR",2,(IF(C35="DE",3,(IF(C35="RS",4,(IF(C35="RC",5,0)))))))))</f>
        <v>1</v>
      </c>
      <c r="E35" s="33" t="s">
        <v>339</v>
      </c>
      <c r="F35" s="33">
        <f>IF(E35="AM",1,(IF(E35="BE",2,(IF(E35="GV",3,(IF(E35="RA",4,(IF(E35="RM",5,(IF(E35="AC",1,(IF(E35="AT",2,(IF(E35="DS",3,(IF(E35="IP",4,(IF(E35="MA",5,(IF(E35="PT",6,(IF(E35="AE",1,(IF(E35="CM",2,(IF(E35="DP",3,(IF(E35="AN",1,(IF(E35="CO",2,(IF(E35="IM",3,(IF(E35="MI",4,(IF(E35="RP",5,(IF(E35="SC",6,0)))))))))))))))))))))))))))))))))))))))</f>
        <v>1</v>
      </c>
      <c r="G35" s="170">
        <v>3</v>
      </c>
      <c r="H35" s="38" t="s">
        <v>597</v>
      </c>
      <c r="I35" s="27" t="s">
        <v>1200</v>
      </c>
      <c r="J35" s="149" t="s">
        <v>606</v>
      </c>
      <c r="K35" s="97" t="s">
        <v>355</v>
      </c>
      <c r="L35" s="66">
        <f>IF(O35="","",N35*O35*M35)</f>
        <v>75</v>
      </c>
      <c r="M35" s="8">
        <v>1</v>
      </c>
      <c r="N35" s="1">
        <v>1</v>
      </c>
      <c r="O35" s="15">
        <f>IF(SUM(Q35:AF35)&lt;1,"",SUM(Q35:AF35)/COUNTIF(Q35:AF35,"&gt;0"))</f>
        <v>75</v>
      </c>
      <c r="P35" s="16"/>
      <c r="Q35" s="13"/>
      <c r="R35" s="4"/>
      <c r="S35" s="4"/>
      <c r="T35" s="4">
        <v>75</v>
      </c>
      <c r="Y35" s="4"/>
      <c r="AB35" s="4"/>
      <c r="AC35" s="4"/>
      <c r="AD35" s="4"/>
      <c r="AE35" s="4"/>
      <c r="AF35" s="14"/>
    </row>
    <row r="36" spans="1:32" s="2" customFormat="1" ht="15.75" customHeight="1" x14ac:dyDescent="0.25">
      <c r="A36" s="33" t="str">
        <f>CONCATENATE(D36,".",F36,"-",G36,".",H36,"")</f>
        <v>1.1-3.1</v>
      </c>
      <c r="B36" s="33" t="s">
        <v>814</v>
      </c>
      <c r="C36" s="39" t="s">
        <v>335</v>
      </c>
      <c r="D36" s="33">
        <f>IF(C36="ID",1,(IF(C36="PR",2,(IF(C36="DE",3,(IF(C36="RS",4,(IF(C36="RC",5,0)))))))))</f>
        <v>1</v>
      </c>
      <c r="E36" s="33" t="s">
        <v>339</v>
      </c>
      <c r="F36" s="33">
        <f>IF(E36="AM",1,(IF(E36="BE",2,(IF(E36="GV",3,(IF(E36="RA",4,(IF(E36="RM",5,(IF(E36="AC",1,(IF(E36="AT",2,(IF(E36="DS",3,(IF(E36="IP",4,(IF(E36="MA",5,(IF(E36="PT",6,(IF(E36="AE",1,(IF(E36="CM",2,(IF(E36="DP",3,(IF(E36="AN",1,(IF(E36="CO",2,(IF(E36="IM",3,(IF(E36="MI",4,(IF(E36="RP",5,(IF(E36="SC",6,0)))))))))))))))))))))))))))))))))))))))</f>
        <v>1</v>
      </c>
      <c r="G36" s="170">
        <v>3</v>
      </c>
      <c r="H36" s="38" t="s">
        <v>511</v>
      </c>
      <c r="I36" s="105" t="s">
        <v>821</v>
      </c>
      <c r="J36" s="150" t="s">
        <v>107</v>
      </c>
      <c r="K36" s="79" t="s">
        <v>1283</v>
      </c>
      <c r="L36" s="66">
        <f>IF(O36="","",N36*O36*M36)</f>
        <v>75</v>
      </c>
      <c r="M36" s="8">
        <v>1</v>
      </c>
      <c r="N36" s="3">
        <v>1</v>
      </c>
      <c r="O36" s="15">
        <f>IF(SUM(Q36:AF36)&lt;1,"",SUM(Q36:AF36)/COUNTIF(Q36:AF36,"&gt;0"))</f>
        <v>75</v>
      </c>
      <c r="P36" s="16"/>
      <c r="Q36" s="13"/>
      <c r="R36" s="4"/>
      <c r="S36" s="4"/>
      <c r="T36" s="4">
        <v>75</v>
      </c>
      <c r="Y36" s="4"/>
      <c r="AB36" s="4"/>
      <c r="AC36" s="4"/>
      <c r="AD36" s="4"/>
      <c r="AE36" s="4"/>
      <c r="AF36" s="14"/>
    </row>
    <row r="37" spans="1:32" s="2" customFormat="1" ht="15.75" customHeight="1" x14ac:dyDescent="0.25">
      <c r="A37" s="33" t="str">
        <f>CONCATENATE(D37,".",F37,"-",G37,".",H37,"")</f>
        <v>1.1-3.1</v>
      </c>
      <c r="B37" s="33" t="s">
        <v>814</v>
      </c>
      <c r="C37" s="39" t="s">
        <v>335</v>
      </c>
      <c r="D37" s="33">
        <f>IF(C37="ID",1,(IF(C37="PR",2,(IF(C37="DE",3,(IF(C37="RS",4,(IF(C37="RC",5,0)))))))))</f>
        <v>1</v>
      </c>
      <c r="E37" s="33" t="s">
        <v>339</v>
      </c>
      <c r="F37" s="33">
        <f>IF(E37="AM",1,(IF(E37="BE",2,(IF(E37="GV",3,(IF(E37="RA",4,(IF(E37="RM",5,(IF(E37="AC",1,(IF(E37="AT",2,(IF(E37="DS",3,(IF(E37="IP",4,(IF(E37="MA",5,(IF(E37="PT",6,(IF(E37="AE",1,(IF(E37="CM",2,(IF(E37="DP",3,(IF(E37="AN",1,(IF(E37="CO",2,(IF(E37="IM",3,(IF(E37="MI",4,(IF(E37="RP",5,(IF(E37="SC",6,0)))))))))))))))))))))))))))))))))))))))</f>
        <v>1</v>
      </c>
      <c r="G37" s="170">
        <v>3</v>
      </c>
      <c r="H37" s="38" t="s">
        <v>511</v>
      </c>
      <c r="I37" s="105" t="s">
        <v>821</v>
      </c>
      <c r="J37" s="150" t="s">
        <v>108</v>
      </c>
      <c r="K37" s="79" t="s">
        <v>1283</v>
      </c>
      <c r="L37" s="66">
        <f>IF(O37="","",N37*O37*M37)</f>
        <v>75</v>
      </c>
      <c r="M37" s="8">
        <v>1</v>
      </c>
      <c r="N37" s="3">
        <v>1</v>
      </c>
      <c r="O37" s="15">
        <f>IF(SUM(Q37:AF37)&lt;1,"",SUM(Q37:AF37)/COUNTIF(Q37:AF37,"&gt;0"))</f>
        <v>75</v>
      </c>
      <c r="P37" s="16"/>
      <c r="Q37" s="13"/>
      <c r="R37" s="4"/>
      <c r="S37" s="4"/>
      <c r="T37" s="4">
        <v>75</v>
      </c>
      <c r="Y37" s="4"/>
      <c r="AB37" s="4"/>
      <c r="AC37" s="4"/>
      <c r="AD37" s="4"/>
      <c r="AE37" s="4"/>
      <c r="AF37" s="14"/>
    </row>
    <row r="38" spans="1:32" s="2" customFormat="1" ht="15.75" customHeight="1" x14ac:dyDescent="0.25">
      <c r="A38" s="33" t="str">
        <f>CONCATENATE(D38,".",F38,"-",G38,".",H38,"")</f>
        <v>1.1-3.1</v>
      </c>
      <c r="B38" s="33" t="s">
        <v>814</v>
      </c>
      <c r="C38" s="40" t="s">
        <v>335</v>
      </c>
      <c r="D38" s="33">
        <f>IF(C38="ID",1,(IF(C38="PR",2,(IF(C38="DE",3,(IF(C38="RS",4,(IF(C38="RC",5,0)))))))))</f>
        <v>1</v>
      </c>
      <c r="E38" s="33" t="s">
        <v>339</v>
      </c>
      <c r="F38" s="33">
        <f>IF(E38="AM",1,(IF(E38="BE",2,(IF(E38="GV",3,(IF(E38="RA",4,(IF(E38="RM",5,(IF(E38="AC",1,(IF(E38="AT",2,(IF(E38="DS",3,(IF(E38="IP",4,(IF(E38="MA",5,(IF(E38="PT",6,(IF(E38="AE",1,(IF(E38="CM",2,(IF(E38="DP",3,(IF(E38="AN",1,(IF(E38="CO",2,(IF(E38="IM",3,(IF(E38="MI",4,(IF(E38="RP",5,(IF(E38="SC",6,0)))))))))))))))))))))))))))))))))))))))</f>
        <v>1</v>
      </c>
      <c r="G38" s="171">
        <v>3</v>
      </c>
      <c r="H38" s="38" t="s">
        <v>511</v>
      </c>
      <c r="I38" s="105" t="s">
        <v>821</v>
      </c>
      <c r="J38" s="150" t="s">
        <v>111</v>
      </c>
      <c r="K38" s="79" t="s">
        <v>1283</v>
      </c>
      <c r="L38" s="66">
        <f>IF(O38="","",N38*O38*M38)</f>
        <v>75</v>
      </c>
      <c r="M38" s="8">
        <v>1</v>
      </c>
      <c r="N38" s="3">
        <v>1</v>
      </c>
      <c r="O38" s="15">
        <f>IF(SUM(Q38:AF38)&lt;1,"",SUM(Q38:AF38)/COUNTIF(Q38:AF38,"&gt;0"))</f>
        <v>75</v>
      </c>
      <c r="P38" s="16"/>
      <c r="Q38" s="13"/>
      <c r="R38" s="4"/>
      <c r="S38" s="4"/>
      <c r="T38" s="4">
        <v>75</v>
      </c>
      <c r="Y38" s="4"/>
      <c r="AB38" s="4"/>
      <c r="AC38" s="4"/>
      <c r="AD38" s="4"/>
      <c r="AE38" s="4"/>
      <c r="AF38" s="14"/>
    </row>
    <row r="39" spans="1:32" s="2" customFormat="1" ht="15.75" customHeight="1" x14ac:dyDescent="0.25">
      <c r="A39" s="33" t="str">
        <f>CONCATENATE(D39,".",F39,"-",G39,".",H39,"")</f>
        <v>1.1-3.1</v>
      </c>
      <c r="B39" s="33" t="s">
        <v>814</v>
      </c>
      <c r="C39" s="41" t="s">
        <v>335</v>
      </c>
      <c r="D39" s="33">
        <f>IF(C39="ID",1,(IF(C39="PR",2,(IF(C39="DE",3,(IF(C39="RS",4,(IF(C39="RC",5,0)))))))))</f>
        <v>1</v>
      </c>
      <c r="E39" s="33" t="s">
        <v>339</v>
      </c>
      <c r="F39" s="33">
        <f>IF(E39="AM",1,(IF(E39="BE",2,(IF(E39="GV",3,(IF(E39="RA",4,(IF(E39="RM",5,(IF(E39="AC",1,(IF(E39="AT",2,(IF(E39="DS",3,(IF(E39="IP",4,(IF(E39="MA",5,(IF(E39="PT",6,(IF(E39="AE",1,(IF(E39="CM",2,(IF(E39="DP",3,(IF(E39="AN",1,(IF(E39="CO",2,(IF(E39="IM",3,(IF(E39="MI",4,(IF(E39="RP",5,(IF(E39="SC",6,0)))))))))))))))))))))))))))))))))))))))</f>
        <v>1</v>
      </c>
      <c r="G39" s="170">
        <v>3</v>
      </c>
      <c r="H39" s="38" t="s">
        <v>511</v>
      </c>
      <c r="I39" s="27" t="s">
        <v>266</v>
      </c>
      <c r="J39" s="149" t="s">
        <v>2</v>
      </c>
      <c r="K39" s="79" t="s">
        <v>1335</v>
      </c>
      <c r="L39" s="5">
        <f>IF(O39="","",N39*O39*M39)</f>
        <v>75</v>
      </c>
      <c r="M39" s="8">
        <v>1</v>
      </c>
      <c r="N39" s="1">
        <v>1</v>
      </c>
      <c r="O39" s="15">
        <f>IF(SUM(Q39:AF39)&lt;1,"",SUM(Q39:AF39)/COUNTIF(Q39:AF39,"&gt;0"))</f>
        <v>75</v>
      </c>
      <c r="P39" s="16"/>
      <c r="Q39" s="13"/>
      <c r="R39" s="4"/>
      <c r="S39" s="4"/>
      <c r="T39" s="4">
        <v>75</v>
      </c>
      <c r="Y39" s="4"/>
      <c r="AB39" s="4"/>
      <c r="AC39" s="4"/>
      <c r="AD39" s="4"/>
      <c r="AE39" s="4"/>
      <c r="AF39" s="14"/>
    </row>
    <row r="40" spans="1:32" s="2" customFormat="1" ht="15.75" customHeight="1" x14ac:dyDescent="0.25">
      <c r="A40" s="33" t="str">
        <f>CONCATENATE(D40,".",F40,"-",G40,".",H40,"")</f>
        <v>1.1-3.1</v>
      </c>
      <c r="B40" s="33" t="s">
        <v>814</v>
      </c>
      <c r="C40" s="39" t="s">
        <v>335</v>
      </c>
      <c r="D40" s="33">
        <f>IF(C40="ID",1,(IF(C40="PR",2,(IF(C40="DE",3,(IF(C40="RS",4,(IF(C40="RC",5,0)))))))))</f>
        <v>1</v>
      </c>
      <c r="E40" s="33" t="s">
        <v>339</v>
      </c>
      <c r="F40" s="33">
        <f>IF(E40="AM",1,(IF(E40="BE",2,(IF(E40="GV",3,(IF(E40="RA",4,(IF(E40="RM",5,(IF(E40="AC",1,(IF(E40="AT",2,(IF(E40="DS",3,(IF(E40="IP",4,(IF(E40="MA",5,(IF(E40="PT",6,(IF(E40="AE",1,(IF(E40="CM",2,(IF(E40="DP",3,(IF(E40="AN",1,(IF(E40="CO",2,(IF(E40="IM",3,(IF(E40="MI",4,(IF(E40="RP",5,(IF(E40="SC",6,0)))))))))))))))))))))))))))))))))))))))</f>
        <v>1</v>
      </c>
      <c r="G40" s="170">
        <v>3</v>
      </c>
      <c r="H40" s="38" t="s">
        <v>511</v>
      </c>
      <c r="I40" s="105" t="s">
        <v>1449</v>
      </c>
      <c r="J40" s="157" t="s">
        <v>1602</v>
      </c>
      <c r="K40" s="34" t="s">
        <v>1603</v>
      </c>
      <c r="L40" s="5">
        <f>IF(O40="","",N40*O40*M40)</f>
        <v>99</v>
      </c>
      <c r="M40" s="8">
        <v>1</v>
      </c>
      <c r="N40" s="1">
        <v>1</v>
      </c>
      <c r="O40" s="15">
        <f>IF(SUM(Q40:AF40)&lt;1,"",SUM(Q40:AF40)/COUNTIF(Q40:AF40,"&gt;0"))</f>
        <v>99</v>
      </c>
      <c r="P40" s="16"/>
      <c r="Q40" s="13"/>
      <c r="R40" s="4"/>
      <c r="S40" s="4"/>
      <c r="T40" s="4">
        <v>99</v>
      </c>
      <c r="Y40" s="4"/>
      <c r="AB40" s="4"/>
      <c r="AC40" s="4"/>
      <c r="AD40" s="4"/>
      <c r="AE40" s="4"/>
      <c r="AF40" s="14"/>
    </row>
    <row r="41" spans="1:32" s="2" customFormat="1" ht="15.75" customHeight="1" x14ac:dyDescent="0.25">
      <c r="A41" s="33" t="str">
        <f>CONCATENATE(D41,".",F41,"-",G41,".",H41,"")</f>
        <v>1.1-3.1</v>
      </c>
      <c r="B41" s="33" t="s">
        <v>814</v>
      </c>
      <c r="C41" s="39" t="s">
        <v>335</v>
      </c>
      <c r="D41" s="33">
        <f>IF(C41="ID",1,(IF(C41="PR",2,(IF(C41="DE",3,(IF(C41="RS",4,(IF(C41="RC",5,0)))))))))</f>
        <v>1</v>
      </c>
      <c r="E41" s="33" t="s">
        <v>339</v>
      </c>
      <c r="F41" s="33">
        <f>IF(E41="AM",1,(IF(E41="BE",2,(IF(E41="GV",3,(IF(E41="RA",4,(IF(E41="RM",5,(IF(E41="AC",1,(IF(E41="AT",2,(IF(E41="DS",3,(IF(E41="IP",4,(IF(E41="MA",5,(IF(E41="PT",6,(IF(E41="AE",1,(IF(E41="CM",2,(IF(E41="DP",3,(IF(E41="AN",1,(IF(E41="CO",2,(IF(E41="IM",3,(IF(E41="MI",4,(IF(E41="RP",5,(IF(E41="SC",6,0)))))))))))))))))))))))))))))))))))))))</f>
        <v>1</v>
      </c>
      <c r="G41" s="170">
        <v>3</v>
      </c>
      <c r="H41" s="38" t="s">
        <v>511</v>
      </c>
      <c r="I41" s="105" t="s">
        <v>1449</v>
      </c>
      <c r="J41" s="157" t="s">
        <v>1628</v>
      </c>
      <c r="K41" s="34" t="s">
        <v>1629</v>
      </c>
      <c r="L41" s="5">
        <f>IF(O41="","",N41*O41*M41)</f>
        <v>99</v>
      </c>
      <c r="M41" s="8">
        <v>1</v>
      </c>
      <c r="N41" s="1">
        <v>1</v>
      </c>
      <c r="O41" s="15">
        <f>IF(SUM(Q41:AF41)&lt;1,"",SUM(Q41:AF41)/COUNTIF(Q41:AF41,"&gt;0"))</f>
        <v>99</v>
      </c>
      <c r="P41" s="16"/>
      <c r="Q41" s="13"/>
      <c r="R41" s="4"/>
      <c r="S41" s="4"/>
      <c r="T41" s="4">
        <v>99</v>
      </c>
      <c r="Y41" s="4"/>
      <c r="AB41" s="4"/>
      <c r="AC41" s="4"/>
      <c r="AD41" s="4"/>
      <c r="AE41" s="4"/>
      <c r="AF41" s="14"/>
    </row>
    <row r="42" spans="1:32" s="2" customFormat="1" ht="15.75" customHeight="1" x14ac:dyDescent="0.25">
      <c r="A42" s="33" t="str">
        <f>CONCATENATE(D42,".",F42,"-",G42,".",H42,"")</f>
        <v>1.1-3.1</v>
      </c>
      <c r="B42" s="33" t="s">
        <v>814</v>
      </c>
      <c r="C42" s="39" t="s">
        <v>335</v>
      </c>
      <c r="D42" s="33">
        <f>IF(C42="ID",1,(IF(C42="PR",2,(IF(C42="DE",3,(IF(C42="RS",4,(IF(C42="RC",5,0)))))))))</f>
        <v>1</v>
      </c>
      <c r="E42" s="33" t="s">
        <v>339</v>
      </c>
      <c r="F42" s="33">
        <f>IF(E42="AM",1,(IF(E42="BE",2,(IF(E42="GV",3,(IF(E42="RA",4,(IF(E42="RM",5,(IF(E42="AC",1,(IF(E42="AT",2,(IF(E42="DS",3,(IF(E42="IP",4,(IF(E42="MA",5,(IF(E42="PT",6,(IF(E42="AE",1,(IF(E42="CM",2,(IF(E42="DP",3,(IF(E42="AN",1,(IF(E42="CO",2,(IF(E42="IM",3,(IF(E42="MI",4,(IF(E42="RP",5,(IF(E42="SC",6,0)))))))))))))))))))))))))))))))))))))))</f>
        <v>1</v>
      </c>
      <c r="G42" s="170">
        <v>3</v>
      </c>
      <c r="H42" s="38" t="s">
        <v>511</v>
      </c>
      <c r="I42" s="105" t="s">
        <v>1449</v>
      </c>
      <c r="J42" s="157" t="s">
        <v>1865</v>
      </c>
      <c r="K42" s="34" t="s">
        <v>1866</v>
      </c>
      <c r="L42" s="5">
        <f>IF(O42="","",N42*O42*M42)</f>
        <v>99</v>
      </c>
      <c r="M42" s="8">
        <v>1</v>
      </c>
      <c r="N42" s="1">
        <v>1</v>
      </c>
      <c r="O42" s="15">
        <f>IF(SUM(Q42:AF42)&lt;1,"",SUM(Q42:AF42)/COUNTIF(Q42:AF42,"&gt;0"))</f>
        <v>99</v>
      </c>
      <c r="P42" s="16"/>
      <c r="Q42" s="13"/>
      <c r="R42" s="4"/>
      <c r="S42" s="4"/>
      <c r="T42" s="4">
        <v>99</v>
      </c>
      <c r="Y42" s="4"/>
      <c r="AB42" s="4"/>
      <c r="AC42" s="4"/>
      <c r="AD42" s="4"/>
      <c r="AE42" s="4"/>
      <c r="AF42" s="14"/>
    </row>
    <row r="43" spans="1:32" s="2" customFormat="1" ht="15.75" customHeight="1" x14ac:dyDescent="0.25">
      <c r="A43" s="33" t="str">
        <f>CONCATENATE(D43,".",F43,"-",G43,".",H43,"")</f>
        <v>1.1-4.0</v>
      </c>
      <c r="B43" s="33" t="s">
        <v>814</v>
      </c>
      <c r="C43" s="40" t="s">
        <v>335</v>
      </c>
      <c r="D43" s="33">
        <f>IF(C43="ID",1,(IF(C43="PR",2,(IF(C43="DE",3,(IF(C43="RS",4,(IF(C43="RC",5,0)))))))))</f>
        <v>1</v>
      </c>
      <c r="E43" s="33" t="s">
        <v>339</v>
      </c>
      <c r="F43" s="33">
        <f>IF(E43="AM",1,(IF(E43="BE",2,(IF(E43="GV",3,(IF(E43="RA",4,(IF(E43="RM",5,(IF(E43="AC",1,(IF(E43="AT",2,(IF(E43="DS",3,(IF(E43="IP",4,(IF(E43="MA",5,(IF(E43="PT",6,(IF(E43="AE",1,(IF(E43="CM",2,(IF(E43="DP",3,(IF(E43="AN",1,(IF(E43="CO",2,(IF(E43="IM",3,(IF(E43="MI",4,(IF(E43="RP",5,(IF(E43="SC",6,0)))))))))))))))))))))))))))))))))))))))</f>
        <v>1</v>
      </c>
      <c r="G43" s="170">
        <v>4</v>
      </c>
      <c r="H43" s="38" t="s">
        <v>597</v>
      </c>
      <c r="I43" s="27" t="s">
        <v>1200</v>
      </c>
      <c r="J43" s="149" t="s">
        <v>607</v>
      </c>
      <c r="K43" s="97" t="s">
        <v>356</v>
      </c>
      <c r="L43" s="66">
        <f>IF(O43="","",N43*O43*M43)</f>
        <v>75</v>
      </c>
      <c r="M43" s="8">
        <v>1</v>
      </c>
      <c r="N43" s="1">
        <v>1</v>
      </c>
      <c r="O43" s="15">
        <f>IF(SUM(Q43:AF43)&lt;1,"",SUM(Q43:AF43)/COUNTIF(Q43:AF43,"&gt;0"))</f>
        <v>75</v>
      </c>
      <c r="P43" s="16"/>
      <c r="Q43" s="13"/>
      <c r="R43" s="4"/>
      <c r="S43" s="4"/>
      <c r="T43" s="4">
        <v>75</v>
      </c>
      <c r="Y43" s="4"/>
      <c r="AB43" s="4"/>
      <c r="AC43" s="4"/>
      <c r="AD43" s="4"/>
      <c r="AE43" s="4"/>
      <c r="AF43" s="14"/>
    </row>
    <row r="44" spans="1:32" s="2" customFormat="1" ht="15.75" customHeight="1" x14ac:dyDescent="0.25">
      <c r="A44" s="33" t="str">
        <f>CONCATENATE(D44,".",F44,"-",G44,".",H44,"")</f>
        <v>1.1-4.1</v>
      </c>
      <c r="B44" s="33" t="s">
        <v>814</v>
      </c>
      <c r="C44" s="39" t="s">
        <v>335</v>
      </c>
      <c r="D44" s="33">
        <f>IF(C44="ID",1,(IF(C44="PR",2,(IF(C44="DE",3,(IF(C44="RS",4,(IF(C44="RC",5,0)))))))))</f>
        <v>1</v>
      </c>
      <c r="E44" s="33" t="s">
        <v>339</v>
      </c>
      <c r="F44" s="33">
        <f>IF(E44="AM",1,(IF(E44="BE",2,(IF(E44="GV",3,(IF(E44="RA",4,(IF(E44="RM",5,(IF(E44="AC",1,(IF(E44="AT",2,(IF(E44="DS",3,(IF(E44="IP",4,(IF(E44="MA",5,(IF(E44="PT",6,(IF(E44="AE",1,(IF(E44="CM",2,(IF(E44="DP",3,(IF(E44="AN",1,(IF(E44="CO",2,(IF(E44="IM",3,(IF(E44="MI",4,(IF(E44="RP",5,(IF(E44="SC",6,0)))))))))))))))))))))))))))))))))))))))</f>
        <v>1</v>
      </c>
      <c r="G44" s="170">
        <v>4</v>
      </c>
      <c r="H44" s="38" t="s">
        <v>511</v>
      </c>
      <c r="I44" s="105" t="s">
        <v>821</v>
      </c>
      <c r="J44" s="150" t="s">
        <v>246</v>
      </c>
      <c r="K44" s="79" t="s">
        <v>1283</v>
      </c>
      <c r="L44" s="66">
        <f>IF(O44="","",N44*O44*M44)</f>
        <v>75</v>
      </c>
      <c r="M44" s="8">
        <v>1</v>
      </c>
      <c r="N44" s="3">
        <v>1</v>
      </c>
      <c r="O44" s="15">
        <f>IF(SUM(Q44:AF44)&lt;1,"",SUM(Q44:AF44)/COUNTIF(Q44:AF44,"&gt;0"))</f>
        <v>75</v>
      </c>
      <c r="P44" s="16"/>
      <c r="Q44" s="13"/>
      <c r="R44" s="4"/>
      <c r="S44" s="4"/>
      <c r="T44" s="4">
        <v>75</v>
      </c>
      <c r="Y44" s="4"/>
      <c r="AB44" s="4"/>
      <c r="AC44" s="4"/>
      <c r="AD44" s="4"/>
      <c r="AE44" s="4"/>
      <c r="AF44" s="14"/>
    </row>
    <row r="45" spans="1:32" s="2" customFormat="1" ht="15.75" customHeight="1" x14ac:dyDescent="0.25">
      <c r="A45" s="33" t="str">
        <f>CONCATENATE(D45,".",F45,"-",G45,".",H45,"")</f>
        <v>1.1-4.1</v>
      </c>
      <c r="B45" s="33" t="s">
        <v>814</v>
      </c>
      <c r="C45" s="39" t="s">
        <v>335</v>
      </c>
      <c r="D45" s="33">
        <f>IF(C45="ID",1,(IF(C45="PR",2,(IF(C45="DE",3,(IF(C45="RS",4,(IF(C45="RC",5,0)))))))))</f>
        <v>1</v>
      </c>
      <c r="E45" s="33" t="s">
        <v>339</v>
      </c>
      <c r="F45" s="33">
        <f>IF(E45="AM",1,(IF(E45="BE",2,(IF(E45="GV",3,(IF(E45="RA",4,(IF(E45="RM",5,(IF(E45="AC",1,(IF(E45="AT",2,(IF(E45="DS",3,(IF(E45="IP",4,(IF(E45="MA",5,(IF(E45="PT",6,(IF(E45="AE",1,(IF(E45="CM",2,(IF(E45="DP",3,(IF(E45="AN",1,(IF(E45="CO",2,(IF(E45="IM",3,(IF(E45="MI",4,(IF(E45="RP",5,(IF(E45="SC",6,0)))))))))))))))))))))))))))))))))))))))</f>
        <v>1</v>
      </c>
      <c r="G45" s="170">
        <v>4</v>
      </c>
      <c r="H45" s="38" t="s">
        <v>511</v>
      </c>
      <c r="I45" s="105" t="s">
        <v>1449</v>
      </c>
      <c r="J45" s="157" t="s">
        <v>2615</v>
      </c>
      <c r="K45" s="34" t="s">
        <v>2616</v>
      </c>
      <c r="L45" s="5">
        <f>IF(O45="","",N45*O45*M45)</f>
        <v>99</v>
      </c>
      <c r="M45" s="8">
        <v>1</v>
      </c>
      <c r="N45" s="1">
        <v>1</v>
      </c>
      <c r="O45" s="15">
        <f>IF(SUM(Q45:AF45)&lt;1,"",SUM(Q45:AF45)/COUNTIF(Q45:AF45,"&gt;0"))</f>
        <v>99</v>
      </c>
      <c r="P45" s="16"/>
      <c r="Q45" s="13"/>
      <c r="R45" s="4"/>
      <c r="S45" s="4"/>
      <c r="T45" s="4">
        <v>99</v>
      </c>
      <c r="Y45" s="4"/>
      <c r="AB45" s="4"/>
      <c r="AC45" s="4"/>
      <c r="AD45" s="4"/>
      <c r="AE45" s="4"/>
      <c r="AF45" s="14"/>
    </row>
    <row r="46" spans="1:32" s="2" customFormat="1" ht="15.75" customHeight="1" x14ac:dyDescent="0.25">
      <c r="A46" s="33" t="str">
        <f>CONCATENATE(D46,".",F46,"-",G46,".",H46,"")</f>
        <v>1.1-4.2</v>
      </c>
      <c r="B46" s="33" t="s">
        <v>814</v>
      </c>
      <c r="C46" s="41" t="s">
        <v>335</v>
      </c>
      <c r="D46" s="33">
        <f>IF(C46="ID",1,(IF(C46="PR",2,(IF(C46="DE",3,(IF(C46="RS",4,(IF(C46="RC",5,0)))))))))</f>
        <v>1</v>
      </c>
      <c r="E46" s="33" t="s">
        <v>339</v>
      </c>
      <c r="F46" s="33">
        <f>IF(E46="AM",1,(IF(E46="BE",2,(IF(E46="GV",3,(IF(E46="RA",4,(IF(E46="RM",5,(IF(E46="AC",1,(IF(E46="AT",2,(IF(E46="DS",3,(IF(E46="IP",4,(IF(E46="MA",5,(IF(E46="PT",6,(IF(E46="AE",1,(IF(E46="CM",2,(IF(E46="DP",3,(IF(E46="AN",1,(IF(E46="CO",2,(IF(E46="IM",3,(IF(E46="MI",4,(IF(E46="RP",5,(IF(E46="SC",6,0)))))))))))))))))))))))))))))))))))))))</f>
        <v>1</v>
      </c>
      <c r="G46" s="170">
        <v>4</v>
      </c>
      <c r="H46" s="38" t="s">
        <v>512</v>
      </c>
      <c r="I46" s="27" t="s">
        <v>266</v>
      </c>
      <c r="J46" s="149" t="s">
        <v>3</v>
      </c>
      <c r="K46" s="79" t="s">
        <v>1303</v>
      </c>
      <c r="L46" s="5">
        <f>IF(O46="","",N46*O46*M46)</f>
        <v>75</v>
      </c>
      <c r="M46" s="8">
        <v>1</v>
      </c>
      <c r="N46" s="1">
        <v>1</v>
      </c>
      <c r="O46" s="15">
        <f>IF(SUM(Q46:AF46)&lt;1,"",SUM(Q46:AF46)/COUNTIF(Q46:AF46,"&gt;0"))</f>
        <v>75</v>
      </c>
      <c r="P46" s="16"/>
      <c r="Q46" s="13"/>
      <c r="R46" s="4"/>
      <c r="S46" s="4"/>
      <c r="T46" s="4">
        <v>75</v>
      </c>
      <c r="Y46" s="4"/>
      <c r="AB46" s="4"/>
      <c r="AC46" s="4"/>
      <c r="AD46" s="4"/>
      <c r="AE46" s="4"/>
      <c r="AF46" s="14"/>
    </row>
    <row r="47" spans="1:32" s="2" customFormat="1" ht="15.75" customHeight="1" x14ac:dyDescent="0.25">
      <c r="A47" s="33" t="str">
        <f>CONCATENATE(D47,".",F47,"-",G47,".",H47,"")</f>
        <v>1.1-4.9</v>
      </c>
      <c r="B47" s="33" t="s">
        <v>814</v>
      </c>
      <c r="C47" s="39" t="s">
        <v>335</v>
      </c>
      <c r="D47" s="33">
        <f>IF(C47="ID",1,(IF(C47="PR",2,(IF(C47="DE",3,(IF(C47="RS",4,(IF(C47="RC",5,0)))))))))</f>
        <v>1</v>
      </c>
      <c r="E47" s="33" t="s">
        <v>339</v>
      </c>
      <c r="F47" s="33">
        <f>IF(E47="AM",1,(IF(E47="BE",2,(IF(E47="GV",3,(IF(E47="RA",4,(IF(E47="RM",5,(IF(E47="AC",1,(IF(E47="AT",2,(IF(E47="DS",3,(IF(E47="IP",4,(IF(E47="MA",5,(IF(E47="PT",6,(IF(E47="AE",1,(IF(E47="CM",2,(IF(E47="DP",3,(IF(E47="AN",1,(IF(E47="CO",2,(IF(E47="IM",3,(IF(E47="MI",4,(IF(E47="RP",5,(IF(E47="SC",6,0)))))))))))))))))))))))))))))))))))))))</f>
        <v>1</v>
      </c>
      <c r="G47" s="170">
        <v>4</v>
      </c>
      <c r="H47" s="38" t="s">
        <v>596</v>
      </c>
      <c r="I47" s="105" t="s">
        <v>1449</v>
      </c>
      <c r="J47" s="157" t="s">
        <v>2729</v>
      </c>
      <c r="K47" s="34" t="s">
        <v>2730</v>
      </c>
      <c r="L47" s="5">
        <f>IF(O47="","",N47*O47*M47)</f>
        <v>99</v>
      </c>
      <c r="M47" s="8">
        <v>1</v>
      </c>
      <c r="N47" s="1">
        <v>1</v>
      </c>
      <c r="O47" s="15">
        <f>IF(SUM(Q47:AF47)&lt;1,"",SUM(Q47:AF47)/COUNTIF(Q47:AF47,"&gt;0"))</f>
        <v>99</v>
      </c>
      <c r="P47" s="16"/>
      <c r="Q47" s="13"/>
      <c r="R47" s="4"/>
      <c r="S47" s="4"/>
      <c r="T47" s="4">
        <v>99</v>
      </c>
      <c r="Y47" s="4"/>
      <c r="AB47" s="4"/>
      <c r="AC47" s="4"/>
      <c r="AD47" s="4"/>
      <c r="AE47" s="4"/>
      <c r="AF47" s="14"/>
    </row>
    <row r="48" spans="1:32" s="2" customFormat="1" ht="15.75" customHeight="1" x14ac:dyDescent="0.25">
      <c r="A48" s="33" t="str">
        <f>CONCATENATE(D48,".",F48,"-",G48,".",H48,"")</f>
        <v>1.1-4.9</v>
      </c>
      <c r="B48" s="33" t="s">
        <v>814</v>
      </c>
      <c r="C48" s="39" t="s">
        <v>335</v>
      </c>
      <c r="D48" s="33">
        <f>IF(C48="ID",1,(IF(C48="PR",2,(IF(C48="DE",3,(IF(C48="RS",4,(IF(C48="RC",5,0)))))))))</f>
        <v>1</v>
      </c>
      <c r="E48" s="33" t="s">
        <v>339</v>
      </c>
      <c r="F48" s="33">
        <f>IF(E48="AM",1,(IF(E48="BE",2,(IF(E48="GV",3,(IF(E48="RA",4,(IF(E48="RM",5,(IF(E48="AC",1,(IF(E48="AT",2,(IF(E48="DS",3,(IF(E48="IP",4,(IF(E48="MA",5,(IF(E48="PT",6,(IF(E48="AE",1,(IF(E48="CM",2,(IF(E48="DP",3,(IF(E48="AN",1,(IF(E48="CO",2,(IF(E48="IM",3,(IF(E48="MI",4,(IF(E48="RP",5,(IF(E48="SC",6,0)))))))))))))))))))))))))))))))))))))))</f>
        <v>1</v>
      </c>
      <c r="G48" s="170">
        <v>4</v>
      </c>
      <c r="H48" s="38" t="s">
        <v>596</v>
      </c>
      <c r="I48" s="105" t="s">
        <v>1449</v>
      </c>
      <c r="J48" s="157" t="s">
        <v>2733</v>
      </c>
      <c r="K48" s="34" t="s">
        <v>2734</v>
      </c>
      <c r="L48" s="5">
        <f>IF(O48="","",N48*O48*M48)</f>
        <v>99</v>
      </c>
      <c r="M48" s="8">
        <v>1</v>
      </c>
      <c r="N48" s="1">
        <v>1</v>
      </c>
      <c r="O48" s="15">
        <f>IF(SUM(Q48:AF48)&lt;1,"",SUM(Q48:AF48)/COUNTIF(Q48:AF48,"&gt;0"))</f>
        <v>99</v>
      </c>
      <c r="P48" s="16"/>
      <c r="Q48" s="13"/>
      <c r="R48" s="4"/>
      <c r="S48" s="4"/>
      <c r="T48" s="4">
        <v>99</v>
      </c>
      <c r="Y48" s="4"/>
      <c r="AB48" s="4"/>
      <c r="AC48" s="4"/>
      <c r="AD48" s="4"/>
      <c r="AE48" s="4"/>
      <c r="AF48" s="14"/>
    </row>
    <row r="49" spans="1:32" s="2" customFormat="1" ht="15.75" customHeight="1" x14ac:dyDescent="0.25">
      <c r="A49" s="33" t="str">
        <f>CONCATENATE(D49,".",F49,"-",G49,".",H49,"")</f>
        <v>1.1-5.0</v>
      </c>
      <c r="B49" s="33" t="s">
        <v>814</v>
      </c>
      <c r="C49" s="40" t="s">
        <v>335</v>
      </c>
      <c r="D49" s="33">
        <f>IF(C49="ID",1,(IF(C49="PR",2,(IF(C49="DE",3,(IF(C49="RS",4,(IF(C49="RC",5,0)))))))))</f>
        <v>1</v>
      </c>
      <c r="E49" s="33" t="s">
        <v>339</v>
      </c>
      <c r="F49" s="33">
        <f>IF(E49="AM",1,(IF(E49="BE",2,(IF(E49="GV",3,(IF(E49="RA",4,(IF(E49="RM",5,(IF(E49="AC",1,(IF(E49="AT",2,(IF(E49="DS",3,(IF(E49="IP",4,(IF(E49="MA",5,(IF(E49="PT",6,(IF(E49="AE",1,(IF(E49="CM",2,(IF(E49="DP",3,(IF(E49="AN",1,(IF(E49="CO",2,(IF(E49="IM",3,(IF(E49="MI",4,(IF(E49="RP",5,(IF(E49="SC",6,0)))))))))))))))))))))))))))))))))))))))</f>
        <v>1</v>
      </c>
      <c r="G49" s="170">
        <v>5</v>
      </c>
      <c r="H49" s="38" t="s">
        <v>597</v>
      </c>
      <c r="I49" s="27" t="s">
        <v>1200</v>
      </c>
      <c r="J49" s="149" t="s">
        <v>608</v>
      </c>
      <c r="K49" s="97" t="s">
        <v>1201</v>
      </c>
      <c r="L49" s="66">
        <f>IF(O49="","",N49*O49*M49)</f>
        <v>75</v>
      </c>
      <c r="M49" s="8">
        <v>1</v>
      </c>
      <c r="N49" s="1">
        <v>1</v>
      </c>
      <c r="O49" s="15">
        <f>IF(SUM(Q49:AF49)&lt;1,"",SUM(Q49:AF49)/COUNTIF(Q49:AF49,"&gt;0"))</f>
        <v>75</v>
      </c>
      <c r="P49" s="16"/>
      <c r="Q49" s="13"/>
      <c r="R49" s="4"/>
      <c r="S49" s="4"/>
      <c r="T49" s="4">
        <v>75</v>
      </c>
      <c r="Y49" s="4"/>
      <c r="AB49" s="4"/>
      <c r="AC49" s="4"/>
      <c r="AD49" s="4"/>
      <c r="AE49" s="4"/>
      <c r="AF49" s="14"/>
    </row>
    <row r="50" spans="1:32" s="2" customFormat="1" ht="15.75" customHeight="1" x14ac:dyDescent="0.25">
      <c r="A50" s="33" t="str">
        <f>CONCATENATE(D50,".",F50,"-",G50,".",H50,"")</f>
        <v>1.1-5.0</v>
      </c>
      <c r="B50" s="33" t="s">
        <v>814</v>
      </c>
      <c r="C50" s="39" t="s">
        <v>335</v>
      </c>
      <c r="D50" s="33">
        <f>IF(C50="ID",1,(IF(C50="PR",2,(IF(C50="DE",3,(IF(C50="RS",4,(IF(C50="RC",5,0)))))))))</f>
        <v>1</v>
      </c>
      <c r="E50" s="33" t="s">
        <v>339</v>
      </c>
      <c r="F50" s="33">
        <f>IF(E50="AM",1,(IF(E50="BE",2,(IF(E50="GV",3,(IF(E50="RA",4,(IF(E50="RM",5,(IF(E50="AC",1,(IF(E50="AT",2,(IF(E50="DS",3,(IF(E50="IP",4,(IF(E50="MA",5,(IF(E50="PT",6,(IF(E50="AE",1,(IF(E50="CM",2,(IF(E50="DP",3,(IF(E50="AN",1,(IF(E50="CO",2,(IF(E50="IM",3,(IF(E50="MI",4,(IF(E50="RP",5,(IF(E50="SC",6,0)))))))))))))))))))))))))))))))))))))))</f>
        <v>1</v>
      </c>
      <c r="G50" s="171">
        <v>5</v>
      </c>
      <c r="H50" s="33">
        <v>0</v>
      </c>
      <c r="I50" s="27" t="s">
        <v>266</v>
      </c>
      <c r="J50" s="150" t="s">
        <v>325</v>
      </c>
      <c r="K50" s="79" t="s">
        <v>1341</v>
      </c>
      <c r="L50" s="5">
        <f>IF(O50="","",N50*O50*M50)</f>
        <v>75</v>
      </c>
      <c r="M50" s="8">
        <v>1</v>
      </c>
      <c r="N50" s="1">
        <v>1</v>
      </c>
      <c r="O50" s="15">
        <f>IF(SUM(Q50:AF50)&lt;1,"",SUM(Q50:AF50)/COUNTIF(Q50:AF50,"&gt;0"))</f>
        <v>75</v>
      </c>
      <c r="P50" s="16"/>
      <c r="Q50" s="13"/>
      <c r="R50" s="3"/>
      <c r="S50" s="3"/>
      <c r="T50" s="4">
        <v>75</v>
      </c>
      <c r="U50" s="3"/>
      <c r="V50" s="3"/>
      <c r="W50" s="3"/>
      <c r="X50" s="3"/>
      <c r="Y50" s="3"/>
      <c r="Z50" s="3"/>
      <c r="AA50" s="3"/>
      <c r="AB50" s="3"/>
      <c r="AC50" s="3"/>
      <c r="AD50" s="3"/>
      <c r="AE50" s="3"/>
      <c r="AF50" s="104"/>
    </row>
    <row r="51" spans="1:32" s="2" customFormat="1" ht="15.75" customHeight="1" x14ac:dyDescent="0.25">
      <c r="A51" s="33" t="str">
        <f>CONCATENATE(D51,".",F51,"-",G51,".",H51,"")</f>
        <v>1.1-5.1</v>
      </c>
      <c r="B51" s="33" t="s">
        <v>814</v>
      </c>
      <c r="C51" s="39" t="s">
        <v>335</v>
      </c>
      <c r="D51" s="33">
        <f>IF(C51="ID",1,(IF(C51="PR",2,(IF(C51="DE",3,(IF(C51="RS",4,(IF(C51="RC",5,0)))))))))</f>
        <v>1</v>
      </c>
      <c r="E51" s="33" t="s">
        <v>339</v>
      </c>
      <c r="F51" s="33">
        <f>IF(E51="AM",1,(IF(E51="BE",2,(IF(E51="GV",3,(IF(E51="RA",4,(IF(E51="RM",5,(IF(E51="AC",1,(IF(E51="AT",2,(IF(E51="DS",3,(IF(E51="IP",4,(IF(E51="MA",5,(IF(E51="PT",6,(IF(E51="AE",1,(IF(E51="CM",2,(IF(E51="DP",3,(IF(E51="AN",1,(IF(E51="CO",2,(IF(E51="IM",3,(IF(E51="MI",4,(IF(E51="RP",5,(IF(E51="SC",6,0)))))))))))))))))))))))))))))))))))))))</f>
        <v>1</v>
      </c>
      <c r="G51" s="170">
        <v>5</v>
      </c>
      <c r="H51" s="38" t="s">
        <v>511</v>
      </c>
      <c r="I51" s="35" t="s">
        <v>1176</v>
      </c>
      <c r="J51" s="162">
        <v>13.1</v>
      </c>
      <c r="K51" s="80" t="s">
        <v>1111</v>
      </c>
      <c r="L51" s="66">
        <f>IF(O51="","",N51*O51*M51)</f>
        <v>75</v>
      </c>
      <c r="M51" s="8">
        <v>1</v>
      </c>
      <c r="N51" s="3">
        <v>1</v>
      </c>
      <c r="O51" s="15">
        <f>IF(SUM(Q51:AF51)&lt;1,"",SUM(Q51:AF51)/COUNTIF(Q51:AF51,"&gt;0"))</f>
        <v>75</v>
      </c>
      <c r="P51" s="16"/>
      <c r="Q51" s="13"/>
      <c r="R51" s="4"/>
      <c r="S51" s="4"/>
      <c r="T51" s="4">
        <v>75</v>
      </c>
      <c r="Y51" s="4"/>
      <c r="AB51" s="4"/>
      <c r="AC51" s="4"/>
      <c r="AD51" s="4"/>
      <c r="AE51" s="4"/>
      <c r="AF51" s="14"/>
    </row>
    <row r="52" spans="1:32" s="2" customFormat="1" ht="15.75" customHeight="1" x14ac:dyDescent="0.25">
      <c r="A52" s="33" t="str">
        <f>CONCATENATE(D52,".",F52,"-",G52,".",H52,"")</f>
        <v>1.1-5.1</v>
      </c>
      <c r="B52" s="33" t="s">
        <v>814</v>
      </c>
      <c r="C52" s="40" t="s">
        <v>335</v>
      </c>
      <c r="D52" s="33">
        <f>IF(C52="ID",1,(IF(C52="PR",2,(IF(C52="DE",3,(IF(C52="RS",4,(IF(C52="RC",5,0)))))))))</f>
        <v>1</v>
      </c>
      <c r="E52" s="33" t="s">
        <v>339</v>
      </c>
      <c r="F52" s="33">
        <f>IF(E52="AM",1,(IF(E52="BE",2,(IF(E52="GV",3,(IF(E52="RA",4,(IF(E52="RM",5,(IF(E52="AC",1,(IF(E52="AT",2,(IF(E52="DS",3,(IF(E52="IP",4,(IF(E52="MA",5,(IF(E52="PT",6,(IF(E52="AE",1,(IF(E52="CM",2,(IF(E52="DP",3,(IF(E52="AN",1,(IF(E52="CO",2,(IF(E52="IM",3,(IF(E52="MI",4,(IF(E52="RP",5,(IF(E52="SC",6,0)))))))))))))))))))))))))))))))))))))))</f>
        <v>1</v>
      </c>
      <c r="G52" s="171">
        <v>5</v>
      </c>
      <c r="H52" s="38" t="s">
        <v>511</v>
      </c>
      <c r="I52" s="27" t="s">
        <v>936</v>
      </c>
      <c r="J52" s="163" t="s">
        <v>867</v>
      </c>
      <c r="K52" s="34" t="s">
        <v>991</v>
      </c>
      <c r="L52" s="66">
        <f>IF(O52="","",N52*O52*M52)</f>
        <v>75</v>
      </c>
      <c r="M52" s="8">
        <v>1</v>
      </c>
      <c r="N52" s="3">
        <v>1</v>
      </c>
      <c r="O52" s="15">
        <f>IF(SUM(Q52:AF52)&lt;1,"",SUM(Q52:AF52)/COUNTIF(Q52:AF52,"&gt;0"))</f>
        <v>75</v>
      </c>
      <c r="P52" s="16"/>
      <c r="Q52" s="13"/>
      <c r="R52" s="4"/>
      <c r="S52" s="4"/>
      <c r="T52" s="4">
        <v>75</v>
      </c>
      <c r="Y52" s="4"/>
      <c r="AB52" s="4"/>
      <c r="AC52" s="4"/>
      <c r="AD52" s="4"/>
      <c r="AE52" s="4"/>
      <c r="AF52" s="14"/>
    </row>
    <row r="53" spans="1:32" s="2" customFormat="1" ht="15.75" customHeight="1" x14ac:dyDescent="0.25">
      <c r="A53" s="33" t="str">
        <f>CONCATENATE(D53,".",F53,"-",G53,".",H53,"")</f>
        <v>1.1-5.1</v>
      </c>
      <c r="B53" s="33" t="s">
        <v>814</v>
      </c>
      <c r="C53" s="41" t="s">
        <v>335</v>
      </c>
      <c r="D53" s="33">
        <f>IF(C53="ID",1,(IF(C53="PR",2,(IF(C53="DE",3,(IF(C53="RS",4,(IF(C53="RC",5,0)))))))))</f>
        <v>1</v>
      </c>
      <c r="E53" s="33" t="s">
        <v>339</v>
      </c>
      <c r="F53" s="33">
        <f>IF(E53="AM",1,(IF(E53="BE",2,(IF(E53="GV",3,(IF(E53="RA",4,(IF(E53="RM",5,(IF(E53="AC",1,(IF(E53="AT",2,(IF(E53="DS",3,(IF(E53="IP",4,(IF(E53="MA",5,(IF(E53="PT",6,(IF(E53="AE",1,(IF(E53="CM",2,(IF(E53="DP",3,(IF(E53="AN",1,(IF(E53="CO",2,(IF(E53="IM",3,(IF(E53="MI",4,(IF(E53="RP",5,(IF(E53="SC",6,0)))))))))))))))))))))))))))))))))))))))</f>
        <v>1</v>
      </c>
      <c r="G53" s="170">
        <v>5</v>
      </c>
      <c r="H53" s="38" t="s">
        <v>511</v>
      </c>
      <c r="I53" s="27" t="s">
        <v>266</v>
      </c>
      <c r="J53" s="149" t="s">
        <v>295</v>
      </c>
      <c r="K53" s="79" t="s">
        <v>1423</v>
      </c>
      <c r="L53" s="5">
        <f>IF(O53="","",N53*O53*M53)</f>
        <v>75</v>
      </c>
      <c r="M53" s="8">
        <v>1</v>
      </c>
      <c r="N53" s="1">
        <v>1</v>
      </c>
      <c r="O53" s="15">
        <f>IF(SUM(Q53:AF53)&lt;1,"",SUM(Q53:AF53)/COUNTIF(Q53:AF53,"&gt;0"))</f>
        <v>75</v>
      </c>
      <c r="P53" s="16"/>
      <c r="Q53" s="13"/>
      <c r="R53" s="4"/>
      <c r="S53" s="4"/>
      <c r="T53" s="4">
        <v>75</v>
      </c>
      <c r="Y53" s="4"/>
      <c r="AB53" s="4"/>
      <c r="AC53" s="4"/>
      <c r="AD53" s="4"/>
      <c r="AE53" s="4"/>
      <c r="AF53" s="14"/>
    </row>
    <row r="54" spans="1:32" s="2" customFormat="1" ht="15.75" customHeight="1" x14ac:dyDescent="0.25">
      <c r="A54" s="33" t="str">
        <f>CONCATENATE(D54,".",F54,"-",G54,".",H54,"")</f>
        <v>1.1-5.1</v>
      </c>
      <c r="B54" s="33" t="s">
        <v>1232</v>
      </c>
      <c r="C54" s="40" t="s">
        <v>335</v>
      </c>
      <c r="D54" s="33">
        <f>IF(C54="ID",1,(IF(C54="PR",2,(IF(C54="DE",3,(IF(C54="RS",4,(IF(C54="RC",5,0)))))))))</f>
        <v>1</v>
      </c>
      <c r="E54" s="33" t="s">
        <v>339</v>
      </c>
      <c r="F54" s="33">
        <f>IF(E54="AM",1,(IF(E54="BE",2,(IF(E54="GV",3,(IF(E54="RA",4,(IF(E54="RM",5,(IF(E54="AC",1,(IF(E54="AT",2,(IF(E54="DS",3,(IF(E54="IP",4,(IF(E54="MA",5,(IF(E54="PT",6,(IF(E54="AE",1,(IF(E54="CM",2,(IF(E54="DP",3,(IF(E54="AN",1,(IF(E54="CO",2,(IF(E54="IM",3,(IF(E54="MI",4,(IF(E54="RP",5,(IF(E54="SC",6,0)))))))))))))))))))))))))))))))))))))))</f>
        <v>1</v>
      </c>
      <c r="G54" s="170">
        <v>5</v>
      </c>
      <c r="H54" s="38" t="s">
        <v>511</v>
      </c>
      <c r="I54" s="105" t="s">
        <v>821</v>
      </c>
      <c r="J54" s="150" t="s">
        <v>850</v>
      </c>
      <c r="K54" s="79" t="s">
        <v>1283</v>
      </c>
      <c r="L54" s="66">
        <f>IF(O54="","",N54*O54*M54)</f>
        <v>75</v>
      </c>
      <c r="M54" s="8">
        <v>1</v>
      </c>
      <c r="N54" s="3">
        <v>1</v>
      </c>
      <c r="O54" s="15">
        <f>IF(SUM(Q54:AF54)&lt;1,"",SUM(Q54:AF54)/COUNTIF(Q54:AF54,"&gt;0"))</f>
        <v>75</v>
      </c>
      <c r="P54" s="16"/>
      <c r="Q54" s="13"/>
      <c r="R54" s="4"/>
      <c r="S54" s="4"/>
      <c r="T54" s="4">
        <v>75</v>
      </c>
      <c r="Y54" s="4"/>
      <c r="AB54" s="4"/>
      <c r="AC54" s="4"/>
      <c r="AD54" s="4"/>
      <c r="AE54" s="4"/>
      <c r="AF54" s="14"/>
    </row>
    <row r="55" spans="1:32" s="2" customFormat="1" ht="15.75" customHeight="1" x14ac:dyDescent="0.25">
      <c r="A55" s="33" t="str">
        <f>CONCATENATE(D55,".",F55,"-",G55,".",H55,"")</f>
        <v>1.1-5.1</v>
      </c>
      <c r="B55" s="33" t="s">
        <v>1232</v>
      </c>
      <c r="C55" s="40" t="s">
        <v>335</v>
      </c>
      <c r="D55" s="33">
        <f>IF(C55="ID",1,(IF(C55="PR",2,(IF(C55="DE",3,(IF(C55="RS",4,(IF(C55="RC",5,0)))))))))</f>
        <v>1</v>
      </c>
      <c r="E55" s="33" t="s">
        <v>339</v>
      </c>
      <c r="F55" s="33">
        <f>IF(E55="AM",1,(IF(E55="BE",2,(IF(E55="GV",3,(IF(E55="RA",4,(IF(E55="RM",5,(IF(E55="AC",1,(IF(E55="AT",2,(IF(E55="DS",3,(IF(E55="IP",4,(IF(E55="MA",5,(IF(E55="PT",6,(IF(E55="AE",1,(IF(E55="CM",2,(IF(E55="DP",3,(IF(E55="AN",1,(IF(E55="CO",2,(IF(E55="IM",3,(IF(E55="MI",4,(IF(E55="RP",5,(IF(E55="SC",6,0)))))))))))))))))))))))))))))))))))))))</f>
        <v>1</v>
      </c>
      <c r="G55" s="170">
        <v>5</v>
      </c>
      <c r="H55" s="38" t="s">
        <v>511</v>
      </c>
      <c r="I55" s="105" t="s">
        <v>821</v>
      </c>
      <c r="J55" s="150" t="s">
        <v>851</v>
      </c>
      <c r="K55" s="79" t="s">
        <v>1283</v>
      </c>
      <c r="L55" s="66">
        <f>IF(O55="","",N55*O55*M55)</f>
        <v>75</v>
      </c>
      <c r="M55" s="8">
        <v>1</v>
      </c>
      <c r="N55" s="3">
        <v>1</v>
      </c>
      <c r="O55" s="15">
        <f>IF(SUM(Q55:AF55)&lt;1,"",SUM(Q55:AF55)/COUNTIF(Q55:AF55,"&gt;0"))</f>
        <v>75</v>
      </c>
      <c r="P55" s="16"/>
      <c r="Q55" s="13"/>
      <c r="R55" s="4"/>
      <c r="S55" s="4"/>
      <c r="T55" s="4">
        <v>75</v>
      </c>
      <c r="Y55" s="4"/>
      <c r="AB55" s="4"/>
      <c r="AC55" s="4"/>
      <c r="AD55" s="4"/>
      <c r="AE55" s="4"/>
      <c r="AF55" s="14"/>
    </row>
    <row r="56" spans="1:32" s="2" customFormat="1" ht="15.75" customHeight="1" x14ac:dyDescent="0.25">
      <c r="A56" s="33" t="str">
        <f>CONCATENATE(D56,".",F56,"-",G56,".",H56,"")</f>
        <v>1.1-5.1</v>
      </c>
      <c r="B56" s="33" t="s">
        <v>814</v>
      </c>
      <c r="C56" s="39" t="s">
        <v>335</v>
      </c>
      <c r="D56" s="33">
        <f>IF(C56="ID",1,(IF(C56="PR",2,(IF(C56="DE",3,(IF(C56="RS",4,(IF(C56="RC",5,0)))))))))</f>
        <v>1</v>
      </c>
      <c r="E56" s="33" t="s">
        <v>339</v>
      </c>
      <c r="F56" s="33">
        <f>IF(E56="AM",1,(IF(E56="BE",2,(IF(E56="GV",3,(IF(E56="RA",4,(IF(E56="RM",5,(IF(E56="AC",1,(IF(E56="AT",2,(IF(E56="DS",3,(IF(E56="IP",4,(IF(E56="MA",5,(IF(E56="PT",6,(IF(E56="AE",1,(IF(E56="CM",2,(IF(E56="DP",3,(IF(E56="AN",1,(IF(E56="CO",2,(IF(E56="IM",3,(IF(E56="MI",4,(IF(E56="RP",5,(IF(E56="SC",6,0)))))))))))))))))))))))))))))))))))))))</f>
        <v>1</v>
      </c>
      <c r="G56" s="170">
        <v>5</v>
      </c>
      <c r="H56" s="38" t="s">
        <v>511</v>
      </c>
      <c r="I56" s="105" t="s">
        <v>1449</v>
      </c>
      <c r="J56" s="157" t="s">
        <v>1464</v>
      </c>
      <c r="K56" s="34" t="s">
        <v>1465</v>
      </c>
      <c r="L56" s="5">
        <f>IF(O56="","",N56*O56*M56)</f>
        <v>99</v>
      </c>
      <c r="M56" s="8">
        <v>1</v>
      </c>
      <c r="N56" s="1">
        <v>1</v>
      </c>
      <c r="O56" s="15">
        <f>IF(SUM(Q56:AF56)&lt;1,"",SUM(Q56:AF56)/COUNTIF(Q56:AF56,"&gt;0"))</f>
        <v>99</v>
      </c>
      <c r="P56" s="16"/>
      <c r="Q56" s="13"/>
      <c r="R56" s="4"/>
      <c r="S56" s="4"/>
      <c r="T56" s="4">
        <v>99</v>
      </c>
      <c r="Y56" s="4"/>
      <c r="AB56" s="4"/>
      <c r="AC56" s="4"/>
      <c r="AD56" s="4"/>
      <c r="AE56" s="4"/>
      <c r="AF56" s="14"/>
    </row>
    <row r="57" spans="1:32" s="2" customFormat="1" ht="15.75" customHeight="1" x14ac:dyDescent="0.25">
      <c r="A57" s="33" t="str">
        <f>CONCATENATE(D57,".",F57,"-",G57,".",H57,"")</f>
        <v>1.1-5.1</v>
      </c>
      <c r="B57" s="33" t="s">
        <v>814</v>
      </c>
      <c r="C57" s="39" t="s">
        <v>335</v>
      </c>
      <c r="D57" s="33">
        <f>IF(C57="ID",1,(IF(C57="PR",2,(IF(C57="DE",3,(IF(C57="RS",4,(IF(C57="RC",5,0)))))))))</f>
        <v>1</v>
      </c>
      <c r="E57" s="33" t="s">
        <v>339</v>
      </c>
      <c r="F57" s="33">
        <f>IF(E57="AM",1,(IF(E57="BE",2,(IF(E57="GV",3,(IF(E57="RA",4,(IF(E57="RM",5,(IF(E57="AC",1,(IF(E57="AT",2,(IF(E57="DS",3,(IF(E57="IP",4,(IF(E57="MA",5,(IF(E57="PT",6,(IF(E57="AE",1,(IF(E57="CM",2,(IF(E57="DP",3,(IF(E57="AN",1,(IF(E57="CO",2,(IF(E57="IM",3,(IF(E57="MI",4,(IF(E57="RP",5,(IF(E57="SC",6,0)))))))))))))))))))))))))))))))))))))))</f>
        <v>1</v>
      </c>
      <c r="G57" s="170">
        <v>5</v>
      </c>
      <c r="H57" s="38" t="s">
        <v>511</v>
      </c>
      <c r="I57" s="105" t="s">
        <v>1449</v>
      </c>
      <c r="J57" s="157" t="s">
        <v>1472</v>
      </c>
      <c r="K57" s="34" t="s">
        <v>1473</v>
      </c>
      <c r="L57" s="5">
        <f>IF(O57="","",N57*O57*M57)</f>
        <v>99</v>
      </c>
      <c r="M57" s="8">
        <v>1</v>
      </c>
      <c r="N57" s="1">
        <v>1</v>
      </c>
      <c r="O57" s="15">
        <f>IF(SUM(Q57:AF57)&lt;1,"",SUM(Q57:AF57)/COUNTIF(Q57:AF57,"&gt;0"))</f>
        <v>99</v>
      </c>
      <c r="P57" s="16"/>
      <c r="Q57" s="13"/>
      <c r="R57" s="4"/>
      <c r="S57" s="4"/>
      <c r="T57" s="4">
        <v>99</v>
      </c>
      <c r="Y57" s="4"/>
      <c r="AB57" s="4"/>
      <c r="AC57" s="4"/>
      <c r="AD57" s="4"/>
      <c r="AE57" s="4"/>
      <c r="AF57" s="14"/>
    </row>
    <row r="58" spans="1:32" s="2" customFormat="1" ht="15.75" customHeight="1" x14ac:dyDescent="0.25">
      <c r="A58" s="33" t="str">
        <f>CONCATENATE(D58,".",F58,"-",G58,".",H58,"")</f>
        <v>1.1-5.1</v>
      </c>
      <c r="B58" s="33" t="s">
        <v>814</v>
      </c>
      <c r="C58" s="39" t="s">
        <v>335</v>
      </c>
      <c r="D58" s="33">
        <f>IF(C58="ID",1,(IF(C58="PR",2,(IF(C58="DE",3,(IF(C58="RS",4,(IF(C58="RC",5,0)))))))))</f>
        <v>1</v>
      </c>
      <c r="E58" s="33" t="s">
        <v>339</v>
      </c>
      <c r="F58" s="33">
        <f>IF(E58="AM",1,(IF(E58="BE",2,(IF(E58="GV",3,(IF(E58="RA",4,(IF(E58="RM",5,(IF(E58="AC",1,(IF(E58="AT",2,(IF(E58="DS",3,(IF(E58="IP",4,(IF(E58="MA",5,(IF(E58="PT",6,(IF(E58="AE",1,(IF(E58="CM",2,(IF(E58="DP",3,(IF(E58="AN",1,(IF(E58="CO",2,(IF(E58="IM",3,(IF(E58="MI",4,(IF(E58="RP",5,(IF(E58="SC",6,0)))))))))))))))))))))))))))))))))))))))</f>
        <v>1</v>
      </c>
      <c r="G58" s="170">
        <v>5</v>
      </c>
      <c r="H58" s="38" t="s">
        <v>511</v>
      </c>
      <c r="I58" s="105" t="s">
        <v>1449</v>
      </c>
      <c r="J58" s="157" t="s">
        <v>1476</v>
      </c>
      <c r="K58" s="34" t="s">
        <v>1477</v>
      </c>
      <c r="L58" s="5">
        <f>IF(O58="","",N58*O58*M58)</f>
        <v>99</v>
      </c>
      <c r="M58" s="8">
        <v>1</v>
      </c>
      <c r="N58" s="1">
        <v>1</v>
      </c>
      <c r="O58" s="15">
        <f>IF(SUM(Q58:AF58)&lt;1,"",SUM(Q58:AF58)/COUNTIF(Q58:AF58,"&gt;0"))</f>
        <v>99</v>
      </c>
      <c r="P58" s="16"/>
      <c r="Q58" s="13"/>
      <c r="R58" s="4"/>
      <c r="S58" s="4"/>
      <c r="T58" s="4">
        <v>99</v>
      </c>
      <c r="Y58" s="4"/>
      <c r="AB58" s="4"/>
      <c r="AC58" s="4"/>
      <c r="AD58" s="4"/>
      <c r="AE58" s="4"/>
      <c r="AF58" s="14"/>
    </row>
    <row r="59" spans="1:32" s="2" customFormat="1" ht="15.75" customHeight="1" x14ac:dyDescent="0.25">
      <c r="A59" s="33" t="str">
        <f>CONCATENATE(D59,".",F59,"-",G59,".",H59,"")</f>
        <v>1.1-5.1</v>
      </c>
      <c r="B59" s="33" t="s">
        <v>814</v>
      </c>
      <c r="C59" s="39" t="s">
        <v>335</v>
      </c>
      <c r="D59" s="33">
        <f>IF(C59="ID",1,(IF(C59="PR",2,(IF(C59="DE",3,(IF(C59="RS",4,(IF(C59="RC",5,0)))))))))</f>
        <v>1</v>
      </c>
      <c r="E59" s="33" t="s">
        <v>339</v>
      </c>
      <c r="F59" s="33">
        <f>IF(E59="AM",1,(IF(E59="BE",2,(IF(E59="GV",3,(IF(E59="RA",4,(IF(E59="RM",5,(IF(E59="AC",1,(IF(E59="AT",2,(IF(E59="DS",3,(IF(E59="IP",4,(IF(E59="MA",5,(IF(E59="PT",6,(IF(E59="AE",1,(IF(E59="CM",2,(IF(E59="DP",3,(IF(E59="AN",1,(IF(E59="CO",2,(IF(E59="IM",3,(IF(E59="MI",4,(IF(E59="RP",5,(IF(E59="SC",6,0)))))))))))))))))))))))))))))))))))))))</f>
        <v>1</v>
      </c>
      <c r="G59" s="170">
        <v>5</v>
      </c>
      <c r="H59" s="38" t="s">
        <v>511</v>
      </c>
      <c r="I59" s="105" t="s">
        <v>1449</v>
      </c>
      <c r="J59" s="157" t="s">
        <v>1480</v>
      </c>
      <c r="K59" s="34" t="s">
        <v>1481</v>
      </c>
      <c r="L59" s="5">
        <f>IF(O59="","",N59*O59*M59)</f>
        <v>99</v>
      </c>
      <c r="M59" s="8">
        <v>1</v>
      </c>
      <c r="N59" s="1">
        <v>1</v>
      </c>
      <c r="O59" s="15">
        <f>IF(SUM(Q59:AF59)&lt;1,"",SUM(Q59:AF59)/COUNTIF(Q59:AF59,"&gt;0"))</f>
        <v>99</v>
      </c>
      <c r="P59" s="16"/>
      <c r="Q59" s="13"/>
      <c r="R59" s="4"/>
      <c r="S59" s="4"/>
      <c r="T59" s="4">
        <v>99</v>
      </c>
      <c r="Y59" s="4"/>
      <c r="AB59" s="4"/>
      <c r="AC59" s="4"/>
      <c r="AD59" s="4"/>
      <c r="AE59" s="4"/>
      <c r="AF59" s="14"/>
    </row>
    <row r="60" spans="1:32" s="2" customFormat="1" ht="15.75" customHeight="1" x14ac:dyDescent="0.25">
      <c r="A60" s="33" t="str">
        <f>CONCATENATE(D60,".",F60,"-",G60,".",H60,"")</f>
        <v>1.1-5.1</v>
      </c>
      <c r="B60" s="33" t="s">
        <v>814</v>
      </c>
      <c r="C60" s="39" t="s">
        <v>335</v>
      </c>
      <c r="D60" s="33">
        <f>IF(C60="ID",1,(IF(C60="PR",2,(IF(C60="DE",3,(IF(C60="RS",4,(IF(C60="RC",5,0)))))))))</f>
        <v>1</v>
      </c>
      <c r="E60" s="33" t="s">
        <v>339</v>
      </c>
      <c r="F60" s="33">
        <f>IF(E60="AM",1,(IF(E60="BE",2,(IF(E60="GV",3,(IF(E60="RA",4,(IF(E60="RM",5,(IF(E60="AC",1,(IF(E60="AT",2,(IF(E60="DS",3,(IF(E60="IP",4,(IF(E60="MA",5,(IF(E60="PT",6,(IF(E60="AE",1,(IF(E60="CM",2,(IF(E60="DP",3,(IF(E60="AN",1,(IF(E60="CO",2,(IF(E60="IM",3,(IF(E60="MI",4,(IF(E60="RP",5,(IF(E60="SC",6,0)))))))))))))))))))))))))))))))))))))))</f>
        <v>1</v>
      </c>
      <c r="G60" s="170">
        <v>5</v>
      </c>
      <c r="H60" s="38" t="s">
        <v>511</v>
      </c>
      <c r="I60" s="105" t="s">
        <v>1449</v>
      </c>
      <c r="J60" s="157" t="s">
        <v>1510</v>
      </c>
      <c r="K60" s="34" t="s">
        <v>1511</v>
      </c>
      <c r="L60" s="5">
        <f>IF(O60="","",N60*O60*M60)</f>
        <v>99</v>
      </c>
      <c r="M60" s="8">
        <v>1</v>
      </c>
      <c r="N60" s="1">
        <v>1</v>
      </c>
      <c r="O60" s="15">
        <f>IF(SUM(Q60:AF60)&lt;1,"",SUM(Q60:AF60)/COUNTIF(Q60:AF60,"&gt;0"))</f>
        <v>99</v>
      </c>
      <c r="P60" s="16"/>
      <c r="Q60" s="13"/>
      <c r="R60" s="4"/>
      <c r="S60" s="4"/>
      <c r="T60" s="4">
        <v>99</v>
      </c>
      <c r="Y60" s="4"/>
      <c r="AB60" s="4"/>
      <c r="AC60" s="4"/>
      <c r="AD60" s="4"/>
      <c r="AE60" s="4"/>
      <c r="AF60" s="14"/>
    </row>
    <row r="61" spans="1:32" s="2" customFormat="1" ht="15.75" customHeight="1" x14ac:dyDescent="0.25">
      <c r="A61" s="33" t="str">
        <f>CONCATENATE(D61,".",F61,"-",G61,".",H61,"")</f>
        <v>1.1-5.1</v>
      </c>
      <c r="B61" s="33" t="s">
        <v>814</v>
      </c>
      <c r="C61" s="39" t="s">
        <v>335</v>
      </c>
      <c r="D61" s="33">
        <f>IF(C61="ID",1,(IF(C61="PR",2,(IF(C61="DE",3,(IF(C61="RS",4,(IF(C61="RC",5,0)))))))))</f>
        <v>1</v>
      </c>
      <c r="E61" s="33" t="s">
        <v>339</v>
      </c>
      <c r="F61" s="33">
        <f>IF(E61="AM",1,(IF(E61="BE",2,(IF(E61="GV",3,(IF(E61="RA",4,(IF(E61="RM",5,(IF(E61="AC",1,(IF(E61="AT",2,(IF(E61="DS",3,(IF(E61="IP",4,(IF(E61="MA",5,(IF(E61="PT",6,(IF(E61="AE",1,(IF(E61="CM",2,(IF(E61="DP",3,(IF(E61="AN",1,(IF(E61="CO",2,(IF(E61="IM",3,(IF(E61="MI",4,(IF(E61="RP",5,(IF(E61="SC",6,0)))))))))))))))))))))))))))))))))))))))</f>
        <v>1</v>
      </c>
      <c r="G61" s="170">
        <v>5</v>
      </c>
      <c r="H61" s="38" t="s">
        <v>511</v>
      </c>
      <c r="I61" s="105" t="s">
        <v>1449</v>
      </c>
      <c r="J61" s="157" t="s">
        <v>1550</v>
      </c>
      <c r="K61" s="34" t="s">
        <v>1551</v>
      </c>
      <c r="L61" s="5">
        <f>IF(O61="","",N61*O61*M61)</f>
        <v>99</v>
      </c>
      <c r="M61" s="8">
        <v>1</v>
      </c>
      <c r="N61" s="1">
        <v>1</v>
      </c>
      <c r="O61" s="15">
        <f>IF(SUM(Q61:AF61)&lt;1,"",SUM(Q61:AF61)/COUNTIF(Q61:AF61,"&gt;0"))</f>
        <v>99</v>
      </c>
      <c r="P61" s="16"/>
      <c r="Q61" s="13"/>
      <c r="R61" s="4"/>
      <c r="S61" s="4"/>
      <c r="T61" s="4">
        <v>99</v>
      </c>
      <c r="Y61" s="4"/>
      <c r="AB61" s="4"/>
      <c r="AC61" s="4"/>
      <c r="AD61" s="4"/>
      <c r="AE61" s="4"/>
      <c r="AF61" s="14"/>
    </row>
    <row r="62" spans="1:32" s="2" customFormat="1" ht="15.75" customHeight="1" x14ac:dyDescent="0.25">
      <c r="A62" s="33" t="str">
        <f>CONCATENATE(D62,".",F62,"-",G62,".",H62,"")</f>
        <v>1.1-5.1</v>
      </c>
      <c r="B62" s="33" t="s">
        <v>814</v>
      </c>
      <c r="C62" s="39" t="s">
        <v>335</v>
      </c>
      <c r="D62" s="33">
        <f>IF(C62="ID",1,(IF(C62="PR",2,(IF(C62="DE",3,(IF(C62="RS",4,(IF(C62="RC",5,0)))))))))</f>
        <v>1</v>
      </c>
      <c r="E62" s="33" t="s">
        <v>339</v>
      </c>
      <c r="F62" s="33">
        <f>IF(E62="AM",1,(IF(E62="BE",2,(IF(E62="GV",3,(IF(E62="RA",4,(IF(E62="RM",5,(IF(E62="AC",1,(IF(E62="AT",2,(IF(E62="DS",3,(IF(E62="IP",4,(IF(E62="MA",5,(IF(E62="PT",6,(IF(E62="AE",1,(IF(E62="CM",2,(IF(E62="DP",3,(IF(E62="AN",1,(IF(E62="CO",2,(IF(E62="IM",3,(IF(E62="MI",4,(IF(E62="RP",5,(IF(E62="SC",6,0)))))))))))))))))))))))))))))))))))))))</f>
        <v>1</v>
      </c>
      <c r="G62" s="170">
        <v>5</v>
      </c>
      <c r="H62" s="38" t="s">
        <v>511</v>
      </c>
      <c r="I62" s="105" t="s">
        <v>1449</v>
      </c>
      <c r="J62" s="157" t="s">
        <v>1556</v>
      </c>
      <c r="K62" s="34" t="s">
        <v>1557</v>
      </c>
      <c r="L62" s="5">
        <f>IF(O62="","",N62*O62*M62)</f>
        <v>99</v>
      </c>
      <c r="M62" s="8">
        <v>1</v>
      </c>
      <c r="N62" s="1">
        <v>1</v>
      </c>
      <c r="O62" s="15">
        <f>IF(SUM(Q62:AF62)&lt;1,"",SUM(Q62:AF62)/COUNTIF(Q62:AF62,"&gt;0"))</f>
        <v>99</v>
      </c>
      <c r="P62" s="16"/>
      <c r="Q62" s="13"/>
      <c r="R62" s="4"/>
      <c r="S62" s="4"/>
      <c r="T62" s="4">
        <v>99</v>
      </c>
      <c r="Y62" s="4"/>
      <c r="AB62" s="4"/>
      <c r="AC62" s="4"/>
      <c r="AD62" s="4"/>
      <c r="AE62" s="4"/>
      <c r="AF62" s="14"/>
    </row>
    <row r="63" spans="1:32" s="2" customFormat="1" ht="15.75" customHeight="1" x14ac:dyDescent="0.25">
      <c r="A63" s="33" t="str">
        <f>CONCATENATE(D63,".",F63,"-",G63,".",H63,"")</f>
        <v>1.1-5.1</v>
      </c>
      <c r="B63" s="33" t="s">
        <v>814</v>
      </c>
      <c r="C63" s="39" t="s">
        <v>335</v>
      </c>
      <c r="D63" s="33">
        <f>IF(C63="ID",1,(IF(C63="PR",2,(IF(C63="DE",3,(IF(C63="RS",4,(IF(C63="RC",5,0)))))))))</f>
        <v>1</v>
      </c>
      <c r="E63" s="33" t="s">
        <v>339</v>
      </c>
      <c r="F63" s="33">
        <f>IF(E63="AM",1,(IF(E63="BE",2,(IF(E63="GV",3,(IF(E63="RA",4,(IF(E63="RM",5,(IF(E63="AC",1,(IF(E63="AT",2,(IF(E63="DS",3,(IF(E63="IP",4,(IF(E63="MA",5,(IF(E63="PT",6,(IF(E63="AE",1,(IF(E63="CM",2,(IF(E63="DP",3,(IF(E63="AN",1,(IF(E63="CO",2,(IF(E63="IM",3,(IF(E63="MI",4,(IF(E63="RP",5,(IF(E63="SC",6,0)))))))))))))))))))))))))))))))))))))))</f>
        <v>1</v>
      </c>
      <c r="G63" s="170">
        <v>5</v>
      </c>
      <c r="H63" s="38" t="s">
        <v>511</v>
      </c>
      <c r="I63" s="105" t="s">
        <v>1449</v>
      </c>
      <c r="J63" s="157" t="s">
        <v>1604</v>
      </c>
      <c r="K63" s="34" t="s">
        <v>1605</v>
      </c>
      <c r="L63" s="5">
        <f>IF(O63="","",N63*O63*M63)</f>
        <v>99</v>
      </c>
      <c r="M63" s="8">
        <v>1</v>
      </c>
      <c r="N63" s="1">
        <v>1</v>
      </c>
      <c r="O63" s="15">
        <f>IF(SUM(Q63:AF63)&lt;1,"",SUM(Q63:AF63)/COUNTIF(Q63:AF63,"&gt;0"))</f>
        <v>99</v>
      </c>
      <c r="P63" s="16"/>
      <c r="Q63" s="13"/>
      <c r="R63" s="4"/>
      <c r="S63" s="4"/>
      <c r="T63" s="4">
        <v>99</v>
      </c>
      <c r="Y63" s="4"/>
      <c r="AB63" s="4"/>
      <c r="AC63" s="4"/>
      <c r="AD63" s="4"/>
      <c r="AE63" s="4"/>
      <c r="AF63" s="14"/>
    </row>
    <row r="64" spans="1:32" s="2" customFormat="1" ht="15.75" customHeight="1" x14ac:dyDescent="0.25">
      <c r="A64" s="33" t="str">
        <f>CONCATENATE(D64,".",F64,"-",G64,".",H64,"")</f>
        <v>1.1-5.1</v>
      </c>
      <c r="B64" s="33" t="s">
        <v>814</v>
      </c>
      <c r="C64" s="39" t="s">
        <v>335</v>
      </c>
      <c r="D64" s="33">
        <f>IF(C64="ID",1,(IF(C64="PR",2,(IF(C64="DE",3,(IF(C64="RS",4,(IF(C64="RC",5,0)))))))))</f>
        <v>1</v>
      </c>
      <c r="E64" s="33" t="s">
        <v>339</v>
      </c>
      <c r="F64" s="33">
        <f>IF(E64="AM",1,(IF(E64="BE",2,(IF(E64="GV",3,(IF(E64="RA",4,(IF(E64="RM",5,(IF(E64="AC",1,(IF(E64="AT",2,(IF(E64="DS",3,(IF(E64="IP",4,(IF(E64="MA",5,(IF(E64="PT",6,(IF(E64="AE",1,(IF(E64="CM",2,(IF(E64="DP",3,(IF(E64="AN",1,(IF(E64="CO",2,(IF(E64="IM",3,(IF(E64="MI",4,(IF(E64="RP",5,(IF(E64="SC",6,0)))))))))))))))))))))))))))))))))))))))</f>
        <v>1</v>
      </c>
      <c r="G64" s="170">
        <v>5</v>
      </c>
      <c r="H64" s="38" t="s">
        <v>511</v>
      </c>
      <c r="I64" s="105" t="s">
        <v>1449</v>
      </c>
      <c r="J64" s="157" t="s">
        <v>2001</v>
      </c>
      <c r="K64" s="34" t="s">
        <v>2002</v>
      </c>
      <c r="L64" s="5">
        <f>IF(O64="","",N64*O64*M64)</f>
        <v>99</v>
      </c>
      <c r="M64" s="8">
        <v>1</v>
      </c>
      <c r="N64" s="1">
        <v>1</v>
      </c>
      <c r="O64" s="15">
        <f>IF(SUM(Q64:AF64)&lt;1,"",SUM(Q64:AF64)/COUNTIF(Q64:AF64,"&gt;0"))</f>
        <v>99</v>
      </c>
      <c r="P64" s="16"/>
      <c r="Q64" s="13"/>
      <c r="R64" s="4"/>
      <c r="S64" s="4"/>
      <c r="T64" s="4">
        <v>99</v>
      </c>
      <c r="Y64" s="4"/>
      <c r="AB64" s="4"/>
      <c r="AC64" s="4"/>
      <c r="AD64" s="4"/>
      <c r="AE64" s="4"/>
      <c r="AF64" s="14"/>
    </row>
    <row r="65" spans="1:32" s="2" customFormat="1" ht="15.75" customHeight="1" x14ac:dyDescent="0.25">
      <c r="A65" s="33" t="str">
        <f>CONCATENATE(D65,".",F65,"-",G65,".",H65,"")</f>
        <v>1.1-5.1</v>
      </c>
      <c r="B65" s="33" t="s">
        <v>814</v>
      </c>
      <c r="C65" s="39" t="s">
        <v>335</v>
      </c>
      <c r="D65" s="33">
        <f>IF(C65="ID",1,(IF(C65="PR",2,(IF(C65="DE",3,(IF(C65="RS",4,(IF(C65="RC",5,0)))))))))</f>
        <v>1</v>
      </c>
      <c r="E65" s="33" t="s">
        <v>339</v>
      </c>
      <c r="F65" s="33">
        <f>IF(E65="AM",1,(IF(E65="BE",2,(IF(E65="GV",3,(IF(E65="RA",4,(IF(E65="RM",5,(IF(E65="AC",1,(IF(E65="AT",2,(IF(E65="DS",3,(IF(E65="IP",4,(IF(E65="MA",5,(IF(E65="PT",6,(IF(E65="AE",1,(IF(E65="CM",2,(IF(E65="DP",3,(IF(E65="AN",1,(IF(E65="CO",2,(IF(E65="IM",3,(IF(E65="MI",4,(IF(E65="RP",5,(IF(E65="SC",6,0)))))))))))))))))))))))))))))))))))))))</f>
        <v>1</v>
      </c>
      <c r="G65" s="170">
        <v>5</v>
      </c>
      <c r="H65" s="38" t="s">
        <v>511</v>
      </c>
      <c r="I65" s="105" t="s">
        <v>1449</v>
      </c>
      <c r="J65" s="157" t="s">
        <v>2545</v>
      </c>
      <c r="K65" s="34" t="s">
        <v>2546</v>
      </c>
      <c r="L65" s="5">
        <f>IF(O65="","",N65*O65*M65)</f>
        <v>99</v>
      </c>
      <c r="M65" s="8">
        <v>1</v>
      </c>
      <c r="N65" s="1">
        <v>1</v>
      </c>
      <c r="O65" s="15">
        <f>IF(SUM(Q65:AF65)&lt;1,"",SUM(Q65:AF65)/COUNTIF(Q65:AF65,"&gt;0"))</f>
        <v>99</v>
      </c>
      <c r="P65" s="16"/>
      <c r="Q65" s="13"/>
      <c r="R65" s="4"/>
      <c r="S65" s="4"/>
      <c r="T65" s="4">
        <v>99</v>
      </c>
      <c r="Y65" s="4"/>
      <c r="AB65" s="4"/>
      <c r="AC65" s="4"/>
      <c r="AD65" s="4"/>
      <c r="AE65" s="4"/>
      <c r="AF65" s="14"/>
    </row>
    <row r="66" spans="1:32" s="2" customFormat="1" ht="15.75" customHeight="1" x14ac:dyDescent="0.25">
      <c r="A66" s="33" t="str">
        <f>CONCATENATE(D66,".",F66,"-",G66,".",H66,"")</f>
        <v>1.1-5.1</v>
      </c>
      <c r="B66" s="33" t="s">
        <v>814</v>
      </c>
      <c r="C66" s="39" t="s">
        <v>335</v>
      </c>
      <c r="D66" s="33">
        <f>IF(C66="ID",1,(IF(C66="PR",2,(IF(C66="DE",3,(IF(C66="RS",4,(IF(C66="RC",5,0)))))))))</f>
        <v>1</v>
      </c>
      <c r="E66" s="33" t="s">
        <v>339</v>
      </c>
      <c r="F66" s="33">
        <f>IF(E66="AM",1,(IF(E66="BE",2,(IF(E66="GV",3,(IF(E66="RA",4,(IF(E66="RM",5,(IF(E66="AC",1,(IF(E66="AT",2,(IF(E66="DS",3,(IF(E66="IP",4,(IF(E66="MA",5,(IF(E66="PT",6,(IF(E66="AE",1,(IF(E66="CM",2,(IF(E66="DP",3,(IF(E66="AN",1,(IF(E66="CO",2,(IF(E66="IM",3,(IF(E66="MI",4,(IF(E66="RP",5,(IF(E66="SC",6,0)))))))))))))))))))))))))))))))))))))))</f>
        <v>1</v>
      </c>
      <c r="G66" s="170">
        <v>5</v>
      </c>
      <c r="H66" s="38" t="s">
        <v>511</v>
      </c>
      <c r="I66" s="105" t="s">
        <v>1449</v>
      </c>
      <c r="J66" s="157" t="s">
        <v>2691</v>
      </c>
      <c r="K66" s="34" t="s">
        <v>2692</v>
      </c>
      <c r="L66" s="5">
        <f>IF(O66="","",N66*O66*M66)</f>
        <v>99</v>
      </c>
      <c r="M66" s="8">
        <v>1</v>
      </c>
      <c r="N66" s="1">
        <v>1</v>
      </c>
      <c r="O66" s="15">
        <f>IF(SUM(Q66:AF66)&lt;1,"",SUM(Q66:AF66)/COUNTIF(Q66:AF66,"&gt;0"))</f>
        <v>99</v>
      </c>
      <c r="P66" s="16"/>
      <c r="Q66" s="13"/>
      <c r="R66" s="4"/>
      <c r="S66" s="4"/>
      <c r="T66" s="4">
        <v>99</v>
      </c>
      <c r="Y66" s="4"/>
      <c r="AB66" s="4"/>
      <c r="AC66" s="4"/>
      <c r="AD66" s="4"/>
      <c r="AE66" s="4"/>
      <c r="AF66" s="14"/>
    </row>
    <row r="67" spans="1:32" s="2" customFormat="1" ht="15.75" customHeight="1" x14ac:dyDescent="0.25">
      <c r="A67" s="33" t="str">
        <f>CONCATENATE(D67,".",F67,"-",G67,".",H67,"")</f>
        <v>1.1-5.1</v>
      </c>
      <c r="B67" s="33" t="s">
        <v>814</v>
      </c>
      <c r="C67" s="39" t="s">
        <v>335</v>
      </c>
      <c r="D67" s="33">
        <f>IF(C67="ID",1,(IF(C67="PR",2,(IF(C67="DE",3,(IF(C67="RS",4,(IF(C67="RC",5,0)))))))))</f>
        <v>1</v>
      </c>
      <c r="E67" s="33" t="s">
        <v>339</v>
      </c>
      <c r="F67" s="33">
        <f>IF(E67="AM",1,(IF(E67="BE",2,(IF(E67="GV",3,(IF(E67="RA",4,(IF(E67="RM",5,(IF(E67="AC",1,(IF(E67="AT",2,(IF(E67="DS",3,(IF(E67="IP",4,(IF(E67="MA",5,(IF(E67="PT",6,(IF(E67="AE",1,(IF(E67="CM",2,(IF(E67="DP",3,(IF(E67="AN",1,(IF(E67="CO",2,(IF(E67="IM",3,(IF(E67="MI",4,(IF(E67="RP",5,(IF(E67="SC",6,0)))))))))))))))))))))))))))))))))))))))</f>
        <v>1</v>
      </c>
      <c r="G67" s="170">
        <v>5</v>
      </c>
      <c r="H67" s="38" t="s">
        <v>511</v>
      </c>
      <c r="I67" s="105" t="s">
        <v>1449</v>
      </c>
      <c r="J67" s="157" t="s">
        <v>2809</v>
      </c>
      <c r="K67" s="34" t="s">
        <v>2810</v>
      </c>
      <c r="L67" s="5">
        <f>IF(O67="","",N67*O67*M67)</f>
        <v>99</v>
      </c>
      <c r="M67" s="8">
        <v>1</v>
      </c>
      <c r="N67" s="1">
        <v>1</v>
      </c>
      <c r="O67" s="15">
        <f>IF(SUM(Q67:AF67)&lt;1,"",SUM(Q67:AF67)/COUNTIF(Q67:AF67,"&gt;0"))</f>
        <v>99</v>
      </c>
      <c r="P67" s="16"/>
      <c r="Q67" s="13"/>
      <c r="R67" s="4"/>
      <c r="S67" s="4"/>
      <c r="T67" s="4">
        <v>99</v>
      </c>
      <c r="Y67" s="4"/>
      <c r="AB67" s="4"/>
      <c r="AC67" s="4"/>
      <c r="AD67" s="4"/>
      <c r="AE67" s="4"/>
      <c r="AF67" s="14"/>
    </row>
    <row r="68" spans="1:32" s="2" customFormat="1" ht="15.75" customHeight="1" x14ac:dyDescent="0.25">
      <c r="A68" s="33" t="str">
        <f>CONCATENATE(D68,".",F68,"-",G68,".",H68,"")</f>
        <v>1.1-5.2</v>
      </c>
      <c r="B68" s="33" t="s">
        <v>814</v>
      </c>
      <c r="C68" s="39" t="s">
        <v>335</v>
      </c>
      <c r="D68" s="33">
        <f>IF(C68="ID",1,(IF(C68="PR",2,(IF(C68="DE",3,(IF(C68="RS",4,(IF(C68="RC",5,0)))))))))</f>
        <v>1</v>
      </c>
      <c r="E68" s="33" t="s">
        <v>339</v>
      </c>
      <c r="F68" s="33">
        <f>IF(E68="AM",1,(IF(E68="BE",2,(IF(E68="GV",3,(IF(E68="RA",4,(IF(E68="RM",5,(IF(E68="AC",1,(IF(E68="AT",2,(IF(E68="DS",3,(IF(E68="IP",4,(IF(E68="MA",5,(IF(E68="PT",6,(IF(E68="AE",1,(IF(E68="CM",2,(IF(E68="DP",3,(IF(E68="AN",1,(IF(E68="CO",2,(IF(E68="IM",3,(IF(E68="MI",4,(IF(E68="RP",5,(IF(E68="SC",6,0)))))))))))))))))))))))))))))))))))))))</f>
        <v>1</v>
      </c>
      <c r="G68" s="170">
        <v>5</v>
      </c>
      <c r="H68" s="33">
        <v>2</v>
      </c>
      <c r="I68" s="27" t="s">
        <v>266</v>
      </c>
      <c r="J68" s="150" t="s">
        <v>292</v>
      </c>
      <c r="K68" s="79" t="s">
        <v>1425</v>
      </c>
      <c r="L68" s="5">
        <f>IF(O68="","",N68*O68*M68)</f>
        <v>75</v>
      </c>
      <c r="M68" s="8">
        <v>1</v>
      </c>
      <c r="N68" s="1">
        <v>1</v>
      </c>
      <c r="O68" s="15">
        <f>IF(SUM(Q68:AF68)&lt;1,"",SUM(Q68:AF68)/COUNTIF(Q68:AF68,"&gt;0"))</f>
        <v>75</v>
      </c>
      <c r="P68" s="16"/>
      <c r="Q68" s="13"/>
      <c r="R68" s="3"/>
      <c r="S68" s="3"/>
      <c r="T68" s="4">
        <v>75</v>
      </c>
      <c r="U68" s="3"/>
      <c r="V68" s="3"/>
      <c r="W68" s="3"/>
      <c r="X68" s="3"/>
      <c r="Y68" s="3"/>
      <c r="Z68" s="3"/>
      <c r="AA68" s="3"/>
      <c r="AB68" s="3"/>
      <c r="AC68" s="3"/>
      <c r="AD68" s="3"/>
      <c r="AE68" s="3"/>
      <c r="AF68" s="104"/>
    </row>
    <row r="69" spans="1:32" s="2" customFormat="1" ht="15.75" customHeight="1" x14ac:dyDescent="0.25">
      <c r="A69" s="33" t="str">
        <f>CONCATENATE(D69,".",F69,"-",G69,".",H69,"")</f>
        <v>1.1-5.2</v>
      </c>
      <c r="B69" s="33" t="s">
        <v>814</v>
      </c>
      <c r="C69" s="39" t="s">
        <v>335</v>
      </c>
      <c r="D69" s="33">
        <f>IF(C69="ID",1,(IF(C69="PR",2,(IF(C69="DE",3,(IF(C69="RS",4,(IF(C69="RC",5,0)))))))))</f>
        <v>1</v>
      </c>
      <c r="E69" s="33" t="s">
        <v>339</v>
      </c>
      <c r="F69" s="33">
        <f>IF(E69="AM",1,(IF(E69="BE",2,(IF(E69="GV",3,(IF(E69="RA",4,(IF(E69="RM",5,(IF(E69="AC",1,(IF(E69="AT",2,(IF(E69="DS",3,(IF(E69="IP",4,(IF(E69="MA",5,(IF(E69="PT",6,(IF(E69="AE",1,(IF(E69="CM",2,(IF(E69="DP",3,(IF(E69="AN",1,(IF(E69="CO",2,(IF(E69="IM",3,(IF(E69="MI",4,(IF(E69="RP",5,(IF(E69="SC",6,0)))))))))))))))))))))))))))))))))))))))</f>
        <v>1</v>
      </c>
      <c r="G69" s="170">
        <v>5</v>
      </c>
      <c r="H69" s="38" t="s">
        <v>512</v>
      </c>
      <c r="I69" s="105" t="s">
        <v>1449</v>
      </c>
      <c r="J69" s="157" t="s">
        <v>2001</v>
      </c>
      <c r="K69" s="34" t="s">
        <v>2002</v>
      </c>
      <c r="L69" s="5">
        <f>IF(O69="","",N69*O69*M69)</f>
        <v>99</v>
      </c>
      <c r="M69" s="8">
        <v>1</v>
      </c>
      <c r="N69" s="1">
        <v>1</v>
      </c>
      <c r="O69" s="15">
        <f>IF(SUM(Q69:AF69)&lt;1,"",SUM(Q69:AF69)/COUNTIF(Q69:AF69,"&gt;0"))</f>
        <v>99</v>
      </c>
      <c r="P69" s="16"/>
      <c r="Q69" s="13"/>
      <c r="R69" s="4"/>
      <c r="S69" s="4"/>
      <c r="T69" s="4">
        <v>99</v>
      </c>
      <c r="Y69" s="4"/>
      <c r="AB69" s="4"/>
      <c r="AC69" s="4"/>
      <c r="AD69" s="4"/>
      <c r="AE69" s="4"/>
      <c r="AF69" s="14"/>
    </row>
    <row r="70" spans="1:32" s="2" customFormat="1" ht="15.75" customHeight="1" x14ac:dyDescent="0.25">
      <c r="A70" s="33" t="str">
        <f>CONCATENATE(D70,".",F70,"-",G70,".",H70,"")</f>
        <v>1.1-5.5</v>
      </c>
      <c r="B70" s="33" t="s">
        <v>814</v>
      </c>
      <c r="C70" s="39" t="s">
        <v>335</v>
      </c>
      <c r="D70" s="33">
        <f>IF(C70="ID",1,(IF(C70="PR",2,(IF(C70="DE",3,(IF(C70="RS",4,(IF(C70="RC",5,0)))))))))</f>
        <v>1</v>
      </c>
      <c r="E70" s="33" t="s">
        <v>339</v>
      </c>
      <c r="F70" s="33">
        <f>IF(E70="AM",1,(IF(E70="BE",2,(IF(E70="GV",3,(IF(E70="RA",4,(IF(E70="RM",5,(IF(E70="AC",1,(IF(E70="AT",2,(IF(E70="DS",3,(IF(E70="IP",4,(IF(E70="MA",5,(IF(E70="PT",6,(IF(E70="AE",1,(IF(E70="CM",2,(IF(E70="DP",3,(IF(E70="AN",1,(IF(E70="CO",2,(IF(E70="IM",3,(IF(E70="MI",4,(IF(E70="RP",5,(IF(E70="SC",6,0)))))))))))))))))))))))))))))))))))))))</f>
        <v>1</v>
      </c>
      <c r="G70" s="170">
        <v>5</v>
      </c>
      <c r="H70" s="38" t="s">
        <v>595</v>
      </c>
      <c r="I70" s="105" t="s">
        <v>821</v>
      </c>
      <c r="J70" s="150" t="s">
        <v>83</v>
      </c>
      <c r="K70" s="79" t="s">
        <v>1283</v>
      </c>
      <c r="L70" s="66">
        <f>IF(O70="","",N70*O70*M70)</f>
        <v>75</v>
      </c>
      <c r="M70" s="8">
        <v>1</v>
      </c>
      <c r="N70" s="3">
        <v>1</v>
      </c>
      <c r="O70" s="15">
        <f>IF(SUM(Q70:AF70)&lt;1,"",SUM(Q70:AF70)/COUNTIF(Q70:AF70,"&gt;0"))</f>
        <v>75</v>
      </c>
      <c r="P70" s="16"/>
      <c r="Q70" s="13"/>
      <c r="R70" s="4"/>
      <c r="S70" s="4"/>
      <c r="T70" s="4">
        <v>75</v>
      </c>
      <c r="Y70" s="4"/>
      <c r="AB70" s="4"/>
      <c r="AC70" s="4"/>
      <c r="AD70" s="4"/>
      <c r="AE70" s="4"/>
      <c r="AF70" s="14"/>
    </row>
    <row r="71" spans="1:32" s="2" customFormat="1" ht="15.75" customHeight="1" x14ac:dyDescent="0.25">
      <c r="A71" s="33" t="str">
        <f>CONCATENATE(D71,".",F71,"-",G71,".",H71,"")</f>
        <v>1.1-6.0</v>
      </c>
      <c r="B71" s="33" t="s">
        <v>814</v>
      </c>
      <c r="C71" s="40" t="s">
        <v>335</v>
      </c>
      <c r="D71" s="33">
        <f>IF(C71="ID",1,(IF(C71="PR",2,(IF(C71="DE",3,(IF(C71="RS",4,(IF(C71="RC",5,0)))))))))</f>
        <v>1</v>
      </c>
      <c r="E71" s="33" t="s">
        <v>339</v>
      </c>
      <c r="F71" s="33">
        <f>IF(E71="AM",1,(IF(E71="BE",2,(IF(E71="GV",3,(IF(E71="RA",4,(IF(E71="RM",5,(IF(E71="AC",1,(IF(E71="AT",2,(IF(E71="DS",3,(IF(E71="IP",4,(IF(E71="MA",5,(IF(E71="PT",6,(IF(E71="AE",1,(IF(E71="CM",2,(IF(E71="DP",3,(IF(E71="AN",1,(IF(E71="CO",2,(IF(E71="IM",3,(IF(E71="MI",4,(IF(E71="RP",5,(IF(E71="SC",6,0)))))))))))))))))))))))))))))))))))))))</f>
        <v>1</v>
      </c>
      <c r="G71" s="170">
        <v>6</v>
      </c>
      <c r="H71" s="38" t="s">
        <v>597</v>
      </c>
      <c r="I71" s="27" t="s">
        <v>1200</v>
      </c>
      <c r="J71" s="149" t="s">
        <v>609</v>
      </c>
      <c r="K71" s="97" t="s">
        <v>438</v>
      </c>
      <c r="L71" s="66">
        <f>IF(O71="","",N71*O71*M71)</f>
        <v>75</v>
      </c>
      <c r="M71" s="8">
        <v>1</v>
      </c>
      <c r="N71" s="1">
        <v>1</v>
      </c>
      <c r="O71" s="15">
        <f>IF(SUM(Q71:AF71)&lt;1,"",SUM(Q71:AF71)/COUNTIF(Q71:AF71,"&gt;0"))</f>
        <v>75</v>
      </c>
      <c r="P71" s="16"/>
      <c r="Q71" s="13"/>
      <c r="R71" s="4"/>
      <c r="S71" s="4"/>
      <c r="T71" s="4">
        <v>75</v>
      </c>
      <c r="Y71" s="4"/>
      <c r="AB71" s="4"/>
      <c r="AC71" s="4"/>
      <c r="AD71" s="4"/>
      <c r="AE71" s="4"/>
      <c r="AF71" s="14"/>
    </row>
    <row r="72" spans="1:32" s="2" customFormat="1" ht="15.75" customHeight="1" x14ac:dyDescent="0.25">
      <c r="A72" s="33" t="str">
        <f>CONCATENATE(D72,".",F72,"-",G72,".",H72,"")</f>
        <v>1.1-6.1</v>
      </c>
      <c r="B72" s="33" t="s">
        <v>814</v>
      </c>
      <c r="C72" s="40" t="s">
        <v>335</v>
      </c>
      <c r="D72" s="33">
        <f>IF(C72="ID",1,(IF(C72="PR",2,(IF(C72="DE",3,(IF(C72="RS",4,(IF(C72="RC",5,0)))))))))</f>
        <v>1</v>
      </c>
      <c r="E72" s="33" t="s">
        <v>339</v>
      </c>
      <c r="F72" s="33">
        <f>IF(E72="AM",1,(IF(E72="BE",2,(IF(E72="GV",3,(IF(E72="RA",4,(IF(E72="RM",5,(IF(E72="AC",1,(IF(E72="AT",2,(IF(E72="DS",3,(IF(E72="IP",4,(IF(E72="MA",5,(IF(E72="PT",6,(IF(E72="AE",1,(IF(E72="CM",2,(IF(E72="DP",3,(IF(E72="AN",1,(IF(E72="CO",2,(IF(E72="IM",3,(IF(E72="MI",4,(IF(E72="RP",5,(IF(E72="SC",6,0)))))))))))))))))))))))))))))))))))))))</f>
        <v>1</v>
      </c>
      <c r="G72" s="171">
        <v>6</v>
      </c>
      <c r="H72" s="38" t="s">
        <v>511</v>
      </c>
      <c r="I72" s="105" t="s">
        <v>821</v>
      </c>
      <c r="J72" s="150" t="s">
        <v>110</v>
      </c>
      <c r="K72" s="79" t="s">
        <v>1283</v>
      </c>
      <c r="L72" s="66">
        <f>IF(O72="","",N72*O72*M72)</f>
        <v>75</v>
      </c>
      <c r="M72" s="8">
        <v>1</v>
      </c>
      <c r="N72" s="3">
        <v>1</v>
      </c>
      <c r="O72" s="15">
        <f>IF(SUM(Q72:AF72)&lt;1,"",SUM(Q72:AF72)/COUNTIF(Q72:AF72,"&gt;0"))</f>
        <v>75</v>
      </c>
      <c r="P72" s="16"/>
      <c r="Q72" s="13"/>
      <c r="R72" s="4"/>
      <c r="S72" s="4"/>
      <c r="T72" s="4">
        <v>75</v>
      </c>
      <c r="Y72" s="4"/>
      <c r="AB72" s="4"/>
      <c r="AC72" s="4"/>
      <c r="AD72" s="4"/>
      <c r="AE72" s="4"/>
      <c r="AF72" s="14"/>
    </row>
    <row r="73" spans="1:32" s="2" customFormat="1" ht="15.75" customHeight="1" x14ac:dyDescent="0.25">
      <c r="A73" s="33" t="str">
        <f>CONCATENATE(D73,".",F73,"-",G73,".",H73,"")</f>
        <v>1.1-6.1</v>
      </c>
      <c r="B73" s="33" t="s">
        <v>814</v>
      </c>
      <c r="C73" s="40" t="s">
        <v>335</v>
      </c>
      <c r="D73" s="33">
        <f>IF(C73="ID",1,(IF(C73="PR",2,(IF(C73="DE",3,(IF(C73="RS",4,(IF(C73="RC",5,0)))))))))</f>
        <v>1</v>
      </c>
      <c r="E73" s="33" t="s">
        <v>339</v>
      </c>
      <c r="F73" s="33">
        <f>IF(E73="AM",1,(IF(E73="BE",2,(IF(E73="GV",3,(IF(E73="RA",4,(IF(E73="RM",5,(IF(E73="AC",1,(IF(E73="AT",2,(IF(E73="DS",3,(IF(E73="IP",4,(IF(E73="MA",5,(IF(E73="PT",6,(IF(E73="AE",1,(IF(E73="CM",2,(IF(E73="DP",3,(IF(E73="AN",1,(IF(E73="CO",2,(IF(E73="IM",3,(IF(E73="MI",4,(IF(E73="RP",5,(IF(E73="SC",6,0)))))))))))))))))))))))))))))))))))))))</f>
        <v>1</v>
      </c>
      <c r="G73" s="171">
        <v>6</v>
      </c>
      <c r="H73" s="38" t="s">
        <v>511</v>
      </c>
      <c r="I73" s="105" t="s">
        <v>821</v>
      </c>
      <c r="J73" s="150" t="s">
        <v>824</v>
      </c>
      <c r="K73" s="79" t="s">
        <v>1283</v>
      </c>
      <c r="L73" s="66">
        <f>IF(O73="","",N73*O73*M73)</f>
        <v>75</v>
      </c>
      <c r="M73" s="8">
        <v>1</v>
      </c>
      <c r="N73" s="3">
        <v>1</v>
      </c>
      <c r="O73" s="15">
        <f>IF(SUM(Q73:AF73)&lt;1,"",SUM(Q73:AF73)/COUNTIF(Q73:AF73,"&gt;0"))</f>
        <v>75</v>
      </c>
      <c r="P73" s="16"/>
      <c r="Q73" s="13"/>
      <c r="R73" s="4"/>
      <c r="S73" s="4"/>
      <c r="T73" s="4">
        <v>75</v>
      </c>
      <c r="Y73" s="4"/>
      <c r="AB73" s="4"/>
      <c r="AC73" s="4"/>
      <c r="AD73" s="4"/>
      <c r="AE73" s="4"/>
      <c r="AF73" s="14"/>
    </row>
    <row r="74" spans="1:32" s="2" customFormat="1" ht="15.75" customHeight="1" x14ac:dyDescent="0.25">
      <c r="A74" s="33" t="str">
        <f>CONCATENATE(D74,".",F74,"-",G74,".",H74,"")</f>
        <v>1.1-6.1</v>
      </c>
      <c r="B74" s="33" t="s">
        <v>814</v>
      </c>
      <c r="C74" s="40" t="s">
        <v>335</v>
      </c>
      <c r="D74" s="33">
        <f>IF(C74="ID",1,(IF(C74="PR",2,(IF(C74="DE",3,(IF(C74="RS",4,(IF(C74="RC",5,0)))))))))</f>
        <v>1</v>
      </c>
      <c r="E74" s="33" t="s">
        <v>339</v>
      </c>
      <c r="F74" s="33">
        <f>IF(E74="AM",1,(IF(E74="BE",2,(IF(E74="GV",3,(IF(E74="RA",4,(IF(E74="RM",5,(IF(E74="AC",1,(IF(E74="AT",2,(IF(E74="DS",3,(IF(E74="IP",4,(IF(E74="MA",5,(IF(E74="PT",6,(IF(E74="AE",1,(IF(E74="CM",2,(IF(E74="DP",3,(IF(E74="AN",1,(IF(E74="CO",2,(IF(E74="IM",3,(IF(E74="MI",4,(IF(E74="RP",5,(IF(E74="SC",6,0)))))))))))))))))))))))))))))))))))))))</f>
        <v>1</v>
      </c>
      <c r="G74" s="171">
        <v>6</v>
      </c>
      <c r="H74" s="38" t="s">
        <v>511</v>
      </c>
      <c r="I74" s="105" t="s">
        <v>821</v>
      </c>
      <c r="J74" s="149" t="s">
        <v>231</v>
      </c>
      <c r="K74" s="79" t="s">
        <v>1283</v>
      </c>
      <c r="L74" s="66">
        <f>IF(O74="","",N74*O74*M74)</f>
        <v>75</v>
      </c>
      <c r="M74" s="8">
        <v>1</v>
      </c>
      <c r="N74" s="1">
        <v>1</v>
      </c>
      <c r="O74" s="15">
        <f>IF(SUM(Q74:AF74)&lt;1,"",SUM(Q74:AF74)/COUNTIF(Q74:AF74,"&gt;0"))</f>
        <v>75</v>
      </c>
      <c r="P74" s="16"/>
      <c r="Q74" s="13"/>
      <c r="R74" s="4"/>
      <c r="S74" s="4"/>
      <c r="T74" s="4">
        <v>75</v>
      </c>
      <c r="Y74" s="4"/>
      <c r="AB74" s="4"/>
      <c r="AC74" s="4"/>
      <c r="AD74" s="4"/>
      <c r="AE74" s="4"/>
      <c r="AF74" s="14"/>
    </row>
    <row r="75" spans="1:32" s="2" customFormat="1" ht="15.75" customHeight="1" x14ac:dyDescent="0.25">
      <c r="A75" s="33" t="str">
        <f>CONCATENATE(D75,".",F75,"-",G75,".",H75,"")</f>
        <v>1.1-6.1</v>
      </c>
      <c r="B75" s="33" t="s">
        <v>814</v>
      </c>
      <c r="C75" s="40" t="s">
        <v>335</v>
      </c>
      <c r="D75" s="33">
        <f>IF(C75="ID",1,(IF(C75="PR",2,(IF(C75="DE",3,(IF(C75="RS",4,(IF(C75="RC",5,0)))))))))</f>
        <v>1</v>
      </c>
      <c r="E75" s="33" t="s">
        <v>339</v>
      </c>
      <c r="F75" s="33">
        <f>IF(E75="AM",1,(IF(E75="BE",2,(IF(E75="GV",3,(IF(E75="RA",4,(IF(E75="RM",5,(IF(E75="AC",1,(IF(E75="AT",2,(IF(E75="DS",3,(IF(E75="IP",4,(IF(E75="MA",5,(IF(E75="PT",6,(IF(E75="AE",1,(IF(E75="CM",2,(IF(E75="DP",3,(IF(E75="AN",1,(IF(E75="CO",2,(IF(E75="IM",3,(IF(E75="MI",4,(IF(E75="RP",5,(IF(E75="SC",6,0)))))))))))))))))))))))))))))))))))))))</f>
        <v>1</v>
      </c>
      <c r="G75" s="171">
        <v>6</v>
      </c>
      <c r="H75" s="38" t="s">
        <v>511</v>
      </c>
      <c r="I75" s="105" t="s">
        <v>821</v>
      </c>
      <c r="J75" s="149" t="s">
        <v>232</v>
      </c>
      <c r="K75" s="79" t="s">
        <v>1283</v>
      </c>
      <c r="L75" s="66">
        <f>IF(O75="","",N75*O75*M75)</f>
        <v>75</v>
      </c>
      <c r="M75" s="8">
        <v>1</v>
      </c>
      <c r="N75" s="1">
        <v>1</v>
      </c>
      <c r="O75" s="15">
        <f>IF(SUM(Q75:AF75)&lt;1,"",SUM(Q75:AF75)/COUNTIF(Q75:AF75,"&gt;0"))</f>
        <v>75</v>
      </c>
      <c r="P75" s="16"/>
      <c r="Q75" s="13"/>
      <c r="R75" s="4"/>
      <c r="S75" s="4"/>
      <c r="T75" s="4">
        <v>75</v>
      </c>
      <c r="Y75" s="4"/>
      <c r="AB75" s="4"/>
      <c r="AC75" s="4"/>
      <c r="AD75" s="4"/>
      <c r="AE75" s="4"/>
      <c r="AF75" s="14"/>
    </row>
    <row r="76" spans="1:32" s="2" customFormat="1" ht="15.75" customHeight="1" x14ac:dyDescent="0.25">
      <c r="A76" s="33" t="str">
        <f>CONCATENATE(D76,".",F76,"-",G76,".",H76,"")</f>
        <v>1.1-6.1</v>
      </c>
      <c r="B76" s="33" t="s">
        <v>814</v>
      </c>
      <c r="C76" s="40" t="s">
        <v>335</v>
      </c>
      <c r="D76" s="33">
        <f>IF(C76="ID",1,(IF(C76="PR",2,(IF(C76="DE",3,(IF(C76="RS",4,(IF(C76="RC",5,0)))))))))</f>
        <v>1</v>
      </c>
      <c r="E76" s="33" t="s">
        <v>339</v>
      </c>
      <c r="F76" s="33">
        <f>IF(E76="AM",1,(IF(E76="BE",2,(IF(E76="GV",3,(IF(E76="RA",4,(IF(E76="RM",5,(IF(E76="AC",1,(IF(E76="AT",2,(IF(E76="DS",3,(IF(E76="IP",4,(IF(E76="MA",5,(IF(E76="PT",6,(IF(E76="AE",1,(IF(E76="CM",2,(IF(E76="DP",3,(IF(E76="AN",1,(IF(E76="CO",2,(IF(E76="IM",3,(IF(E76="MI",4,(IF(E76="RP",5,(IF(E76="SC",6,0)))))))))))))))))))))))))))))))))))))))</f>
        <v>1</v>
      </c>
      <c r="G76" s="171">
        <v>6</v>
      </c>
      <c r="H76" s="38" t="s">
        <v>511</v>
      </c>
      <c r="I76" s="27" t="s">
        <v>936</v>
      </c>
      <c r="J76" s="163" t="s">
        <v>875</v>
      </c>
      <c r="K76" s="34" t="s">
        <v>976</v>
      </c>
      <c r="L76" s="66">
        <f>IF(O76="","",N76*O76*M76)</f>
        <v>75</v>
      </c>
      <c r="M76" s="8">
        <v>1</v>
      </c>
      <c r="N76" s="3">
        <v>1</v>
      </c>
      <c r="O76" s="15">
        <f>IF(SUM(Q76:AF76)&lt;1,"",SUM(Q76:AF76)/COUNTIF(Q76:AF76,"&gt;0"))</f>
        <v>75</v>
      </c>
      <c r="P76" s="16"/>
      <c r="Q76" s="13"/>
      <c r="R76" s="4"/>
      <c r="S76" s="4"/>
      <c r="T76" s="4">
        <v>75</v>
      </c>
      <c r="Y76" s="4"/>
      <c r="AB76" s="4"/>
      <c r="AC76" s="4"/>
      <c r="AD76" s="4"/>
      <c r="AE76" s="4"/>
      <c r="AF76" s="14"/>
    </row>
    <row r="77" spans="1:32" s="2" customFormat="1" ht="15.75" customHeight="1" x14ac:dyDescent="0.25">
      <c r="A77" s="33" t="str">
        <f>CONCATENATE(D77,".",F77,"-",G77,".",H77,"")</f>
        <v>1.1-6.1</v>
      </c>
      <c r="B77" s="33" t="s">
        <v>814</v>
      </c>
      <c r="C77" s="40" t="s">
        <v>335</v>
      </c>
      <c r="D77" s="33">
        <f>IF(C77="ID",1,(IF(C77="PR",2,(IF(C77="DE",3,(IF(C77="RS",4,(IF(C77="RC",5,0)))))))))</f>
        <v>1</v>
      </c>
      <c r="E77" s="33" t="s">
        <v>339</v>
      </c>
      <c r="F77" s="33">
        <f>IF(E77="AM",1,(IF(E77="BE",2,(IF(E77="GV",3,(IF(E77="RA",4,(IF(E77="RM",5,(IF(E77="AC",1,(IF(E77="AT",2,(IF(E77="DS",3,(IF(E77="IP",4,(IF(E77="MA",5,(IF(E77="PT",6,(IF(E77="AE",1,(IF(E77="CM",2,(IF(E77="DP",3,(IF(E77="AN",1,(IF(E77="CO",2,(IF(E77="IM",3,(IF(E77="MI",4,(IF(E77="RP",5,(IF(E77="SC",6,0)))))))))))))))))))))))))))))))))))))))</f>
        <v>1</v>
      </c>
      <c r="G77" s="171">
        <v>6</v>
      </c>
      <c r="H77" s="38" t="s">
        <v>511</v>
      </c>
      <c r="I77" s="27" t="s">
        <v>936</v>
      </c>
      <c r="J77" s="163" t="s">
        <v>876</v>
      </c>
      <c r="K77" s="34" t="s">
        <v>993</v>
      </c>
      <c r="L77" s="66">
        <f>IF(O77="","",N77*O77*M77)</f>
        <v>75</v>
      </c>
      <c r="M77" s="8">
        <v>1</v>
      </c>
      <c r="N77" s="3">
        <v>1</v>
      </c>
      <c r="O77" s="15">
        <f>IF(SUM(Q77:AF77)&lt;1,"",SUM(Q77:AF77)/COUNTIF(Q77:AF77,"&gt;0"))</f>
        <v>75</v>
      </c>
      <c r="P77" s="16"/>
      <c r="Q77" s="13"/>
      <c r="R77" s="4"/>
      <c r="S77" s="4"/>
      <c r="T77" s="4">
        <v>75</v>
      </c>
      <c r="Y77" s="4"/>
      <c r="AB77" s="4"/>
      <c r="AC77" s="4"/>
      <c r="AD77" s="4"/>
      <c r="AE77" s="4"/>
      <c r="AF77" s="14"/>
    </row>
    <row r="78" spans="1:32" s="2" customFormat="1" ht="15.75" customHeight="1" x14ac:dyDescent="0.25">
      <c r="A78" s="33" t="str">
        <f>CONCATENATE(D78,".",F78,"-",G78,".",H78,"")</f>
        <v>1.1-6.1</v>
      </c>
      <c r="B78" s="33" t="s">
        <v>814</v>
      </c>
      <c r="C78" s="41" t="s">
        <v>335</v>
      </c>
      <c r="D78" s="33">
        <f>IF(C78="ID",1,(IF(C78="PR",2,(IF(C78="DE",3,(IF(C78="RS",4,(IF(C78="RC",5,0)))))))))</f>
        <v>1</v>
      </c>
      <c r="E78" s="33" t="s">
        <v>339</v>
      </c>
      <c r="F78" s="33">
        <f>IF(E78="AM",1,(IF(E78="BE",2,(IF(E78="GV",3,(IF(E78="RA",4,(IF(E78="RM",5,(IF(E78="AC",1,(IF(E78="AT",2,(IF(E78="DS",3,(IF(E78="IP",4,(IF(E78="MA",5,(IF(E78="PT",6,(IF(E78="AE",1,(IF(E78="CM",2,(IF(E78="DP",3,(IF(E78="AN",1,(IF(E78="CO",2,(IF(E78="IM",3,(IF(E78="MI",4,(IF(E78="RP",5,(IF(E78="SC",6,0)))))))))))))))))))))))))))))))))))))))</f>
        <v>1</v>
      </c>
      <c r="G78" s="170">
        <v>6</v>
      </c>
      <c r="H78" s="38" t="s">
        <v>511</v>
      </c>
      <c r="I78" s="27" t="s">
        <v>266</v>
      </c>
      <c r="J78" s="149" t="s">
        <v>4</v>
      </c>
      <c r="K78" s="79" t="s">
        <v>1398</v>
      </c>
      <c r="L78" s="5">
        <f>IF(O78="","",N78*O78*M78)</f>
        <v>75</v>
      </c>
      <c r="M78" s="8">
        <v>1</v>
      </c>
      <c r="N78" s="1">
        <v>1</v>
      </c>
      <c r="O78" s="15">
        <f>IF(SUM(Q78:AF78)&lt;1,"",SUM(Q78:AF78)/COUNTIF(Q78:AF78,"&gt;0"))</f>
        <v>75</v>
      </c>
      <c r="P78" s="16"/>
      <c r="Q78" s="13"/>
      <c r="R78" s="4"/>
      <c r="S78" s="4"/>
      <c r="T78" s="4">
        <v>75</v>
      </c>
      <c r="Y78" s="4"/>
      <c r="AB78" s="4"/>
      <c r="AC78" s="4"/>
      <c r="AD78" s="4"/>
      <c r="AE78" s="4"/>
      <c r="AF78" s="14"/>
    </row>
    <row r="79" spans="1:32" s="2" customFormat="1" ht="15.75" customHeight="1" x14ac:dyDescent="0.25">
      <c r="A79" s="33" t="str">
        <f>CONCATENATE(D79,".",F79,"-",G79,".",H79,"")</f>
        <v>1.1-6.1</v>
      </c>
      <c r="B79" s="33" t="s">
        <v>1232</v>
      </c>
      <c r="C79" s="40" t="s">
        <v>335</v>
      </c>
      <c r="D79" s="33">
        <f>IF(C79="ID",1,(IF(C79="PR",2,(IF(C79="DE",3,(IF(C79="RS",4,(IF(C79="RC",5,0)))))))))</f>
        <v>1</v>
      </c>
      <c r="E79" s="33" t="s">
        <v>339</v>
      </c>
      <c r="F79" s="33">
        <f>IF(E79="AM",1,(IF(E79="BE",2,(IF(E79="GV",3,(IF(E79="RA",4,(IF(E79="RM",5,(IF(E79="AC",1,(IF(E79="AT",2,(IF(E79="DS",3,(IF(E79="IP",4,(IF(E79="MA",5,(IF(E79="PT",6,(IF(E79="AE",1,(IF(E79="CM",2,(IF(E79="DP",3,(IF(E79="AN",1,(IF(E79="CO",2,(IF(E79="IM",3,(IF(E79="MI",4,(IF(E79="RP",5,(IF(E79="SC",6,0)))))))))))))))))))))))))))))))))))))))</f>
        <v>1</v>
      </c>
      <c r="G79" s="170">
        <v>6</v>
      </c>
      <c r="H79" s="38" t="s">
        <v>511</v>
      </c>
      <c r="I79" s="105" t="s">
        <v>821</v>
      </c>
      <c r="J79" s="150" t="s">
        <v>842</v>
      </c>
      <c r="K79" s="79" t="s">
        <v>1283</v>
      </c>
      <c r="L79" s="66">
        <f>IF(O79="","",N79*O79*M79)</f>
        <v>75</v>
      </c>
      <c r="M79" s="8">
        <v>1</v>
      </c>
      <c r="N79" s="3">
        <v>1</v>
      </c>
      <c r="O79" s="15">
        <f>IF(SUM(Q79:AF79)&lt;1,"",SUM(Q79:AF79)/COUNTIF(Q79:AF79,"&gt;0"))</f>
        <v>75</v>
      </c>
      <c r="P79" s="16"/>
      <c r="Q79" s="13"/>
      <c r="R79" s="4"/>
      <c r="S79" s="4"/>
      <c r="T79" s="4">
        <v>75</v>
      </c>
      <c r="Y79" s="4"/>
      <c r="AB79" s="4"/>
      <c r="AC79" s="4"/>
      <c r="AD79" s="4"/>
      <c r="AE79" s="4"/>
      <c r="AF79" s="14"/>
    </row>
    <row r="80" spans="1:32" s="2" customFormat="1" ht="15.75" customHeight="1" x14ac:dyDescent="0.25">
      <c r="A80" s="33" t="str">
        <f>CONCATENATE(D80,".",F80,"-",G80,".",H80,"")</f>
        <v>1.1-6.1</v>
      </c>
      <c r="B80" s="33" t="s">
        <v>814</v>
      </c>
      <c r="C80" s="39" t="s">
        <v>335</v>
      </c>
      <c r="D80" s="33">
        <f>IF(C80="ID",1,(IF(C80="PR",2,(IF(C80="DE",3,(IF(C80="RS",4,(IF(C80="RC",5,0)))))))))</f>
        <v>1</v>
      </c>
      <c r="E80" s="33" t="s">
        <v>339</v>
      </c>
      <c r="F80" s="33">
        <f>IF(E80="AM",1,(IF(E80="BE",2,(IF(E80="GV",3,(IF(E80="RA",4,(IF(E80="RM",5,(IF(E80="AC",1,(IF(E80="AT",2,(IF(E80="DS",3,(IF(E80="IP",4,(IF(E80="MA",5,(IF(E80="PT",6,(IF(E80="AE",1,(IF(E80="CM",2,(IF(E80="DP",3,(IF(E80="AN",1,(IF(E80="CO",2,(IF(E80="IM",3,(IF(E80="MI",4,(IF(E80="RP",5,(IF(E80="SC",6,0)))))))))))))))))))))))))))))))))))))))</f>
        <v>1</v>
      </c>
      <c r="G80" s="170">
        <v>6</v>
      </c>
      <c r="H80" s="38" t="s">
        <v>511</v>
      </c>
      <c r="I80" s="105" t="s">
        <v>1449</v>
      </c>
      <c r="J80" s="157" t="s">
        <v>1953</v>
      </c>
      <c r="K80" s="34" t="s">
        <v>1954</v>
      </c>
      <c r="L80" s="5">
        <f>IF(O80="","",N80*O80*M80)</f>
        <v>99</v>
      </c>
      <c r="M80" s="8">
        <v>1</v>
      </c>
      <c r="N80" s="1">
        <v>1</v>
      </c>
      <c r="O80" s="15">
        <f>IF(SUM(Q80:AF80)&lt;1,"",SUM(Q80:AF80)/COUNTIF(Q80:AF80,"&gt;0"))</f>
        <v>99</v>
      </c>
      <c r="P80" s="16"/>
      <c r="Q80" s="13"/>
      <c r="R80" s="4"/>
      <c r="S80" s="4"/>
      <c r="T80" s="4">
        <v>99</v>
      </c>
      <c r="Y80" s="4"/>
      <c r="AB80" s="4"/>
      <c r="AC80" s="4"/>
      <c r="AD80" s="4"/>
      <c r="AE80" s="4"/>
      <c r="AF80" s="14"/>
    </row>
    <row r="81" spans="1:32" s="2" customFormat="1" ht="15.75" customHeight="1" x14ac:dyDescent="0.25">
      <c r="A81" s="33" t="str">
        <f>CONCATENATE(D81,".",F81,"-",G81,".",H81,"")</f>
        <v>1.1-6.2</v>
      </c>
      <c r="B81" s="33" t="s">
        <v>814</v>
      </c>
      <c r="C81" s="41" t="s">
        <v>335</v>
      </c>
      <c r="D81" s="33">
        <f>IF(C81="ID",1,(IF(C81="PR",2,(IF(C81="DE",3,(IF(C81="RS",4,(IF(C81="RC",5,0)))))))))</f>
        <v>1</v>
      </c>
      <c r="E81" s="33" t="s">
        <v>339</v>
      </c>
      <c r="F81" s="33">
        <f>IF(E81="AM",1,(IF(E81="BE",2,(IF(E81="GV",3,(IF(E81="RA",4,(IF(E81="RM",5,(IF(E81="AC",1,(IF(E81="AT",2,(IF(E81="DS",3,(IF(E81="IP",4,(IF(E81="MA",5,(IF(E81="PT",6,(IF(E81="AE",1,(IF(E81="CM",2,(IF(E81="DP",3,(IF(E81="AN",1,(IF(E81="CO",2,(IF(E81="IM",3,(IF(E81="MI",4,(IF(E81="RP",5,(IF(E81="SC",6,0)))))))))))))))))))))))))))))))))))))))</f>
        <v>1</v>
      </c>
      <c r="G81" s="170">
        <v>6</v>
      </c>
      <c r="H81" s="38" t="s">
        <v>512</v>
      </c>
      <c r="I81" s="27" t="s">
        <v>266</v>
      </c>
      <c r="J81" s="149" t="s">
        <v>328</v>
      </c>
      <c r="K81" s="79" t="s">
        <v>1419</v>
      </c>
      <c r="L81" s="5">
        <f>IF(O81="","",N81*O81*M81)</f>
        <v>75</v>
      </c>
      <c r="M81" s="8">
        <v>1</v>
      </c>
      <c r="N81" s="1">
        <v>1</v>
      </c>
      <c r="O81" s="15">
        <f>IF(SUM(Q81:AF81)&lt;1,"",SUM(Q81:AF81)/COUNTIF(Q81:AF81,"&gt;0"))</f>
        <v>75</v>
      </c>
      <c r="P81" s="16"/>
      <c r="Q81" s="13"/>
      <c r="R81" s="4"/>
      <c r="S81" s="4"/>
      <c r="T81" s="4">
        <v>75</v>
      </c>
      <c r="Y81" s="4"/>
      <c r="AB81" s="4"/>
      <c r="AC81" s="4"/>
      <c r="AD81" s="4"/>
      <c r="AE81" s="4"/>
      <c r="AF81" s="14"/>
    </row>
    <row r="82" spans="1:32" s="2" customFormat="1" ht="15.75" customHeight="1" x14ac:dyDescent="0.25">
      <c r="A82" s="33" t="str">
        <f>CONCATENATE(D82,".",F82,"-",G82,".",H82,"")</f>
        <v>1.1-6.2</v>
      </c>
      <c r="B82" s="33" t="s">
        <v>814</v>
      </c>
      <c r="C82" s="39" t="s">
        <v>335</v>
      </c>
      <c r="D82" s="33">
        <f>IF(C82="ID",1,(IF(C82="PR",2,(IF(C82="DE",3,(IF(C82="RS",4,(IF(C82="RC",5,0)))))))))</f>
        <v>1</v>
      </c>
      <c r="E82" s="33" t="s">
        <v>339</v>
      </c>
      <c r="F82" s="33">
        <f>IF(E82="AM",1,(IF(E82="BE",2,(IF(E82="GV",3,(IF(E82="RA",4,(IF(E82="RM",5,(IF(E82="AC",1,(IF(E82="AT",2,(IF(E82="DS",3,(IF(E82="IP",4,(IF(E82="MA",5,(IF(E82="PT",6,(IF(E82="AE",1,(IF(E82="CM",2,(IF(E82="DP",3,(IF(E82="AN",1,(IF(E82="CO",2,(IF(E82="IM",3,(IF(E82="MI",4,(IF(E82="RP",5,(IF(E82="SC",6,0)))))))))))))))))))))))))))))))))))))))</f>
        <v>1</v>
      </c>
      <c r="G82" s="170">
        <v>6</v>
      </c>
      <c r="H82" s="38" t="s">
        <v>512</v>
      </c>
      <c r="I82" s="27" t="s">
        <v>266</v>
      </c>
      <c r="J82" s="149" t="s">
        <v>503</v>
      </c>
      <c r="K82" s="79" t="s">
        <v>1420</v>
      </c>
      <c r="L82" s="66">
        <f>IF(O82="","",N82*O82*M82)</f>
        <v>75</v>
      </c>
      <c r="M82" s="8">
        <v>1</v>
      </c>
      <c r="N82" s="1">
        <v>1</v>
      </c>
      <c r="O82" s="15">
        <f>IF(SUM(Q82:AF82)&lt;1,"",SUM(Q82:AF82)/COUNTIF(Q82:AF82,"&gt;0"))</f>
        <v>75</v>
      </c>
      <c r="P82" s="16"/>
      <c r="Q82" s="13"/>
      <c r="R82" s="4"/>
      <c r="S82" s="4"/>
      <c r="T82" s="4">
        <v>75</v>
      </c>
      <c r="Y82" s="4"/>
      <c r="AB82" s="4"/>
      <c r="AC82" s="4"/>
      <c r="AD82" s="4"/>
      <c r="AE82" s="4"/>
      <c r="AF82" s="14"/>
    </row>
    <row r="83" spans="1:32" s="2" customFormat="1" ht="15.75" customHeight="1" x14ac:dyDescent="0.25">
      <c r="A83" s="33" t="str">
        <f>CONCATENATE(D83,".",F83,"-",G83,".",H83,"")</f>
        <v>1.1-6.5</v>
      </c>
      <c r="B83" s="33" t="s">
        <v>814</v>
      </c>
      <c r="C83" s="39" t="s">
        <v>335</v>
      </c>
      <c r="D83" s="33">
        <f>IF(C83="ID",1,(IF(C83="PR",2,(IF(C83="DE",3,(IF(C83="RS",4,(IF(C83="RC",5,0)))))))))</f>
        <v>1</v>
      </c>
      <c r="E83" s="33" t="s">
        <v>339</v>
      </c>
      <c r="F83" s="33">
        <f>IF(E83="AM",1,(IF(E83="BE",2,(IF(E83="GV",3,(IF(E83="RA",4,(IF(E83="RM",5,(IF(E83="AC",1,(IF(E83="AT",2,(IF(E83="DS",3,(IF(E83="IP",4,(IF(E83="MA",5,(IF(E83="PT",6,(IF(E83="AE",1,(IF(E83="CM",2,(IF(E83="DP",3,(IF(E83="AN",1,(IF(E83="CO",2,(IF(E83="IM",3,(IF(E83="MI",4,(IF(E83="RP",5,(IF(E83="SC",6,0)))))))))))))))))))))))))))))))))))))))</f>
        <v>1</v>
      </c>
      <c r="G83" s="170">
        <v>6</v>
      </c>
      <c r="H83" s="38" t="s">
        <v>595</v>
      </c>
      <c r="I83" s="105" t="s">
        <v>1449</v>
      </c>
      <c r="J83" s="157" t="s">
        <v>1993</v>
      </c>
      <c r="K83" s="34" t="s">
        <v>1994</v>
      </c>
      <c r="L83" s="5">
        <f>IF(O83="","",N83*O83*M83)</f>
        <v>99</v>
      </c>
      <c r="M83" s="8">
        <v>1</v>
      </c>
      <c r="N83" s="1">
        <v>1</v>
      </c>
      <c r="O83" s="15">
        <f>IF(SUM(Q83:AF83)&lt;1,"",SUM(Q83:AF83)/COUNTIF(Q83:AF83,"&gt;0"))</f>
        <v>99</v>
      </c>
      <c r="P83" s="16"/>
      <c r="Q83" s="13"/>
      <c r="R83" s="4"/>
      <c r="S83" s="4"/>
      <c r="T83" s="4">
        <v>99</v>
      </c>
      <c r="Y83" s="4"/>
      <c r="AB83" s="4"/>
      <c r="AC83" s="4"/>
      <c r="AD83" s="4"/>
      <c r="AE83" s="4"/>
      <c r="AF83" s="14"/>
    </row>
    <row r="84" spans="1:32" s="2" customFormat="1" ht="15.75" customHeight="1" x14ac:dyDescent="0.25">
      <c r="A84" s="33" t="str">
        <f>CONCATENATE(D84,".",F84,"-",G84,".",H84,"")</f>
        <v>1.1-6.9</v>
      </c>
      <c r="B84" s="33" t="s">
        <v>814</v>
      </c>
      <c r="C84" s="39" t="s">
        <v>335</v>
      </c>
      <c r="D84" s="33">
        <f>IF(C84="ID",1,(IF(C84="PR",2,(IF(C84="DE",3,(IF(C84="RS",4,(IF(C84="RC",5,0)))))))))</f>
        <v>1</v>
      </c>
      <c r="E84" s="33" t="s">
        <v>339</v>
      </c>
      <c r="F84" s="33">
        <f>IF(E84="AM",1,(IF(E84="BE",2,(IF(E84="GV",3,(IF(E84="RA",4,(IF(E84="RM",5,(IF(E84="AC",1,(IF(E84="AT",2,(IF(E84="DS",3,(IF(E84="IP",4,(IF(E84="MA",5,(IF(E84="PT",6,(IF(E84="AE",1,(IF(E84="CM",2,(IF(E84="DP",3,(IF(E84="AN",1,(IF(E84="CO",2,(IF(E84="IM",3,(IF(E84="MI",4,(IF(E84="RP",5,(IF(E84="SC",6,0)))))))))))))))))))))))))))))))))))))))</f>
        <v>1</v>
      </c>
      <c r="G84" s="170">
        <v>6</v>
      </c>
      <c r="H84" s="38" t="s">
        <v>596</v>
      </c>
      <c r="I84" s="105" t="s">
        <v>1449</v>
      </c>
      <c r="J84" s="157" t="s">
        <v>2539</v>
      </c>
      <c r="K84" s="34" t="s">
        <v>2540</v>
      </c>
      <c r="L84" s="5">
        <f>IF(O84="","",N84*O84*M84)</f>
        <v>99</v>
      </c>
      <c r="M84" s="8">
        <v>1</v>
      </c>
      <c r="N84" s="1">
        <v>1</v>
      </c>
      <c r="O84" s="15">
        <f>IF(SUM(Q84:AF84)&lt;1,"",SUM(Q84:AF84)/COUNTIF(Q84:AF84,"&gt;0"))</f>
        <v>99</v>
      </c>
      <c r="P84" s="16"/>
      <c r="Q84" s="13"/>
      <c r="R84" s="4"/>
      <c r="S84" s="4"/>
      <c r="T84" s="4">
        <v>99</v>
      </c>
      <c r="Y84" s="4"/>
      <c r="AB84" s="4"/>
      <c r="AC84" s="4"/>
      <c r="AD84" s="4"/>
      <c r="AE84" s="4"/>
      <c r="AF84" s="14"/>
    </row>
    <row r="85" spans="1:32" s="2" customFormat="1" ht="15.75" customHeight="1" x14ac:dyDescent="0.25">
      <c r="A85" s="33" t="str">
        <f>CONCATENATE(D85,".",F85,"-",G85,".",H85,"")</f>
        <v>1.2-0.0</v>
      </c>
      <c r="B85" s="33" t="s">
        <v>1229</v>
      </c>
      <c r="C85" s="40" t="s">
        <v>335</v>
      </c>
      <c r="D85" s="33">
        <f>IF(C85="ID",1,(IF(C85="PR",2,(IF(C85="DE",3,(IF(C85="RS",4,(IF(C85="RC",5,0)))))))))</f>
        <v>1</v>
      </c>
      <c r="E85" s="33" t="s">
        <v>340</v>
      </c>
      <c r="F85" s="33">
        <f>IF(E85="AM",1,(IF(E85="BE",2,(IF(E85="GV",3,(IF(E85="RA",4,(IF(E85="RM",5,(IF(E85="AC",1,(IF(E85="AT",2,(IF(E85="DS",3,(IF(E85="IP",4,(IF(E85="MA",5,(IF(E85="PT",6,(IF(E85="AE",1,(IF(E85="CM",2,(IF(E85="DP",3,(IF(E85="AN",1,(IF(E85="CO",2,(IF(E85="IM",3,(IF(E85="MI",4,(IF(E85="RP",5,(IF(E85="SC",6,0)))))))))))))))))))))))))))))))))))))))</f>
        <v>2</v>
      </c>
      <c r="G85" s="170">
        <v>0</v>
      </c>
      <c r="H85" s="38" t="s">
        <v>597</v>
      </c>
      <c r="I85" s="27" t="s">
        <v>1200</v>
      </c>
      <c r="J85" s="164" t="s">
        <v>643</v>
      </c>
      <c r="K85" s="97" t="s">
        <v>727</v>
      </c>
      <c r="L85" s="66" t="str">
        <f>IF(O85="","",N85*O85*M85)</f>
        <v/>
      </c>
      <c r="M85" s="8">
        <v>1</v>
      </c>
      <c r="N85" s="1">
        <v>1</v>
      </c>
      <c r="O85" s="15" t="str">
        <f>IF(SUM(Q85:AF85)&lt;1,"",SUM(Q85:AF85)/COUNTIF(Q85:AF85,"&gt;0"))</f>
        <v/>
      </c>
      <c r="P85" s="16"/>
      <c r="Q85" s="13"/>
      <c r="R85" s="4"/>
      <c r="S85" s="4"/>
      <c r="Y85" s="4"/>
      <c r="AB85" s="4"/>
      <c r="AC85" s="4"/>
      <c r="AD85" s="4"/>
      <c r="AE85" s="4"/>
      <c r="AF85" s="14"/>
    </row>
    <row r="86" spans="1:32" s="2" customFormat="1" ht="15.75" customHeight="1" x14ac:dyDescent="0.25">
      <c r="A86" s="33" t="str">
        <f>CONCATENATE(D86,".",F86,"-",G86,".",H86,"")</f>
        <v>1.2-0.1</v>
      </c>
      <c r="B86" s="33" t="s">
        <v>1229</v>
      </c>
      <c r="C86" s="40" t="s">
        <v>335</v>
      </c>
      <c r="D86" s="33">
        <f>IF(C86="ID",1,(IF(C86="PR",2,(IF(C86="DE",3,(IF(C86="RS",4,(IF(C86="RC",5,0)))))))))</f>
        <v>1</v>
      </c>
      <c r="E86" s="33" t="s">
        <v>340</v>
      </c>
      <c r="F86" s="33">
        <f>IF(E86="AM",1,(IF(E86="BE",2,(IF(E86="GV",3,(IF(E86="RA",4,(IF(E86="RM",5,(IF(E86="AC",1,(IF(E86="AT",2,(IF(E86="DS",3,(IF(E86="IP",4,(IF(E86="MA",5,(IF(E86="PT",6,(IF(E86="AE",1,(IF(E86="CM",2,(IF(E86="DP",3,(IF(E86="AN",1,(IF(E86="CO",2,(IF(E86="IM",3,(IF(E86="MI",4,(IF(E86="RP",5,(IF(E86="SC",6,0)))))))))))))))))))))))))))))))))))))))</f>
        <v>2</v>
      </c>
      <c r="G86" s="170">
        <v>0</v>
      </c>
      <c r="H86" s="38" t="s">
        <v>511</v>
      </c>
      <c r="I86" s="27" t="s">
        <v>1200</v>
      </c>
      <c r="J86" s="164" t="s">
        <v>643</v>
      </c>
      <c r="K86" s="97" t="s">
        <v>726</v>
      </c>
      <c r="L86" s="66" t="str">
        <f>IF(O86="","",N86*O86*M86)</f>
        <v/>
      </c>
      <c r="M86" s="8">
        <v>1</v>
      </c>
      <c r="N86" s="1">
        <v>1</v>
      </c>
      <c r="O86" s="15" t="str">
        <f>IF(SUM(Q86:AF86)&lt;1,"",SUM(Q86:AF86)/COUNTIF(Q86:AF86,"&gt;0"))</f>
        <v/>
      </c>
      <c r="P86" s="16"/>
      <c r="Q86" s="13"/>
      <c r="R86" s="4"/>
      <c r="S86" s="4"/>
      <c r="Y86" s="4"/>
      <c r="AB86" s="4"/>
      <c r="AC86" s="4"/>
      <c r="AD86" s="4"/>
      <c r="AE86" s="4"/>
      <c r="AF86" s="14"/>
    </row>
    <row r="87" spans="1:32" s="2" customFormat="1" ht="15.75" customHeight="1" x14ac:dyDescent="0.25">
      <c r="A87" s="33" t="str">
        <f>CONCATENATE(D87,".",F87,"-",G87,".",H87,"")</f>
        <v>1.2-1.0</v>
      </c>
      <c r="B87" s="33" t="s">
        <v>814</v>
      </c>
      <c r="C87" s="40" t="s">
        <v>335</v>
      </c>
      <c r="D87" s="33">
        <f>IF(C87="ID",1,(IF(C87="PR",2,(IF(C87="DE",3,(IF(C87="RS",4,(IF(C87="RC",5,0)))))))))</f>
        <v>1</v>
      </c>
      <c r="E87" s="33" t="s">
        <v>340</v>
      </c>
      <c r="F87" s="33">
        <f>IF(E87="AM",1,(IF(E87="BE",2,(IF(E87="GV",3,(IF(E87="RA",4,(IF(E87="RM",5,(IF(E87="AC",1,(IF(E87="AT",2,(IF(E87="DS",3,(IF(E87="IP",4,(IF(E87="MA",5,(IF(E87="PT",6,(IF(E87="AE",1,(IF(E87="CM",2,(IF(E87="DP",3,(IF(E87="AN",1,(IF(E87="CO",2,(IF(E87="IM",3,(IF(E87="MI",4,(IF(E87="RP",5,(IF(E87="SC",6,0)))))))))))))))))))))))))))))))))))))))</f>
        <v>2</v>
      </c>
      <c r="G87" s="170">
        <v>1</v>
      </c>
      <c r="H87" s="38" t="s">
        <v>597</v>
      </c>
      <c r="I87" s="27" t="s">
        <v>1200</v>
      </c>
      <c r="J87" s="149" t="s">
        <v>644</v>
      </c>
      <c r="K87" s="97" t="s">
        <v>357</v>
      </c>
      <c r="L87" s="66">
        <f>IF(O87="","",N87*O87*M87)</f>
        <v>75</v>
      </c>
      <c r="M87" s="8">
        <v>1</v>
      </c>
      <c r="N87" s="1">
        <v>1</v>
      </c>
      <c r="O87" s="15">
        <f>IF(SUM(Q87:AF87)&lt;1,"",SUM(Q87:AF87)/COUNTIF(Q87:AF87,"&gt;0"))</f>
        <v>75</v>
      </c>
      <c r="P87" s="16"/>
      <c r="Q87" s="13"/>
      <c r="R87" s="4"/>
      <c r="S87" s="4"/>
      <c r="T87" s="4">
        <v>75</v>
      </c>
      <c r="Y87" s="4"/>
      <c r="AB87" s="4"/>
      <c r="AC87" s="4"/>
      <c r="AD87" s="4"/>
      <c r="AE87" s="4"/>
      <c r="AF87" s="14"/>
    </row>
    <row r="88" spans="1:32" s="2" customFormat="1" ht="15.75" customHeight="1" x14ac:dyDescent="0.25">
      <c r="A88" s="33" t="str">
        <f>CONCATENATE(D88,".",F88,"-",G88,".",H88,"")</f>
        <v>1.2-1.1</v>
      </c>
      <c r="B88" s="33" t="s">
        <v>814</v>
      </c>
      <c r="C88" s="40" t="s">
        <v>335</v>
      </c>
      <c r="D88" s="33">
        <f>IF(C88="ID",1,(IF(C88="PR",2,(IF(C88="DE",3,(IF(C88="RS",4,(IF(C88="RC",5,0)))))))))</f>
        <v>1</v>
      </c>
      <c r="E88" s="33" t="s">
        <v>340</v>
      </c>
      <c r="F88" s="33">
        <f>IF(E88="AM",1,(IF(E88="BE",2,(IF(E88="GV",3,(IF(E88="RA",4,(IF(E88="RM",5,(IF(E88="AC",1,(IF(E88="AT",2,(IF(E88="DS",3,(IF(E88="IP",4,(IF(E88="MA",5,(IF(E88="PT",6,(IF(E88="AE",1,(IF(E88="CM",2,(IF(E88="DP",3,(IF(E88="AN",1,(IF(E88="CO",2,(IF(E88="IM",3,(IF(E88="MI",4,(IF(E88="RP",5,(IF(E88="SC",6,0)))))))))))))))))))))))))))))))))))))))</f>
        <v>2</v>
      </c>
      <c r="G88" s="171">
        <v>1</v>
      </c>
      <c r="H88" s="38" t="s">
        <v>511</v>
      </c>
      <c r="I88" s="27" t="s">
        <v>936</v>
      </c>
      <c r="J88" s="163" t="s">
        <v>870</v>
      </c>
      <c r="K88" s="2" t="s">
        <v>982</v>
      </c>
      <c r="L88" s="66">
        <f>IF(O88="","",N88*O88*M88)</f>
        <v>75</v>
      </c>
      <c r="M88" s="8">
        <v>1</v>
      </c>
      <c r="N88" s="3">
        <v>1</v>
      </c>
      <c r="O88" s="15">
        <f>IF(SUM(Q88:AF88)&lt;1,"",SUM(Q88:AF88)/COUNTIF(Q88:AF88,"&gt;0"))</f>
        <v>75</v>
      </c>
      <c r="P88" s="16"/>
      <c r="Q88" s="13"/>
      <c r="R88" s="4"/>
      <c r="S88" s="4"/>
      <c r="T88" s="4">
        <v>75</v>
      </c>
      <c r="Y88" s="4"/>
      <c r="AB88" s="4"/>
      <c r="AC88" s="4"/>
      <c r="AD88" s="4"/>
      <c r="AE88" s="4"/>
      <c r="AF88" s="14"/>
    </row>
    <row r="89" spans="1:32" s="2" customFormat="1" ht="15.75" customHeight="1" x14ac:dyDescent="0.25">
      <c r="A89" s="33" t="str">
        <f>CONCATENATE(D89,".",F89,"-",G89,".",H89,"")</f>
        <v>1.2-1.1</v>
      </c>
      <c r="B89" s="33" t="s">
        <v>814</v>
      </c>
      <c r="C89" s="40" t="s">
        <v>335</v>
      </c>
      <c r="D89" s="33">
        <f>IF(C89="ID",1,(IF(C89="PR",2,(IF(C89="DE",3,(IF(C89="RS",4,(IF(C89="RC",5,0)))))))))</f>
        <v>1</v>
      </c>
      <c r="E89" s="33" t="s">
        <v>340</v>
      </c>
      <c r="F89" s="33">
        <f>IF(E89="AM",1,(IF(E89="BE",2,(IF(E89="GV",3,(IF(E89="RA",4,(IF(E89="RM",5,(IF(E89="AC",1,(IF(E89="AT",2,(IF(E89="DS",3,(IF(E89="IP",4,(IF(E89="MA",5,(IF(E89="PT",6,(IF(E89="AE",1,(IF(E89="CM",2,(IF(E89="DP",3,(IF(E89="AN",1,(IF(E89="CO",2,(IF(E89="IM",3,(IF(E89="MI",4,(IF(E89="RP",5,(IF(E89="SC",6,0)))))))))))))))))))))))))))))))))))))))</f>
        <v>2</v>
      </c>
      <c r="G89" s="171">
        <v>1</v>
      </c>
      <c r="H89" s="38" t="s">
        <v>511</v>
      </c>
      <c r="I89" s="27" t="s">
        <v>936</v>
      </c>
      <c r="J89" s="163" t="s">
        <v>877</v>
      </c>
      <c r="K89" s="34" t="s">
        <v>989</v>
      </c>
      <c r="L89" s="66">
        <f>IF(O89="","",N89*O89*M89)</f>
        <v>75</v>
      </c>
      <c r="M89" s="8">
        <v>1</v>
      </c>
      <c r="N89" s="3">
        <v>1</v>
      </c>
      <c r="O89" s="15">
        <f>IF(SUM(Q89:AF89)&lt;1,"",SUM(Q89:AF89)/COUNTIF(Q89:AF89,"&gt;0"))</f>
        <v>75</v>
      </c>
      <c r="P89" s="16"/>
      <c r="Q89" s="13"/>
      <c r="R89" s="4"/>
      <c r="S89" s="4"/>
      <c r="T89" s="4">
        <v>75</v>
      </c>
      <c r="Y89" s="4"/>
      <c r="AB89" s="4"/>
      <c r="AC89" s="4"/>
      <c r="AD89" s="4"/>
      <c r="AE89" s="4"/>
      <c r="AF89" s="14"/>
    </row>
    <row r="90" spans="1:32" s="2" customFormat="1" ht="15.75" customHeight="1" x14ac:dyDescent="0.25">
      <c r="A90" s="33" t="str">
        <f>CONCATENATE(D90,".",F90,"-",G90,".",H90,"")</f>
        <v>1.2-1.1</v>
      </c>
      <c r="B90" s="33" t="s">
        <v>814</v>
      </c>
      <c r="C90" s="40" t="s">
        <v>335</v>
      </c>
      <c r="D90" s="33">
        <f>IF(C90="ID",1,(IF(C90="PR",2,(IF(C90="DE",3,(IF(C90="RS",4,(IF(C90="RC",5,0)))))))))</f>
        <v>1</v>
      </c>
      <c r="E90" s="33" t="s">
        <v>340</v>
      </c>
      <c r="F90" s="33">
        <f>IF(E90="AM",1,(IF(E90="BE",2,(IF(E90="GV",3,(IF(E90="RA",4,(IF(E90="RM",5,(IF(E90="AC",1,(IF(E90="AT",2,(IF(E90="DS",3,(IF(E90="IP",4,(IF(E90="MA",5,(IF(E90="PT",6,(IF(E90="AE",1,(IF(E90="CM",2,(IF(E90="DP",3,(IF(E90="AN",1,(IF(E90="CO",2,(IF(E90="IM",3,(IF(E90="MI",4,(IF(E90="RP",5,(IF(E90="SC",6,0)))))))))))))))))))))))))))))))))))))))</f>
        <v>2</v>
      </c>
      <c r="G90" s="171">
        <v>1</v>
      </c>
      <c r="H90" s="38" t="s">
        <v>511</v>
      </c>
      <c r="I90" s="27" t="s">
        <v>936</v>
      </c>
      <c r="J90" s="163" t="s">
        <v>867</v>
      </c>
      <c r="K90" s="34" t="s">
        <v>991</v>
      </c>
      <c r="L90" s="66">
        <f>IF(O90="","",N90*O90*M90)</f>
        <v>75</v>
      </c>
      <c r="M90" s="8">
        <v>1</v>
      </c>
      <c r="N90" s="3">
        <v>1</v>
      </c>
      <c r="O90" s="15">
        <f>IF(SUM(Q90:AF90)&lt;1,"",SUM(Q90:AF90)/COUNTIF(Q90:AF90,"&gt;0"))</f>
        <v>75</v>
      </c>
      <c r="P90" s="16"/>
      <c r="Q90" s="13"/>
      <c r="R90" s="4"/>
      <c r="S90" s="4"/>
      <c r="T90" s="4">
        <v>75</v>
      </c>
      <c r="Y90" s="4"/>
      <c r="AB90" s="4"/>
      <c r="AC90" s="4"/>
      <c r="AD90" s="4"/>
      <c r="AE90" s="4"/>
      <c r="AF90" s="14"/>
    </row>
    <row r="91" spans="1:32" s="2" customFormat="1" ht="15.75" customHeight="1" x14ac:dyDescent="0.25">
      <c r="A91" s="33" t="str">
        <f>CONCATENATE(D91,".",F91,"-",G91,".",H91,"")</f>
        <v>1.2-1.1</v>
      </c>
      <c r="B91" s="33" t="s">
        <v>814</v>
      </c>
      <c r="C91" s="40" t="s">
        <v>335</v>
      </c>
      <c r="D91" s="33">
        <f>IF(C91="ID",1,(IF(C91="PR",2,(IF(C91="DE",3,(IF(C91="RS",4,(IF(C91="RC",5,0)))))))))</f>
        <v>1</v>
      </c>
      <c r="E91" s="33" t="s">
        <v>340</v>
      </c>
      <c r="F91" s="33">
        <f>IF(E91="AM",1,(IF(E91="BE",2,(IF(E91="GV",3,(IF(E91="RA",4,(IF(E91="RM",5,(IF(E91="AC",1,(IF(E91="AT",2,(IF(E91="DS",3,(IF(E91="IP",4,(IF(E91="MA",5,(IF(E91="PT",6,(IF(E91="AE",1,(IF(E91="CM",2,(IF(E91="DP",3,(IF(E91="AN",1,(IF(E91="CO",2,(IF(E91="IM",3,(IF(E91="MI",4,(IF(E91="RP",5,(IF(E91="SC",6,0)))))))))))))))))))))))))))))))))))))))</f>
        <v>2</v>
      </c>
      <c r="G91" s="171">
        <v>1</v>
      </c>
      <c r="H91" s="38" t="s">
        <v>511</v>
      </c>
      <c r="I91" s="27" t="s">
        <v>936</v>
      </c>
      <c r="J91" s="163" t="s">
        <v>869</v>
      </c>
      <c r="K91" s="34" t="s">
        <v>992</v>
      </c>
      <c r="L91" s="66">
        <f>IF(O91="","",N91*O91*M91)</f>
        <v>75</v>
      </c>
      <c r="M91" s="8">
        <v>1</v>
      </c>
      <c r="N91" s="3">
        <v>1</v>
      </c>
      <c r="O91" s="15">
        <f>IF(SUM(Q91:AF91)&lt;1,"",SUM(Q91:AF91)/COUNTIF(Q91:AF91,"&gt;0"))</f>
        <v>75</v>
      </c>
      <c r="P91" s="16"/>
      <c r="Q91" s="13"/>
      <c r="R91" s="4"/>
      <c r="S91" s="4"/>
      <c r="T91" s="4">
        <v>75</v>
      </c>
      <c r="Y91" s="4"/>
      <c r="AB91" s="4"/>
      <c r="AC91" s="4"/>
      <c r="AD91" s="4"/>
      <c r="AE91" s="4"/>
      <c r="AF91" s="14"/>
    </row>
    <row r="92" spans="1:32" s="2" customFormat="1" ht="15.75" customHeight="1" x14ac:dyDescent="0.25">
      <c r="A92" s="33" t="str">
        <f>CONCATENATE(D92,".",F92,"-",G92,".",H92,"")</f>
        <v>1.2-2.0</v>
      </c>
      <c r="B92" s="33" t="s">
        <v>814</v>
      </c>
      <c r="C92" s="40" t="s">
        <v>335</v>
      </c>
      <c r="D92" s="33">
        <f>IF(C92="ID",1,(IF(C92="PR",2,(IF(C92="DE",3,(IF(C92="RS",4,(IF(C92="RC",5,0)))))))))</f>
        <v>1</v>
      </c>
      <c r="E92" s="33" t="s">
        <v>340</v>
      </c>
      <c r="F92" s="33">
        <f>IF(E92="AM",1,(IF(E92="BE",2,(IF(E92="GV",3,(IF(E92="RA",4,(IF(E92="RM",5,(IF(E92="AC",1,(IF(E92="AT",2,(IF(E92="DS",3,(IF(E92="IP",4,(IF(E92="MA",5,(IF(E92="PT",6,(IF(E92="AE",1,(IF(E92="CM",2,(IF(E92="DP",3,(IF(E92="AN",1,(IF(E92="CO",2,(IF(E92="IM",3,(IF(E92="MI",4,(IF(E92="RP",5,(IF(E92="SC",6,0)))))))))))))))))))))))))))))))))))))))</f>
        <v>2</v>
      </c>
      <c r="G92" s="170">
        <v>2</v>
      </c>
      <c r="H92" s="38" t="s">
        <v>597</v>
      </c>
      <c r="I92" s="27" t="s">
        <v>1200</v>
      </c>
      <c r="J92" s="149" t="s">
        <v>610</v>
      </c>
      <c r="K92" s="97" t="s">
        <v>358</v>
      </c>
      <c r="L92" s="66">
        <f>IF(O92="","",N92*O92*M92)</f>
        <v>75</v>
      </c>
      <c r="M92" s="8">
        <v>1</v>
      </c>
      <c r="N92" s="1">
        <v>1</v>
      </c>
      <c r="O92" s="15">
        <f>IF(SUM(Q92:AF92)&lt;1,"",SUM(Q92:AF92)/COUNTIF(Q92:AF92,"&gt;0"))</f>
        <v>75</v>
      </c>
      <c r="P92" s="16"/>
      <c r="Q92" s="13"/>
      <c r="R92" s="4"/>
      <c r="S92" s="4"/>
      <c r="T92" s="4">
        <v>75</v>
      </c>
      <c r="Y92" s="4"/>
      <c r="AB92" s="4"/>
      <c r="AC92" s="4"/>
      <c r="AD92" s="4"/>
      <c r="AE92" s="4"/>
      <c r="AF92" s="14"/>
    </row>
    <row r="93" spans="1:32" s="2" customFormat="1" ht="15.75" customHeight="1" x14ac:dyDescent="0.25">
      <c r="A93" s="33" t="str">
        <f>CONCATENATE(D93,".",F93,"-",G93,".",H93,"")</f>
        <v>1.2-2.1</v>
      </c>
      <c r="B93" s="33" t="s">
        <v>814</v>
      </c>
      <c r="C93" s="40" t="s">
        <v>335</v>
      </c>
      <c r="D93" s="33">
        <f>IF(C93="ID",1,(IF(C93="PR",2,(IF(C93="DE",3,(IF(C93="RS",4,(IF(C93="RC",5,0)))))))))</f>
        <v>1</v>
      </c>
      <c r="E93" s="33" t="s">
        <v>340</v>
      </c>
      <c r="F93" s="33">
        <f>IF(E93="AM",1,(IF(E93="BE",2,(IF(E93="GV",3,(IF(E93="RA",4,(IF(E93="RM",5,(IF(E93="AC",1,(IF(E93="AT",2,(IF(E93="DS",3,(IF(E93="IP",4,(IF(E93="MA",5,(IF(E93="PT",6,(IF(E93="AE",1,(IF(E93="CM",2,(IF(E93="DP",3,(IF(E93="AN",1,(IF(E93="CO",2,(IF(E93="IM",3,(IF(E93="MI",4,(IF(E93="RP",5,(IF(E93="SC",6,0)))))))))))))))))))))))))))))))))))))))</f>
        <v>2</v>
      </c>
      <c r="G93" s="171">
        <v>2</v>
      </c>
      <c r="H93" s="38" t="s">
        <v>511</v>
      </c>
      <c r="I93" s="27" t="s">
        <v>936</v>
      </c>
      <c r="J93" s="163">
        <v>164.31399999999999</v>
      </c>
      <c r="K93" s="34" t="s">
        <v>962</v>
      </c>
      <c r="L93" s="66">
        <f>IF(O93="","",N93*O93*M93)</f>
        <v>75</v>
      </c>
      <c r="M93" s="8">
        <v>1</v>
      </c>
      <c r="N93" s="3">
        <v>1</v>
      </c>
      <c r="O93" s="15">
        <f>IF(SUM(Q93:AF93)&lt;1,"",SUM(Q93:AF93)/COUNTIF(Q93:AF93,"&gt;0"))</f>
        <v>75</v>
      </c>
      <c r="P93" s="16"/>
      <c r="Q93" s="13"/>
      <c r="R93" s="4"/>
      <c r="S93" s="4"/>
      <c r="T93" s="4">
        <v>75</v>
      </c>
      <c r="Y93" s="4"/>
      <c r="AB93" s="4"/>
      <c r="AC93" s="4"/>
      <c r="AD93" s="4"/>
      <c r="AE93" s="4"/>
      <c r="AF93" s="14"/>
    </row>
    <row r="94" spans="1:32" s="2" customFormat="1" ht="15.75" customHeight="1" x14ac:dyDescent="0.25">
      <c r="A94" s="33" t="str">
        <f>CONCATENATE(D94,".",F94,"-",G94,".",H94,"")</f>
        <v>1.2-2.1</v>
      </c>
      <c r="B94" s="33" t="s">
        <v>814</v>
      </c>
      <c r="C94" s="40" t="s">
        <v>335</v>
      </c>
      <c r="D94" s="33">
        <f>IF(C94="ID",1,(IF(C94="PR",2,(IF(C94="DE",3,(IF(C94="RS",4,(IF(C94="RC",5,0)))))))))</f>
        <v>1</v>
      </c>
      <c r="E94" s="33" t="s">
        <v>340</v>
      </c>
      <c r="F94" s="33">
        <f>IF(E94="AM",1,(IF(E94="BE",2,(IF(E94="GV",3,(IF(E94="RA",4,(IF(E94="RM",5,(IF(E94="AC",1,(IF(E94="AT",2,(IF(E94="DS",3,(IF(E94="IP",4,(IF(E94="MA",5,(IF(E94="PT",6,(IF(E94="AE",1,(IF(E94="CM",2,(IF(E94="DP",3,(IF(E94="AN",1,(IF(E94="CO",2,(IF(E94="IM",3,(IF(E94="MI",4,(IF(E94="RP",5,(IF(E94="SC",6,0)))))))))))))))))))))))))))))))))))))))</f>
        <v>2</v>
      </c>
      <c r="G94" s="171">
        <v>2</v>
      </c>
      <c r="H94" s="38" t="s">
        <v>511</v>
      </c>
      <c r="I94" s="27" t="s">
        <v>936</v>
      </c>
      <c r="J94" s="163" t="s">
        <v>877</v>
      </c>
      <c r="K94" s="34" t="s">
        <v>989</v>
      </c>
      <c r="L94" s="66">
        <f>IF(O94="","",N94*O94*M94)</f>
        <v>75</v>
      </c>
      <c r="M94" s="8">
        <v>1</v>
      </c>
      <c r="N94" s="3">
        <v>1</v>
      </c>
      <c r="O94" s="15">
        <f>IF(SUM(Q94:AF94)&lt;1,"",SUM(Q94:AF94)/COUNTIF(Q94:AF94,"&gt;0"))</f>
        <v>75</v>
      </c>
      <c r="P94" s="16"/>
      <c r="Q94" s="13"/>
      <c r="R94" s="4"/>
      <c r="S94" s="4"/>
      <c r="T94" s="4">
        <v>75</v>
      </c>
      <c r="Y94" s="4"/>
      <c r="AB94" s="4"/>
      <c r="AC94" s="4"/>
      <c r="AD94" s="4"/>
      <c r="AE94" s="4"/>
      <c r="AF94" s="14"/>
    </row>
    <row r="95" spans="1:32" s="2" customFormat="1" ht="15.75" customHeight="1" x14ac:dyDescent="0.25">
      <c r="A95" s="33" t="str">
        <f>CONCATENATE(D95,".",F95,"-",G95,".",H95,"")</f>
        <v>1.2-2.1</v>
      </c>
      <c r="B95" s="33" t="s">
        <v>814</v>
      </c>
      <c r="C95" s="40" t="s">
        <v>335</v>
      </c>
      <c r="D95" s="33">
        <f>IF(C95="ID",1,(IF(C95="PR",2,(IF(C95="DE",3,(IF(C95="RS",4,(IF(C95="RC",5,0)))))))))</f>
        <v>1</v>
      </c>
      <c r="E95" s="33" t="s">
        <v>340</v>
      </c>
      <c r="F95" s="33">
        <f>IF(E95="AM",1,(IF(E95="BE",2,(IF(E95="GV",3,(IF(E95="RA",4,(IF(E95="RM",5,(IF(E95="AC",1,(IF(E95="AT",2,(IF(E95="DS",3,(IF(E95="IP",4,(IF(E95="MA",5,(IF(E95="PT",6,(IF(E95="AE",1,(IF(E95="CM",2,(IF(E95="DP",3,(IF(E95="AN",1,(IF(E95="CO",2,(IF(E95="IM",3,(IF(E95="MI",4,(IF(E95="RP",5,(IF(E95="SC",6,0)))))))))))))))))))))))))))))))))))))))</f>
        <v>2</v>
      </c>
      <c r="G95" s="171">
        <v>2</v>
      </c>
      <c r="H95" s="38" t="s">
        <v>511</v>
      </c>
      <c r="I95" s="27" t="s">
        <v>936</v>
      </c>
      <c r="J95" s="163" t="s">
        <v>867</v>
      </c>
      <c r="K95" s="34" t="s">
        <v>991</v>
      </c>
      <c r="L95" s="66">
        <f>IF(O95="","",N95*O95*M95)</f>
        <v>75</v>
      </c>
      <c r="M95" s="8">
        <v>1</v>
      </c>
      <c r="N95" s="3">
        <v>1</v>
      </c>
      <c r="O95" s="15">
        <f>IF(SUM(Q95:AF95)&lt;1,"",SUM(Q95:AF95)/COUNTIF(Q95:AF95,"&gt;0"))</f>
        <v>75</v>
      </c>
      <c r="P95" s="16"/>
      <c r="Q95" s="13"/>
      <c r="R95" s="4"/>
      <c r="S95" s="4"/>
      <c r="T95" s="4">
        <v>75</v>
      </c>
      <c r="Y95" s="4"/>
      <c r="AB95" s="4"/>
      <c r="AC95" s="4"/>
      <c r="AD95" s="4"/>
      <c r="AE95" s="4"/>
      <c r="AF95" s="14"/>
    </row>
    <row r="96" spans="1:32" s="2" customFormat="1" ht="15.75" customHeight="1" x14ac:dyDescent="0.25">
      <c r="A96" s="33" t="str">
        <f>CONCATENATE(D96,".",F96,"-",G96,".",H96,"")</f>
        <v>1.2-2.1</v>
      </c>
      <c r="B96" s="33" t="s">
        <v>814</v>
      </c>
      <c r="C96" s="40" t="s">
        <v>335</v>
      </c>
      <c r="D96" s="33">
        <f>IF(C96="ID",1,(IF(C96="PR",2,(IF(C96="DE",3,(IF(C96="RS",4,(IF(C96="RC",5,0)))))))))</f>
        <v>1</v>
      </c>
      <c r="E96" s="33" t="s">
        <v>340</v>
      </c>
      <c r="F96" s="33">
        <f>IF(E96="AM",1,(IF(E96="BE",2,(IF(E96="GV",3,(IF(E96="RA",4,(IF(E96="RM",5,(IF(E96="AC",1,(IF(E96="AT",2,(IF(E96="DS",3,(IF(E96="IP",4,(IF(E96="MA",5,(IF(E96="PT",6,(IF(E96="AE",1,(IF(E96="CM",2,(IF(E96="DP",3,(IF(E96="AN",1,(IF(E96="CO",2,(IF(E96="IM",3,(IF(E96="MI",4,(IF(E96="RP",5,(IF(E96="SC",6,0)))))))))))))))))))))))))))))))))))))))</f>
        <v>2</v>
      </c>
      <c r="G96" s="171">
        <v>2</v>
      </c>
      <c r="H96" s="38" t="s">
        <v>511</v>
      </c>
      <c r="I96" s="27" t="s">
        <v>936</v>
      </c>
      <c r="J96" s="163" t="s">
        <v>869</v>
      </c>
      <c r="K96" s="34" t="s">
        <v>992</v>
      </c>
      <c r="L96" s="66">
        <f>IF(O96="","",N96*O96*M96)</f>
        <v>75</v>
      </c>
      <c r="M96" s="8">
        <v>1</v>
      </c>
      <c r="N96" s="3">
        <v>1</v>
      </c>
      <c r="O96" s="15">
        <f>IF(SUM(Q96:AF96)&lt;1,"",SUM(Q96:AF96)/COUNTIF(Q96:AF96,"&gt;0"))</f>
        <v>75</v>
      </c>
      <c r="P96" s="16"/>
      <c r="Q96" s="13"/>
      <c r="R96" s="4"/>
      <c r="S96" s="4"/>
      <c r="T96" s="4">
        <v>75</v>
      </c>
      <c r="Y96" s="4"/>
      <c r="AB96" s="4"/>
      <c r="AC96" s="4"/>
      <c r="AD96" s="4"/>
      <c r="AE96" s="4"/>
      <c r="AF96" s="14"/>
    </row>
    <row r="97" spans="1:32" s="2" customFormat="1" ht="15.75" customHeight="1" x14ac:dyDescent="0.25">
      <c r="A97" s="33" t="str">
        <f>CONCATENATE(D97,".",F97,"-",G97,".",H97,"")</f>
        <v>1.2-2.1</v>
      </c>
      <c r="B97" s="33" t="s">
        <v>814</v>
      </c>
      <c r="C97" s="40" t="s">
        <v>335</v>
      </c>
      <c r="D97" s="33">
        <f>IF(C97="ID",1,(IF(C97="PR",2,(IF(C97="DE",3,(IF(C97="RS",4,(IF(C97="RC",5,0)))))))))</f>
        <v>1</v>
      </c>
      <c r="E97" s="33" t="s">
        <v>340</v>
      </c>
      <c r="F97" s="33">
        <f>IF(E97="AM",1,(IF(E97="BE",2,(IF(E97="GV",3,(IF(E97="RA",4,(IF(E97="RM",5,(IF(E97="AC",1,(IF(E97="AT",2,(IF(E97="DS",3,(IF(E97="IP",4,(IF(E97="MA",5,(IF(E97="PT",6,(IF(E97="AE",1,(IF(E97="CM",2,(IF(E97="DP",3,(IF(E97="AN",1,(IF(E97="CO",2,(IF(E97="IM",3,(IF(E97="MI",4,(IF(E97="RP",5,(IF(E97="SC",6,0)))))))))))))))))))))))))))))))))))))))</f>
        <v>2</v>
      </c>
      <c r="G97" s="171">
        <v>2</v>
      </c>
      <c r="H97" s="38" t="s">
        <v>511</v>
      </c>
      <c r="I97" s="27" t="s">
        <v>936</v>
      </c>
      <c r="J97" s="163" t="s">
        <v>1022</v>
      </c>
      <c r="K97" s="34" t="s">
        <v>1025</v>
      </c>
      <c r="L97" s="66">
        <f>IF(O97="","",N97*O97*M97)</f>
        <v>75</v>
      </c>
      <c r="M97" s="8">
        <v>1</v>
      </c>
      <c r="N97" s="3">
        <v>1</v>
      </c>
      <c r="O97" s="15">
        <f>IF(SUM(Q97:AF97)&lt;1,"",SUM(Q97:AF97)/COUNTIF(Q97:AF97,"&gt;0"))</f>
        <v>75</v>
      </c>
      <c r="P97" s="16"/>
      <c r="Q97" s="13"/>
      <c r="R97" s="4"/>
      <c r="S97" s="4"/>
      <c r="T97" s="4">
        <v>75</v>
      </c>
      <c r="Y97" s="4"/>
      <c r="AB97" s="4"/>
      <c r="AC97" s="4"/>
      <c r="AD97" s="4"/>
      <c r="AE97" s="4"/>
      <c r="AF97" s="14"/>
    </row>
    <row r="98" spans="1:32" s="2" customFormat="1" ht="15.75" customHeight="1" x14ac:dyDescent="0.25">
      <c r="A98" s="33" t="str">
        <f>CONCATENATE(D98,".",F98,"-",G98,".",H98,"")</f>
        <v>1.2-2.1</v>
      </c>
      <c r="B98" s="33" t="s">
        <v>814</v>
      </c>
      <c r="C98" s="40" t="s">
        <v>335</v>
      </c>
      <c r="D98" s="33">
        <f>IF(C98="ID",1,(IF(C98="PR",2,(IF(C98="DE",3,(IF(C98="RS",4,(IF(C98="RC",5,0)))))))))</f>
        <v>1</v>
      </c>
      <c r="E98" s="33" t="s">
        <v>340</v>
      </c>
      <c r="F98" s="33">
        <f>IF(E98="AM",1,(IF(E98="BE",2,(IF(E98="GV",3,(IF(E98="RA",4,(IF(E98="RM",5,(IF(E98="AC",1,(IF(E98="AT",2,(IF(E98="DS",3,(IF(E98="IP",4,(IF(E98="MA",5,(IF(E98="PT",6,(IF(E98="AE",1,(IF(E98="CM",2,(IF(E98="DP",3,(IF(E98="AN",1,(IF(E98="CO",2,(IF(E98="IM",3,(IF(E98="MI",4,(IF(E98="RP",5,(IF(E98="SC",6,0)))))))))))))))))))))))))))))))))))))))</f>
        <v>2</v>
      </c>
      <c r="G98" s="171">
        <v>2</v>
      </c>
      <c r="H98" s="38" t="s">
        <v>511</v>
      </c>
      <c r="I98" s="27" t="s">
        <v>936</v>
      </c>
      <c r="J98" s="163" t="s">
        <v>1023</v>
      </c>
      <c r="K98" s="34" t="s">
        <v>1026</v>
      </c>
      <c r="L98" s="66">
        <f>IF(O98="","",N98*O98*M98)</f>
        <v>75</v>
      </c>
      <c r="M98" s="8">
        <v>1</v>
      </c>
      <c r="N98" s="3">
        <v>1</v>
      </c>
      <c r="O98" s="15">
        <f>IF(SUM(Q98:AF98)&lt;1,"",SUM(Q98:AF98)/COUNTIF(Q98:AF98,"&gt;0"))</f>
        <v>75</v>
      </c>
      <c r="P98" s="16"/>
      <c r="Q98" s="13"/>
      <c r="R98" s="4"/>
      <c r="S98" s="4"/>
      <c r="T98" s="4">
        <v>75</v>
      </c>
      <c r="Y98" s="4"/>
      <c r="AB98" s="4"/>
      <c r="AC98" s="4"/>
      <c r="AD98" s="4"/>
      <c r="AE98" s="4"/>
      <c r="AF98" s="14"/>
    </row>
    <row r="99" spans="1:32" s="2" customFormat="1" ht="15.75" customHeight="1" x14ac:dyDescent="0.25">
      <c r="A99" s="33" t="str">
        <f>CONCATENATE(D99,".",F99,"-",G99,".",H99,"")</f>
        <v>1.2-2.1</v>
      </c>
      <c r="B99" s="33" t="s">
        <v>1232</v>
      </c>
      <c r="C99" s="40" t="s">
        <v>335</v>
      </c>
      <c r="D99" s="33">
        <f>IF(C99="ID",1,(IF(C99="PR",2,(IF(C99="DE",3,(IF(C99="RS",4,(IF(C99="RC",5,0)))))))))</f>
        <v>1</v>
      </c>
      <c r="E99" s="33" t="s">
        <v>340</v>
      </c>
      <c r="F99" s="33">
        <f>IF(E99="AM",1,(IF(E99="BE",2,(IF(E99="GV",3,(IF(E99="RA",4,(IF(E99="RM",5,(IF(E99="AC",1,(IF(E99="AT",2,(IF(E99="DS",3,(IF(E99="IP",4,(IF(E99="MA",5,(IF(E99="PT",6,(IF(E99="AE",1,(IF(E99="CM",2,(IF(E99="DP",3,(IF(E99="AN",1,(IF(E99="CO",2,(IF(E99="IM",3,(IF(E99="MI",4,(IF(E99="RP",5,(IF(E99="SC",6,0)))))))))))))))))))))))))))))))))))))))</f>
        <v>2</v>
      </c>
      <c r="G99" s="170">
        <v>2</v>
      </c>
      <c r="H99" s="38" t="s">
        <v>511</v>
      </c>
      <c r="I99" s="105" t="s">
        <v>821</v>
      </c>
      <c r="J99" s="150" t="s">
        <v>864</v>
      </c>
      <c r="K99" s="79" t="s">
        <v>1283</v>
      </c>
      <c r="L99" s="66">
        <f>IF(O99="","",N99*O99*M99)</f>
        <v>75</v>
      </c>
      <c r="M99" s="8">
        <v>1</v>
      </c>
      <c r="N99" s="3">
        <v>1</v>
      </c>
      <c r="O99" s="15">
        <f>IF(SUM(Q99:AF99)&lt;1,"",SUM(Q99:AF99)/COUNTIF(Q99:AF99,"&gt;0"))</f>
        <v>75</v>
      </c>
      <c r="P99" s="16"/>
      <c r="Q99" s="13"/>
      <c r="R99" s="4"/>
      <c r="S99" s="4"/>
      <c r="T99" s="4">
        <v>75</v>
      </c>
      <c r="Y99" s="4"/>
      <c r="AB99" s="4"/>
      <c r="AC99" s="4"/>
      <c r="AD99" s="4"/>
      <c r="AE99" s="4"/>
      <c r="AF99" s="14"/>
    </row>
    <row r="100" spans="1:32" s="2" customFormat="1" ht="15.75" customHeight="1" x14ac:dyDescent="0.25">
      <c r="A100" s="33" t="str">
        <f>CONCATENATE(D100,".",F100,"-",G100,".",H100,"")</f>
        <v>1.2-2.1</v>
      </c>
      <c r="B100" s="33"/>
      <c r="C100" s="39" t="s">
        <v>335</v>
      </c>
      <c r="D100" s="33">
        <f>IF(C100="ID",1,(IF(C100="PR",2,(IF(C100="DE",3,(IF(C100="RS",4,(IF(C100="RC",5,0)))))))))</f>
        <v>1</v>
      </c>
      <c r="E100" s="33" t="s">
        <v>340</v>
      </c>
      <c r="F100" s="33">
        <f>IF(E100="AM",1,(IF(E100="BE",2,(IF(E100="GV",3,(IF(E100="RA",4,(IF(E100="RM",5,(IF(E100="AC",1,(IF(E100="AT",2,(IF(E100="DS",3,(IF(E100="IP",4,(IF(E100="MA",5,(IF(E100="PT",6,(IF(E100="AE",1,(IF(E100="CM",2,(IF(E100="DP",3,(IF(E100="AN",1,(IF(E100="CO",2,(IF(E100="IM",3,(IF(E100="MI",4,(IF(E100="RP",5,(IF(E100="SC",6,0)))))))))))))))))))))))))))))))))))))))</f>
        <v>2</v>
      </c>
      <c r="G100" s="170">
        <v>2</v>
      </c>
      <c r="H100" s="38" t="s">
        <v>511</v>
      </c>
      <c r="I100" s="105" t="s">
        <v>1449</v>
      </c>
      <c r="J100" s="157" t="s">
        <v>1999</v>
      </c>
      <c r="K100" s="34" t="s">
        <v>2000</v>
      </c>
      <c r="L100" s="5">
        <f>IF(O100="","",N100*O100*M100)</f>
        <v>99</v>
      </c>
      <c r="M100" s="8">
        <v>1</v>
      </c>
      <c r="N100" s="1">
        <v>1</v>
      </c>
      <c r="O100" s="15">
        <f>IF(SUM(Q100:AF100)&lt;1,"",SUM(Q100:AF100)/COUNTIF(Q100:AF100,"&gt;0"))</f>
        <v>99</v>
      </c>
      <c r="P100" s="16"/>
      <c r="Q100" s="13"/>
      <c r="R100" s="4"/>
      <c r="S100" s="4"/>
      <c r="T100" s="4">
        <v>99</v>
      </c>
      <c r="Y100" s="4"/>
      <c r="AB100" s="4"/>
      <c r="AC100" s="4"/>
      <c r="AD100" s="4"/>
      <c r="AE100" s="4"/>
      <c r="AF100" s="14"/>
    </row>
    <row r="101" spans="1:32" s="2" customFormat="1" ht="15.75" customHeight="1" x14ac:dyDescent="0.25">
      <c r="A101" s="33" t="str">
        <f>CONCATENATE(D101,".",F101,"-",G101,".",H101,"")</f>
        <v>1.2-2.1</v>
      </c>
      <c r="B101" s="33"/>
      <c r="C101" s="39" t="s">
        <v>335</v>
      </c>
      <c r="D101" s="33">
        <f>IF(C101="ID",1,(IF(C101="PR",2,(IF(C101="DE",3,(IF(C101="RS",4,(IF(C101="RC",5,0)))))))))</f>
        <v>1</v>
      </c>
      <c r="E101" s="33" t="s">
        <v>340</v>
      </c>
      <c r="F101" s="33">
        <f>IF(E101="AM",1,(IF(E101="BE",2,(IF(E101="GV",3,(IF(E101="RA",4,(IF(E101="RM",5,(IF(E101="AC",1,(IF(E101="AT",2,(IF(E101="DS",3,(IF(E101="IP",4,(IF(E101="MA",5,(IF(E101="PT",6,(IF(E101="AE",1,(IF(E101="CM",2,(IF(E101="DP",3,(IF(E101="AN",1,(IF(E101="CO",2,(IF(E101="IM",3,(IF(E101="MI",4,(IF(E101="RP",5,(IF(E101="SC",6,0)))))))))))))))))))))))))))))))))))))))</f>
        <v>2</v>
      </c>
      <c r="G101" s="170">
        <v>2</v>
      </c>
      <c r="H101" s="38" t="s">
        <v>511</v>
      </c>
      <c r="I101" s="105" t="s">
        <v>1449</v>
      </c>
      <c r="J101" s="157" t="s">
        <v>2473</v>
      </c>
      <c r="K101" s="34" t="s">
        <v>2474</v>
      </c>
      <c r="L101" s="5">
        <f>IF(O101="","",N101*O101*M101)</f>
        <v>99</v>
      </c>
      <c r="M101" s="8">
        <v>1</v>
      </c>
      <c r="N101" s="1">
        <v>1</v>
      </c>
      <c r="O101" s="15">
        <f>IF(SUM(Q101:AF101)&lt;1,"",SUM(Q101:AF101)/COUNTIF(Q101:AF101,"&gt;0"))</f>
        <v>99</v>
      </c>
      <c r="P101" s="16"/>
      <c r="Q101" s="13"/>
      <c r="R101" s="4"/>
      <c r="S101" s="4"/>
      <c r="T101" s="4">
        <v>99</v>
      </c>
      <c r="Y101" s="4"/>
      <c r="AB101" s="4"/>
      <c r="AC101" s="4"/>
      <c r="AD101" s="4"/>
      <c r="AE101" s="4"/>
      <c r="AF101" s="14"/>
    </row>
    <row r="102" spans="1:32" s="2" customFormat="1" ht="15.75" customHeight="1" x14ac:dyDescent="0.25">
      <c r="A102" s="33" t="str">
        <f>CONCATENATE(D102,".",F102,"-",G102,".",H102,"")</f>
        <v>1.2-2.1</v>
      </c>
      <c r="B102" s="33"/>
      <c r="C102" s="39" t="s">
        <v>335</v>
      </c>
      <c r="D102" s="33">
        <f>IF(C102="ID",1,(IF(C102="PR",2,(IF(C102="DE",3,(IF(C102="RS",4,(IF(C102="RC",5,0)))))))))</f>
        <v>1</v>
      </c>
      <c r="E102" s="33" t="s">
        <v>340</v>
      </c>
      <c r="F102" s="33">
        <f>IF(E102="AM",1,(IF(E102="BE",2,(IF(E102="GV",3,(IF(E102="RA",4,(IF(E102="RM",5,(IF(E102="AC",1,(IF(E102="AT",2,(IF(E102="DS",3,(IF(E102="IP",4,(IF(E102="MA",5,(IF(E102="PT",6,(IF(E102="AE",1,(IF(E102="CM",2,(IF(E102="DP",3,(IF(E102="AN",1,(IF(E102="CO",2,(IF(E102="IM",3,(IF(E102="MI",4,(IF(E102="RP",5,(IF(E102="SC",6,0)))))))))))))))))))))))))))))))))))))))</f>
        <v>2</v>
      </c>
      <c r="G102" s="170">
        <v>2</v>
      </c>
      <c r="H102" s="38" t="s">
        <v>511</v>
      </c>
      <c r="I102" s="105" t="s">
        <v>1449</v>
      </c>
      <c r="J102" s="157" t="s">
        <v>2509</v>
      </c>
      <c r="K102" s="34" t="s">
        <v>2510</v>
      </c>
      <c r="L102" s="5">
        <f>IF(O102="","",N102*O102*M102)</f>
        <v>99</v>
      </c>
      <c r="M102" s="8">
        <v>1</v>
      </c>
      <c r="N102" s="1">
        <v>1</v>
      </c>
      <c r="O102" s="15">
        <f>IF(SUM(Q102:AF102)&lt;1,"",SUM(Q102:AF102)/COUNTIF(Q102:AF102,"&gt;0"))</f>
        <v>99</v>
      </c>
      <c r="P102" s="16"/>
      <c r="Q102" s="13"/>
      <c r="R102" s="4"/>
      <c r="S102" s="4"/>
      <c r="T102" s="4">
        <v>99</v>
      </c>
      <c r="Y102" s="4"/>
      <c r="AB102" s="4"/>
      <c r="AC102" s="4"/>
      <c r="AD102" s="4"/>
      <c r="AE102" s="4"/>
      <c r="AF102" s="14"/>
    </row>
    <row r="103" spans="1:32" s="2" customFormat="1" ht="15.75" customHeight="1" x14ac:dyDescent="0.25">
      <c r="A103" s="33" t="str">
        <f>CONCATENATE(D103,".",F103,"-",G103,".",H103,"")</f>
        <v>1.2-3.0</v>
      </c>
      <c r="B103" s="33" t="s">
        <v>814</v>
      </c>
      <c r="C103" s="40" t="s">
        <v>335</v>
      </c>
      <c r="D103" s="33">
        <f>IF(C103="ID",1,(IF(C103="PR",2,(IF(C103="DE",3,(IF(C103="RS",4,(IF(C103="RC",5,0)))))))))</f>
        <v>1</v>
      </c>
      <c r="E103" s="33" t="s">
        <v>340</v>
      </c>
      <c r="F103" s="33">
        <f>IF(E103="AM",1,(IF(E103="BE",2,(IF(E103="GV",3,(IF(E103="RA",4,(IF(E103="RM",5,(IF(E103="AC",1,(IF(E103="AT",2,(IF(E103="DS",3,(IF(E103="IP",4,(IF(E103="MA",5,(IF(E103="PT",6,(IF(E103="AE",1,(IF(E103="CM",2,(IF(E103="DP",3,(IF(E103="AN",1,(IF(E103="CO",2,(IF(E103="IM",3,(IF(E103="MI",4,(IF(E103="RP",5,(IF(E103="SC",6,0)))))))))))))))))))))))))))))))))))))))</f>
        <v>2</v>
      </c>
      <c r="G103" s="170">
        <v>3</v>
      </c>
      <c r="H103" s="38" t="s">
        <v>597</v>
      </c>
      <c r="I103" s="27" t="s">
        <v>1200</v>
      </c>
      <c r="J103" s="149" t="s">
        <v>645</v>
      </c>
      <c r="K103" s="97" t="s">
        <v>359</v>
      </c>
      <c r="L103" s="66">
        <f>IF(O103="","",N103*O103*M103)</f>
        <v>75</v>
      </c>
      <c r="M103" s="8">
        <v>1</v>
      </c>
      <c r="N103" s="1">
        <v>1</v>
      </c>
      <c r="O103" s="15">
        <f>IF(SUM(Q103:AF103)&lt;1,"",SUM(Q103:AF103)/COUNTIF(Q103:AF103,"&gt;0"))</f>
        <v>75</v>
      </c>
      <c r="P103" s="16"/>
      <c r="Q103" s="13"/>
      <c r="R103" s="4"/>
      <c r="S103" s="4"/>
      <c r="T103" s="4">
        <v>75</v>
      </c>
      <c r="Y103" s="4"/>
      <c r="AB103" s="4"/>
      <c r="AC103" s="4"/>
      <c r="AD103" s="4"/>
      <c r="AE103" s="4"/>
      <c r="AF103" s="14"/>
    </row>
    <row r="104" spans="1:32" s="2" customFormat="1" ht="15.75" customHeight="1" x14ac:dyDescent="0.25">
      <c r="A104" s="33" t="str">
        <f>CONCATENATE(D104,".",F104,"-",G104,".",H104,"")</f>
        <v>1.2-3.1</v>
      </c>
      <c r="B104" s="33" t="s">
        <v>814</v>
      </c>
      <c r="C104" s="40" t="s">
        <v>335</v>
      </c>
      <c r="D104" s="33">
        <f>IF(C104="ID",1,(IF(C104="PR",2,(IF(C104="DE",3,(IF(C104="RS",4,(IF(C104="RC",5,0)))))))))</f>
        <v>1</v>
      </c>
      <c r="E104" s="33" t="s">
        <v>340</v>
      </c>
      <c r="F104" s="33">
        <f>IF(E104="AM",1,(IF(E104="BE",2,(IF(E104="GV",3,(IF(E104="RA",4,(IF(E104="RM",5,(IF(E104="AC",1,(IF(E104="AT",2,(IF(E104="DS",3,(IF(E104="IP",4,(IF(E104="MA",5,(IF(E104="PT",6,(IF(E104="AE",1,(IF(E104="CM",2,(IF(E104="DP",3,(IF(E104="AN",1,(IF(E104="CO",2,(IF(E104="IM",3,(IF(E104="MI",4,(IF(E104="RP",5,(IF(E104="SC",6,0)))))))))))))))))))))))))))))))))))))))</f>
        <v>2</v>
      </c>
      <c r="G104" s="171">
        <v>3</v>
      </c>
      <c r="H104" s="38" t="s">
        <v>511</v>
      </c>
      <c r="I104" s="27" t="s">
        <v>936</v>
      </c>
      <c r="J104" s="163" t="s">
        <v>879</v>
      </c>
      <c r="K104" s="34" t="s">
        <v>988</v>
      </c>
      <c r="L104" s="66">
        <f>IF(O104="","",N104*O104*M104)</f>
        <v>75</v>
      </c>
      <c r="M104" s="8">
        <v>1</v>
      </c>
      <c r="N104" s="3">
        <v>1</v>
      </c>
      <c r="O104" s="15">
        <f>IF(SUM(Q104:AF104)&lt;1,"",SUM(Q104:AF104)/COUNTIF(Q104:AF104,"&gt;0"))</f>
        <v>75</v>
      </c>
      <c r="P104" s="16"/>
      <c r="Q104" s="13"/>
      <c r="R104" s="4"/>
      <c r="S104" s="4"/>
      <c r="T104" s="4">
        <v>75</v>
      </c>
      <c r="Y104" s="4"/>
      <c r="AB104" s="4"/>
      <c r="AC104" s="4"/>
      <c r="AD104" s="4"/>
      <c r="AE104" s="4"/>
      <c r="AF104" s="14"/>
    </row>
    <row r="105" spans="1:32" s="2" customFormat="1" ht="15.75" customHeight="1" x14ac:dyDescent="0.25">
      <c r="A105" s="33" t="str">
        <f>CONCATENATE(D105,".",F105,"-",G105,".",H105,"")</f>
        <v>1.2-3.1</v>
      </c>
      <c r="B105" s="33" t="s">
        <v>814</v>
      </c>
      <c r="C105" s="40" t="s">
        <v>335</v>
      </c>
      <c r="D105" s="33">
        <f>IF(C105="ID",1,(IF(C105="PR",2,(IF(C105="DE",3,(IF(C105="RS",4,(IF(C105="RC",5,0)))))))))</f>
        <v>1</v>
      </c>
      <c r="E105" s="33" t="s">
        <v>340</v>
      </c>
      <c r="F105" s="33">
        <f>IF(E105="AM",1,(IF(E105="BE",2,(IF(E105="GV",3,(IF(E105="RA",4,(IF(E105="RM",5,(IF(E105="AC",1,(IF(E105="AT",2,(IF(E105="DS",3,(IF(E105="IP",4,(IF(E105="MA",5,(IF(E105="PT",6,(IF(E105="AE",1,(IF(E105="CM",2,(IF(E105="DP",3,(IF(E105="AN",1,(IF(E105="CO",2,(IF(E105="IM",3,(IF(E105="MI",4,(IF(E105="RP",5,(IF(E105="SC",6,0)))))))))))))))))))))))))))))))))))))))</f>
        <v>2</v>
      </c>
      <c r="G105" s="171">
        <v>3</v>
      </c>
      <c r="H105" s="38" t="s">
        <v>511</v>
      </c>
      <c r="I105" s="27" t="s">
        <v>936</v>
      </c>
      <c r="J105" s="163" t="s">
        <v>877</v>
      </c>
      <c r="K105" s="34" t="s">
        <v>989</v>
      </c>
      <c r="L105" s="66">
        <f>IF(O105="","",N105*O105*M105)</f>
        <v>75</v>
      </c>
      <c r="M105" s="8">
        <v>1</v>
      </c>
      <c r="N105" s="3">
        <v>1</v>
      </c>
      <c r="O105" s="15">
        <f>IF(SUM(Q105:AF105)&lt;1,"",SUM(Q105:AF105)/COUNTIF(Q105:AF105,"&gt;0"))</f>
        <v>75</v>
      </c>
      <c r="P105" s="16"/>
      <c r="Q105" s="13"/>
      <c r="R105" s="4"/>
      <c r="S105" s="4"/>
      <c r="T105" s="4">
        <v>75</v>
      </c>
      <c r="Y105" s="4"/>
      <c r="AB105" s="4"/>
      <c r="AC105" s="4"/>
      <c r="AD105" s="4"/>
      <c r="AE105" s="4"/>
      <c r="AF105" s="14"/>
    </row>
    <row r="106" spans="1:32" s="2" customFormat="1" ht="15.75" customHeight="1" x14ac:dyDescent="0.25">
      <c r="A106" s="33" t="str">
        <f>CONCATENATE(D106,".",F106,"-",G106,".",H106,"")</f>
        <v>1.2-3.1</v>
      </c>
      <c r="B106" s="33" t="s">
        <v>814</v>
      </c>
      <c r="C106" s="40" t="s">
        <v>335</v>
      </c>
      <c r="D106" s="33">
        <f>IF(C106="ID",1,(IF(C106="PR",2,(IF(C106="DE",3,(IF(C106="RS",4,(IF(C106="RC",5,0)))))))))</f>
        <v>1</v>
      </c>
      <c r="E106" s="33" t="s">
        <v>340</v>
      </c>
      <c r="F106" s="33">
        <f>IF(E106="AM",1,(IF(E106="BE",2,(IF(E106="GV",3,(IF(E106="RA",4,(IF(E106="RM",5,(IF(E106="AC",1,(IF(E106="AT",2,(IF(E106="DS",3,(IF(E106="IP",4,(IF(E106="MA",5,(IF(E106="PT",6,(IF(E106="AE",1,(IF(E106="CM",2,(IF(E106="DP",3,(IF(E106="AN",1,(IF(E106="CO",2,(IF(E106="IM",3,(IF(E106="MI",4,(IF(E106="RP",5,(IF(E106="SC",6,0)))))))))))))))))))))))))))))))))))))))</f>
        <v>2</v>
      </c>
      <c r="G106" s="171">
        <v>3</v>
      </c>
      <c r="H106" s="38" t="s">
        <v>511</v>
      </c>
      <c r="I106" s="27" t="s">
        <v>936</v>
      </c>
      <c r="J106" s="163" t="s">
        <v>867</v>
      </c>
      <c r="K106" s="34" t="s">
        <v>991</v>
      </c>
      <c r="L106" s="66">
        <f>IF(O106="","",N106*O106*M106)</f>
        <v>75</v>
      </c>
      <c r="M106" s="8">
        <v>1</v>
      </c>
      <c r="N106" s="3">
        <v>1</v>
      </c>
      <c r="O106" s="15">
        <f>IF(SUM(Q106:AF106)&lt;1,"",SUM(Q106:AF106)/COUNTIF(Q106:AF106,"&gt;0"))</f>
        <v>75</v>
      </c>
      <c r="P106" s="16"/>
      <c r="Q106" s="13"/>
      <c r="R106" s="4"/>
      <c r="S106" s="4"/>
      <c r="T106" s="4">
        <v>75</v>
      </c>
      <c r="Y106" s="4"/>
      <c r="AB106" s="4"/>
      <c r="AC106" s="4"/>
      <c r="AD106" s="4"/>
      <c r="AE106" s="4"/>
      <c r="AF106" s="14"/>
    </row>
    <row r="107" spans="1:32" s="2" customFormat="1" ht="15.75" customHeight="1" x14ac:dyDescent="0.25">
      <c r="A107" s="33" t="str">
        <f>CONCATENATE(D107,".",F107,"-",G107,".",H107,"")</f>
        <v>1.2-3.1</v>
      </c>
      <c r="B107" s="33" t="s">
        <v>1232</v>
      </c>
      <c r="C107" s="40" t="s">
        <v>335</v>
      </c>
      <c r="D107" s="33">
        <f>IF(C107="ID",1,(IF(C107="PR",2,(IF(C107="DE",3,(IF(C107="RS",4,(IF(C107="RC",5,0)))))))))</f>
        <v>1</v>
      </c>
      <c r="E107" s="33" t="s">
        <v>340</v>
      </c>
      <c r="F107" s="33">
        <f>IF(E107="AM",1,(IF(E107="BE",2,(IF(E107="GV",3,(IF(E107="RA",4,(IF(E107="RM",5,(IF(E107="AC",1,(IF(E107="AT",2,(IF(E107="DS",3,(IF(E107="IP",4,(IF(E107="MA",5,(IF(E107="PT",6,(IF(E107="AE",1,(IF(E107="CM",2,(IF(E107="DP",3,(IF(E107="AN",1,(IF(E107="CO",2,(IF(E107="IM",3,(IF(E107="MI",4,(IF(E107="RP",5,(IF(E107="SC",6,0)))))))))))))))))))))))))))))))))))))))</f>
        <v>2</v>
      </c>
      <c r="G107" s="170">
        <v>3</v>
      </c>
      <c r="H107" s="38" t="s">
        <v>511</v>
      </c>
      <c r="I107" s="105" t="s">
        <v>821</v>
      </c>
      <c r="J107" s="150" t="s">
        <v>839</v>
      </c>
      <c r="K107" s="79" t="s">
        <v>1283</v>
      </c>
      <c r="L107" s="66">
        <f>IF(O107="","",N107*O107*M107)</f>
        <v>75</v>
      </c>
      <c r="M107" s="8">
        <v>1</v>
      </c>
      <c r="N107" s="3">
        <v>1</v>
      </c>
      <c r="O107" s="15">
        <f>IF(SUM(Q107:AF107)&lt;1,"",SUM(Q107:AF107)/COUNTIF(Q107:AF107,"&gt;0"))</f>
        <v>75</v>
      </c>
      <c r="P107" s="16"/>
      <c r="Q107" s="13"/>
      <c r="R107" s="4"/>
      <c r="S107" s="4"/>
      <c r="T107" s="4">
        <v>75</v>
      </c>
      <c r="Y107" s="4"/>
      <c r="AB107" s="4"/>
      <c r="AC107" s="4"/>
      <c r="AD107" s="4"/>
      <c r="AE107" s="4"/>
      <c r="AF107" s="14"/>
    </row>
    <row r="108" spans="1:32" s="2" customFormat="1" ht="15.75" customHeight="1" x14ac:dyDescent="0.25">
      <c r="A108" s="33" t="str">
        <f>CONCATENATE(D108,".",F108,"-",G108,".",H108,"")</f>
        <v>1.2-3.1</v>
      </c>
      <c r="B108" s="33" t="s">
        <v>1232</v>
      </c>
      <c r="C108" s="40" t="s">
        <v>335</v>
      </c>
      <c r="D108" s="33">
        <f>IF(C108="ID",1,(IF(C108="PR",2,(IF(C108="DE",3,(IF(C108="RS",4,(IF(C108="RC",5,0)))))))))</f>
        <v>1</v>
      </c>
      <c r="E108" s="33" t="s">
        <v>340</v>
      </c>
      <c r="F108" s="33">
        <f>IF(E108="AM",1,(IF(E108="BE",2,(IF(E108="GV",3,(IF(E108="RA",4,(IF(E108="RM",5,(IF(E108="AC",1,(IF(E108="AT",2,(IF(E108="DS",3,(IF(E108="IP",4,(IF(E108="MA",5,(IF(E108="PT",6,(IF(E108="AE",1,(IF(E108="CM",2,(IF(E108="DP",3,(IF(E108="AN",1,(IF(E108="CO",2,(IF(E108="IM",3,(IF(E108="MI",4,(IF(E108="RP",5,(IF(E108="SC",6,0)))))))))))))))))))))))))))))))))))))))</f>
        <v>2</v>
      </c>
      <c r="G108" s="170">
        <v>3</v>
      </c>
      <c r="H108" s="38" t="s">
        <v>511</v>
      </c>
      <c r="I108" s="105" t="s">
        <v>821</v>
      </c>
      <c r="J108" s="150" t="s">
        <v>841</v>
      </c>
      <c r="K108" s="79" t="s">
        <v>1283</v>
      </c>
      <c r="L108" s="66">
        <f>IF(O108="","",N108*O108*M108)</f>
        <v>75</v>
      </c>
      <c r="M108" s="8">
        <v>1</v>
      </c>
      <c r="N108" s="3">
        <v>1</v>
      </c>
      <c r="O108" s="15">
        <f>IF(SUM(Q108:AF108)&lt;1,"",SUM(Q108:AF108)/COUNTIF(Q108:AF108,"&gt;0"))</f>
        <v>75</v>
      </c>
      <c r="P108" s="16"/>
      <c r="Q108" s="13"/>
      <c r="R108" s="4"/>
      <c r="S108" s="4"/>
      <c r="T108" s="4">
        <v>75</v>
      </c>
      <c r="Y108" s="4"/>
      <c r="AB108" s="4"/>
      <c r="AC108" s="4"/>
      <c r="AD108" s="4"/>
      <c r="AE108" s="4"/>
      <c r="AF108" s="14"/>
    </row>
    <row r="109" spans="1:32" s="2" customFormat="1" ht="15.75" customHeight="1" x14ac:dyDescent="0.25">
      <c r="A109" s="33" t="str">
        <f>CONCATENATE(D109,".",F109,"-",G109,".",H109,"")</f>
        <v>1.2-3.1</v>
      </c>
      <c r="B109" s="33" t="s">
        <v>1232</v>
      </c>
      <c r="C109" s="40" t="s">
        <v>335</v>
      </c>
      <c r="D109" s="33">
        <f>IF(C109="ID",1,(IF(C109="PR",2,(IF(C109="DE",3,(IF(C109="RS",4,(IF(C109="RC",5,0)))))))))</f>
        <v>1</v>
      </c>
      <c r="E109" s="33" t="s">
        <v>340</v>
      </c>
      <c r="F109" s="33">
        <f>IF(E109="AM",1,(IF(E109="BE",2,(IF(E109="GV",3,(IF(E109="RA",4,(IF(E109="RM",5,(IF(E109="AC",1,(IF(E109="AT",2,(IF(E109="DS",3,(IF(E109="IP",4,(IF(E109="MA",5,(IF(E109="PT",6,(IF(E109="AE",1,(IF(E109="CM",2,(IF(E109="DP",3,(IF(E109="AN",1,(IF(E109="CO",2,(IF(E109="IM",3,(IF(E109="MI",4,(IF(E109="RP",5,(IF(E109="SC",6,0)))))))))))))))))))))))))))))))))))))))</f>
        <v>2</v>
      </c>
      <c r="G109" s="170">
        <v>3</v>
      </c>
      <c r="H109" s="38" t="s">
        <v>511</v>
      </c>
      <c r="I109" s="105" t="s">
        <v>821</v>
      </c>
      <c r="J109" s="150" t="s">
        <v>844</v>
      </c>
      <c r="K109" s="79" t="s">
        <v>1283</v>
      </c>
      <c r="L109" s="66">
        <f>IF(O109="","",N109*O109*M109)</f>
        <v>75</v>
      </c>
      <c r="M109" s="8">
        <v>1</v>
      </c>
      <c r="N109" s="3">
        <v>1</v>
      </c>
      <c r="O109" s="15">
        <f>IF(SUM(Q109:AF109)&lt;1,"",SUM(Q109:AF109)/COUNTIF(Q109:AF109,"&gt;0"))</f>
        <v>75</v>
      </c>
      <c r="P109" s="16"/>
      <c r="Q109" s="13"/>
      <c r="R109" s="4"/>
      <c r="S109" s="4"/>
      <c r="T109" s="4">
        <v>75</v>
      </c>
      <c r="Y109" s="4"/>
      <c r="AB109" s="4"/>
      <c r="AC109" s="4"/>
      <c r="AD109" s="4"/>
      <c r="AE109" s="4"/>
      <c r="AF109" s="14"/>
    </row>
    <row r="110" spans="1:32" s="2" customFormat="1" ht="15.75" customHeight="1" x14ac:dyDescent="0.25">
      <c r="A110" s="33" t="str">
        <f>CONCATENATE(D110,".",F110,"-",G110,".",H110,"")</f>
        <v>1.2-3.1</v>
      </c>
      <c r="B110" s="33" t="s">
        <v>1232</v>
      </c>
      <c r="C110" s="40" t="s">
        <v>335</v>
      </c>
      <c r="D110" s="33">
        <f>IF(C110="ID",1,(IF(C110="PR",2,(IF(C110="DE",3,(IF(C110="RS",4,(IF(C110="RC",5,0)))))))))</f>
        <v>1</v>
      </c>
      <c r="E110" s="33" t="s">
        <v>340</v>
      </c>
      <c r="F110" s="33">
        <f>IF(E110="AM",1,(IF(E110="BE",2,(IF(E110="GV",3,(IF(E110="RA",4,(IF(E110="RM",5,(IF(E110="AC",1,(IF(E110="AT",2,(IF(E110="DS",3,(IF(E110="IP",4,(IF(E110="MA",5,(IF(E110="PT",6,(IF(E110="AE",1,(IF(E110="CM",2,(IF(E110="DP",3,(IF(E110="AN",1,(IF(E110="CO",2,(IF(E110="IM",3,(IF(E110="MI",4,(IF(E110="RP",5,(IF(E110="SC",6,0)))))))))))))))))))))))))))))))))))))))</f>
        <v>2</v>
      </c>
      <c r="G110" s="170">
        <v>3</v>
      </c>
      <c r="H110" s="38" t="s">
        <v>511</v>
      </c>
      <c r="I110" s="105" t="s">
        <v>821</v>
      </c>
      <c r="J110" s="166" t="s">
        <v>845</v>
      </c>
      <c r="K110" s="79" t="s">
        <v>1283</v>
      </c>
      <c r="L110" s="66">
        <f>IF(O110="","",N110*O110*M110)</f>
        <v>75</v>
      </c>
      <c r="M110" s="8">
        <v>1</v>
      </c>
      <c r="N110" s="3">
        <v>1</v>
      </c>
      <c r="O110" s="15">
        <f>IF(SUM(Q110:AF110)&lt;1,"",SUM(Q110:AF110)/COUNTIF(Q110:AF110,"&gt;0"))</f>
        <v>75</v>
      </c>
      <c r="P110" s="16"/>
      <c r="Q110" s="13"/>
      <c r="R110" s="4"/>
      <c r="S110" s="4"/>
      <c r="T110" s="4">
        <v>75</v>
      </c>
      <c r="Y110" s="4"/>
      <c r="AB110" s="4"/>
      <c r="AC110" s="4"/>
      <c r="AD110" s="4"/>
      <c r="AE110" s="4"/>
      <c r="AF110" s="14"/>
    </row>
    <row r="111" spans="1:32" s="2" customFormat="1" ht="15.75" customHeight="1" x14ac:dyDescent="0.25">
      <c r="A111" s="33" t="str">
        <f>CONCATENATE(D111,".",F111,"-",G111,".",H111,"")</f>
        <v>1.2-3.1</v>
      </c>
      <c r="B111" s="33"/>
      <c r="C111" s="39" t="s">
        <v>335</v>
      </c>
      <c r="D111" s="33">
        <f>IF(C111="ID",1,(IF(C111="PR",2,(IF(C111="DE",3,(IF(C111="RS",4,(IF(C111="RC",5,0)))))))))</f>
        <v>1</v>
      </c>
      <c r="E111" s="33" t="s">
        <v>340</v>
      </c>
      <c r="F111" s="33">
        <f>IF(E111="AM",1,(IF(E111="BE",2,(IF(E111="GV",3,(IF(E111="RA",4,(IF(E111="RM",5,(IF(E111="AC",1,(IF(E111="AT",2,(IF(E111="DS",3,(IF(E111="IP",4,(IF(E111="MA",5,(IF(E111="PT",6,(IF(E111="AE",1,(IF(E111="CM",2,(IF(E111="DP",3,(IF(E111="AN",1,(IF(E111="CO",2,(IF(E111="IM",3,(IF(E111="MI",4,(IF(E111="RP",5,(IF(E111="SC",6,0)))))))))))))))))))))))))))))))))))))))</f>
        <v>2</v>
      </c>
      <c r="G111" s="170">
        <v>3</v>
      </c>
      <c r="H111" s="38" t="s">
        <v>511</v>
      </c>
      <c r="I111" s="105" t="s">
        <v>1449</v>
      </c>
      <c r="J111" s="38" t="s">
        <v>1987</v>
      </c>
      <c r="K111" s="34" t="s">
        <v>1988</v>
      </c>
      <c r="L111" s="5">
        <f>IF(O111="","",N111*O111*M111)</f>
        <v>99</v>
      </c>
      <c r="M111" s="8">
        <v>1</v>
      </c>
      <c r="N111" s="1">
        <v>1</v>
      </c>
      <c r="O111" s="15">
        <f>IF(SUM(Q111:AF111)&lt;1,"",SUM(Q111:AF111)/COUNTIF(Q111:AF111,"&gt;0"))</f>
        <v>99</v>
      </c>
      <c r="P111" s="16"/>
      <c r="Q111" s="13"/>
      <c r="R111" s="4"/>
      <c r="S111" s="4"/>
      <c r="T111" s="4">
        <v>99</v>
      </c>
      <c r="Y111" s="4"/>
      <c r="AB111" s="4"/>
      <c r="AC111" s="4"/>
      <c r="AD111" s="4"/>
      <c r="AE111" s="4"/>
      <c r="AF111" s="14"/>
    </row>
    <row r="112" spans="1:32" s="2" customFormat="1" ht="15.75" customHeight="1" x14ac:dyDescent="0.25">
      <c r="A112" s="33" t="str">
        <f>CONCATENATE(D112,".",F112,"-",G112,".",H112,"")</f>
        <v>1.2-3.1</v>
      </c>
      <c r="B112" s="33"/>
      <c r="C112" s="39" t="s">
        <v>335</v>
      </c>
      <c r="D112" s="33">
        <f>IF(C112="ID",1,(IF(C112="PR",2,(IF(C112="DE",3,(IF(C112="RS",4,(IF(C112="RC",5,0)))))))))</f>
        <v>1</v>
      </c>
      <c r="E112" s="33" t="s">
        <v>340</v>
      </c>
      <c r="F112" s="33">
        <f>IF(E112="AM",1,(IF(E112="BE",2,(IF(E112="GV",3,(IF(E112="RA",4,(IF(E112="RM",5,(IF(E112="AC",1,(IF(E112="AT",2,(IF(E112="DS",3,(IF(E112="IP",4,(IF(E112="MA",5,(IF(E112="PT",6,(IF(E112="AE",1,(IF(E112="CM",2,(IF(E112="DP",3,(IF(E112="AN",1,(IF(E112="CO",2,(IF(E112="IM",3,(IF(E112="MI",4,(IF(E112="RP",5,(IF(E112="SC",6,0)))))))))))))))))))))))))))))))))))))))</f>
        <v>2</v>
      </c>
      <c r="G112" s="170">
        <v>3</v>
      </c>
      <c r="H112" s="38" t="s">
        <v>511</v>
      </c>
      <c r="I112" s="105" t="s">
        <v>1449</v>
      </c>
      <c r="J112" s="157" t="s">
        <v>2485</v>
      </c>
      <c r="K112" s="34" t="s">
        <v>2486</v>
      </c>
      <c r="L112" s="5">
        <f>IF(O112="","",N112*O112*M112)</f>
        <v>99</v>
      </c>
      <c r="M112" s="8">
        <v>1</v>
      </c>
      <c r="N112" s="1">
        <v>1</v>
      </c>
      <c r="O112" s="15">
        <f>IF(SUM(Q112:AF112)&lt;1,"",SUM(Q112:AF112)/COUNTIF(Q112:AF112,"&gt;0"))</f>
        <v>99</v>
      </c>
      <c r="P112" s="16"/>
      <c r="Q112" s="13"/>
      <c r="R112" s="4"/>
      <c r="S112" s="4"/>
      <c r="T112" s="4">
        <v>99</v>
      </c>
      <c r="Y112" s="4"/>
      <c r="AB112" s="4"/>
      <c r="AC112" s="4"/>
      <c r="AD112" s="4"/>
      <c r="AE112" s="4"/>
      <c r="AF112" s="14"/>
    </row>
    <row r="113" spans="1:32" s="2" customFormat="1" ht="15.75" customHeight="1" x14ac:dyDescent="0.25">
      <c r="A113" s="33" t="str">
        <f>CONCATENATE(D113,".",F113,"-",G113,".",H113,"")</f>
        <v>1.2-4.0</v>
      </c>
      <c r="B113" s="33" t="s">
        <v>814</v>
      </c>
      <c r="C113" s="40" t="s">
        <v>335</v>
      </c>
      <c r="D113" s="33">
        <f>IF(C113="ID",1,(IF(C113="PR",2,(IF(C113="DE",3,(IF(C113="RS",4,(IF(C113="RC",5,0)))))))))</f>
        <v>1</v>
      </c>
      <c r="E113" s="33" t="s">
        <v>340</v>
      </c>
      <c r="F113" s="33">
        <f>IF(E113="AM",1,(IF(E113="BE",2,(IF(E113="GV",3,(IF(E113="RA",4,(IF(E113="RM",5,(IF(E113="AC",1,(IF(E113="AT",2,(IF(E113="DS",3,(IF(E113="IP",4,(IF(E113="MA",5,(IF(E113="PT",6,(IF(E113="AE",1,(IF(E113="CM",2,(IF(E113="DP",3,(IF(E113="AN",1,(IF(E113="CO",2,(IF(E113="IM",3,(IF(E113="MI",4,(IF(E113="RP",5,(IF(E113="SC",6,0)))))))))))))))))))))))))))))))))))))))</f>
        <v>2</v>
      </c>
      <c r="G113" s="170">
        <v>4</v>
      </c>
      <c r="H113" s="38" t="s">
        <v>597</v>
      </c>
      <c r="I113" s="27" t="s">
        <v>1200</v>
      </c>
      <c r="J113" s="149" t="s">
        <v>646</v>
      </c>
      <c r="K113" s="97" t="s">
        <v>360</v>
      </c>
      <c r="L113" s="66">
        <f>IF(O113="","",N113*O113*M113)</f>
        <v>75</v>
      </c>
      <c r="M113" s="8">
        <v>1</v>
      </c>
      <c r="N113" s="1">
        <v>1</v>
      </c>
      <c r="O113" s="15">
        <f>IF(SUM(Q113:AF113)&lt;1,"",SUM(Q113:AF113)/COUNTIF(Q113:AF113,"&gt;0"))</f>
        <v>75</v>
      </c>
      <c r="P113" s="16"/>
      <c r="Q113" s="13"/>
      <c r="R113" s="4"/>
      <c r="S113" s="4"/>
      <c r="T113" s="4">
        <v>75</v>
      </c>
      <c r="Y113" s="4"/>
      <c r="AB113" s="4"/>
      <c r="AC113" s="4"/>
      <c r="AD113" s="4"/>
      <c r="AE113" s="4"/>
      <c r="AF113" s="14"/>
    </row>
    <row r="114" spans="1:32" s="2" customFormat="1" ht="15.75" customHeight="1" x14ac:dyDescent="0.25">
      <c r="A114" s="33" t="str">
        <f>CONCATENATE(D114,".",F114,"-",G114,".",H114,"")</f>
        <v>1.2-4.1</v>
      </c>
      <c r="B114" s="33" t="s">
        <v>814</v>
      </c>
      <c r="C114" s="40" t="s">
        <v>335</v>
      </c>
      <c r="D114" s="33">
        <f>IF(C114="ID",1,(IF(C114="PR",2,(IF(C114="DE",3,(IF(C114="RS",4,(IF(C114="RC",5,0)))))))))</f>
        <v>1</v>
      </c>
      <c r="E114" s="33" t="s">
        <v>340</v>
      </c>
      <c r="F114" s="33">
        <f>IF(E114="AM",1,(IF(E114="BE",2,(IF(E114="GV",3,(IF(E114="RA",4,(IF(E114="RM",5,(IF(E114="AC",1,(IF(E114="AT",2,(IF(E114="DS",3,(IF(E114="IP",4,(IF(E114="MA",5,(IF(E114="PT",6,(IF(E114="AE",1,(IF(E114="CM",2,(IF(E114="DP",3,(IF(E114="AN",1,(IF(E114="CO",2,(IF(E114="IM",3,(IF(E114="MI",4,(IF(E114="RP",5,(IF(E114="SC",6,0)))))))))))))))))))))))))))))))))))))))</f>
        <v>2</v>
      </c>
      <c r="G114" s="171">
        <v>4</v>
      </c>
      <c r="H114" s="38" t="s">
        <v>511</v>
      </c>
      <c r="I114" s="105" t="s">
        <v>821</v>
      </c>
      <c r="J114" s="150">
        <v>3.6</v>
      </c>
      <c r="K114" s="79" t="s">
        <v>1283</v>
      </c>
      <c r="L114" s="66">
        <f>IF(O114="","",N114*O114*M114)</f>
        <v>75</v>
      </c>
      <c r="M114" s="8">
        <v>1</v>
      </c>
      <c r="N114" s="3">
        <v>1</v>
      </c>
      <c r="O114" s="15">
        <f>IF(SUM(Q114:AF114)&lt;1,"",SUM(Q114:AF114)/COUNTIF(Q114:AF114,"&gt;0"))</f>
        <v>75</v>
      </c>
      <c r="P114" s="16"/>
      <c r="Q114" s="13"/>
      <c r="R114" s="4"/>
      <c r="S114" s="4"/>
      <c r="T114" s="4">
        <v>75</v>
      </c>
      <c r="Y114" s="4"/>
      <c r="AB114" s="4"/>
      <c r="AC114" s="4"/>
      <c r="AD114" s="4"/>
      <c r="AE114" s="4"/>
      <c r="AF114" s="14"/>
    </row>
    <row r="115" spans="1:32" s="2" customFormat="1" ht="15.75" customHeight="1" x14ac:dyDescent="0.25">
      <c r="A115" s="33" t="str">
        <f>CONCATENATE(D115,".",F115,"-",G115,".",H115,"")</f>
        <v>1.2-4.1</v>
      </c>
      <c r="B115" s="33" t="s">
        <v>814</v>
      </c>
      <c r="C115" s="40" t="s">
        <v>335</v>
      </c>
      <c r="D115" s="33">
        <f>IF(C115="ID",1,(IF(C115="PR",2,(IF(C115="DE",3,(IF(C115="RS",4,(IF(C115="RC",5,0)))))))))</f>
        <v>1</v>
      </c>
      <c r="E115" s="33" t="s">
        <v>340</v>
      </c>
      <c r="F115" s="33">
        <f>IF(E115="AM",1,(IF(E115="BE",2,(IF(E115="GV",3,(IF(E115="RA",4,(IF(E115="RM",5,(IF(E115="AC",1,(IF(E115="AT",2,(IF(E115="DS",3,(IF(E115="IP",4,(IF(E115="MA",5,(IF(E115="PT",6,(IF(E115="AE",1,(IF(E115="CM",2,(IF(E115="DP",3,(IF(E115="AN",1,(IF(E115="CO",2,(IF(E115="IM",3,(IF(E115="MI",4,(IF(E115="RP",5,(IF(E115="SC",6,0)))))))))))))))))))))))))))))))))))))))</f>
        <v>2</v>
      </c>
      <c r="G115" s="171">
        <v>4</v>
      </c>
      <c r="H115" s="38" t="s">
        <v>511</v>
      </c>
      <c r="I115" s="27" t="s">
        <v>936</v>
      </c>
      <c r="J115" s="163" t="s">
        <v>870</v>
      </c>
      <c r="K115" s="34" t="s">
        <v>982</v>
      </c>
      <c r="L115" s="66">
        <f>IF(O115="","",N115*O115*M115)</f>
        <v>75</v>
      </c>
      <c r="M115" s="8">
        <v>1</v>
      </c>
      <c r="N115" s="3">
        <v>1</v>
      </c>
      <c r="O115" s="15">
        <f>IF(SUM(Q115:AF115)&lt;1,"",SUM(Q115:AF115)/COUNTIF(Q115:AF115,"&gt;0"))</f>
        <v>75</v>
      </c>
      <c r="P115" s="16"/>
      <c r="Q115" s="13"/>
      <c r="R115" s="4"/>
      <c r="S115" s="4"/>
      <c r="T115" s="4">
        <v>75</v>
      </c>
      <c r="Y115" s="4"/>
      <c r="AB115" s="4"/>
      <c r="AC115" s="4"/>
      <c r="AD115" s="4"/>
      <c r="AE115" s="4"/>
      <c r="AF115" s="14"/>
    </row>
    <row r="116" spans="1:32" s="2" customFormat="1" ht="15.75" customHeight="1" x14ac:dyDescent="0.25">
      <c r="A116" s="33" t="str">
        <f>CONCATENATE(D116,".",F116,"-",G116,".",H116,"")</f>
        <v>1.2-4.1</v>
      </c>
      <c r="B116" s="33" t="s">
        <v>814</v>
      </c>
      <c r="C116" s="40" t="s">
        <v>335</v>
      </c>
      <c r="D116" s="33">
        <f>IF(C116="ID",1,(IF(C116="PR",2,(IF(C116="DE",3,(IF(C116="RS",4,(IF(C116="RC",5,0)))))))))</f>
        <v>1</v>
      </c>
      <c r="E116" s="33" t="s">
        <v>340</v>
      </c>
      <c r="F116" s="33">
        <f>IF(E116="AM",1,(IF(E116="BE",2,(IF(E116="GV",3,(IF(E116="RA",4,(IF(E116="RM",5,(IF(E116="AC",1,(IF(E116="AT",2,(IF(E116="DS",3,(IF(E116="IP",4,(IF(E116="MA",5,(IF(E116="PT",6,(IF(E116="AE",1,(IF(E116="CM",2,(IF(E116="DP",3,(IF(E116="AN",1,(IF(E116="CO",2,(IF(E116="IM",3,(IF(E116="MI",4,(IF(E116="RP",5,(IF(E116="SC",6,0)))))))))))))))))))))))))))))))))))))))</f>
        <v>2</v>
      </c>
      <c r="G116" s="171">
        <v>4</v>
      </c>
      <c r="H116" s="38" t="s">
        <v>511</v>
      </c>
      <c r="I116" s="27" t="s">
        <v>936</v>
      </c>
      <c r="J116" s="163" t="s">
        <v>881</v>
      </c>
      <c r="K116" s="34" t="s">
        <v>986</v>
      </c>
      <c r="L116" s="66">
        <f>IF(O116="","",N116*O116*M116)</f>
        <v>75</v>
      </c>
      <c r="M116" s="8">
        <v>1</v>
      </c>
      <c r="N116" s="3">
        <v>1</v>
      </c>
      <c r="O116" s="15">
        <f>IF(SUM(Q116:AF116)&lt;1,"",SUM(Q116:AF116)/COUNTIF(Q116:AF116,"&gt;0"))</f>
        <v>75</v>
      </c>
      <c r="P116" s="16"/>
      <c r="Q116" s="13"/>
      <c r="R116" s="4"/>
      <c r="S116" s="4"/>
      <c r="T116" s="4">
        <v>75</v>
      </c>
      <c r="Y116" s="4"/>
      <c r="AB116" s="4"/>
      <c r="AC116" s="4"/>
      <c r="AD116" s="4"/>
      <c r="AE116" s="4"/>
      <c r="AF116" s="14"/>
    </row>
    <row r="117" spans="1:32" s="2" customFormat="1" ht="15.75" customHeight="1" x14ac:dyDescent="0.25">
      <c r="A117" s="33" t="str">
        <f>CONCATENATE(D117,".",F117,"-",G117,".",H117,"")</f>
        <v>1.2-4.1</v>
      </c>
      <c r="B117" s="33" t="s">
        <v>814</v>
      </c>
      <c r="C117" s="40" t="s">
        <v>335</v>
      </c>
      <c r="D117" s="33">
        <f>IF(C117="ID",1,(IF(C117="PR",2,(IF(C117="DE",3,(IF(C117="RS",4,(IF(C117="RC",5,0)))))))))</f>
        <v>1</v>
      </c>
      <c r="E117" s="33" t="s">
        <v>340</v>
      </c>
      <c r="F117" s="33">
        <f>IF(E117="AM",1,(IF(E117="BE",2,(IF(E117="GV",3,(IF(E117="RA",4,(IF(E117="RM",5,(IF(E117="AC",1,(IF(E117="AT",2,(IF(E117="DS",3,(IF(E117="IP",4,(IF(E117="MA",5,(IF(E117="PT",6,(IF(E117="AE",1,(IF(E117="CM",2,(IF(E117="DP",3,(IF(E117="AN",1,(IF(E117="CO",2,(IF(E117="IM",3,(IF(E117="MI",4,(IF(E117="RP",5,(IF(E117="SC",6,0)))))))))))))))))))))))))))))))))))))))</f>
        <v>2</v>
      </c>
      <c r="G117" s="171">
        <v>4</v>
      </c>
      <c r="H117" s="38" t="s">
        <v>511</v>
      </c>
      <c r="I117" s="27" t="s">
        <v>936</v>
      </c>
      <c r="J117" s="163" t="s">
        <v>867</v>
      </c>
      <c r="K117" s="34" t="s">
        <v>991</v>
      </c>
      <c r="L117" s="66">
        <f>IF(O117="","",N117*O117*M117)</f>
        <v>75</v>
      </c>
      <c r="M117" s="8">
        <v>1</v>
      </c>
      <c r="N117" s="3">
        <v>1</v>
      </c>
      <c r="O117" s="15">
        <f>IF(SUM(Q117:AF117)&lt;1,"",SUM(Q117:AF117)/COUNTIF(Q117:AF117,"&gt;0"))</f>
        <v>75</v>
      </c>
      <c r="P117" s="16"/>
      <c r="Q117" s="13"/>
      <c r="R117" s="4"/>
      <c r="S117" s="4"/>
      <c r="T117" s="4">
        <v>75</v>
      </c>
      <c r="Y117" s="4"/>
      <c r="AB117" s="4"/>
      <c r="AC117" s="4"/>
      <c r="AD117" s="4"/>
      <c r="AE117" s="4"/>
      <c r="AF117" s="14"/>
    </row>
    <row r="118" spans="1:32" s="2" customFormat="1" ht="15.75" customHeight="1" x14ac:dyDescent="0.25">
      <c r="A118" s="33" t="str">
        <f>CONCATENATE(D118,".",F118,"-",G118,".",H118,"")</f>
        <v>1.2-4.1</v>
      </c>
      <c r="B118" s="33" t="s">
        <v>814</v>
      </c>
      <c r="C118" s="40" t="s">
        <v>335</v>
      </c>
      <c r="D118" s="33">
        <f>IF(C118="ID",1,(IF(C118="PR",2,(IF(C118="DE",3,(IF(C118="RS",4,(IF(C118="RC",5,0)))))))))</f>
        <v>1</v>
      </c>
      <c r="E118" s="33" t="s">
        <v>340</v>
      </c>
      <c r="F118" s="33">
        <f>IF(E118="AM",1,(IF(E118="BE",2,(IF(E118="GV",3,(IF(E118="RA",4,(IF(E118="RM",5,(IF(E118="AC",1,(IF(E118="AT",2,(IF(E118="DS",3,(IF(E118="IP",4,(IF(E118="MA",5,(IF(E118="PT",6,(IF(E118="AE",1,(IF(E118="CM",2,(IF(E118="DP",3,(IF(E118="AN",1,(IF(E118="CO",2,(IF(E118="IM",3,(IF(E118="MI",4,(IF(E118="RP",5,(IF(E118="SC",6,0)))))))))))))))))))))))))))))))))))))))</f>
        <v>2</v>
      </c>
      <c r="G118" s="171">
        <v>4</v>
      </c>
      <c r="H118" s="38" t="s">
        <v>511</v>
      </c>
      <c r="I118" s="27" t="s">
        <v>936</v>
      </c>
      <c r="J118" s="163" t="s">
        <v>882</v>
      </c>
      <c r="K118" s="34" t="s">
        <v>951</v>
      </c>
      <c r="L118" s="66">
        <f>IF(O118="","",N118*O118*M118)</f>
        <v>75</v>
      </c>
      <c r="M118" s="8">
        <v>1</v>
      </c>
      <c r="N118" s="3">
        <v>1</v>
      </c>
      <c r="O118" s="15">
        <f>IF(SUM(Q118:AF118)&lt;1,"",SUM(Q118:AF118)/COUNTIF(Q118:AF118,"&gt;0"))</f>
        <v>75</v>
      </c>
      <c r="P118" s="16"/>
      <c r="Q118" s="13"/>
      <c r="R118" s="4"/>
      <c r="S118" s="4"/>
      <c r="T118" s="4">
        <v>75</v>
      </c>
      <c r="Y118" s="4"/>
      <c r="AB118" s="4"/>
      <c r="AC118" s="4"/>
      <c r="AD118" s="4"/>
      <c r="AE118" s="4"/>
      <c r="AF118" s="14"/>
    </row>
    <row r="119" spans="1:32" s="2" customFormat="1" ht="15.75" customHeight="1" x14ac:dyDescent="0.25">
      <c r="A119" s="33" t="str">
        <f>CONCATENATE(D119,".",F119,"-",G119,".",H119,"")</f>
        <v>1.2-4.1</v>
      </c>
      <c r="B119" s="33" t="s">
        <v>814</v>
      </c>
      <c r="C119" s="39" t="s">
        <v>335</v>
      </c>
      <c r="D119" s="33">
        <f>IF(C119="ID",1,(IF(C119="PR",2,(IF(C119="DE",3,(IF(C119="RS",4,(IF(C119="RC",5,0)))))))))</f>
        <v>1</v>
      </c>
      <c r="E119" s="33" t="s">
        <v>340</v>
      </c>
      <c r="F119" s="33">
        <f>IF(E119="AM",1,(IF(E119="BE",2,(IF(E119="GV",3,(IF(E119="RA",4,(IF(E119="RM",5,(IF(E119="AC",1,(IF(E119="AT",2,(IF(E119="DS",3,(IF(E119="IP",4,(IF(E119="MA",5,(IF(E119="PT",6,(IF(E119="AE",1,(IF(E119="CM",2,(IF(E119="DP",3,(IF(E119="AN",1,(IF(E119="CO",2,(IF(E119="IM",3,(IF(E119="MI",4,(IF(E119="RP",5,(IF(E119="SC",6,0)))))))))))))))))))))))))))))))))))))))</f>
        <v>2</v>
      </c>
      <c r="G119" s="170">
        <v>4</v>
      </c>
      <c r="H119" s="33">
        <v>1</v>
      </c>
      <c r="I119" s="27" t="s">
        <v>266</v>
      </c>
      <c r="J119" s="150" t="s">
        <v>2</v>
      </c>
      <c r="K119" s="79" t="s">
        <v>1335</v>
      </c>
      <c r="L119" s="5">
        <f>IF(O119="","",N119*O119*M119)</f>
        <v>75</v>
      </c>
      <c r="M119" s="8">
        <v>1</v>
      </c>
      <c r="N119" s="1">
        <v>1</v>
      </c>
      <c r="O119" s="15">
        <f>IF(SUM(Q119:AF119)&lt;1,"",SUM(Q119:AF119)/COUNTIF(Q119:AF119,"&gt;0"))</f>
        <v>75</v>
      </c>
      <c r="P119" s="16"/>
      <c r="Q119" s="13"/>
      <c r="R119" s="3"/>
      <c r="S119" s="3"/>
      <c r="T119" s="4">
        <v>75</v>
      </c>
      <c r="U119" s="3"/>
      <c r="V119" s="3"/>
      <c r="W119" s="3"/>
      <c r="X119" s="3"/>
      <c r="Y119" s="3"/>
      <c r="Z119" s="3"/>
      <c r="AA119" s="3"/>
      <c r="AB119" s="3"/>
      <c r="AC119" s="3"/>
      <c r="AD119" s="3"/>
      <c r="AE119" s="3"/>
      <c r="AF119" s="104"/>
    </row>
    <row r="120" spans="1:32" s="2" customFormat="1" ht="15.75" customHeight="1" x14ac:dyDescent="0.25">
      <c r="A120" s="33" t="str">
        <f>CONCATENATE(D120,".",F120,"-",G120,".",H120,"")</f>
        <v>1.2-4.1</v>
      </c>
      <c r="B120" s="33"/>
      <c r="C120" s="39" t="s">
        <v>335</v>
      </c>
      <c r="D120" s="33">
        <f>IF(C120="ID",1,(IF(C120="PR",2,(IF(C120="DE",3,(IF(C120="RS",4,(IF(C120="RC",5,0)))))))))</f>
        <v>1</v>
      </c>
      <c r="E120" s="33" t="s">
        <v>340</v>
      </c>
      <c r="F120" s="33">
        <f>IF(E120="AM",1,(IF(E120="BE",2,(IF(E120="GV",3,(IF(E120="RA",4,(IF(E120="RM",5,(IF(E120="AC",1,(IF(E120="AT",2,(IF(E120="DS",3,(IF(E120="IP",4,(IF(E120="MA",5,(IF(E120="PT",6,(IF(E120="AE",1,(IF(E120="CM",2,(IF(E120="DP",3,(IF(E120="AN",1,(IF(E120="CO",2,(IF(E120="IM",3,(IF(E120="MI",4,(IF(E120="RP",5,(IF(E120="SC",6,0)))))))))))))))))))))))))))))))))))))))</f>
        <v>2</v>
      </c>
      <c r="G120" s="170">
        <v>4</v>
      </c>
      <c r="H120" s="38" t="s">
        <v>511</v>
      </c>
      <c r="I120" s="105" t="s">
        <v>1449</v>
      </c>
      <c r="J120" s="157" t="s">
        <v>2001</v>
      </c>
      <c r="K120" s="34" t="s">
        <v>2002</v>
      </c>
      <c r="L120" s="5">
        <f>IF(O120="","",N120*O120*M120)</f>
        <v>99</v>
      </c>
      <c r="M120" s="8">
        <v>1</v>
      </c>
      <c r="N120" s="1">
        <v>1</v>
      </c>
      <c r="O120" s="15">
        <f>IF(SUM(Q120:AF120)&lt;1,"",SUM(Q120:AF120)/COUNTIF(Q120:AF120,"&gt;0"))</f>
        <v>99</v>
      </c>
      <c r="P120" s="16"/>
      <c r="Q120" s="13"/>
      <c r="R120" s="4"/>
      <c r="S120" s="4"/>
      <c r="T120" s="4">
        <v>99</v>
      </c>
      <c r="Y120" s="4"/>
      <c r="AB120" s="4"/>
      <c r="AC120" s="4"/>
      <c r="AD120" s="4"/>
      <c r="AE120" s="4"/>
      <c r="AF120" s="14"/>
    </row>
    <row r="121" spans="1:32" s="2" customFormat="1" ht="15.75" customHeight="1" x14ac:dyDescent="0.25">
      <c r="A121" s="33" t="str">
        <f>CONCATENATE(D121,".",F121,"-",G121,".",H121,"")</f>
        <v>1.2-4.1</v>
      </c>
      <c r="B121" s="33"/>
      <c r="C121" s="39" t="s">
        <v>335</v>
      </c>
      <c r="D121" s="33">
        <f>IF(C121="ID",1,(IF(C121="PR",2,(IF(C121="DE",3,(IF(C121="RS",4,(IF(C121="RC",5,0)))))))))</f>
        <v>1</v>
      </c>
      <c r="E121" s="33" t="s">
        <v>340</v>
      </c>
      <c r="F121" s="33">
        <f>IF(E121="AM",1,(IF(E121="BE",2,(IF(E121="GV",3,(IF(E121="RA",4,(IF(E121="RM",5,(IF(E121="AC",1,(IF(E121="AT",2,(IF(E121="DS",3,(IF(E121="IP",4,(IF(E121="MA",5,(IF(E121="PT",6,(IF(E121="AE",1,(IF(E121="CM",2,(IF(E121="DP",3,(IF(E121="AN",1,(IF(E121="CO",2,(IF(E121="IM",3,(IF(E121="MI",4,(IF(E121="RP",5,(IF(E121="SC",6,0)))))))))))))))))))))))))))))))))))))))</f>
        <v>2</v>
      </c>
      <c r="G121" s="170">
        <v>4</v>
      </c>
      <c r="H121" s="38" t="s">
        <v>511</v>
      </c>
      <c r="I121" s="105" t="s">
        <v>1449</v>
      </c>
      <c r="J121" s="157" t="s">
        <v>2039</v>
      </c>
      <c r="K121" s="34" t="s">
        <v>2040</v>
      </c>
      <c r="L121" s="5">
        <f>IF(O121="","",N121*O121*M121)</f>
        <v>99</v>
      </c>
      <c r="M121" s="8">
        <v>1</v>
      </c>
      <c r="N121" s="1">
        <v>1</v>
      </c>
      <c r="O121" s="15">
        <f>IF(SUM(Q121:AF121)&lt;1,"",SUM(Q121:AF121)/COUNTIF(Q121:AF121,"&gt;0"))</f>
        <v>99</v>
      </c>
      <c r="P121" s="16"/>
      <c r="Q121" s="13"/>
      <c r="R121" s="4"/>
      <c r="S121" s="4"/>
      <c r="T121" s="4">
        <v>99</v>
      </c>
      <c r="Y121" s="4"/>
      <c r="AB121" s="4"/>
      <c r="AC121" s="4"/>
      <c r="AD121" s="4"/>
      <c r="AE121" s="4"/>
      <c r="AF121" s="14"/>
    </row>
    <row r="122" spans="1:32" s="2" customFormat="1" ht="15.75" customHeight="1" x14ac:dyDescent="0.25">
      <c r="A122" s="33" t="str">
        <f>CONCATENATE(D122,".",F122,"-",G122,".",H122,"")</f>
        <v>1.2-4.1</v>
      </c>
      <c r="B122" s="33"/>
      <c r="C122" s="39" t="s">
        <v>335</v>
      </c>
      <c r="D122" s="33">
        <f>IF(C122="ID",1,(IF(C122="PR",2,(IF(C122="DE",3,(IF(C122="RS",4,(IF(C122="RC",5,0)))))))))</f>
        <v>1</v>
      </c>
      <c r="E122" s="33" t="s">
        <v>340</v>
      </c>
      <c r="F122" s="33">
        <f>IF(E122="AM",1,(IF(E122="BE",2,(IF(E122="GV",3,(IF(E122="RA",4,(IF(E122="RM",5,(IF(E122="AC",1,(IF(E122="AT",2,(IF(E122="DS",3,(IF(E122="IP",4,(IF(E122="MA",5,(IF(E122="PT",6,(IF(E122="AE",1,(IF(E122="CM",2,(IF(E122="DP",3,(IF(E122="AN",1,(IF(E122="CO",2,(IF(E122="IM",3,(IF(E122="MI",4,(IF(E122="RP",5,(IF(E122="SC",6,0)))))))))))))))))))))))))))))))))))))))</f>
        <v>2</v>
      </c>
      <c r="G122" s="170">
        <v>4</v>
      </c>
      <c r="H122" s="38" t="s">
        <v>511</v>
      </c>
      <c r="I122" s="105" t="s">
        <v>1449</v>
      </c>
      <c r="J122" s="157" t="s">
        <v>2365</v>
      </c>
      <c r="K122" s="34" t="s">
        <v>2366</v>
      </c>
      <c r="L122" s="5">
        <f>IF(O122="","",N122*O122*M122)</f>
        <v>99</v>
      </c>
      <c r="M122" s="8">
        <v>1</v>
      </c>
      <c r="N122" s="1">
        <v>1</v>
      </c>
      <c r="O122" s="15">
        <f>IF(SUM(Q122:AF122)&lt;1,"",SUM(Q122:AF122)/COUNTIF(Q122:AF122,"&gt;0"))</f>
        <v>99</v>
      </c>
      <c r="P122" s="16"/>
      <c r="Q122" s="13"/>
      <c r="R122" s="4"/>
      <c r="S122" s="4"/>
      <c r="T122" s="4">
        <v>99</v>
      </c>
      <c r="Y122" s="4"/>
      <c r="AB122" s="4"/>
      <c r="AC122" s="4"/>
      <c r="AD122" s="4"/>
      <c r="AE122" s="4"/>
      <c r="AF122" s="14"/>
    </row>
    <row r="123" spans="1:32" s="2" customFormat="1" ht="15.75" customHeight="1" x14ac:dyDescent="0.25">
      <c r="A123" s="33" t="str">
        <f>CONCATENATE(D123,".",F123,"-",G123,".",H123,"")</f>
        <v>1.2-4.1</v>
      </c>
      <c r="B123" s="33"/>
      <c r="C123" s="39" t="s">
        <v>335</v>
      </c>
      <c r="D123" s="33">
        <f>IF(C123="ID",1,(IF(C123="PR",2,(IF(C123="DE",3,(IF(C123="RS",4,(IF(C123="RC",5,0)))))))))</f>
        <v>1</v>
      </c>
      <c r="E123" s="33" t="s">
        <v>340</v>
      </c>
      <c r="F123" s="33">
        <f>IF(E123="AM",1,(IF(E123="BE",2,(IF(E123="GV",3,(IF(E123="RA",4,(IF(E123="RM",5,(IF(E123="AC",1,(IF(E123="AT",2,(IF(E123="DS",3,(IF(E123="IP",4,(IF(E123="MA",5,(IF(E123="PT",6,(IF(E123="AE",1,(IF(E123="CM",2,(IF(E123="DP",3,(IF(E123="AN",1,(IF(E123="CO",2,(IF(E123="IM",3,(IF(E123="MI",4,(IF(E123="RP",5,(IF(E123="SC",6,0)))))))))))))))))))))))))))))))))))))))</f>
        <v>2</v>
      </c>
      <c r="G123" s="170">
        <v>4</v>
      </c>
      <c r="H123" s="38" t="s">
        <v>511</v>
      </c>
      <c r="I123" s="105" t="s">
        <v>1449</v>
      </c>
      <c r="J123" s="157" t="s">
        <v>2367</v>
      </c>
      <c r="K123" s="34" t="s">
        <v>2368</v>
      </c>
      <c r="L123" s="5">
        <f>IF(O123="","",N123*O123*M123)</f>
        <v>99</v>
      </c>
      <c r="M123" s="8">
        <v>1</v>
      </c>
      <c r="N123" s="1">
        <v>1</v>
      </c>
      <c r="O123" s="15">
        <f>IF(SUM(Q123:AF123)&lt;1,"",SUM(Q123:AF123)/COUNTIF(Q123:AF123,"&gt;0"))</f>
        <v>99</v>
      </c>
      <c r="P123" s="16"/>
      <c r="Q123" s="13"/>
      <c r="R123" s="4"/>
      <c r="S123" s="4"/>
      <c r="T123" s="4">
        <v>99</v>
      </c>
      <c r="Y123" s="4"/>
      <c r="AB123" s="4"/>
      <c r="AC123" s="4"/>
      <c r="AD123" s="4"/>
      <c r="AE123" s="4"/>
      <c r="AF123" s="14"/>
    </row>
    <row r="124" spans="1:32" s="2" customFormat="1" ht="15.75" customHeight="1" x14ac:dyDescent="0.25">
      <c r="A124" s="33" t="str">
        <f>CONCATENATE(D124,".",F124,"-",G124,".",H124,"")</f>
        <v>1.2-4.1</v>
      </c>
      <c r="B124" s="33"/>
      <c r="C124" s="39" t="s">
        <v>335</v>
      </c>
      <c r="D124" s="33">
        <f>IF(C124="ID",1,(IF(C124="PR",2,(IF(C124="DE",3,(IF(C124="RS",4,(IF(C124="RC",5,0)))))))))</f>
        <v>1</v>
      </c>
      <c r="E124" s="33" t="s">
        <v>340</v>
      </c>
      <c r="F124" s="33">
        <f>IF(E124="AM",1,(IF(E124="BE",2,(IF(E124="GV",3,(IF(E124="RA",4,(IF(E124="RM",5,(IF(E124="AC",1,(IF(E124="AT",2,(IF(E124="DS",3,(IF(E124="IP",4,(IF(E124="MA",5,(IF(E124="PT",6,(IF(E124="AE",1,(IF(E124="CM",2,(IF(E124="DP",3,(IF(E124="AN",1,(IF(E124="CO",2,(IF(E124="IM",3,(IF(E124="MI",4,(IF(E124="RP",5,(IF(E124="SC",6,0)))))))))))))))))))))))))))))))))))))))</f>
        <v>2</v>
      </c>
      <c r="G124" s="170">
        <v>4</v>
      </c>
      <c r="H124" s="38" t="s">
        <v>511</v>
      </c>
      <c r="I124" s="105" t="s">
        <v>1449</v>
      </c>
      <c r="J124" s="157" t="s">
        <v>2369</v>
      </c>
      <c r="K124" s="34" t="s">
        <v>2370</v>
      </c>
      <c r="L124" s="5">
        <f>IF(O124="","",N124*O124*M124)</f>
        <v>99</v>
      </c>
      <c r="M124" s="8">
        <v>1</v>
      </c>
      <c r="N124" s="1">
        <v>1</v>
      </c>
      <c r="O124" s="15">
        <f>IF(SUM(Q124:AF124)&lt;1,"",SUM(Q124:AF124)/COUNTIF(Q124:AF124,"&gt;0"))</f>
        <v>99</v>
      </c>
      <c r="P124" s="16"/>
      <c r="Q124" s="13"/>
      <c r="R124" s="4"/>
      <c r="S124" s="4"/>
      <c r="T124" s="4">
        <v>99</v>
      </c>
      <c r="Y124" s="4"/>
      <c r="AB124" s="4"/>
      <c r="AC124" s="4"/>
      <c r="AD124" s="4"/>
      <c r="AE124" s="4"/>
      <c r="AF124" s="14"/>
    </row>
    <row r="125" spans="1:32" s="2" customFormat="1" ht="15.75" customHeight="1" x14ac:dyDescent="0.25">
      <c r="A125" s="33" t="str">
        <f>CONCATENATE(D125,".",F125,"-",G125,".",H125,"")</f>
        <v>1.2-4.1</v>
      </c>
      <c r="B125" s="33"/>
      <c r="C125" s="39" t="s">
        <v>335</v>
      </c>
      <c r="D125" s="33">
        <f>IF(C125="ID",1,(IF(C125="PR",2,(IF(C125="DE",3,(IF(C125="RS",4,(IF(C125="RC",5,0)))))))))</f>
        <v>1</v>
      </c>
      <c r="E125" s="33" t="s">
        <v>340</v>
      </c>
      <c r="F125" s="33">
        <f>IF(E125="AM",1,(IF(E125="BE",2,(IF(E125="GV",3,(IF(E125="RA",4,(IF(E125="RM",5,(IF(E125="AC",1,(IF(E125="AT",2,(IF(E125="DS",3,(IF(E125="IP",4,(IF(E125="MA",5,(IF(E125="PT",6,(IF(E125="AE",1,(IF(E125="CM",2,(IF(E125="DP",3,(IF(E125="AN",1,(IF(E125="CO",2,(IF(E125="IM",3,(IF(E125="MI",4,(IF(E125="RP",5,(IF(E125="SC",6,0)))))))))))))))))))))))))))))))))))))))</f>
        <v>2</v>
      </c>
      <c r="G125" s="170">
        <v>4</v>
      </c>
      <c r="H125" s="38" t="s">
        <v>511</v>
      </c>
      <c r="I125" s="105" t="s">
        <v>1449</v>
      </c>
      <c r="J125" s="157" t="s">
        <v>2455</v>
      </c>
      <c r="K125" s="34" t="s">
        <v>2456</v>
      </c>
      <c r="L125" s="5">
        <f>IF(O125="","",N125*O125*M125)</f>
        <v>99</v>
      </c>
      <c r="M125" s="8">
        <v>1</v>
      </c>
      <c r="N125" s="1">
        <v>1</v>
      </c>
      <c r="O125" s="15">
        <f>IF(SUM(Q125:AF125)&lt;1,"",SUM(Q125:AF125)/COUNTIF(Q125:AF125,"&gt;0"))</f>
        <v>99</v>
      </c>
      <c r="P125" s="16"/>
      <c r="Q125" s="13"/>
      <c r="R125" s="4"/>
      <c r="S125" s="4"/>
      <c r="T125" s="4">
        <v>99</v>
      </c>
      <c r="Y125" s="4"/>
      <c r="AB125" s="4"/>
      <c r="AC125" s="4"/>
      <c r="AD125" s="4"/>
      <c r="AE125" s="4"/>
      <c r="AF125" s="14"/>
    </row>
    <row r="126" spans="1:32" s="2" customFormat="1" ht="15.75" customHeight="1" x14ac:dyDescent="0.25">
      <c r="A126" s="33" t="str">
        <f>CONCATENATE(D126,".",F126,"-",G126,".",H126,"")</f>
        <v>1.2-4.1</v>
      </c>
      <c r="B126" s="33"/>
      <c r="C126" s="39" t="s">
        <v>335</v>
      </c>
      <c r="D126" s="33">
        <f>IF(C126="ID",1,(IF(C126="PR",2,(IF(C126="DE",3,(IF(C126="RS",4,(IF(C126="RC",5,0)))))))))</f>
        <v>1</v>
      </c>
      <c r="E126" s="33" t="s">
        <v>340</v>
      </c>
      <c r="F126" s="33">
        <f>IF(E126="AM",1,(IF(E126="BE",2,(IF(E126="GV",3,(IF(E126="RA",4,(IF(E126="RM",5,(IF(E126="AC",1,(IF(E126="AT",2,(IF(E126="DS",3,(IF(E126="IP",4,(IF(E126="MA",5,(IF(E126="PT",6,(IF(E126="AE",1,(IF(E126="CM",2,(IF(E126="DP",3,(IF(E126="AN",1,(IF(E126="CO",2,(IF(E126="IM",3,(IF(E126="MI",4,(IF(E126="RP",5,(IF(E126="SC",6,0)))))))))))))))))))))))))))))))))))))))</f>
        <v>2</v>
      </c>
      <c r="G126" s="170">
        <v>4</v>
      </c>
      <c r="H126" s="38" t="s">
        <v>511</v>
      </c>
      <c r="I126" s="105" t="s">
        <v>1449</v>
      </c>
      <c r="J126" s="157" t="s">
        <v>2459</v>
      </c>
      <c r="K126" s="34" t="s">
        <v>2460</v>
      </c>
      <c r="L126" s="5">
        <f>IF(O126="","",N126*O126*M126)</f>
        <v>99</v>
      </c>
      <c r="M126" s="8">
        <v>1</v>
      </c>
      <c r="N126" s="1">
        <v>1</v>
      </c>
      <c r="O126" s="15">
        <f>IF(SUM(Q126:AF126)&lt;1,"",SUM(Q126:AF126)/COUNTIF(Q126:AF126,"&gt;0"))</f>
        <v>99</v>
      </c>
      <c r="P126" s="16"/>
      <c r="Q126" s="13"/>
      <c r="R126" s="4"/>
      <c r="S126" s="4"/>
      <c r="T126" s="4">
        <v>99</v>
      </c>
      <c r="Y126" s="4"/>
      <c r="AB126" s="4"/>
      <c r="AC126" s="4"/>
      <c r="AD126" s="4"/>
      <c r="AE126" s="4"/>
      <c r="AF126" s="14"/>
    </row>
    <row r="127" spans="1:32" s="2" customFormat="1" ht="15.75" customHeight="1" x14ac:dyDescent="0.25">
      <c r="A127" s="33" t="str">
        <f>CONCATENATE(D127,".",F127,"-",G127,".",H127,"")</f>
        <v>1.2-4.1</v>
      </c>
      <c r="B127" s="33"/>
      <c r="C127" s="39" t="s">
        <v>335</v>
      </c>
      <c r="D127" s="33">
        <f>IF(C127="ID",1,(IF(C127="PR",2,(IF(C127="DE",3,(IF(C127="RS",4,(IF(C127="RC",5,0)))))))))</f>
        <v>1</v>
      </c>
      <c r="E127" s="33" t="s">
        <v>340</v>
      </c>
      <c r="F127" s="33">
        <f>IF(E127="AM",1,(IF(E127="BE",2,(IF(E127="GV",3,(IF(E127="RA",4,(IF(E127="RM",5,(IF(E127="AC",1,(IF(E127="AT",2,(IF(E127="DS",3,(IF(E127="IP",4,(IF(E127="MA",5,(IF(E127="PT",6,(IF(E127="AE",1,(IF(E127="CM",2,(IF(E127="DP",3,(IF(E127="AN",1,(IF(E127="CO",2,(IF(E127="IM",3,(IF(E127="MI",4,(IF(E127="RP",5,(IF(E127="SC",6,0)))))))))))))))))))))))))))))))))))))))</f>
        <v>2</v>
      </c>
      <c r="G127" s="170">
        <v>4</v>
      </c>
      <c r="H127" s="38" t="s">
        <v>511</v>
      </c>
      <c r="I127" s="105" t="s">
        <v>1449</v>
      </c>
      <c r="J127" s="157" t="s">
        <v>2631</v>
      </c>
      <c r="K127" s="34" t="s">
        <v>2632</v>
      </c>
      <c r="L127" s="5">
        <f>IF(O127="","",N127*O127*M127)</f>
        <v>99</v>
      </c>
      <c r="M127" s="8">
        <v>1</v>
      </c>
      <c r="N127" s="1">
        <v>1</v>
      </c>
      <c r="O127" s="15">
        <f>IF(SUM(Q127:AF127)&lt;1,"",SUM(Q127:AF127)/COUNTIF(Q127:AF127,"&gt;0"))</f>
        <v>99</v>
      </c>
      <c r="P127" s="16"/>
      <c r="Q127" s="13"/>
      <c r="R127" s="4"/>
      <c r="S127" s="4"/>
      <c r="T127" s="4">
        <v>99</v>
      </c>
      <c r="Y127" s="4"/>
      <c r="AB127" s="4"/>
      <c r="AC127" s="4"/>
      <c r="AD127" s="4"/>
      <c r="AE127" s="4"/>
      <c r="AF127" s="14"/>
    </row>
    <row r="128" spans="1:32" s="2" customFormat="1" ht="15.75" customHeight="1" x14ac:dyDescent="0.25">
      <c r="A128" s="33" t="str">
        <f>CONCATENATE(D128,".",F128,"-",G128,".",H128,"")</f>
        <v>1.2-4.9</v>
      </c>
      <c r="B128" s="33"/>
      <c r="C128" s="39" t="s">
        <v>335</v>
      </c>
      <c r="D128" s="33">
        <f>IF(C128="ID",1,(IF(C128="PR",2,(IF(C128="DE",3,(IF(C128="RS",4,(IF(C128="RC",5,0)))))))))</f>
        <v>1</v>
      </c>
      <c r="E128" s="33" t="s">
        <v>340</v>
      </c>
      <c r="F128" s="33">
        <f>IF(E128="AM",1,(IF(E128="BE",2,(IF(E128="GV",3,(IF(E128="RA",4,(IF(E128="RM",5,(IF(E128="AC",1,(IF(E128="AT",2,(IF(E128="DS",3,(IF(E128="IP",4,(IF(E128="MA",5,(IF(E128="PT",6,(IF(E128="AE",1,(IF(E128="CM",2,(IF(E128="DP",3,(IF(E128="AN",1,(IF(E128="CO",2,(IF(E128="IM",3,(IF(E128="MI",4,(IF(E128="RP",5,(IF(E128="SC",6,0)))))))))))))))))))))))))))))))))))))))</f>
        <v>2</v>
      </c>
      <c r="G128" s="170">
        <v>4</v>
      </c>
      <c r="H128" s="38" t="s">
        <v>596</v>
      </c>
      <c r="I128" s="105" t="s">
        <v>1449</v>
      </c>
      <c r="J128" s="157" t="s">
        <v>2475</v>
      </c>
      <c r="K128" s="34" t="s">
        <v>2476</v>
      </c>
      <c r="L128" s="5">
        <f>IF(O128="","",N128*O128*M128)</f>
        <v>99</v>
      </c>
      <c r="M128" s="8">
        <v>1</v>
      </c>
      <c r="N128" s="1">
        <v>1</v>
      </c>
      <c r="O128" s="15">
        <f>IF(SUM(Q128:AF128)&lt;1,"",SUM(Q128:AF128)/COUNTIF(Q128:AF128,"&gt;0"))</f>
        <v>99</v>
      </c>
      <c r="P128" s="16"/>
      <c r="Q128" s="13"/>
      <c r="R128" s="4"/>
      <c r="S128" s="4"/>
      <c r="T128" s="4">
        <v>99</v>
      </c>
      <c r="Y128" s="4"/>
      <c r="AB128" s="4"/>
      <c r="AC128" s="4"/>
      <c r="AD128" s="4"/>
      <c r="AE128" s="4"/>
      <c r="AF128" s="14"/>
    </row>
    <row r="129" spans="1:32" s="2" customFormat="1" ht="15.75" customHeight="1" x14ac:dyDescent="0.25">
      <c r="A129" s="33" t="str">
        <f>CONCATENATE(D129,".",F129,"-",G129,".",H129,"")</f>
        <v>1.2-4.9</v>
      </c>
      <c r="B129" s="33"/>
      <c r="C129" s="39" t="s">
        <v>335</v>
      </c>
      <c r="D129" s="33">
        <f>IF(C129="ID",1,(IF(C129="PR",2,(IF(C129="DE",3,(IF(C129="RS",4,(IF(C129="RC",5,0)))))))))</f>
        <v>1</v>
      </c>
      <c r="E129" s="33" t="s">
        <v>340</v>
      </c>
      <c r="F129" s="33">
        <f>IF(E129="AM",1,(IF(E129="BE",2,(IF(E129="GV",3,(IF(E129="RA",4,(IF(E129="RM",5,(IF(E129="AC",1,(IF(E129="AT",2,(IF(E129="DS",3,(IF(E129="IP",4,(IF(E129="MA",5,(IF(E129="PT",6,(IF(E129="AE",1,(IF(E129="CM",2,(IF(E129="DP",3,(IF(E129="AN",1,(IF(E129="CO",2,(IF(E129="IM",3,(IF(E129="MI",4,(IF(E129="RP",5,(IF(E129="SC",6,0)))))))))))))))))))))))))))))))))))))))</f>
        <v>2</v>
      </c>
      <c r="G129" s="170">
        <v>4</v>
      </c>
      <c r="H129" s="38" t="s">
        <v>596</v>
      </c>
      <c r="I129" s="105" t="s">
        <v>1449</v>
      </c>
      <c r="J129" s="157" t="s">
        <v>2759</v>
      </c>
      <c r="K129" s="34" t="s">
        <v>2760</v>
      </c>
      <c r="L129" s="5">
        <f>IF(O129="","",N129*O129*M129)</f>
        <v>99</v>
      </c>
      <c r="M129" s="8">
        <v>1</v>
      </c>
      <c r="N129" s="1">
        <v>1</v>
      </c>
      <c r="O129" s="15">
        <f>IF(SUM(Q129:AF129)&lt;1,"",SUM(Q129:AF129)/COUNTIF(Q129:AF129,"&gt;0"))</f>
        <v>99</v>
      </c>
      <c r="P129" s="16"/>
      <c r="Q129" s="13"/>
      <c r="R129" s="4"/>
      <c r="S129" s="4"/>
      <c r="T129" s="4">
        <v>99</v>
      </c>
      <c r="Y129" s="4"/>
      <c r="AB129" s="4"/>
      <c r="AC129" s="4"/>
      <c r="AD129" s="4"/>
      <c r="AE129" s="4"/>
      <c r="AF129" s="14"/>
    </row>
    <row r="130" spans="1:32" s="2" customFormat="1" ht="15.75" customHeight="1" x14ac:dyDescent="0.25">
      <c r="A130" s="33" t="str">
        <f>CONCATENATE(D130,".",F130,"-",G130,".",H130,"")</f>
        <v>1.2-5.0</v>
      </c>
      <c r="B130" s="33" t="s">
        <v>814</v>
      </c>
      <c r="C130" s="40" t="s">
        <v>335</v>
      </c>
      <c r="D130" s="33">
        <f>IF(C130="ID",1,(IF(C130="PR",2,(IF(C130="DE",3,(IF(C130="RS",4,(IF(C130="RC",5,0)))))))))</f>
        <v>1</v>
      </c>
      <c r="E130" s="33" t="s">
        <v>340</v>
      </c>
      <c r="F130" s="33">
        <f>IF(E130="AM",1,(IF(E130="BE",2,(IF(E130="GV",3,(IF(E130="RA",4,(IF(E130="RM",5,(IF(E130="AC",1,(IF(E130="AT",2,(IF(E130="DS",3,(IF(E130="IP",4,(IF(E130="MA",5,(IF(E130="PT",6,(IF(E130="AE",1,(IF(E130="CM",2,(IF(E130="DP",3,(IF(E130="AN",1,(IF(E130="CO",2,(IF(E130="IM",3,(IF(E130="MI",4,(IF(E130="RP",5,(IF(E130="SC",6,0)))))))))))))))))))))))))))))))))))))))</f>
        <v>2</v>
      </c>
      <c r="G130" s="170">
        <v>5</v>
      </c>
      <c r="H130" s="38" t="s">
        <v>597</v>
      </c>
      <c r="I130" s="27" t="s">
        <v>1200</v>
      </c>
      <c r="J130" s="149" t="s">
        <v>647</v>
      </c>
      <c r="K130" s="97" t="s">
        <v>1202</v>
      </c>
      <c r="L130" s="66">
        <f>IF(O130="","",N130*O130*M130)</f>
        <v>75</v>
      </c>
      <c r="M130" s="8">
        <v>1</v>
      </c>
      <c r="N130" s="1">
        <v>1</v>
      </c>
      <c r="O130" s="15">
        <f>IF(SUM(Q130:AF130)&lt;1,"",SUM(Q130:AF130)/COUNTIF(Q130:AF130,"&gt;0"))</f>
        <v>75</v>
      </c>
      <c r="P130" s="16"/>
      <c r="Q130" s="13"/>
      <c r="R130" s="4"/>
      <c r="S130" s="4"/>
      <c r="T130" s="4">
        <v>75</v>
      </c>
      <c r="Y130" s="4"/>
      <c r="AB130" s="4"/>
      <c r="AC130" s="4"/>
      <c r="AD130" s="4"/>
      <c r="AE130" s="4"/>
      <c r="AF130" s="14"/>
    </row>
    <row r="131" spans="1:32" s="2" customFormat="1" ht="15.75" customHeight="1" x14ac:dyDescent="0.25">
      <c r="A131" s="33" t="str">
        <f>CONCATENATE(D131,".",F131,"-",G131,".",H131,"")</f>
        <v>1.2-5.1</v>
      </c>
      <c r="B131" s="33" t="s">
        <v>814</v>
      </c>
      <c r="C131" s="40" t="s">
        <v>335</v>
      </c>
      <c r="D131" s="33">
        <f>IF(C131="ID",1,(IF(C131="PR",2,(IF(C131="DE",3,(IF(C131="RS",4,(IF(C131="RC",5,0)))))))))</f>
        <v>1</v>
      </c>
      <c r="E131" s="33" t="s">
        <v>340</v>
      </c>
      <c r="F131" s="33">
        <f>IF(E131="AM",1,(IF(E131="BE",2,(IF(E131="GV",3,(IF(E131="RA",4,(IF(E131="RM",5,(IF(E131="AC",1,(IF(E131="AT",2,(IF(E131="DS",3,(IF(E131="IP",4,(IF(E131="MA",5,(IF(E131="PT",6,(IF(E131="AE",1,(IF(E131="CM",2,(IF(E131="DP",3,(IF(E131="AN",1,(IF(E131="CO",2,(IF(E131="IM",3,(IF(E131="MI",4,(IF(E131="RP",5,(IF(E131="SC",6,0)))))))))))))))))))))))))))))))))))))))</f>
        <v>2</v>
      </c>
      <c r="G131" s="171">
        <v>5</v>
      </c>
      <c r="H131" s="38" t="s">
        <v>511</v>
      </c>
      <c r="I131" s="27" t="s">
        <v>936</v>
      </c>
      <c r="J131" s="163" t="s">
        <v>885</v>
      </c>
      <c r="K131" s="34" t="s">
        <v>985</v>
      </c>
      <c r="L131" s="66">
        <f>IF(O131="","",N131*O131*M131)</f>
        <v>75</v>
      </c>
      <c r="M131" s="8">
        <v>1</v>
      </c>
      <c r="N131" s="3">
        <v>1</v>
      </c>
      <c r="O131" s="15">
        <f>IF(SUM(Q131:AF131)&lt;1,"",SUM(Q131:AF131)/COUNTIF(Q131:AF131,"&gt;0"))</f>
        <v>75</v>
      </c>
      <c r="P131" s="16"/>
      <c r="Q131" s="13"/>
      <c r="R131" s="4"/>
      <c r="S131" s="4"/>
      <c r="T131" s="4">
        <v>75</v>
      </c>
      <c r="Y131" s="4"/>
      <c r="AB131" s="4"/>
      <c r="AC131" s="4"/>
      <c r="AD131" s="4"/>
      <c r="AE131" s="4"/>
      <c r="AF131" s="14"/>
    </row>
    <row r="132" spans="1:32" s="2" customFormat="1" ht="15.75" customHeight="1" x14ac:dyDescent="0.25">
      <c r="A132" s="33" t="str">
        <f>CONCATENATE(D132,".",F132,"-",G132,".",H132,"")</f>
        <v>1.2-5.1</v>
      </c>
      <c r="B132" s="33" t="s">
        <v>814</v>
      </c>
      <c r="C132" s="40" t="s">
        <v>335</v>
      </c>
      <c r="D132" s="33">
        <f>IF(C132="ID",1,(IF(C132="PR",2,(IF(C132="DE",3,(IF(C132="RS",4,(IF(C132="RC",5,0)))))))))</f>
        <v>1</v>
      </c>
      <c r="E132" s="33" t="s">
        <v>340</v>
      </c>
      <c r="F132" s="33">
        <f>IF(E132="AM",1,(IF(E132="BE",2,(IF(E132="GV",3,(IF(E132="RA",4,(IF(E132="RM",5,(IF(E132="AC",1,(IF(E132="AT",2,(IF(E132="DS",3,(IF(E132="IP",4,(IF(E132="MA",5,(IF(E132="PT",6,(IF(E132="AE",1,(IF(E132="CM",2,(IF(E132="DP",3,(IF(E132="AN",1,(IF(E132="CO",2,(IF(E132="IM",3,(IF(E132="MI",4,(IF(E132="RP",5,(IF(E132="SC",6,0)))))))))))))))))))))))))))))))))))))))</f>
        <v>2</v>
      </c>
      <c r="G132" s="171">
        <v>5</v>
      </c>
      <c r="H132" s="38" t="s">
        <v>511</v>
      </c>
      <c r="I132" s="27" t="s">
        <v>936</v>
      </c>
      <c r="J132" s="163" t="s">
        <v>869</v>
      </c>
      <c r="K132" s="34" t="s">
        <v>992</v>
      </c>
      <c r="L132" s="66">
        <f>IF(O132="","",N132*O132*M132)</f>
        <v>75</v>
      </c>
      <c r="M132" s="8">
        <v>1</v>
      </c>
      <c r="N132" s="3">
        <v>1</v>
      </c>
      <c r="O132" s="15">
        <f>IF(SUM(Q132:AF132)&lt;1,"",SUM(Q132:AF132)/COUNTIF(Q132:AF132,"&gt;0"))</f>
        <v>75</v>
      </c>
      <c r="P132" s="16"/>
      <c r="Q132" s="13"/>
      <c r="R132" s="4"/>
      <c r="S132" s="4"/>
      <c r="T132" s="4">
        <v>75</v>
      </c>
      <c r="Y132" s="4"/>
      <c r="AB132" s="4"/>
      <c r="AC132" s="4"/>
      <c r="AD132" s="4"/>
      <c r="AE132" s="4"/>
      <c r="AF132" s="14"/>
    </row>
    <row r="133" spans="1:32" s="2" customFormat="1" ht="15.75" customHeight="1" x14ac:dyDescent="0.25">
      <c r="A133" s="33" t="str">
        <f>CONCATENATE(D133,".",F133,"-",G133,".",H133,"")</f>
        <v>1.2-5.1</v>
      </c>
      <c r="B133" s="33" t="s">
        <v>814</v>
      </c>
      <c r="C133" s="40" t="s">
        <v>335</v>
      </c>
      <c r="D133" s="33">
        <f>IF(C133="ID",1,(IF(C133="PR",2,(IF(C133="DE",3,(IF(C133="RS",4,(IF(C133="RC",5,0)))))))))</f>
        <v>1</v>
      </c>
      <c r="E133" s="33" t="s">
        <v>340</v>
      </c>
      <c r="F133" s="33">
        <f>IF(E133="AM",1,(IF(E133="BE",2,(IF(E133="GV",3,(IF(E133="RA",4,(IF(E133="RM",5,(IF(E133="AC",1,(IF(E133="AT",2,(IF(E133="DS",3,(IF(E133="IP",4,(IF(E133="MA",5,(IF(E133="PT",6,(IF(E133="AE",1,(IF(E133="CM",2,(IF(E133="DP",3,(IF(E133="AN",1,(IF(E133="CO",2,(IF(E133="IM",3,(IF(E133="MI",4,(IF(E133="RP",5,(IF(E133="SC",6,0)))))))))))))))))))))))))))))))))))))))</f>
        <v>2</v>
      </c>
      <c r="G133" s="171">
        <v>5</v>
      </c>
      <c r="H133" s="38" t="s">
        <v>511</v>
      </c>
      <c r="I133" s="27" t="s">
        <v>936</v>
      </c>
      <c r="J133" s="163" t="s">
        <v>878</v>
      </c>
      <c r="K133" s="34" t="s">
        <v>938</v>
      </c>
      <c r="L133" s="66">
        <f>IF(O133="","",N133*O133*M133)</f>
        <v>75</v>
      </c>
      <c r="M133" s="8">
        <v>1</v>
      </c>
      <c r="N133" s="3">
        <v>1</v>
      </c>
      <c r="O133" s="15">
        <f>IF(SUM(Q133:AF133)&lt;1,"",SUM(Q133:AF133)/COUNTIF(Q133:AF133,"&gt;0"))</f>
        <v>75</v>
      </c>
      <c r="P133" s="16"/>
      <c r="Q133" s="13"/>
      <c r="R133" s="4"/>
      <c r="S133" s="4"/>
      <c r="T133" s="4">
        <v>75</v>
      </c>
      <c r="Y133" s="4"/>
      <c r="AB133" s="4"/>
      <c r="AC133" s="4"/>
      <c r="AD133" s="4"/>
      <c r="AE133" s="4"/>
      <c r="AF133" s="14"/>
    </row>
    <row r="134" spans="1:32" s="2" customFormat="1" ht="15.75" customHeight="1" x14ac:dyDescent="0.25">
      <c r="A134" s="33" t="str">
        <f>CONCATENATE(D134,".",F134,"-",G134,".",H134,"")</f>
        <v>1.2-5.1</v>
      </c>
      <c r="B134" s="33" t="s">
        <v>814</v>
      </c>
      <c r="C134" s="40" t="s">
        <v>335</v>
      </c>
      <c r="D134" s="33">
        <f>IF(C134="ID",1,(IF(C134="PR",2,(IF(C134="DE",3,(IF(C134="RS",4,(IF(C134="RC",5,0)))))))))</f>
        <v>1</v>
      </c>
      <c r="E134" s="33" t="s">
        <v>340</v>
      </c>
      <c r="F134" s="33">
        <f>IF(E134="AM",1,(IF(E134="BE",2,(IF(E134="GV",3,(IF(E134="RA",4,(IF(E134="RM",5,(IF(E134="AC",1,(IF(E134="AT",2,(IF(E134="DS",3,(IF(E134="IP",4,(IF(E134="MA",5,(IF(E134="PT",6,(IF(E134="AE",1,(IF(E134="CM",2,(IF(E134="DP",3,(IF(E134="AN",1,(IF(E134="CO",2,(IF(E134="IM",3,(IF(E134="MI",4,(IF(E134="RP",5,(IF(E134="SC",6,0)))))))))))))))))))))))))))))))))))))))</f>
        <v>2</v>
      </c>
      <c r="G134" s="171">
        <v>5</v>
      </c>
      <c r="H134" s="38" t="s">
        <v>511</v>
      </c>
      <c r="I134" s="27" t="s">
        <v>936</v>
      </c>
      <c r="J134" s="163" t="s">
        <v>882</v>
      </c>
      <c r="K134" s="34" t="s">
        <v>951</v>
      </c>
      <c r="L134" s="66">
        <f>IF(O134="","",N134*O134*M134)</f>
        <v>75</v>
      </c>
      <c r="M134" s="8">
        <v>1</v>
      </c>
      <c r="N134" s="3">
        <v>1</v>
      </c>
      <c r="O134" s="15">
        <f>IF(SUM(Q134:AF134)&lt;1,"",SUM(Q134:AF134)/COUNTIF(Q134:AF134,"&gt;0"))</f>
        <v>75</v>
      </c>
      <c r="P134" s="16"/>
      <c r="Q134" s="13"/>
      <c r="R134" s="4"/>
      <c r="S134" s="4"/>
      <c r="T134" s="4">
        <v>75</v>
      </c>
      <c r="Y134" s="4"/>
      <c r="AB134" s="4"/>
      <c r="AC134" s="4"/>
      <c r="AD134" s="4"/>
      <c r="AE134" s="4"/>
      <c r="AF134" s="14"/>
    </row>
    <row r="135" spans="1:32" s="2" customFormat="1" ht="15.75" customHeight="1" x14ac:dyDescent="0.25">
      <c r="A135" s="33" t="str">
        <f>CONCATENATE(D135,".",F135,"-",G135,".",H135,"")</f>
        <v>1.2-5.1</v>
      </c>
      <c r="B135" s="33" t="s">
        <v>814</v>
      </c>
      <c r="C135" s="39" t="s">
        <v>335</v>
      </c>
      <c r="D135" s="33">
        <f>IF(C135="ID",1,(IF(C135="PR",2,(IF(C135="DE",3,(IF(C135="RS",4,(IF(C135="RC",5,0)))))))))</f>
        <v>1</v>
      </c>
      <c r="E135" s="33" t="s">
        <v>340</v>
      </c>
      <c r="F135" s="33">
        <f>IF(E135="AM",1,(IF(E135="BE",2,(IF(E135="GV",3,(IF(E135="RA",4,(IF(E135="RM",5,(IF(E135="AC",1,(IF(E135="AT",2,(IF(E135="DS",3,(IF(E135="IP",4,(IF(E135="MA",5,(IF(E135="PT",6,(IF(E135="AE",1,(IF(E135="CM",2,(IF(E135="DP",3,(IF(E135="AN",1,(IF(E135="CO",2,(IF(E135="IM",3,(IF(E135="MI",4,(IF(E135="RP",5,(IF(E135="SC",6,0)))))))))))))))))))))))))))))))))))))))</f>
        <v>2</v>
      </c>
      <c r="G135" s="170">
        <v>5</v>
      </c>
      <c r="H135" s="33">
        <v>1</v>
      </c>
      <c r="I135" s="27" t="s">
        <v>266</v>
      </c>
      <c r="J135" s="149" t="s">
        <v>457</v>
      </c>
      <c r="K135" s="79" t="s">
        <v>1308</v>
      </c>
      <c r="L135" s="66">
        <f>IF(O135="","",N135*O135*M135)</f>
        <v>75</v>
      </c>
      <c r="M135" s="8">
        <v>1</v>
      </c>
      <c r="N135" s="1">
        <v>1</v>
      </c>
      <c r="O135" s="15">
        <f>IF(SUM(Q135:AF135)&lt;1,"",SUM(Q135:AF135)/COUNTIF(Q135:AF135,"&gt;0"))</f>
        <v>75</v>
      </c>
      <c r="P135" s="16"/>
      <c r="Q135" s="13"/>
      <c r="R135" s="4"/>
      <c r="S135" s="4"/>
      <c r="T135" s="4">
        <v>75</v>
      </c>
      <c r="Y135" s="4"/>
      <c r="AB135" s="4"/>
      <c r="AC135" s="4"/>
      <c r="AD135" s="4"/>
      <c r="AE135" s="4"/>
      <c r="AF135" s="14"/>
    </row>
    <row r="136" spans="1:32" s="2" customFormat="1" ht="15.75" customHeight="1" x14ac:dyDescent="0.25">
      <c r="A136" s="33" t="str">
        <f>CONCATENATE(D136,".",F136,"-",G136,".",H136,"")</f>
        <v>1.2-5.1</v>
      </c>
      <c r="B136" s="33"/>
      <c r="C136" s="39" t="s">
        <v>335</v>
      </c>
      <c r="D136" s="33">
        <f>IF(C136="ID",1,(IF(C136="PR",2,(IF(C136="DE",3,(IF(C136="RS",4,(IF(C136="RC",5,0)))))))))</f>
        <v>1</v>
      </c>
      <c r="E136" s="33" t="s">
        <v>340</v>
      </c>
      <c r="F136" s="33">
        <f>IF(E136="AM",1,(IF(E136="BE",2,(IF(E136="GV",3,(IF(E136="RA",4,(IF(E136="RM",5,(IF(E136="AC",1,(IF(E136="AT",2,(IF(E136="DS",3,(IF(E136="IP",4,(IF(E136="MA",5,(IF(E136="PT",6,(IF(E136="AE",1,(IF(E136="CM",2,(IF(E136="DP",3,(IF(E136="AN",1,(IF(E136="CO",2,(IF(E136="IM",3,(IF(E136="MI",4,(IF(E136="RP",5,(IF(E136="SC",6,0)))))))))))))))))))))))))))))))))))))))</f>
        <v>2</v>
      </c>
      <c r="G136" s="170">
        <v>5</v>
      </c>
      <c r="H136" s="38" t="s">
        <v>511</v>
      </c>
      <c r="I136" s="105" t="s">
        <v>1449</v>
      </c>
      <c r="J136" s="157" t="s">
        <v>1979</v>
      </c>
      <c r="K136" s="34" t="s">
        <v>1980</v>
      </c>
      <c r="L136" s="5">
        <f>IF(O136="","",N136*O136*M136)</f>
        <v>99</v>
      </c>
      <c r="M136" s="8">
        <v>1</v>
      </c>
      <c r="N136" s="1">
        <v>1</v>
      </c>
      <c r="O136" s="15">
        <f>IF(SUM(Q136:AF136)&lt;1,"",SUM(Q136:AF136)/COUNTIF(Q136:AF136,"&gt;0"))</f>
        <v>99</v>
      </c>
      <c r="P136" s="16"/>
      <c r="Q136" s="13"/>
      <c r="R136" s="4"/>
      <c r="S136" s="4"/>
      <c r="T136" s="4">
        <v>99</v>
      </c>
      <c r="Y136" s="4"/>
      <c r="AB136" s="4"/>
      <c r="AC136" s="4"/>
      <c r="AD136" s="4"/>
      <c r="AE136" s="4"/>
      <c r="AF136" s="14"/>
    </row>
    <row r="137" spans="1:32" s="2" customFormat="1" ht="15.75" customHeight="1" x14ac:dyDescent="0.25">
      <c r="A137" s="33" t="str">
        <f>CONCATENATE(D137,".",F137,"-",G137,".",H137,"")</f>
        <v>1.2-5.1</v>
      </c>
      <c r="B137" s="33"/>
      <c r="C137" s="39" t="s">
        <v>335</v>
      </c>
      <c r="D137" s="33">
        <f>IF(C137="ID",1,(IF(C137="PR",2,(IF(C137="DE",3,(IF(C137="RS",4,(IF(C137="RC",5,0)))))))))</f>
        <v>1</v>
      </c>
      <c r="E137" s="33" t="s">
        <v>340</v>
      </c>
      <c r="F137" s="33">
        <f>IF(E137="AM",1,(IF(E137="BE",2,(IF(E137="GV",3,(IF(E137="RA",4,(IF(E137="RM",5,(IF(E137="AC",1,(IF(E137="AT",2,(IF(E137="DS",3,(IF(E137="IP",4,(IF(E137="MA",5,(IF(E137="PT",6,(IF(E137="AE",1,(IF(E137="CM",2,(IF(E137="DP",3,(IF(E137="AN",1,(IF(E137="CO",2,(IF(E137="IM",3,(IF(E137="MI",4,(IF(E137="RP",5,(IF(E137="SC",6,0)))))))))))))))))))))))))))))))))))))))</f>
        <v>2</v>
      </c>
      <c r="G137" s="170">
        <v>5</v>
      </c>
      <c r="H137" s="38" t="s">
        <v>511</v>
      </c>
      <c r="I137" s="105" t="s">
        <v>1449</v>
      </c>
      <c r="J137" s="157" t="s">
        <v>1985</v>
      </c>
      <c r="K137" s="34" t="s">
        <v>1986</v>
      </c>
      <c r="L137" s="5">
        <f>IF(O137="","",N137*O137*M137)</f>
        <v>99</v>
      </c>
      <c r="M137" s="8">
        <v>1</v>
      </c>
      <c r="N137" s="1">
        <v>1</v>
      </c>
      <c r="O137" s="15">
        <f>IF(SUM(Q137:AF137)&lt;1,"",SUM(Q137:AF137)/COUNTIF(Q137:AF137,"&gt;0"))</f>
        <v>99</v>
      </c>
      <c r="P137" s="16"/>
      <c r="Q137" s="13"/>
      <c r="R137" s="4"/>
      <c r="S137" s="4"/>
      <c r="T137" s="4">
        <v>99</v>
      </c>
      <c r="Y137" s="4"/>
      <c r="AB137" s="4"/>
      <c r="AC137" s="4"/>
      <c r="AD137" s="4"/>
      <c r="AE137" s="4"/>
      <c r="AF137" s="14"/>
    </row>
    <row r="138" spans="1:32" s="2" customFormat="1" ht="15.75" customHeight="1" x14ac:dyDescent="0.25">
      <c r="A138" s="33" t="str">
        <f>CONCATENATE(D138,".",F138,"-",G138,".",H138,"")</f>
        <v>1.2-5.1</v>
      </c>
      <c r="B138" s="33"/>
      <c r="C138" s="39" t="s">
        <v>335</v>
      </c>
      <c r="D138" s="33">
        <f>IF(C138="ID",1,(IF(C138="PR",2,(IF(C138="DE",3,(IF(C138="RS",4,(IF(C138="RC",5,0)))))))))</f>
        <v>1</v>
      </c>
      <c r="E138" s="33" t="s">
        <v>340</v>
      </c>
      <c r="F138" s="33">
        <f>IF(E138="AM",1,(IF(E138="BE",2,(IF(E138="GV",3,(IF(E138="RA",4,(IF(E138="RM",5,(IF(E138="AC",1,(IF(E138="AT",2,(IF(E138="DS",3,(IF(E138="IP",4,(IF(E138="MA",5,(IF(E138="PT",6,(IF(E138="AE",1,(IF(E138="CM",2,(IF(E138="DP",3,(IF(E138="AN",1,(IF(E138="CO",2,(IF(E138="IM",3,(IF(E138="MI",4,(IF(E138="RP",5,(IF(E138="SC",6,0)))))))))))))))))))))))))))))))))))))))</f>
        <v>2</v>
      </c>
      <c r="G138" s="170">
        <v>5</v>
      </c>
      <c r="H138" s="38" t="s">
        <v>511</v>
      </c>
      <c r="I138" s="105" t="s">
        <v>1449</v>
      </c>
      <c r="J138" s="157" t="s">
        <v>1989</v>
      </c>
      <c r="K138" s="34" t="s">
        <v>1990</v>
      </c>
      <c r="L138" s="5">
        <f>IF(O138="","",N138*O138*M138)</f>
        <v>99</v>
      </c>
      <c r="M138" s="8">
        <v>1</v>
      </c>
      <c r="N138" s="1">
        <v>1</v>
      </c>
      <c r="O138" s="15">
        <f>IF(SUM(Q138:AF138)&lt;1,"",SUM(Q138:AF138)/COUNTIF(Q138:AF138,"&gt;0"))</f>
        <v>99</v>
      </c>
      <c r="P138" s="16"/>
      <c r="Q138" s="13"/>
      <c r="R138" s="4"/>
      <c r="S138" s="4"/>
      <c r="T138" s="4">
        <v>99</v>
      </c>
      <c r="Y138" s="4"/>
      <c r="AB138" s="4"/>
      <c r="AC138" s="4"/>
      <c r="AD138" s="4"/>
      <c r="AE138" s="4"/>
      <c r="AF138" s="14"/>
    </row>
    <row r="139" spans="1:32" s="2" customFormat="1" ht="15.75" customHeight="1" x14ac:dyDescent="0.25">
      <c r="A139" s="33" t="str">
        <f>CONCATENATE(D139,".",F139,"-",G139,".",H139,"")</f>
        <v>1.2-5.1</v>
      </c>
      <c r="B139" s="33"/>
      <c r="C139" s="39" t="s">
        <v>335</v>
      </c>
      <c r="D139" s="33">
        <f>IF(C139="ID",1,(IF(C139="PR",2,(IF(C139="DE",3,(IF(C139="RS",4,(IF(C139="RC",5,0)))))))))</f>
        <v>1</v>
      </c>
      <c r="E139" s="33" t="s">
        <v>340</v>
      </c>
      <c r="F139" s="33">
        <f>IF(E139="AM",1,(IF(E139="BE",2,(IF(E139="GV",3,(IF(E139="RA",4,(IF(E139="RM",5,(IF(E139="AC",1,(IF(E139="AT",2,(IF(E139="DS",3,(IF(E139="IP",4,(IF(E139="MA",5,(IF(E139="PT",6,(IF(E139="AE",1,(IF(E139="CM",2,(IF(E139="DP",3,(IF(E139="AN",1,(IF(E139="CO",2,(IF(E139="IM",3,(IF(E139="MI",4,(IF(E139="RP",5,(IF(E139="SC",6,0)))))))))))))))))))))))))))))))))))))))</f>
        <v>2</v>
      </c>
      <c r="G139" s="170">
        <v>5</v>
      </c>
      <c r="H139" s="38" t="s">
        <v>511</v>
      </c>
      <c r="I139" s="105" t="s">
        <v>1449</v>
      </c>
      <c r="J139" s="157" t="s">
        <v>1991</v>
      </c>
      <c r="K139" s="34" t="s">
        <v>1992</v>
      </c>
      <c r="L139" s="5">
        <f>IF(O139="","",N139*O139*M139)</f>
        <v>99</v>
      </c>
      <c r="M139" s="8">
        <v>1</v>
      </c>
      <c r="N139" s="1">
        <v>1</v>
      </c>
      <c r="O139" s="15">
        <f>IF(SUM(Q139:AF139)&lt;1,"",SUM(Q139:AF139)/COUNTIF(Q139:AF139,"&gt;0"))</f>
        <v>99</v>
      </c>
      <c r="P139" s="16"/>
      <c r="Q139" s="13"/>
      <c r="R139" s="4"/>
      <c r="S139" s="4"/>
      <c r="T139" s="4">
        <v>99</v>
      </c>
      <c r="Y139" s="4"/>
      <c r="AB139" s="4"/>
      <c r="AC139" s="4"/>
      <c r="AD139" s="4"/>
      <c r="AE139" s="4"/>
      <c r="AF139" s="14"/>
    </row>
    <row r="140" spans="1:32" s="2" customFormat="1" ht="15.75" customHeight="1" x14ac:dyDescent="0.25">
      <c r="A140" s="33" t="str">
        <f>CONCATENATE(D140,".",F140,"-",G140,".",H140,"")</f>
        <v>1.2-5.1</v>
      </c>
      <c r="B140" s="33"/>
      <c r="C140" s="39" t="s">
        <v>335</v>
      </c>
      <c r="D140" s="33">
        <f>IF(C140="ID",1,(IF(C140="PR",2,(IF(C140="DE",3,(IF(C140="RS",4,(IF(C140="RC",5,0)))))))))</f>
        <v>1</v>
      </c>
      <c r="E140" s="33" t="s">
        <v>340</v>
      </c>
      <c r="F140" s="33">
        <f>IF(E140="AM",1,(IF(E140="BE",2,(IF(E140="GV",3,(IF(E140="RA",4,(IF(E140="RM",5,(IF(E140="AC",1,(IF(E140="AT",2,(IF(E140="DS",3,(IF(E140="IP",4,(IF(E140="MA",5,(IF(E140="PT",6,(IF(E140="AE",1,(IF(E140="CM",2,(IF(E140="DP",3,(IF(E140="AN",1,(IF(E140="CO",2,(IF(E140="IM",3,(IF(E140="MI",4,(IF(E140="RP",5,(IF(E140="SC",6,0)))))))))))))))))))))))))))))))))))))))</f>
        <v>2</v>
      </c>
      <c r="G140" s="170">
        <v>5</v>
      </c>
      <c r="H140" s="38" t="s">
        <v>511</v>
      </c>
      <c r="I140" s="105" t="s">
        <v>1449</v>
      </c>
      <c r="J140" s="157" t="s">
        <v>1993</v>
      </c>
      <c r="K140" s="34" t="s">
        <v>1994</v>
      </c>
      <c r="L140" s="5">
        <f>IF(O140="","",N140*O140*M140)</f>
        <v>99</v>
      </c>
      <c r="M140" s="8">
        <v>1</v>
      </c>
      <c r="N140" s="1">
        <v>1</v>
      </c>
      <c r="O140" s="15">
        <f>IF(SUM(Q140:AF140)&lt;1,"",SUM(Q140:AF140)/COUNTIF(Q140:AF140,"&gt;0"))</f>
        <v>99</v>
      </c>
      <c r="P140" s="16"/>
      <c r="Q140" s="13"/>
      <c r="R140" s="4"/>
      <c r="S140" s="4"/>
      <c r="T140" s="4">
        <v>99</v>
      </c>
      <c r="Y140" s="4"/>
      <c r="AB140" s="4"/>
      <c r="AC140" s="4"/>
      <c r="AD140" s="4"/>
      <c r="AE140" s="4"/>
      <c r="AF140" s="14"/>
    </row>
    <row r="141" spans="1:32" s="2" customFormat="1" ht="15.75" customHeight="1" x14ac:dyDescent="0.25">
      <c r="A141" s="33" t="str">
        <f>CONCATENATE(D141,".",F141,"-",G141,".",H141,"")</f>
        <v>1.2-5.1</v>
      </c>
      <c r="B141" s="33"/>
      <c r="C141" s="39" t="s">
        <v>335</v>
      </c>
      <c r="D141" s="33">
        <f>IF(C141="ID",1,(IF(C141="PR",2,(IF(C141="DE",3,(IF(C141="RS",4,(IF(C141="RC",5,0)))))))))</f>
        <v>1</v>
      </c>
      <c r="E141" s="33" t="s">
        <v>340</v>
      </c>
      <c r="F141" s="33">
        <f>IF(E141="AM",1,(IF(E141="BE",2,(IF(E141="GV",3,(IF(E141="RA",4,(IF(E141="RM",5,(IF(E141="AC",1,(IF(E141="AT",2,(IF(E141="DS",3,(IF(E141="IP",4,(IF(E141="MA",5,(IF(E141="PT",6,(IF(E141="AE",1,(IF(E141="CM",2,(IF(E141="DP",3,(IF(E141="AN",1,(IF(E141="CO",2,(IF(E141="IM",3,(IF(E141="MI",4,(IF(E141="RP",5,(IF(E141="SC",6,0)))))))))))))))))))))))))))))))))))))))</f>
        <v>2</v>
      </c>
      <c r="G141" s="170">
        <v>5</v>
      </c>
      <c r="H141" s="38" t="s">
        <v>511</v>
      </c>
      <c r="I141" s="105" t="s">
        <v>1449</v>
      </c>
      <c r="J141" s="157" t="s">
        <v>1995</v>
      </c>
      <c r="K141" s="34" t="s">
        <v>1996</v>
      </c>
      <c r="L141" s="5">
        <f>IF(O141="","",N141*O141*M141)</f>
        <v>99</v>
      </c>
      <c r="M141" s="8">
        <v>1</v>
      </c>
      <c r="N141" s="1">
        <v>1</v>
      </c>
      <c r="O141" s="15">
        <f>IF(SUM(Q141:AF141)&lt;1,"",SUM(Q141:AF141)/COUNTIF(Q141:AF141,"&gt;0"))</f>
        <v>99</v>
      </c>
      <c r="P141" s="16"/>
      <c r="Q141" s="13"/>
      <c r="R141" s="4"/>
      <c r="S141" s="4"/>
      <c r="T141" s="4">
        <v>99</v>
      </c>
      <c r="Y141" s="4"/>
      <c r="AB141" s="4"/>
      <c r="AC141" s="4"/>
      <c r="AD141" s="4"/>
      <c r="AE141" s="4"/>
      <c r="AF141" s="14"/>
    </row>
    <row r="142" spans="1:32" s="2" customFormat="1" ht="15.75" customHeight="1" x14ac:dyDescent="0.25">
      <c r="A142" s="33" t="str">
        <f>CONCATENATE(D142,".",F142,"-",G142,".",H142,"")</f>
        <v>1.2-5.1</v>
      </c>
      <c r="B142" s="33"/>
      <c r="C142" s="39" t="s">
        <v>335</v>
      </c>
      <c r="D142" s="33">
        <f>IF(C142="ID",1,(IF(C142="PR",2,(IF(C142="DE",3,(IF(C142="RS",4,(IF(C142="RC",5,0)))))))))</f>
        <v>1</v>
      </c>
      <c r="E142" s="33" t="s">
        <v>340</v>
      </c>
      <c r="F142" s="33">
        <f>IF(E142="AM",1,(IF(E142="BE",2,(IF(E142="GV",3,(IF(E142="RA",4,(IF(E142="RM",5,(IF(E142="AC",1,(IF(E142="AT",2,(IF(E142="DS",3,(IF(E142="IP",4,(IF(E142="MA",5,(IF(E142="PT",6,(IF(E142="AE",1,(IF(E142="CM",2,(IF(E142="DP",3,(IF(E142="AN",1,(IF(E142="CO",2,(IF(E142="IM",3,(IF(E142="MI",4,(IF(E142="RP",5,(IF(E142="SC",6,0)))))))))))))))))))))))))))))))))))))))</f>
        <v>2</v>
      </c>
      <c r="G142" s="170">
        <v>5</v>
      </c>
      <c r="H142" s="38" t="s">
        <v>511</v>
      </c>
      <c r="I142" s="105" t="s">
        <v>1449</v>
      </c>
      <c r="J142" s="157" t="s">
        <v>1997</v>
      </c>
      <c r="K142" s="34" t="s">
        <v>1998</v>
      </c>
      <c r="L142" s="5">
        <f>IF(O142="","",N142*O142*M142)</f>
        <v>99</v>
      </c>
      <c r="M142" s="8">
        <v>1</v>
      </c>
      <c r="N142" s="1">
        <v>1</v>
      </c>
      <c r="O142" s="15">
        <f>IF(SUM(Q142:AF142)&lt;1,"",SUM(Q142:AF142)/COUNTIF(Q142:AF142,"&gt;0"))</f>
        <v>99</v>
      </c>
      <c r="P142" s="16"/>
      <c r="Q142" s="13"/>
      <c r="R142" s="4"/>
      <c r="S142" s="4"/>
      <c r="T142" s="4">
        <v>99</v>
      </c>
      <c r="Y142" s="4"/>
      <c r="AB142" s="4"/>
      <c r="AC142" s="4"/>
      <c r="AD142" s="4"/>
      <c r="AE142" s="4"/>
      <c r="AF142" s="14"/>
    </row>
    <row r="143" spans="1:32" s="2" customFormat="1" ht="15.75" customHeight="1" x14ac:dyDescent="0.25">
      <c r="A143" s="33" t="str">
        <f>CONCATENATE(D143,".",F143,"-",G143,".",H143,"")</f>
        <v>1.2-5.1</v>
      </c>
      <c r="B143" s="33"/>
      <c r="C143" s="39" t="s">
        <v>335</v>
      </c>
      <c r="D143" s="33">
        <f>IF(C143="ID",1,(IF(C143="PR",2,(IF(C143="DE",3,(IF(C143="RS",4,(IF(C143="RC",5,0)))))))))</f>
        <v>1</v>
      </c>
      <c r="E143" s="33" t="s">
        <v>340</v>
      </c>
      <c r="F143" s="33">
        <f>IF(E143="AM",1,(IF(E143="BE",2,(IF(E143="GV",3,(IF(E143="RA",4,(IF(E143="RM",5,(IF(E143="AC",1,(IF(E143="AT",2,(IF(E143="DS",3,(IF(E143="IP",4,(IF(E143="MA",5,(IF(E143="PT",6,(IF(E143="AE",1,(IF(E143="CM",2,(IF(E143="DP",3,(IF(E143="AN",1,(IF(E143="CO",2,(IF(E143="IM",3,(IF(E143="MI",4,(IF(E143="RP",5,(IF(E143="SC",6,0)))))))))))))))))))))))))))))))))))))))</f>
        <v>2</v>
      </c>
      <c r="G143" s="170">
        <v>5</v>
      </c>
      <c r="H143" s="38" t="s">
        <v>511</v>
      </c>
      <c r="I143" s="105" t="s">
        <v>1449</v>
      </c>
      <c r="J143" s="157" t="s">
        <v>2457</v>
      </c>
      <c r="K143" s="34" t="s">
        <v>2458</v>
      </c>
      <c r="L143" s="5">
        <f>IF(O143="","",N143*O143*M143)</f>
        <v>99</v>
      </c>
      <c r="M143" s="8">
        <v>1</v>
      </c>
      <c r="N143" s="1">
        <v>1</v>
      </c>
      <c r="O143" s="15">
        <f>IF(SUM(Q143:AF143)&lt;1,"",SUM(Q143:AF143)/COUNTIF(Q143:AF143,"&gt;0"))</f>
        <v>99</v>
      </c>
      <c r="P143" s="16"/>
      <c r="Q143" s="13"/>
      <c r="R143" s="4"/>
      <c r="S143" s="4"/>
      <c r="T143" s="4">
        <v>99</v>
      </c>
      <c r="Y143" s="4"/>
      <c r="AB143" s="4"/>
      <c r="AC143" s="4"/>
      <c r="AD143" s="4"/>
      <c r="AE143" s="4"/>
      <c r="AF143" s="14"/>
    </row>
    <row r="144" spans="1:32" s="2" customFormat="1" ht="15.75" customHeight="1" x14ac:dyDescent="0.25">
      <c r="A144" s="33" t="str">
        <f>CONCATENATE(D144,".",F144,"-",G144,".",H144,"")</f>
        <v>1.2-5.1</v>
      </c>
      <c r="B144" s="33"/>
      <c r="C144" s="39" t="s">
        <v>335</v>
      </c>
      <c r="D144" s="33">
        <f>IF(C144="ID",1,(IF(C144="PR",2,(IF(C144="DE",3,(IF(C144="RS",4,(IF(C144="RC",5,0)))))))))</f>
        <v>1</v>
      </c>
      <c r="E144" s="33" t="s">
        <v>340</v>
      </c>
      <c r="F144" s="33">
        <f>IF(E144="AM",1,(IF(E144="BE",2,(IF(E144="GV",3,(IF(E144="RA",4,(IF(E144="RM",5,(IF(E144="AC",1,(IF(E144="AT",2,(IF(E144="DS",3,(IF(E144="IP",4,(IF(E144="MA",5,(IF(E144="PT",6,(IF(E144="AE",1,(IF(E144="CM",2,(IF(E144="DP",3,(IF(E144="AN",1,(IF(E144="CO",2,(IF(E144="IM",3,(IF(E144="MI",4,(IF(E144="RP",5,(IF(E144="SC",6,0)))))))))))))))))))))))))))))))))))))))</f>
        <v>2</v>
      </c>
      <c r="G144" s="170">
        <v>5</v>
      </c>
      <c r="H144" s="38" t="s">
        <v>511</v>
      </c>
      <c r="I144" s="105" t="s">
        <v>1449</v>
      </c>
      <c r="J144" s="157" t="s">
        <v>2477</v>
      </c>
      <c r="K144" s="34" t="s">
        <v>2478</v>
      </c>
      <c r="L144" s="5">
        <f>IF(O144="","",N144*O144*M144)</f>
        <v>99</v>
      </c>
      <c r="M144" s="8">
        <v>1</v>
      </c>
      <c r="N144" s="1">
        <v>1</v>
      </c>
      <c r="O144" s="15">
        <f>IF(SUM(Q144:AF144)&lt;1,"",SUM(Q144:AF144)/COUNTIF(Q144:AF144,"&gt;0"))</f>
        <v>99</v>
      </c>
      <c r="P144" s="16"/>
      <c r="Q144" s="13"/>
      <c r="R144" s="4"/>
      <c r="S144" s="4"/>
      <c r="T144" s="4">
        <v>99</v>
      </c>
      <c r="Y144" s="4"/>
      <c r="AB144" s="4"/>
      <c r="AC144" s="4"/>
      <c r="AD144" s="4"/>
      <c r="AE144" s="4"/>
      <c r="AF144" s="14"/>
    </row>
    <row r="145" spans="1:32" s="2" customFormat="1" ht="15.75" customHeight="1" x14ac:dyDescent="0.25">
      <c r="A145" s="33" t="str">
        <f>CONCATENATE(D145,".",F145,"-",G145,".",H145,"")</f>
        <v>1.2-5.1</v>
      </c>
      <c r="B145" s="33" t="s">
        <v>814</v>
      </c>
      <c r="C145" s="39" t="s">
        <v>335</v>
      </c>
      <c r="D145" s="33">
        <f>IF(C145="ID",1,(IF(C145="PR",2,(IF(C145="DE",3,(IF(C145="RS",4,(IF(C145="RC",5,0)))))))))</f>
        <v>1</v>
      </c>
      <c r="E145" s="33" t="s">
        <v>340</v>
      </c>
      <c r="F145" s="33">
        <f>IF(E145="AM",1,(IF(E145="BE",2,(IF(E145="GV",3,(IF(E145="RA",4,(IF(E145="RM",5,(IF(E145="AC",1,(IF(E145="AT",2,(IF(E145="DS",3,(IF(E145="IP",4,(IF(E145="MA",5,(IF(E145="PT",6,(IF(E145="AE",1,(IF(E145="CM",2,(IF(E145="DP",3,(IF(E145="AN",1,(IF(E145="CO",2,(IF(E145="IM",3,(IF(E145="MI",4,(IF(E145="RP",5,(IF(E145="SC",6,0)))))))))))))))))))))))))))))))))))))))</f>
        <v>2</v>
      </c>
      <c r="G145" s="170">
        <v>5</v>
      </c>
      <c r="H145" s="38" t="s">
        <v>511</v>
      </c>
      <c r="I145" s="105" t="s">
        <v>1449</v>
      </c>
      <c r="J145" s="157" t="s">
        <v>2613</v>
      </c>
      <c r="K145" s="34" t="s">
        <v>2614</v>
      </c>
      <c r="L145" s="5">
        <f>IF(O145="","",N145*O145*M145)</f>
        <v>99</v>
      </c>
      <c r="M145" s="8">
        <v>1</v>
      </c>
      <c r="N145" s="1">
        <v>1</v>
      </c>
      <c r="O145" s="15">
        <f>IF(SUM(Q145:AF145)&lt;1,"",SUM(Q145:AF145)/COUNTIF(Q145:AF145,"&gt;0"))</f>
        <v>99</v>
      </c>
      <c r="P145" s="16"/>
      <c r="Q145" s="13"/>
      <c r="R145" s="4"/>
      <c r="S145" s="4"/>
      <c r="T145" s="4">
        <v>99</v>
      </c>
      <c r="Y145" s="4"/>
      <c r="AB145" s="4"/>
      <c r="AC145" s="4"/>
      <c r="AD145" s="4"/>
      <c r="AE145" s="4"/>
      <c r="AF145" s="14"/>
    </row>
    <row r="146" spans="1:32" s="2" customFormat="1" ht="15.75" customHeight="1" x14ac:dyDescent="0.25">
      <c r="A146" s="33" t="str">
        <f>CONCATENATE(D146,".",F146,"-",G146,".",H146,"")</f>
        <v>1.2-5.1</v>
      </c>
      <c r="B146" s="33"/>
      <c r="C146" s="39" t="s">
        <v>335</v>
      </c>
      <c r="D146" s="33">
        <f>IF(C146="ID",1,(IF(C146="PR",2,(IF(C146="DE",3,(IF(C146="RS",4,(IF(C146="RC",5,0)))))))))</f>
        <v>1</v>
      </c>
      <c r="E146" s="33" t="s">
        <v>340</v>
      </c>
      <c r="F146" s="33">
        <f>IF(E146="AM",1,(IF(E146="BE",2,(IF(E146="GV",3,(IF(E146="RA",4,(IF(E146="RM",5,(IF(E146="AC",1,(IF(E146="AT",2,(IF(E146="DS",3,(IF(E146="IP",4,(IF(E146="MA",5,(IF(E146="PT",6,(IF(E146="AE",1,(IF(E146="CM",2,(IF(E146="DP",3,(IF(E146="AN",1,(IF(E146="CO",2,(IF(E146="IM",3,(IF(E146="MI",4,(IF(E146="RP",5,(IF(E146="SC",6,0)))))))))))))))))))))))))))))))))))))))</f>
        <v>2</v>
      </c>
      <c r="G146" s="170">
        <v>5</v>
      </c>
      <c r="H146" s="38" t="s">
        <v>511</v>
      </c>
      <c r="I146" s="105" t="s">
        <v>1449</v>
      </c>
      <c r="J146" s="157" t="s">
        <v>2821</v>
      </c>
      <c r="K146" s="34" t="s">
        <v>2822</v>
      </c>
      <c r="L146" s="5">
        <f>IF(O146="","",N146*O146*M146)</f>
        <v>99</v>
      </c>
      <c r="M146" s="8">
        <v>1</v>
      </c>
      <c r="N146" s="1">
        <v>1</v>
      </c>
      <c r="O146" s="15">
        <f>IF(SUM(Q146:AF146)&lt;1,"",SUM(Q146:AF146)/COUNTIF(Q146:AF146,"&gt;0"))</f>
        <v>99</v>
      </c>
      <c r="P146" s="16"/>
      <c r="Q146" s="13"/>
      <c r="R146" s="4"/>
      <c r="S146" s="4"/>
      <c r="T146" s="4">
        <v>99</v>
      </c>
      <c r="Y146" s="4"/>
      <c r="AB146" s="4"/>
      <c r="AC146" s="4"/>
      <c r="AD146" s="4"/>
      <c r="AE146" s="4"/>
      <c r="AF146" s="14"/>
    </row>
    <row r="147" spans="1:32" s="2" customFormat="1" ht="15.75" customHeight="1" x14ac:dyDescent="0.25">
      <c r="A147" s="33" t="str">
        <f>CONCATENATE(D147,".",F147,"-",G147,".",H147,"")</f>
        <v>1.2-5.1</v>
      </c>
      <c r="B147" s="33"/>
      <c r="C147" s="39" t="s">
        <v>335</v>
      </c>
      <c r="D147" s="33">
        <f>IF(C147="ID",1,(IF(C147="PR",2,(IF(C147="DE",3,(IF(C147="RS",4,(IF(C147="RC",5,0)))))))))</f>
        <v>1</v>
      </c>
      <c r="E147" s="33" t="s">
        <v>340</v>
      </c>
      <c r="F147" s="33">
        <f>IF(E147="AM",1,(IF(E147="BE",2,(IF(E147="GV",3,(IF(E147="RA",4,(IF(E147="RM",5,(IF(E147="AC",1,(IF(E147="AT",2,(IF(E147="DS",3,(IF(E147="IP",4,(IF(E147="MA",5,(IF(E147="PT",6,(IF(E147="AE",1,(IF(E147="CM",2,(IF(E147="DP",3,(IF(E147="AN",1,(IF(E147="CO",2,(IF(E147="IM",3,(IF(E147="MI",4,(IF(E147="RP",5,(IF(E147="SC",6,0)))))))))))))))))))))))))))))))))))))))</f>
        <v>2</v>
      </c>
      <c r="G147" s="170">
        <v>5</v>
      </c>
      <c r="H147" s="38" t="s">
        <v>511</v>
      </c>
      <c r="I147" s="105" t="s">
        <v>1449</v>
      </c>
      <c r="J147" s="157" t="s">
        <v>2823</v>
      </c>
      <c r="K147" s="34" t="s">
        <v>2824</v>
      </c>
      <c r="L147" s="5">
        <f>IF(O147="","",N147*O147*M147)</f>
        <v>99</v>
      </c>
      <c r="M147" s="8">
        <v>1</v>
      </c>
      <c r="N147" s="1">
        <v>1</v>
      </c>
      <c r="O147" s="15">
        <f>IF(SUM(Q147:AF147)&lt;1,"",SUM(Q147:AF147)/COUNTIF(Q147:AF147,"&gt;0"))</f>
        <v>99</v>
      </c>
      <c r="P147" s="16"/>
      <c r="Q147" s="13"/>
      <c r="R147" s="4"/>
      <c r="S147" s="4"/>
      <c r="T147" s="4">
        <v>99</v>
      </c>
      <c r="Y147" s="4"/>
      <c r="AB147" s="4"/>
      <c r="AC147" s="4"/>
      <c r="AD147" s="4"/>
      <c r="AE147" s="4"/>
      <c r="AF147" s="14"/>
    </row>
    <row r="148" spans="1:32" s="2" customFormat="1" ht="15.75" customHeight="1" x14ac:dyDescent="0.25">
      <c r="A148" s="33" t="str">
        <f>CONCATENATE(D148,".",F148,"-",G148,".",H148,"")</f>
        <v>1.2-5.9</v>
      </c>
      <c r="B148" s="33"/>
      <c r="C148" s="39" t="s">
        <v>335</v>
      </c>
      <c r="D148" s="33">
        <f>IF(C148="ID",1,(IF(C148="PR",2,(IF(C148="DE",3,(IF(C148="RS",4,(IF(C148="RC",5,0)))))))))</f>
        <v>1</v>
      </c>
      <c r="E148" s="33" t="s">
        <v>340</v>
      </c>
      <c r="F148" s="33">
        <f>IF(E148="AM",1,(IF(E148="BE",2,(IF(E148="GV",3,(IF(E148="RA",4,(IF(E148="RM",5,(IF(E148="AC",1,(IF(E148="AT",2,(IF(E148="DS",3,(IF(E148="IP",4,(IF(E148="MA",5,(IF(E148="PT",6,(IF(E148="AE",1,(IF(E148="CM",2,(IF(E148="DP",3,(IF(E148="AN",1,(IF(E148="CO",2,(IF(E148="IM",3,(IF(E148="MI",4,(IF(E148="RP",5,(IF(E148="SC",6,0)))))))))))))))))))))))))))))))))))))))</f>
        <v>2</v>
      </c>
      <c r="G148" s="170">
        <v>5</v>
      </c>
      <c r="H148" s="38" t="s">
        <v>596</v>
      </c>
      <c r="I148" s="105" t="s">
        <v>1449</v>
      </c>
      <c r="J148" s="157" t="s">
        <v>2807</v>
      </c>
      <c r="K148" s="34" t="s">
        <v>2808</v>
      </c>
      <c r="L148" s="5">
        <f>IF(O148="","",N148*O148*M148)</f>
        <v>99</v>
      </c>
      <c r="M148" s="8">
        <v>1</v>
      </c>
      <c r="N148" s="1">
        <v>1</v>
      </c>
      <c r="O148" s="15">
        <f>IF(SUM(Q148:AF148)&lt;1,"",SUM(Q148:AF148)/COUNTIF(Q148:AF148,"&gt;0"))</f>
        <v>99</v>
      </c>
      <c r="P148" s="16"/>
      <c r="Q148" s="13"/>
      <c r="R148" s="4"/>
      <c r="S148" s="4"/>
      <c r="T148" s="4">
        <v>99</v>
      </c>
      <c r="Y148" s="4"/>
      <c r="AB148" s="4"/>
      <c r="AC148" s="4"/>
      <c r="AD148" s="4"/>
      <c r="AE148" s="4"/>
      <c r="AF148" s="14"/>
    </row>
    <row r="149" spans="1:32" s="2" customFormat="1" ht="15.75" customHeight="1" x14ac:dyDescent="0.25">
      <c r="A149" s="33" t="str">
        <f>CONCATENATE(D149,".",F149,"-",G149,".",H149,"")</f>
        <v>1.3-0.0</v>
      </c>
      <c r="B149" s="33" t="s">
        <v>1229</v>
      </c>
      <c r="C149" s="40" t="s">
        <v>335</v>
      </c>
      <c r="D149" s="33">
        <f>IF(C149="ID",1,(IF(C149="PR",2,(IF(C149="DE",3,(IF(C149="RS",4,(IF(C149="RC",5,0)))))))))</f>
        <v>1</v>
      </c>
      <c r="E149" s="33" t="s">
        <v>341</v>
      </c>
      <c r="F149" s="33">
        <f>IF(E149="AM",1,(IF(E149="BE",2,(IF(E149="GV",3,(IF(E149="RA",4,(IF(E149="RM",5,(IF(E149="AC",1,(IF(E149="AT",2,(IF(E149="DS",3,(IF(E149="IP",4,(IF(E149="MA",5,(IF(E149="PT",6,(IF(E149="AE",1,(IF(E149="CM",2,(IF(E149="DP",3,(IF(E149="AN",1,(IF(E149="CO",2,(IF(E149="IM",3,(IF(E149="MI",4,(IF(E149="RP",5,(IF(E149="SC",6,0)))))))))))))))))))))))))))))))))))))))</f>
        <v>3</v>
      </c>
      <c r="G149" s="170">
        <v>0</v>
      </c>
      <c r="H149" s="38" t="s">
        <v>597</v>
      </c>
      <c r="I149" s="27" t="s">
        <v>1200</v>
      </c>
      <c r="J149" s="164" t="s">
        <v>651</v>
      </c>
      <c r="K149" s="97" t="s">
        <v>729</v>
      </c>
      <c r="L149" s="66" t="str">
        <f>IF(O149="","",N149*O149*M149)</f>
        <v/>
      </c>
      <c r="M149" s="8">
        <v>1</v>
      </c>
      <c r="N149" s="1">
        <v>1</v>
      </c>
      <c r="O149" s="15" t="str">
        <f>IF(SUM(Q149:AF149)&lt;1,"",SUM(Q149:AF149)/COUNTIF(Q149:AF149,"&gt;0"))</f>
        <v/>
      </c>
      <c r="P149" s="16"/>
      <c r="Q149" s="13"/>
      <c r="R149" s="4"/>
      <c r="S149" s="4"/>
      <c r="Y149" s="4"/>
      <c r="AB149" s="4"/>
      <c r="AC149" s="4"/>
      <c r="AD149" s="4"/>
      <c r="AE149" s="4"/>
      <c r="AF149" s="14"/>
    </row>
    <row r="150" spans="1:32" s="2" customFormat="1" ht="15.75" customHeight="1" x14ac:dyDescent="0.25">
      <c r="A150" s="33" t="str">
        <f>CONCATENATE(D150,".",F150,"-",G150,".",H150,"")</f>
        <v>1.3-0.1</v>
      </c>
      <c r="B150" s="33" t="s">
        <v>1229</v>
      </c>
      <c r="C150" s="40" t="s">
        <v>335</v>
      </c>
      <c r="D150" s="33">
        <f>IF(C150="ID",1,(IF(C150="PR",2,(IF(C150="DE",3,(IF(C150="RS",4,(IF(C150="RC",5,0)))))))))</f>
        <v>1</v>
      </c>
      <c r="E150" s="33" t="s">
        <v>341</v>
      </c>
      <c r="F150" s="33">
        <f>IF(E150="AM",1,(IF(E150="BE",2,(IF(E150="GV",3,(IF(E150="RA",4,(IF(E150="RM",5,(IF(E150="AC",1,(IF(E150="AT",2,(IF(E150="DS",3,(IF(E150="IP",4,(IF(E150="MA",5,(IF(E150="PT",6,(IF(E150="AE",1,(IF(E150="CM",2,(IF(E150="DP",3,(IF(E150="AN",1,(IF(E150="CO",2,(IF(E150="IM",3,(IF(E150="MI",4,(IF(E150="RP",5,(IF(E150="SC",6,0)))))))))))))))))))))))))))))))))))))))</f>
        <v>3</v>
      </c>
      <c r="G150" s="170">
        <v>0</v>
      </c>
      <c r="H150" s="38" t="s">
        <v>511</v>
      </c>
      <c r="I150" s="27" t="s">
        <v>1200</v>
      </c>
      <c r="J150" s="164" t="s">
        <v>651</v>
      </c>
      <c r="K150" s="97" t="s">
        <v>728</v>
      </c>
      <c r="L150" s="66" t="str">
        <f>IF(O150="","",N150*O150*M150)</f>
        <v/>
      </c>
      <c r="M150" s="8">
        <v>1</v>
      </c>
      <c r="N150" s="1">
        <v>1</v>
      </c>
      <c r="O150" s="15" t="str">
        <f>IF(SUM(Q150:AF150)&lt;1,"",SUM(Q150:AF150)/COUNTIF(Q150:AF150,"&gt;0"))</f>
        <v/>
      </c>
      <c r="P150" s="16"/>
      <c r="Q150" s="13"/>
      <c r="R150" s="4"/>
      <c r="S150" s="4"/>
      <c r="Y150" s="4"/>
      <c r="AB150" s="4"/>
      <c r="AC150" s="4"/>
      <c r="AD150" s="4"/>
      <c r="AE150" s="4"/>
      <c r="AF150" s="14"/>
    </row>
    <row r="151" spans="1:32" s="2" customFormat="1" ht="15.75" customHeight="1" x14ac:dyDescent="0.25">
      <c r="A151" s="33" t="str">
        <f>CONCATENATE(D151,".",F151,"-",G151,".",H151,"")</f>
        <v>1.3-1.0</v>
      </c>
      <c r="B151" s="33" t="s">
        <v>814</v>
      </c>
      <c r="C151" s="40" t="s">
        <v>335</v>
      </c>
      <c r="D151" s="33">
        <f>IF(C151="ID",1,(IF(C151="PR",2,(IF(C151="DE",3,(IF(C151="RS",4,(IF(C151="RC",5,0)))))))))</f>
        <v>1</v>
      </c>
      <c r="E151" s="33" t="s">
        <v>341</v>
      </c>
      <c r="F151" s="33">
        <f>IF(E151="AM",1,(IF(E151="BE",2,(IF(E151="GV",3,(IF(E151="RA",4,(IF(E151="RM",5,(IF(E151="AC",1,(IF(E151="AT",2,(IF(E151="DS",3,(IF(E151="IP",4,(IF(E151="MA",5,(IF(E151="PT",6,(IF(E151="AE",1,(IF(E151="CM",2,(IF(E151="DP",3,(IF(E151="AN",1,(IF(E151="CO",2,(IF(E151="IM",3,(IF(E151="MI",4,(IF(E151="RP",5,(IF(E151="SC",6,0)))))))))))))))))))))))))))))))))))))))</f>
        <v>3</v>
      </c>
      <c r="G151" s="170">
        <v>1</v>
      </c>
      <c r="H151" s="38" t="s">
        <v>597</v>
      </c>
      <c r="I151" s="27" t="s">
        <v>1200</v>
      </c>
      <c r="J151" s="149" t="s">
        <v>648</v>
      </c>
      <c r="K151" s="97" t="s">
        <v>361</v>
      </c>
      <c r="L151" s="66">
        <f>IF(O151="","",N151*O151*M151)</f>
        <v>75</v>
      </c>
      <c r="M151" s="8">
        <v>1</v>
      </c>
      <c r="N151" s="1">
        <v>1</v>
      </c>
      <c r="O151" s="15">
        <f>IF(SUM(Q151:AF151)&lt;1,"",SUM(Q151:AF151)/COUNTIF(Q151:AF151,"&gt;0"))</f>
        <v>75</v>
      </c>
      <c r="P151" s="16"/>
      <c r="Q151" s="13"/>
      <c r="R151" s="4"/>
      <c r="S151" s="4"/>
      <c r="T151" s="4">
        <v>75</v>
      </c>
      <c r="Y151" s="4"/>
      <c r="AB151" s="4"/>
      <c r="AC151" s="4"/>
      <c r="AD151" s="4"/>
      <c r="AE151" s="4"/>
      <c r="AF151" s="14"/>
    </row>
    <row r="152" spans="1:32" s="2" customFormat="1" ht="15.75" customHeight="1" x14ac:dyDescent="0.25">
      <c r="A152" s="33" t="str">
        <f>CONCATENATE(D152,".",F152,"-",G152,".",H152,"")</f>
        <v>1.3-1.1</v>
      </c>
      <c r="B152" s="33" t="s">
        <v>814</v>
      </c>
      <c r="C152" s="39" t="s">
        <v>335</v>
      </c>
      <c r="D152" s="33">
        <f>IF(C152="ID",1,(IF(C152="PR",2,(IF(C152="DE",3,(IF(C152="RS",4,(IF(C152="RC",5,0)))))))))</f>
        <v>1</v>
      </c>
      <c r="E152" s="33" t="s">
        <v>341</v>
      </c>
      <c r="F152" s="33">
        <f>IF(E152="AM",1,(IF(E152="BE",2,(IF(E152="GV",3,(IF(E152="RA",4,(IF(E152="RM",5,(IF(E152="AC",1,(IF(E152="AT",2,(IF(E152="DS",3,(IF(E152="IP",4,(IF(E152="MA",5,(IF(E152="PT",6,(IF(E152="AE",1,(IF(E152="CM",2,(IF(E152="DP",3,(IF(E152="AN",1,(IF(E152="CO",2,(IF(E152="IM",3,(IF(E152="MI",4,(IF(E152="RP",5,(IF(E152="SC",6,0)))))))))))))))))))))))))))))))))))))))</f>
        <v>3</v>
      </c>
      <c r="G152" s="170">
        <v>1</v>
      </c>
      <c r="H152" s="38" t="s">
        <v>511</v>
      </c>
      <c r="I152" s="105" t="s">
        <v>821</v>
      </c>
      <c r="J152" s="150">
        <v>12</v>
      </c>
      <c r="K152" s="79" t="s">
        <v>1283</v>
      </c>
      <c r="L152" s="66">
        <f>IF(O152="","",N152*O152*M152)</f>
        <v>75</v>
      </c>
      <c r="M152" s="8">
        <v>1</v>
      </c>
      <c r="N152" s="3">
        <v>1</v>
      </c>
      <c r="O152" s="15">
        <f>IF(SUM(Q152:AF152)&lt;1,"",SUM(Q152:AF152)/COUNTIF(Q152:AF152,"&gt;0"))</f>
        <v>75</v>
      </c>
      <c r="P152" s="16"/>
      <c r="Q152" s="13"/>
      <c r="R152" s="4"/>
      <c r="S152" s="4"/>
      <c r="T152" s="4">
        <v>75</v>
      </c>
      <c r="Y152" s="4"/>
      <c r="AB152" s="4"/>
      <c r="AC152" s="4"/>
      <c r="AD152" s="4"/>
      <c r="AE152" s="4"/>
      <c r="AF152" s="14"/>
    </row>
    <row r="153" spans="1:32" s="2" customFormat="1" ht="15.75" customHeight="1" x14ac:dyDescent="0.25">
      <c r="A153" s="33" t="str">
        <f>CONCATENATE(D153,".",F153,"-",G153,".",H153,"")</f>
        <v>1.3-1.1</v>
      </c>
      <c r="B153" s="33" t="s">
        <v>814</v>
      </c>
      <c r="C153" s="40" t="s">
        <v>335</v>
      </c>
      <c r="D153" s="33">
        <f>IF(C153="ID",1,(IF(C153="PR",2,(IF(C153="DE",3,(IF(C153="RS",4,(IF(C153="RC",5,0)))))))))</f>
        <v>1</v>
      </c>
      <c r="E153" s="33" t="s">
        <v>341</v>
      </c>
      <c r="F153" s="33">
        <f>IF(E153="AM",1,(IF(E153="BE",2,(IF(E153="GV",3,(IF(E153="RA",4,(IF(E153="RM",5,(IF(E153="AC",1,(IF(E153="AT",2,(IF(E153="DS",3,(IF(E153="IP",4,(IF(E153="MA",5,(IF(E153="PT",6,(IF(E153="AE",1,(IF(E153="CM",2,(IF(E153="DP",3,(IF(E153="AN",1,(IF(E153="CO",2,(IF(E153="IM",3,(IF(E153="MI",4,(IF(E153="RP",5,(IF(E153="SC",6,0)))))))))))))))))))))))))))))))))))))))</f>
        <v>3</v>
      </c>
      <c r="G153" s="171">
        <v>1</v>
      </c>
      <c r="H153" s="38" t="s">
        <v>511</v>
      </c>
      <c r="I153" s="105" t="s">
        <v>821</v>
      </c>
      <c r="J153" s="150">
        <v>12.1</v>
      </c>
      <c r="K153" s="79" t="s">
        <v>1283</v>
      </c>
      <c r="L153" s="66">
        <f>IF(O153="","",N153*O153*M153)</f>
        <v>75</v>
      </c>
      <c r="M153" s="8">
        <v>1</v>
      </c>
      <c r="N153" s="3">
        <v>1</v>
      </c>
      <c r="O153" s="15">
        <f>IF(SUM(Q153:AF153)&lt;1,"",SUM(Q153:AF153)/COUNTIF(Q153:AF153,"&gt;0"))</f>
        <v>75</v>
      </c>
      <c r="P153" s="16"/>
      <c r="Q153" s="13"/>
      <c r="R153" s="4"/>
      <c r="S153" s="4"/>
      <c r="T153" s="4">
        <v>75</v>
      </c>
      <c r="Y153" s="4"/>
      <c r="AB153" s="4"/>
      <c r="AC153" s="4"/>
      <c r="AD153" s="4"/>
      <c r="AE153" s="4"/>
      <c r="AF153" s="14"/>
    </row>
    <row r="154" spans="1:32" s="2" customFormat="1" ht="15.75" customHeight="1" x14ac:dyDescent="0.25">
      <c r="A154" s="33" t="str">
        <f>CONCATENATE(D154,".",F154,"-",G154,".",H154,"")</f>
        <v>1.3-1.1</v>
      </c>
      <c r="B154" s="33" t="s">
        <v>814</v>
      </c>
      <c r="C154" s="39" t="s">
        <v>335</v>
      </c>
      <c r="D154" s="33">
        <f>IF(C154="ID",1,(IF(C154="PR",2,(IF(C154="DE",3,(IF(C154="RS",4,(IF(C154="RC",5,0)))))))))</f>
        <v>1</v>
      </c>
      <c r="E154" s="33" t="s">
        <v>341</v>
      </c>
      <c r="F154" s="33">
        <f>IF(E154="AM",1,(IF(E154="BE",2,(IF(E154="GV",3,(IF(E154="RA",4,(IF(E154="RM",5,(IF(E154="AC",1,(IF(E154="AT",2,(IF(E154="DS",3,(IF(E154="IP",4,(IF(E154="MA",5,(IF(E154="PT",6,(IF(E154="AE",1,(IF(E154="CM",2,(IF(E154="DP",3,(IF(E154="AN",1,(IF(E154="CO",2,(IF(E154="IM",3,(IF(E154="MI",4,(IF(E154="RP",5,(IF(E154="SC",6,0)))))))))))))))))))))))))))))))))))))))</f>
        <v>3</v>
      </c>
      <c r="G154" s="170">
        <v>1</v>
      </c>
      <c r="H154" s="38" t="s">
        <v>511</v>
      </c>
      <c r="I154" s="105" t="s">
        <v>821</v>
      </c>
      <c r="J154" s="150">
        <v>12.4</v>
      </c>
      <c r="K154" s="79" t="s">
        <v>1283</v>
      </c>
      <c r="L154" s="66">
        <f>IF(O154="","",N154*O154*M154)</f>
        <v>75</v>
      </c>
      <c r="M154" s="8">
        <v>1</v>
      </c>
      <c r="N154" s="3">
        <v>1</v>
      </c>
      <c r="O154" s="15">
        <f>IF(SUM(Q154:AF154)&lt;1,"",SUM(Q154:AF154)/COUNTIF(Q154:AF154,"&gt;0"))</f>
        <v>75</v>
      </c>
      <c r="P154" s="16"/>
      <c r="Q154" s="13"/>
      <c r="R154" s="4"/>
      <c r="S154" s="4"/>
      <c r="T154" s="4">
        <v>75</v>
      </c>
      <c r="Y154" s="4"/>
      <c r="AB154" s="4"/>
      <c r="AC154" s="4"/>
      <c r="AD154" s="4"/>
      <c r="AE154" s="4"/>
      <c r="AF154" s="14"/>
    </row>
    <row r="155" spans="1:32" s="2" customFormat="1" ht="15.75" customHeight="1" x14ac:dyDescent="0.25">
      <c r="A155" s="33" t="str">
        <f>CONCATENATE(D155,".",F155,"-",G155,".",H155,"")</f>
        <v>1.3-1.1</v>
      </c>
      <c r="B155" s="33" t="s">
        <v>814</v>
      </c>
      <c r="C155" s="40" t="s">
        <v>335</v>
      </c>
      <c r="D155" s="33">
        <f>IF(C155="ID",1,(IF(C155="PR",2,(IF(C155="DE",3,(IF(C155="RS",4,(IF(C155="RC",5,0)))))))))</f>
        <v>1</v>
      </c>
      <c r="E155" s="33" t="s">
        <v>341</v>
      </c>
      <c r="F155" s="33">
        <f>IF(E155="AM",1,(IF(E155="BE",2,(IF(E155="GV",3,(IF(E155="RA",4,(IF(E155="RM",5,(IF(E155="AC",1,(IF(E155="AT",2,(IF(E155="DS",3,(IF(E155="IP",4,(IF(E155="MA",5,(IF(E155="PT",6,(IF(E155="AE",1,(IF(E155="CM",2,(IF(E155="DP",3,(IF(E155="AN",1,(IF(E155="CO",2,(IF(E155="IM",3,(IF(E155="MI",4,(IF(E155="RP",5,(IF(E155="SC",6,0)))))))))))))))))))))))))))))))))))))))</f>
        <v>3</v>
      </c>
      <c r="G155" s="171">
        <v>1</v>
      </c>
      <c r="H155" s="38" t="s">
        <v>511</v>
      </c>
      <c r="I155" s="27" t="s">
        <v>936</v>
      </c>
      <c r="J155" s="163">
        <v>164.30799999999999</v>
      </c>
      <c r="K155" s="34" t="s">
        <v>967</v>
      </c>
      <c r="L155" s="66">
        <f>IF(O155="","",N155*O155*M155)</f>
        <v>75</v>
      </c>
      <c r="M155" s="8">
        <v>1</v>
      </c>
      <c r="N155" s="3">
        <v>1</v>
      </c>
      <c r="O155" s="15">
        <f>IF(SUM(Q155:AF155)&lt;1,"",SUM(Q155:AF155)/COUNTIF(Q155:AF155,"&gt;0"))</f>
        <v>75</v>
      </c>
      <c r="P155" s="16"/>
      <c r="Q155" s="13"/>
      <c r="R155" s="4"/>
      <c r="S155" s="4"/>
      <c r="T155" s="4">
        <v>75</v>
      </c>
      <c r="Y155" s="4"/>
      <c r="AB155" s="4"/>
      <c r="AC155" s="4"/>
      <c r="AD155" s="4"/>
      <c r="AE155" s="4"/>
      <c r="AF155" s="14"/>
    </row>
    <row r="156" spans="1:32" s="2" customFormat="1" ht="15.75" customHeight="1" x14ac:dyDescent="0.25">
      <c r="A156" s="33" t="str">
        <f>CONCATENATE(D156,".",F156,"-",G156,".",H156,"")</f>
        <v>1.3-1.1</v>
      </c>
      <c r="B156" s="33" t="s">
        <v>814</v>
      </c>
      <c r="C156" s="40" t="s">
        <v>335</v>
      </c>
      <c r="D156" s="33">
        <f>IF(C156="ID",1,(IF(C156="PR",2,(IF(C156="DE",3,(IF(C156="RS",4,(IF(C156="RC",5,0)))))))))</f>
        <v>1</v>
      </c>
      <c r="E156" s="33" t="s">
        <v>341</v>
      </c>
      <c r="F156" s="33">
        <f>IF(E156="AM",1,(IF(E156="BE",2,(IF(E156="GV",3,(IF(E156="RA",4,(IF(E156="RM",5,(IF(E156="AC",1,(IF(E156="AT",2,(IF(E156="DS",3,(IF(E156="IP",4,(IF(E156="MA",5,(IF(E156="PT",6,(IF(E156="AE",1,(IF(E156="CM",2,(IF(E156="DP",3,(IF(E156="AN",1,(IF(E156="CO",2,(IF(E156="IM",3,(IF(E156="MI",4,(IF(E156="RP",5,(IF(E156="SC",6,0)))))))))))))))))))))))))))))))))))))))</f>
        <v>3</v>
      </c>
      <c r="G156" s="171">
        <v>1</v>
      </c>
      <c r="H156" s="38" t="s">
        <v>511</v>
      </c>
      <c r="I156" s="27" t="s">
        <v>936</v>
      </c>
      <c r="J156" s="163">
        <v>164.316</v>
      </c>
      <c r="K156" s="34" t="s">
        <v>963</v>
      </c>
      <c r="L156" s="66">
        <f>IF(O156="","",N156*O156*M156)</f>
        <v>75</v>
      </c>
      <c r="M156" s="8">
        <v>1</v>
      </c>
      <c r="N156" s="3">
        <v>1</v>
      </c>
      <c r="O156" s="15">
        <f>IF(SUM(Q156:AF156)&lt;1,"",SUM(Q156:AF156)/COUNTIF(Q156:AF156,"&gt;0"))</f>
        <v>75</v>
      </c>
      <c r="P156" s="16"/>
      <c r="Q156" s="13"/>
      <c r="R156" s="4"/>
      <c r="S156" s="4"/>
      <c r="T156" s="4">
        <v>75</v>
      </c>
      <c r="Y156" s="4"/>
      <c r="AB156" s="4"/>
      <c r="AC156" s="4"/>
      <c r="AD156" s="4"/>
      <c r="AE156" s="4"/>
      <c r="AF156" s="14"/>
    </row>
    <row r="157" spans="1:32" s="2" customFormat="1" ht="15.75" customHeight="1" x14ac:dyDescent="0.25">
      <c r="A157" s="33" t="str">
        <f>CONCATENATE(D157,".",F157,"-",G157,".",H157,"")</f>
        <v>1.3-1.1</v>
      </c>
      <c r="B157" s="33" t="s">
        <v>814</v>
      </c>
      <c r="C157" s="39" t="s">
        <v>335</v>
      </c>
      <c r="D157" s="33">
        <f>IF(C157="ID",1,(IF(C157="PR",2,(IF(C157="DE",3,(IF(C157="RS",4,(IF(C157="RC",5,0)))))))))</f>
        <v>1</v>
      </c>
      <c r="E157" s="33" t="s">
        <v>341</v>
      </c>
      <c r="F157" s="33">
        <f>IF(E157="AM",1,(IF(E157="BE",2,(IF(E157="GV",3,(IF(E157="RA",4,(IF(E157="RM",5,(IF(E157="AC",1,(IF(E157="AT",2,(IF(E157="DS",3,(IF(E157="IP",4,(IF(E157="MA",5,(IF(E157="PT",6,(IF(E157="AE",1,(IF(E157="CM",2,(IF(E157="DP",3,(IF(E157="AN",1,(IF(E157="CO",2,(IF(E157="IM",3,(IF(E157="MI",4,(IF(E157="RP",5,(IF(E157="SC",6,0)))))))))))))))))))))))))))))))))))))))</f>
        <v>3</v>
      </c>
      <c r="G157" s="170">
        <v>1</v>
      </c>
      <c r="H157" s="38" t="s">
        <v>511</v>
      </c>
      <c r="I157" s="105" t="s">
        <v>821</v>
      </c>
      <c r="J157" s="150" t="s">
        <v>237</v>
      </c>
      <c r="K157" s="79" t="s">
        <v>1283</v>
      </c>
      <c r="L157" s="66">
        <f>IF(O157="","",N157*O157*M157)</f>
        <v>75</v>
      </c>
      <c r="M157" s="8">
        <v>1</v>
      </c>
      <c r="N157" s="3">
        <v>1</v>
      </c>
      <c r="O157" s="15">
        <f>IF(SUM(Q157:AF157)&lt;1,"",SUM(Q157:AF157)/COUNTIF(Q157:AF157,"&gt;0"))</f>
        <v>75</v>
      </c>
      <c r="P157" s="16"/>
      <c r="Q157" s="13"/>
      <c r="R157" s="4"/>
      <c r="S157" s="4"/>
      <c r="T157" s="4">
        <v>75</v>
      </c>
      <c r="Y157" s="4"/>
      <c r="AB157" s="4"/>
      <c r="AC157" s="4"/>
      <c r="AD157" s="4"/>
      <c r="AE157" s="4"/>
      <c r="AF157" s="14"/>
    </row>
    <row r="158" spans="1:32" s="2" customFormat="1" ht="15.75" customHeight="1" x14ac:dyDescent="0.25">
      <c r="A158" s="33" t="str">
        <f>CONCATENATE(D158,".",F158,"-",G158,".",H158,"")</f>
        <v>1.3-1.1</v>
      </c>
      <c r="B158" s="33" t="s">
        <v>814</v>
      </c>
      <c r="C158" s="40" t="s">
        <v>335</v>
      </c>
      <c r="D158" s="33">
        <f>IF(C158="ID",1,(IF(C158="PR",2,(IF(C158="DE",3,(IF(C158="RS",4,(IF(C158="RC",5,0)))))))))</f>
        <v>1</v>
      </c>
      <c r="E158" s="33" t="s">
        <v>341</v>
      </c>
      <c r="F158" s="33">
        <f>IF(E158="AM",1,(IF(E158="BE",2,(IF(E158="GV",3,(IF(E158="RA",4,(IF(E158="RM",5,(IF(E158="AC",1,(IF(E158="AT",2,(IF(E158="DS",3,(IF(E158="IP",4,(IF(E158="MA",5,(IF(E158="PT",6,(IF(E158="AE",1,(IF(E158="CM",2,(IF(E158="DP",3,(IF(E158="AN",1,(IF(E158="CO",2,(IF(E158="IM",3,(IF(E158="MI",4,(IF(E158="RP",5,(IF(E158="SC",6,0)))))))))))))))))))))))))))))))))))))))</f>
        <v>3</v>
      </c>
      <c r="G158" s="171">
        <v>1</v>
      </c>
      <c r="H158" s="38" t="s">
        <v>511</v>
      </c>
      <c r="I158" s="27" t="s">
        <v>936</v>
      </c>
      <c r="J158" s="163" t="s">
        <v>900</v>
      </c>
      <c r="K158" s="2" t="s">
        <v>983</v>
      </c>
      <c r="L158" s="66">
        <f>IF(O158="","",N158*O158*M158)</f>
        <v>75</v>
      </c>
      <c r="M158" s="8">
        <v>1</v>
      </c>
      <c r="N158" s="3">
        <v>1</v>
      </c>
      <c r="O158" s="15">
        <f>IF(SUM(Q158:AF158)&lt;1,"",SUM(Q158:AF158)/COUNTIF(Q158:AF158,"&gt;0"))</f>
        <v>75</v>
      </c>
      <c r="P158" s="16"/>
      <c r="Q158" s="13"/>
      <c r="R158" s="4"/>
      <c r="S158" s="4"/>
      <c r="T158" s="4">
        <v>75</v>
      </c>
      <c r="Y158" s="4"/>
      <c r="AB158" s="4"/>
      <c r="AC158" s="4"/>
      <c r="AD158" s="4"/>
      <c r="AE158" s="4"/>
      <c r="AF158" s="14"/>
    </row>
    <row r="159" spans="1:32" s="2" customFormat="1" ht="15.75" customHeight="1" x14ac:dyDescent="0.25">
      <c r="A159" s="33" t="str">
        <f>CONCATENATE(D159,".",F159,"-",G159,".",H159,"")</f>
        <v>1.3-1.1</v>
      </c>
      <c r="B159" s="33" t="s">
        <v>814</v>
      </c>
      <c r="C159" s="40" t="s">
        <v>335</v>
      </c>
      <c r="D159" s="33">
        <f>IF(C159="ID",1,(IF(C159="PR",2,(IF(C159="DE",3,(IF(C159="RS",4,(IF(C159="RC",5,0)))))))))</f>
        <v>1</v>
      </c>
      <c r="E159" s="33" t="s">
        <v>341</v>
      </c>
      <c r="F159" s="33">
        <f>IF(E159="AM",1,(IF(E159="BE",2,(IF(E159="GV",3,(IF(E159="RA",4,(IF(E159="RM",5,(IF(E159="AC",1,(IF(E159="AT",2,(IF(E159="DS",3,(IF(E159="IP",4,(IF(E159="MA",5,(IF(E159="PT",6,(IF(E159="AE",1,(IF(E159="CM",2,(IF(E159="DP",3,(IF(E159="AN",1,(IF(E159="CO",2,(IF(E159="IM",3,(IF(E159="MI",4,(IF(E159="RP",5,(IF(E159="SC",6,0)))))))))))))))))))))))))))))))))))))))</f>
        <v>3</v>
      </c>
      <c r="G159" s="171">
        <v>1</v>
      </c>
      <c r="H159" s="38" t="s">
        <v>511</v>
      </c>
      <c r="I159" s="27" t="s">
        <v>936</v>
      </c>
      <c r="J159" s="163" t="s">
        <v>888</v>
      </c>
      <c r="K159" s="34" t="s">
        <v>949</v>
      </c>
      <c r="L159" s="66">
        <f>IF(O159="","",N159*O159*M159)</f>
        <v>75</v>
      </c>
      <c r="M159" s="8">
        <v>1</v>
      </c>
      <c r="N159" s="3">
        <v>1</v>
      </c>
      <c r="O159" s="15">
        <f>IF(SUM(Q159:AF159)&lt;1,"",SUM(Q159:AF159)/COUNTIF(Q159:AF159,"&gt;0"))</f>
        <v>75</v>
      </c>
      <c r="P159" s="16"/>
      <c r="Q159" s="13"/>
      <c r="R159" s="4"/>
      <c r="S159" s="4"/>
      <c r="T159" s="4">
        <v>75</v>
      </c>
      <c r="Y159" s="4"/>
      <c r="AB159" s="4"/>
      <c r="AC159" s="4"/>
      <c r="AD159" s="4"/>
      <c r="AE159" s="4"/>
      <c r="AF159" s="14"/>
    </row>
    <row r="160" spans="1:32" s="2" customFormat="1" ht="15.75" customHeight="1" x14ac:dyDescent="0.25">
      <c r="A160" s="33" t="str">
        <f>CONCATENATE(D160,".",F160,"-",G160,".",H160,"")</f>
        <v>1.3-1.1</v>
      </c>
      <c r="B160" s="33" t="s">
        <v>814</v>
      </c>
      <c r="C160" s="40" t="s">
        <v>335</v>
      </c>
      <c r="D160" s="33">
        <f>IF(C160="ID",1,(IF(C160="PR",2,(IF(C160="DE",3,(IF(C160="RS",4,(IF(C160="RC",5,0)))))))))</f>
        <v>1</v>
      </c>
      <c r="E160" s="33" t="s">
        <v>341</v>
      </c>
      <c r="F160" s="33">
        <f>IF(E160="AM",1,(IF(E160="BE",2,(IF(E160="GV",3,(IF(E160="RA",4,(IF(E160="RM",5,(IF(E160="AC",1,(IF(E160="AT",2,(IF(E160="DS",3,(IF(E160="IP",4,(IF(E160="MA",5,(IF(E160="PT",6,(IF(E160="AE",1,(IF(E160="CM",2,(IF(E160="DP",3,(IF(E160="AN",1,(IF(E160="CO",2,(IF(E160="IM",3,(IF(E160="MI",4,(IF(E160="RP",5,(IF(E160="SC",6,0)))))))))))))))))))))))))))))))))))))))</f>
        <v>3</v>
      </c>
      <c r="G160" s="171">
        <v>1</v>
      </c>
      <c r="H160" s="38" t="s">
        <v>511</v>
      </c>
      <c r="I160" s="27" t="s">
        <v>936</v>
      </c>
      <c r="J160" s="163" t="s">
        <v>894</v>
      </c>
      <c r="K160" s="34" t="s">
        <v>1021</v>
      </c>
      <c r="L160" s="66">
        <f>IF(O160="","",N160*O160*M160)</f>
        <v>75</v>
      </c>
      <c r="M160" s="8">
        <v>1</v>
      </c>
      <c r="N160" s="3">
        <v>1</v>
      </c>
      <c r="O160" s="15">
        <f>IF(SUM(Q160:AF160)&lt;1,"",SUM(Q160:AF160)/COUNTIF(Q160:AF160,"&gt;0"))</f>
        <v>75</v>
      </c>
      <c r="P160" s="16"/>
      <c r="Q160" s="13"/>
      <c r="R160" s="4"/>
      <c r="S160" s="4"/>
      <c r="T160" s="4">
        <v>75</v>
      </c>
      <c r="Y160" s="4"/>
      <c r="AB160" s="4"/>
      <c r="AC160" s="4"/>
      <c r="AD160" s="4"/>
      <c r="AE160" s="4"/>
      <c r="AF160" s="14"/>
    </row>
    <row r="161" spans="1:32" s="2" customFormat="1" ht="15.75" customHeight="1" x14ac:dyDescent="0.25">
      <c r="A161" s="33" t="str">
        <f>CONCATENATE(D161,".",F161,"-",G161,".",H161,"")</f>
        <v>1.3-1.1</v>
      </c>
      <c r="B161" s="33" t="s">
        <v>814</v>
      </c>
      <c r="C161" s="39" t="s">
        <v>335</v>
      </c>
      <c r="D161" s="33">
        <f>IF(C161="ID",1,(IF(C161="PR",2,(IF(C161="DE",3,(IF(C161="RS",4,(IF(C161="RC",5,0)))))))))</f>
        <v>1</v>
      </c>
      <c r="E161" s="33" t="s">
        <v>341</v>
      </c>
      <c r="F161" s="33">
        <f>IF(E161="AM",1,(IF(E161="BE",2,(IF(E161="GV",3,(IF(E161="RA",4,(IF(E161="RM",5,(IF(E161="AC",1,(IF(E161="AT",2,(IF(E161="DS",3,(IF(E161="IP",4,(IF(E161="MA",5,(IF(E161="PT",6,(IF(E161="AE",1,(IF(E161="CM",2,(IF(E161="DP",3,(IF(E161="AN",1,(IF(E161="CO",2,(IF(E161="IM",3,(IF(E161="MI",4,(IF(E161="RP",5,(IF(E161="SC",6,0)))))))))))))))))))))))))))))))))))))))</f>
        <v>3</v>
      </c>
      <c r="G161" s="170">
        <v>1</v>
      </c>
      <c r="H161" s="33">
        <v>1</v>
      </c>
      <c r="I161" s="27" t="s">
        <v>266</v>
      </c>
      <c r="J161" s="150" t="s">
        <v>5</v>
      </c>
      <c r="K161" s="79" t="s">
        <v>1393</v>
      </c>
      <c r="L161" s="5">
        <f>IF(O161="","",N161*O161*M161)</f>
        <v>75</v>
      </c>
      <c r="M161" s="8">
        <v>1</v>
      </c>
      <c r="N161" s="1">
        <v>1</v>
      </c>
      <c r="O161" s="15">
        <f>IF(SUM(Q161:AF161)&lt;1,"",SUM(Q161:AF161)/COUNTIF(Q161:AF161,"&gt;0"))</f>
        <v>75</v>
      </c>
      <c r="P161" s="16"/>
      <c r="Q161" s="13"/>
      <c r="R161" s="3"/>
      <c r="S161" s="3"/>
      <c r="T161" s="4">
        <v>75</v>
      </c>
      <c r="U161" s="3"/>
      <c r="V161" s="3"/>
      <c r="W161" s="3"/>
      <c r="X161" s="3"/>
      <c r="Y161" s="3"/>
      <c r="Z161" s="3"/>
      <c r="AA161" s="3"/>
      <c r="AB161" s="3"/>
      <c r="AC161" s="3"/>
      <c r="AD161" s="3"/>
      <c r="AE161" s="3"/>
      <c r="AF161" s="104"/>
    </row>
    <row r="162" spans="1:32" s="2" customFormat="1" ht="15.75" customHeight="1" x14ac:dyDescent="0.25">
      <c r="A162" s="33" t="str">
        <f>CONCATENATE(D162,".",F162,"-",G162,".",H162,"")</f>
        <v>1.3-1.1</v>
      </c>
      <c r="B162" s="33" t="s">
        <v>814</v>
      </c>
      <c r="C162" s="39" t="s">
        <v>335</v>
      </c>
      <c r="D162" s="33">
        <f>IF(C162="ID",1,(IF(C162="PR",2,(IF(C162="DE",3,(IF(C162="RS",4,(IF(C162="RC",5,0)))))))))</f>
        <v>1</v>
      </c>
      <c r="E162" s="33" t="s">
        <v>341</v>
      </c>
      <c r="F162" s="33">
        <f>IF(E162="AM",1,(IF(E162="BE",2,(IF(E162="GV",3,(IF(E162="RA",4,(IF(E162="RM",5,(IF(E162="AC",1,(IF(E162="AT",2,(IF(E162="DS",3,(IF(E162="IP",4,(IF(E162="MA",5,(IF(E162="PT",6,(IF(E162="AE",1,(IF(E162="CM",2,(IF(E162="DP",3,(IF(E162="AN",1,(IF(E162="CO",2,(IF(E162="IM",3,(IF(E162="MI",4,(IF(E162="RP",5,(IF(E162="SC",6,0)))))))))))))))))))))))))))))))))))))))</f>
        <v>3</v>
      </c>
      <c r="G162" s="170">
        <v>1</v>
      </c>
      <c r="H162" s="33">
        <v>1</v>
      </c>
      <c r="I162" s="27" t="s">
        <v>266</v>
      </c>
      <c r="J162" s="150" t="s">
        <v>79</v>
      </c>
      <c r="K162" s="79" t="s">
        <v>1394</v>
      </c>
      <c r="L162" s="5">
        <f>IF(O162="","",N162*O162*M162)</f>
        <v>75</v>
      </c>
      <c r="M162" s="8">
        <v>1</v>
      </c>
      <c r="N162" s="1">
        <v>1</v>
      </c>
      <c r="O162" s="15">
        <f>IF(SUM(Q162:AF162)&lt;1,"",SUM(Q162:AF162)/COUNTIF(Q162:AF162,"&gt;0"))</f>
        <v>75</v>
      </c>
      <c r="P162" s="16"/>
      <c r="Q162" s="13"/>
      <c r="R162" s="3"/>
      <c r="S162" s="3"/>
      <c r="T162" s="4">
        <v>75</v>
      </c>
      <c r="U162" s="3"/>
      <c r="V162" s="3"/>
      <c r="W162" s="3"/>
      <c r="X162" s="3"/>
      <c r="Y162" s="3"/>
      <c r="Z162" s="3"/>
      <c r="AA162" s="3"/>
      <c r="AB162" s="3"/>
      <c r="AC162" s="3"/>
      <c r="AD162" s="3"/>
      <c r="AE162" s="3"/>
      <c r="AF162" s="104"/>
    </row>
    <row r="163" spans="1:32" s="2" customFormat="1" ht="15.75" customHeight="1" x14ac:dyDescent="0.25">
      <c r="A163" s="33" t="str">
        <f>CONCATENATE(D163,".",F163,"-",G163,".",H163,"")</f>
        <v>1.3-1.1</v>
      </c>
      <c r="B163" s="33" t="s">
        <v>814</v>
      </c>
      <c r="C163" s="39" t="s">
        <v>335</v>
      </c>
      <c r="D163" s="33">
        <f>IF(C163="ID",1,(IF(C163="PR",2,(IF(C163="DE",3,(IF(C163="RS",4,(IF(C163="RC",5,0)))))))))</f>
        <v>1</v>
      </c>
      <c r="E163" s="33" t="s">
        <v>341</v>
      </c>
      <c r="F163" s="33">
        <f>IF(E163="AM",1,(IF(E163="BE",2,(IF(E163="GV",3,(IF(E163="RA",4,(IF(E163="RM",5,(IF(E163="AC",1,(IF(E163="AT",2,(IF(E163="DS",3,(IF(E163="IP",4,(IF(E163="MA",5,(IF(E163="PT",6,(IF(E163="AE",1,(IF(E163="CM",2,(IF(E163="DP",3,(IF(E163="AN",1,(IF(E163="CO",2,(IF(E163="IM",3,(IF(E163="MI",4,(IF(E163="RP",5,(IF(E163="SC",6,0)))))))))))))))))))))))))))))))))))))))</f>
        <v>3</v>
      </c>
      <c r="G163" s="170">
        <v>1</v>
      </c>
      <c r="H163" s="38" t="s">
        <v>511</v>
      </c>
      <c r="I163" s="105" t="s">
        <v>1449</v>
      </c>
      <c r="J163" s="157" t="s">
        <v>1450</v>
      </c>
      <c r="K163" s="34" t="s">
        <v>1451</v>
      </c>
      <c r="L163" s="5">
        <f>IF(O163="","",N163*O163*M163)</f>
        <v>99</v>
      </c>
      <c r="M163" s="8">
        <v>1</v>
      </c>
      <c r="N163" s="1">
        <v>1</v>
      </c>
      <c r="O163" s="15">
        <f>IF(SUM(Q163:AF163)&lt;1,"",SUM(Q163:AF163)/COUNTIF(Q163:AF163,"&gt;0"))</f>
        <v>99</v>
      </c>
      <c r="P163" s="16"/>
      <c r="Q163" s="13"/>
      <c r="R163" s="4"/>
      <c r="S163" s="4"/>
      <c r="T163" s="4">
        <v>99</v>
      </c>
      <c r="Y163" s="4"/>
      <c r="AB163" s="4"/>
      <c r="AC163" s="4"/>
      <c r="AD163" s="4"/>
      <c r="AE163" s="4"/>
      <c r="AF163" s="14"/>
    </row>
    <row r="164" spans="1:32" s="2" customFormat="1" ht="15.75" customHeight="1" x14ac:dyDescent="0.25">
      <c r="A164" s="33" t="str">
        <f>CONCATENATE(D164,".",F164,"-",G164,".",H164,"")</f>
        <v>1.3-1.1</v>
      </c>
      <c r="B164" s="33" t="s">
        <v>814</v>
      </c>
      <c r="C164" s="39" t="s">
        <v>335</v>
      </c>
      <c r="D164" s="33">
        <f>IF(C164="ID",1,(IF(C164="PR",2,(IF(C164="DE",3,(IF(C164="RS",4,(IF(C164="RC",5,0)))))))))</f>
        <v>1</v>
      </c>
      <c r="E164" s="33" t="s">
        <v>341</v>
      </c>
      <c r="F164" s="33">
        <f>IF(E164="AM",1,(IF(E164="BE",2,(IF(E164="GV",3,(IF(E164="RA",4,(IF(E164="RM",5,(IF(E164="AC",1,(IF(E164="AT",2,(IF(E164="DS",3,(IF(E164="IP",4,(IF(E164="MA",5,(IF(E164="PT",6,(IF(E164="AE",1,(IF(E164="CM",2,(IF(E164="DP",3,(IF(E164="AN",1,(IF(E164="CO",2,(IF(E164="IM",3,(IF(E164="MI",4,(IF(E164="RP",5,(IF(E164="SC",6,0)))))))))))))))))))))))))))))))))))))))</f>
        <v>3</v>
      </c>
      <c r="G164" s="170">
        <v>1</v>
      </c>
      <c r="H164" s="38" t="s">
        <v>511</v>
      </c>
      <c r="I164" s="105" t="s">
        <v>1449</v>
      </c>
      <c r="J164" s="157" t="s">
        <v>1510</v>
      </c>
      <c r="K164" s="34" t="s">
        <v>1511</v>
      </c>
      <c r="L164" s="5">
        <f>IF(O164="","",N164*O164*M164)</f>
        <v>99</v>
      </c>
      <c r="M164" s="8">
        <v>1</v>
      </c>
      <c r="N164" s="1">
        <v>1</v>
      </c>
      <c r="O164" s="15">
        <f>IF(SUM(Q164:AF164)&lt;1,"",SUM(Q164:AF164)/COUNTIF(Q164:AF164,"&gt;0"))</f>
        <v>99</v>
      </c>
      <c r="P164" s="16"/>
      <c r="Q164" s="13"/>
      <c r="R164" s="4"/>
      <c r="S164" s="4"/>
      <c r="T164" s="4">
        <v>99</v>
      </c>
      <c r="Y164" s="4"/>
      <c r="AB164" s="4"/>
      <c r="AC164" s="4"/>
      <c r="AD164" s="4"/>
      <c r="AE164" s="4"/>
      <c r="AF164" s="14"/>
    </row>
    <row r="165" spans="1:32" s="2" customFormat="1" ht="15.75" customHeight="1" x14ac:dyDescent="0.25">
      <c r="A165" s="33" t="str">
        <f>CONCATENATE(D165,".",F165,"-",G165,".",H165,"")</f>
        <v>1.3-1.1</v>
      </c>
      <c r="B165" s="33"/>
      <c r="C165" s="39" t="s">
        <v>335</v>
      </c>
      <c r="D165" s="33">
        <f>IF(C165="ID",1,(IF(C165="PR",2,(IF(C165="DE",3,(IF(C165="RS",4,(IF(C165="RC",5,0)))))))))</f>
        <v>1</v>
      </c>
      <c r="E165" s="33" t="s">
        <v>341</v>
      </c>
      <c r="F165" s="33">
        <f>IF(E165="AM",1,(IF(E165="BE",2,(IF(E165="GV",3,(IF(E165="RA",4,(IF(E165="RM",5,(IF(E165="AC",1,(IF(E165="AT",2,(IF(E165="DS",3,(IF(E165="IP",4,(IF(E165="MA",5,(IF(E165="PT",6,(IF(E165="AE",1,(IF(E165="CM",2,(IF(E165="DP",3,(IF(E165="AN",1,(IF(E165="CO",2,(IF(E165="IM",3,(IF(E165="MI",4,(IF(E165="RP",5,(IF(E165="SC",6,0)))))))))))))))))))))))))))))))))))))))</f>
        <v>3</v>
      </c>
      <c r="G165" s="170">
        <v>1</v>
      </c>
      <c r="H165" s="38" t="s">
        <v>511</v>
      </c>
      <c r="I165" s="105" t="s">
        <v>1670</v>
      </c>
      <c r="J165" s="157" t="s">
        <v>1671</v>
      </c>
      <c r="K165" s="34" t="s">
        <v>1672</v>
      </c>
      <c r="L165" s="5">
        <f>IF(O165="","",N165*O165*M165)</f>
        <v>99</v>
      </c>
      <c r="M165" s="8">
        <v>1</v>
      </c>
      <c r="N165" s="1">
        <v>1</v>
      </c>
      <c r="O165" s="15">
        <f>IF(SUM(Q165:AF165)&lt;1,"",SUM(Q165:AF165)/COUNTIF(Q165:AF165,"&gt;0"))</f>
        <v>99</v>
      </c>
      <c r="P165" s="16"/>
      <c r="Q165" s="13"/>
      <c r="R165" s="4"/>
      <c r="S165" s="4"/>
      <c r="T165" s="4">
        <v>99</v>
      </c>
      <c r="Y165" s="4"/>
      <c r="AB165" s="4"/>
      <c r="AC165" s="4"/>
      <c r="AD165" s="4"/>
      <c r="AE165" s="4"/>
      <c r="AF165" s="14"/>
    </row>
    <row r="166" spans="1:32" s="2" customFormat="1" ht="15.75" customHeight="1" x14ac:dyDescent="0.25">
      <c r="A166" s="33" t="str">
        <f>CONCATENATE(D166,".",F166,"-",G166,".",H166,"")</f>
        <v>1.3-1.1</v>
      </c>
      <c r="B166" s="33"/>
      <c r="C166" s="39" t="s">
        <v>335</v>
      </c>
      <c r="D166" s="33">
        <f>IF(C166="ID",1,(IF(C166="PR",2,(IF(C166="DE",3,(IF(C166="RS",4,(IF(C166="RC",5,0)))))))))</f>
        <v>1</v>
      </c>
      <c r="E166" s="33" t="s">
        <v>341</v>
      </c>
      <c r="F166" s="33">
        <f>IF(E166="AM",1,(IF(E166="BE",2,(IF(E166="GV",3,(IF(E166="RA",4,(IF(E166="RM",5,(IF(E166="AC",1,(IF(E166="AT",2,(IF(E166="DS",3,(IF(E166="IP",4,(IF(E166="MA",5,(IF(E166="PT",6,(IF(E166="AE",1,(IF(E166="CM",2,(IF(E166="DP",3,(IF(E166="AN",1,(IF(E166="CO",2,(IF(E166="IM",3,(IF(E166="MI",4,(IF(E166="RP",5,(IF(E166="SC",6,0)))))))))))))))))))))))))))))))))))))))</f>
        <v>3</v>
      </c>
      <c r="G166" s="170">
        <v>1</v>
      </c>
      <c r="H166" s="38" t="s">
        <v>511</v>
      </c>
      <c r="I166" s="105" t="s">
        <v>1670</v>
      </c>
      <c r="J166" s="157" t="s">
        <v>1673</v>
      </c>
      <c r="K166" s="34" t="s">
        <v>1674</v>
      </c>
      <c r="L166" s="5">
        <f>IF(O166="","",N166*O166*M166)</f>
        <v>99</v>
      </c>
      <c r="M166" s="8">
        <v>1</v>
      </c>
      <c r="N166" s="1">
        <v>1</v>
      </c>
      <c r="O166" s="15">
        <f>IF(SUM(Q166:AF166)&lt;1,"",SUM(Q166:AF166)/COUNTIF(Q166:AF166,"&gt;0"))</f>
        <v>99</v>
      </c>
      <c r="P166" s="16"/>
      <c r="Q166" s="13"/>
      <c r="R166" s="4"/>
      <c r="S166" s="4"/>
      <c r="T166" s="4">
        <v>99</v>
      </c>
      <c r="Y166" s="4"/>
      <c r="AB166" s="4"/>
      <c r="AC166" s="4"/>
      <c r="AD166" s="4"/>
      <c r="AE166" s="4"/>
      <c r="AF166" s="14"/>
    </row>
    <row r="167" spans="1:32" s="2" customFormat="1" ht="15.75" customHeight="1" x14ac:dyDescent="0.25">
      <c r="A167" s="33" t="str">
        <f>CONCATENATE(D167,".",F167,"-",G167,".",H167,"")</f>
        <v>1.3-1.1</v>
      </c>
      <c r="B167" s="33"/>
      <c r="C167" s="39" t="s">
        <v>335</v>
      </c>
      <c r="D167" s="33">
        <f>IF(C167="ID",1,(IF(C167="PR",2,(IF(C167="DE",3,(IF(C167="RS",4,(IF(C167="RC",5,0)))))))))</f>
        <v>1</v>
      </c>
      <c r="E167" s="33" t="s">
        <v>341</v>
      </c>
      <c r="F167" s="33">
        <f>IF(E167="AM",1,(IF(E167="BE",2,(IF(E167="GV",3,(IF(E167="RA",4,(IF(E167="RM",5,(IF(E167="AC",1,(IF(E167="AT",2,(IF(E167="DS",3,(IF(E167="IP",4,(IF(E167="MA",5,(IF(E167="PT",6,(IF(E167="AE",1,(IF(E167="CM",2,(IF(E167="DP",3,(IF(E167="AN",1,(IF(E167="CO",2,(IF(E167="IM",3,(IF(E167="MI",4,(IF(E167="RP",5,(IF(E167="SC",6,0)))))))))))))))))))))))))))))))))))))))</f>
        <v>3</v>
      </c>
      <c r="G167" s="170">
        <v>1</v>
      </c>
      <c r="H167" s="38" t="s">
        <v>511</v>
      </c>
      <c r="I167" s="105" t="s">
        <v>1670</v>
      </c>
      <c r="J167" s="157" t="s">
        <v>1675</v>
      </c>
      <c r="K167" s="34" t="s">
        <v>1676</v>
      </c>
      <c r="L167" s="5">
        <f>IF(O167="","",N167*O167*M167)</f>
        <v>99</v>
      </c>
      <c r="M167" s="8">
        <v>1</v>
      </c>
      <c r="N167" s="1">
        <v>1</v>
      </c>
      <c r="O167" s="15">
        <f>IF(SUM(Q167:AF167)&lt;1,"",SUM(Q167:AF167)/COUNTIF(Q167:AF167,"&gt;0"))</f>
        <v>99</v>
      </c>
      <c r="P167" s="16"/>
      <c r="Q167" s="13"/>
      <c r="R167" s="4"/>
      <c r="S167" s="4"/>
      <c r="T167" s="4">
        <v>99</v>
      </c>
      <c r="Y167" s="4"/>
      <c r="AB167" s="4"/>
      <c r="AC167" s="4"/>
      <c r="AD167" s="4"/>
      <c r="AE167" s="4"/>
      <c r="AF167" s="14"/>
    </row>
    <row r="168" spans="1:32" s="2" customFormat="1" ht="15.75" customHeight="1" x14ac:dyDescent="0.25">
      <c r="A168" s="33" t="str">
        <f>CONCATENATE(D168,".",F168,"-",G168,".",H168,"")</f>
        <v>1.3-1.1</v>
      </c>
      <c r="B168" s="33"/>
      <c r="C168" s="39" t="s">
        <v>335</v>
      </c>
      <c r="D168" s="33">
        <f>IF(C168="ID",1,(IF(C168="PR",2,(IF(C168="DE",3,(IF(C168="RS",4,(IF(C168="RC",5,0)))))))))</f>
        <v>1</v>
      </c>
      <c r="E168" s="33" t="s">
        <v>341</v>
      </c>
      <c r="F168" s="33">
        <f>IF(E168="AM",1,(IF(E168="BE",2,(IF(E168="GV",3,(IF(E168="RA",4,(IF(E168="RM",5,(IF(E168="AC",1,(IF(E168="AT",2,(IF(E168="DS",3,(IF(E168="IP",4,(IF(E168="MA",5,(IF(E168="PT",6,(IF(E168="AE",1,(IF(E168="CM",2,(IF(E168="DP",3,(IF(E168="AN",1,(IF(E168="CO",2,(IF(E168="IM",3,(IF(E168="MI",4,(IF(E168="RP",5,(IF(E168="SC",6,0)))))))))))))))))))))))))))))))))))))))</f>
        <v>3</v>
      </c>
      <c r="G168" s="170">
        <v>1</v>
      </c>
      <c r="H168" s="38" t="s">
        <v>511</v>
      </c>
      <c r="I168" s="105" t="s">
        <v>1670</v>
      </c>
      <c r="J168" s="157" t="s">
        <v>1677</v>
      </c>
      <c r="K168" s="34" t="s">
        <v>1678</v>
      </c>
      <c r="L168" s="5">
        <f>IF(O168="","",N168*O168*M168)</f>
        <v>99</v>
      </c>
      <c r="M168" s="8">
        <v>1</v>
      </c>
      <c r="N168" s="1">
        <v>1</v>
      </c>
      <c r="O168" s="15">
        <f>IF(SUM(Q168:AF168)&lt;1,"",SUM(Q168:AF168)/COUNTIF(Q168:AF168,"&gt;0"))</f>
        <v>99</v>
      </c>
      <c r="P168" s="16"/>
      <c r="Q168" s="13"/>
      <c r="R168" s="4"/>
      <c r="S168" s="4"/>
      <c r="T168" s="4">
        <v>99</v>
      </c>
      <c r="Y168" s="4"/>
      <c r="AB168" s="4"/>
      <c r="AC168" s="4"/>
      <c r="AD168" s="4"/>
      <c r="AE168" s="4"/>
      <c r="AF168" s="14"/>
    </row>
    <row r="169" spans="1:32" s="2" customFormat="1" ht="15.75" customHeight="1" x14ac:dyDescent="0.25">
      <c r="A169" s="33" t="str">
        <f>CONCATENATE(D169,".",F169,"-",G169,".",H169,"")</f>
        <v>1.3-1.1</v>
      </c>
      <c r="B169" s="33"/>
      <c r="C169" s="39" t="s">
        <v>335</v>
      </c>
      <c r="D169" s="33">
        <f>IF(C169="ID",1,(IF(C169="PR",2,(IF(C169="DE",3,(IF(C169="RS",4,(IF(C169="RC",5,0)))))))))</f>
        <v>1</v>
      </c>
      <c r="E169" s="33" t="s">
        <v>341</v>
      </c>
      <c r="F169" s="33">
        <f>IF(E169="AM",1,(IF(E169="BE",2,(IF(E169="GV",3,(IF(E169="RA",4,(IF(E169="RM",5,(IF(E169="AC",1,(IF(E169="AT",2,(IF(E169="DS",3,(IF(E169="IP",4,(IF(E169="MA",5,(IF(E169="PT",6,(IF(E169="AE",1,(IF(E169="CM",2,(IF(E169="DP",3,(IF(E169="AN",1,(IF(E169="CO",2,(IF(E169="IM",3,(IF(E169="MI",4,(IF(E169="RP",5,(IF(E169="SC",6,0)))))))))))))))))))))))))))))))))))))))</f>
        <v>3</v>
      </c>
      <c r="G169" s="170">
        <v>1</v>
      </c>
      <c r="H169" s="38" t="s">
        <v>511</v>
      </c>
      <c r="I169" s="105" t="s">
        <v>1670</v>
      </c>
      <c r="J169" s="157" t="s">
        <v>1679</v>
      </c>
      <c r="K169" s="34" t="s">
        <v>1680</v>
      </c>
      <c r="L169" s="5">
        <f>IF(O169="","",N169*O169*M169)</f>
        <v>99</v>
      </c>
      <c r="M169" s="8">
        <v>1</v>
      </c>
      <c r="N169" s="1">
        <v>1</v>
      </c>
      <c r="O169" s="15">
        <f>IF(SUM(Q169:AF169)&lt;1,"",SUM(Q169:AF169)/COUNTIF(Q169:AF169,"&gt;0"))</f>
        <v>99</v>
      </c>
      <c r="P169" s="16"/>
      <c r="Q169" s="13"/>
      <c r="R169" s="4"/>
      <c r="S169" s="4"/>
      <c r="T169" s="4">
        <v>99</v>
      </c>
      <c r="Y169" s="4"/>
      <c r="AB169" s="4"/>
      <c r="AC169" s="4"/>
      <c r="AD169" s="4"/>
      <c r="AE169" s="4"/>
      <c r="AF169" s="14"/>
    </row>
    <row r="170" spans="1:32" s="2" customFormat="1" ht="15.75" customHeight="1" x14ac:dyDescent="0.25">
      <c r="A170" s="33" t="str">
        <f>CONCATENATE(D170,".",F170,"-",G170,".",H170,"")</f>
        <v>1.3-1.1</v>
      </c>
      <c r="B170" s="33"/>
      <c r="C170" s="39" t="s">
        <v>335</v>
      </c>
      <c r="D170" s="33">
        <f>IF(C170="ID",1,(IF(C170="PR",2,(IF(C170="DE",3,(IF(C170="RS",4,(IF(C170="RC",5,0)))))))))</f>
        <v>1</v>
      </c>
      <c r="E170" s="33" t="s">
        <v>341</v>
      </c>
      <c r="F170" s="33">
        <f>IF(E170="AM",1,(IF(E170="BE",2,(IF(E170="GV",3,(IF(E170="RA",4,(IF(E170="RM",5,(IF(E170="AC",1,(IF(E170="AT",2,(IF(E170="DS",3,(IF(E170="IP",4,(IF(E170="MA",5,(IF(E170="PT",6,(IF(E170="AE",1,(IF(E170="CM",2,(IF(E170="DP",3,(IF(E170="AN",1,(IF(E170="CO",2,(IF(E170="IM",3,(IF(E170="MI",4,(IF(E170="RP",5,(IF(E170="SC",6,0)))))))))))))))))))))))))))))))))))))))</f>
        <v>3</v>
      </c>
      <c r="G170" s="170">
        <v>1</v>
      </c>
      <c r="H170" s="38" t="s">
        <v>511</v>
      </c>
      <c r="I170" s="105" t="s">
        <v>1670</v>
      </c>
      <c r="J170" s="157" t="s">
        <v>1681</v>
      </c>
      <c r="K170" s="34" t="s">
        <v>1682</v>
      </c>
      <c r="L170" s="5">
        <f>IF(O170="","",N170*O170*M170)</f>
        <v>99</v>
      </c>
      <c r="M170" s="8">
        <v>1</v>
      </c>
      <c r="N170" s="1">
        <v>1</v>
      </c>
      <c r="O170" s="15">
        <f>IF(SUM(Q170:AF170)&lt;1,"",SUM(Q170:AF170)/COUNTIF(Q170:AF170,"&gt;0"))</f>
        <v>99</v>
      </c>
      <c r="P170" s="16"/>
      <c r="Q170" s="13"/>
      <c r="R170" s="4"/>
      <c r="S170" s="4"/>
      <c r="T170" s="4">
        <v>99</v>
      </c>
      <c r="Y170" s="4"/>
      <c r="AB170" s="4"/>
      <c r="AC170" s="4"/>
      <c r="AD170" s="4"/>
      <c r="AE170" s="4"/>
      <c r="AF170" s="14"/>
    </row>
    <row r="171" spans="1:32" s="2" customFormat="1" ht="15.75" customHeight="1" x14ac:dyDescent="0.25">
      <c r="A171" s="33" t="str">
        <f>CONCATENATE(D171,".",F171,"-",G171,".",H171,"")</f>
        <v>1.3-1.1</v>
      </c>
      <c r="B171" s="33"/>
      <c r="C171" s="39" t="s">
        <v>335</v>
      </c>
      <c r="D171" s="33">
        <f>IF(C171="ID",1,(IF(C171="PR",2,(IF(C171="DE",3,(IF(C171="RS",4,(IF(C171="RC",5,0)))))))))</f>
        <v>1</v>
      </c>
      <c r="E171" s="33" t="s">
        <v>341</v>
      </c>
      <c r="F171" s="33">
        <f>IF(E171="AM",1,(IF(E171="BE",2,(IF(E171="GV",3,(IF(E171="RA",4,(IF(E171="RM",5,(IF(E171="AC",1,(IF(E171="AT",2,(IF(E171="DS",3,(IF(E171="IP",4,(IF(E171="MA",5,(IF(E171="PT",6,(IF(E171="AE",1,(IF(E171="CM",2,(IF(E171="DP",3,(IF(E171="AN",1,(IF(E171="CO",2,(IF(E171="IM",3,(IF(E171="MI",4,(IF(E171="RP",5,(IF(E171="SC",6,0)))))))))))))))))))))))))))))))))))))))</f>
        <v>3</v>
      </c>
      <c r="G171" s="170">
        <v>1</v>
      </c>
      <c r="H171" s="38" t="s">
        <v>511</v>
      </c>
      <c r="I171" s="105" t="s">
        <v>1670</v>
      </c>
      <c r="J171" s="157" t="s">
        <v>1683</v>
      </c>
      <c r="K171" s="34" t="s">
        <v>1684</v>
      </c>
      <c r="L171" s="5">
        <f>IF(O171="","",N171*O171*M171)</f>
        <v>99</v>
      </c>
      <c r="M171" s="8">
        <v>1</v>
      </c>
      <c r="N171" s="1">
        <v>1</v>
      </c>
      <c r="O171" s="15">
        <f>IF(SUM(Q171:AF171)&lt;1,"",SUM(Q171:AF171)/COUNTIF(Q171:AF171,"&gt;0"))</f>
        <v>99</v>
      </c>
      <c r="P171" s="16"/>
      <c r="Q171" s="13"/>
      <c r="R171" s="4"/>
      <c r="S171" s="4"/>
      <c r="T171" s="4">
        <v>99</v>
      </c>
      <c r="Y171" s="4"/>
      <c r="AB171" s="4"/>
      <c r="AC171" s="4"/>
      <c r="AD171" s="4"/>
      <c r="AE171" s="4"/>
      <c r="AF171" s="14"/>
    </row>
    <row r="172" spans="1:32" s="2" customFormat="1" ht="15.75" customHeight="1" x14ac:dyDescent="0.25">
      <c r="A172" s="33" t="str">
        <f>CONCATENATE(D172,".",F172,"-",G172,".",H172,"")</f>
        <v>1.3-1.1</v>
      </c>
      <c r="B172" s="33"/>
      <c r="C172" s="39" t="s">
        <v>335</v>
      </c>
      <c r="D172" s="33">
        <f>IF(C172="ID",1,(IF(C172="PR",2,(IF(C172="DE",3,(IF(C172="RS",4,(IF(C172="RC",5,0)))))))))</f>
        <v>1</v>
      </c>
      <c r="E172" s="33" t="s">
        <v>341</v>
      </c>
      <c r="F172" s="33">
        <f>IF(E172="AM",1,(IF(E172="BE",2,(IF(E172="GV",3,(IF(E172="RA",4,(IF(E172="RM",5,(IF(E172="AC",1,(IF(E172="AT",2,(IF(E172="DS",3,(IF(E172="IP",4,(IF(E172="MA",5,(IF(E172="PT",6,(IF(E172="AE",1,(IF(E172="CM",2,(IF(E172="DP",3,(IF(E172="AN",1,(IF(E172="CO",2,(IF(E172="IM",3,(IF(E172="MI",4,(IF(E172="RP",5,(IF(E172="SC",6,0)))))))))))))))))))))))))))))))))))))))</f>
        <v>3</v>
      </c>
      <c r="G172" s="170">
        <v>1</v>
      </c>
      <c r="H172" s="38" t="s">
        <v>511</v>
      </c>
      <c r="I172" s="105" t="s">
        <v>1670</v>
      </c>
      <c r="J172" s="157" t="s">
        <v>1685</v>
      </c>
      <c r="K172" s="34" t="s">
        <v>1686</v>
      </c>
      <c r="L172" s="5">
        <f>IF(O172="","",N172*O172*M172)</f>
        <v>99</v>
      </c>
      <c r="M172" s="8">
        <v>1</v>
      </c>
      <c r="N172" s="1">
        <v>1</v>
      </c>
      <c r="O172" s="15">
        <f>IF(SUM(Q172:AF172)&lt;1,"",SUM(Q172:AF172)/COUNTIF(Q172:AF172,"&gt;0"))</f>
        <v>99</v>
      </c>
      <c r="P172" s="16"/>
      <c r="Q172" s="13"/>
      <c r="R172" s="4"/>
      <c r="S172" s="4"/>
      <c r="T172" s="4">
        <v>99</v>
      </c>
      <c r="Y172" s="4"/>
      <c r="AB172" s="4"/>
      <c r="AC172" s="4"/>
      <c r="AD172" s="4"/>
      <c r="AE172" s="4"/>
      <c r="AF172" s="14"/>
    </row>
    <row r="173" spans="1:32" s="2" customFormat="1" ht="15.75" customHeight="1" x14ac:dyDescent="0.25">
      <c r="A173" s="33" t="str">
        <f>CONCATENATE(D173,".",F173,"-",G173,".",H173,"")</f>
        <v>1.3-1.1</v>
      </c>
      <c r="B173" s="33"/>
      <c r="C173" s="39" t="s">
        <v>335</v>
      </c>
      <c r="D173" s="33">
        <f>IF(C173="ID",1,(IF(C173="PR",2,(IF(C173="DE",3,(IF(C173="RS",4,(IF(C173="RC",5,0)))))))))</f>
        <v>1</v>
      </c>
      <c r="E173" s="33" t="s">
        <v>341</v>
      </c>
      <c r="F173" s="33">
        <f>IF(E173="AM",1,(IF(E173="BE",2,(IF(E173="GV",3,(IF(E173="RA",4,(IF(E173="RM",5,(IF(E173="AC",1,(IF(E173="AT",2,(IF(E173="DS",3,(IF(E173="IP",4,(IF(E173="MA",5,(IF(E173="PT",6,(IF(E173="AE",1,(IF(E173="CM",2,(IF(E173="DP",3,(IF(E173="AN",1,(IF(E173="CO",2,(IF(E173="IM",3,(IF(E173="MI",4,(IF(E173="RP",5,(IF(E173="SC",6,0)))))))))))))))))))))))))))))))))))))))</f>
        <v>3</v>
      </c>
      <c r="G173" s="170">
        <v>1</v>
      </c>
      <c r="H173" s="38" t="s">
        <v>511</v>
      </c>
      <c r="I173" s="105" t="s">
        <v>1670</v>
      </c>
      <c r="J173" s="157" t="s">
        <v>1687</v>
      </c>
      <c r="K173" s="34" t="s">
        <v>1688</v>
      </c>
      <c r="L173" s="5">
        <f>IF(O173="","",N173*O173*M173)</f>
        <v>99</v>
      </c>
      <c r="M173" s="8">
        <v>1</v>
      </c>
      <c r="N173" s="1">
        <v>1</v>
      </c>
      <c r="O173" s="15">
        <f>IF(SUM(Q173:AF173)&lt;1,"",SUM(Q173:AF173)/COUNTIF(Q173:AF173,"&gt;0"))</f>
        <v>99</v>
      </c>
      <c r="P173" s="16"/>
      <c r="Q173" s="13"/>
      <c r="R173" s="4"/>
      <c r="S173" s="4"/>
      <c r="T173" s="4">
        <v>99</v>
      </c>
      <c r="Y173" s="4"/>
      <c r="AB173" s="4"/>
      <c r="AC173" s="4"/>
      <c r="AD173" s="4"/>
      <c r="AE173" s="4"/>
      <c r="AF173" s="14"/>
    </row>
    <row r="174" spans="1:32" s="2" customFormat="1" ht="15.75" customHeight="1" x14ac:dyDescent="0.25">
      <c r="A174" s="33" t="str">
        <f>CONCATENATE(D174,".",F174,"-",G174,".",H174,"")</f>
        <v>1.3-1.1</v>
      </c>
      <c r="B174" s="33"/>
      <c r="C174" s="39" t="s">
        <v>335</v>
      </c>
      <c r="D174" s="33">
        <f>IF(C174="ID",1,(IF(C174="PR",2,(IF(C174="DE",3,(IF(C174="RS",4,(IF(C174="RC",5,0)))))))))</f>
        <v>1</v>
      </c>
      <c r="E174" s="33" t="s">
        <v>341</v>
      </c>
      <c r="F174" s="33">
        <f>IF(E174="AM",1,(IF(E174="BE",2,(IF(E174="GV",3,(IF(E174="RA",4,(IF(E174="RM",5,(IF(E174="AC",1,(IF(E174="AT",2,(IF(E174="DS",3,(IF(E174="IP",4,(IF(E174="MA",5,(IF(E174="PT",6,(IF(E174="AE",1,(IF(E174="CM",2,(IF(E174="DP",3,(IF(E174="AN",1,(IF(E174="CO",2,(IF(E174="IM",3,(IF(E174="MI",4,(IF(E174="RP",5,(IF(E174="SC",6,0)))))))))))))))))))))))))))))))))))))))</f>
        <v>3</v>
      </c>
      <c r="G174" s="170">
        <v>1</v>
      </c>
      <c r="H174" s="38" t="s">
        <v>511</v>
      </c>
      <c r="I174" s="105" t="s">
        <v>1670</v>
      </c>
      <c r="J174" s="157" t="s">
        <v>1689</v>
      </c>
      <c r="K174" s="34" t="s">
        <v>1690</v>
      </c>
      <c r="L174" s="5">
        <f>IF(O174="","",N174*O174*M174)</f>
        <v>99</v>
      </c>
      <c r="M174" s="8">
        <v>1</v>
      </c>
      <c r="N174" s="1">
        <v>1</v>
      </c>
      <c r="O174" s="15">
        <f>IF(SUM(Q174:AF174)&lt;1,"",SUM(Q174:AF174)/COUNTIF(Q174:AF174,"&gt;0"))</f>
        <v>99</v>
      </c>
      <c r="P174" s="16"/>
      <c r="Q174" s="13"/>
      <c r="R174" s="4"/>
      <c r="S174" s="4"/>
      <c r="T174" s="4">
        <v>99</v>
      </c>
      <c r="Y174" s="4"/>
      <c r="AB174" s="4"/>
      <c r="AC174" s="4"/>
      <c r="AD174" s="4"/>
      <c r="AE174" s="4"/>
      <c r="AF174" s="14"/>
    </row>
    <row r="175" spans="1:32" s="2" customFormat="1" ht="15.75" customHeight="1" x14ac:dyDescent="0.25">
      <c r="A175" s="33" t="str">
        <f>CONCATENATE(D175,".",F175,"-",G175,".",H175,"")</f>
        <v>1.3-1.1</v>
      </c>
      <c r="B175" s="33" t="s">
        <v>814</v>
      </c>
      <c r="C175" s="39" t="s">
        <v>335</v>
      </c>
      <c r="D175" s="33">
        <f>IF(C175="ID",1,(IF(C175="PR",2,(IF(C175="DE",3,(IF(C175="RS",4,(IF(C175="RC",5,0)))))))))</f>
        <v>1</v>
      </c>
      <c r="E175" s="33" t="s">
        <v>341</v>
      </c>
      <c r="F175" s="33">
        <f>IF(E175="AM",1,(IF(E175="BE",2,(IF(E175="GV",3,(IF(E175="RA",4,(IF(E175="RM",5,(IF(E175="AC",1,(IF(E175="AT",2,(IF(E175="DS",3,(IF(E175="IP",4,(IF(E175="MA",5,(IF(E175="PT",6,(IF(E175="AE",1,(IF(E175="CM",2,(IF(E175="DP",3,(IF(E175="AN",1,(IF(E175="CO",2,(IF(E175="IM",3,(IF(E175="MI",4,(IF(E175="RP",5,(IF(E175="SC",6,0)))))))))))))))))))))))))))))))))))))))</f>
        <v>3</v>
      </c>
      <c r="G175" s="170">
        <v>1</v>
      </c>
      <c r="H175" s="38" t="s">
        <v>511</v>
      </c>
      <c r="I175" s="105" t="s">
        <v>1449</v>
      </c>
      <c r="J175" s="157" t="s">
        <v>1691</v>
      </c>
      <c r="K175" s="34" t="s">
        <v>1692</v>
      </c>
      <c r="L175" s="5">
        <f>IF(O175="","",N175*O175*M175)</f>
        <v>99</v>
      </c>
      <c r="M175" s="8">
        <v>1</v>
      </c>
      <c r="N175" s="1">
        <v>1</v>
      </c>
      <c r="O175" s="15">
        <f>IF(SUM(Q175:AF175)&lt;1,"",SUM(Q175:AF175)/COUNTIF(Q175:AF175,"&gt;0"))</f>
        <v>99</v>
      </c>
      <c r="P175" s="16"/>
      <c r="Q175" s="13"/>
      <c r="R175" s="4"/>
      <c r="S175" s="4"/>
      <c r="T175" s="4">
        <v>99</v>
      </c>
      <c r="Y175" s="4"/>
      <c r="AB175" s="4"/>
      <c r="AC175" s="4"/>
      <c r="AD175" s="4"/>
      <c r="AE175" s="4"/>
      <c r="AF175" s="14"/>
    </row>
    <row r="176" spans="1:32" s="2" customFormat="1" ht="15.75" customHeight="1" x14ac:dyDescent="0.25">
      <c r="A176" s="33" t="str">
        <f>CONCATENATE(D176,".",F176,"-",G176,".",H176,"")</f>
        <v>1.3-1.1</v>
      </c>
      <c r="B176" s="33" t="s">
        <v>814</v>
      </c>
      <c r="C176" s="39" t="s">
        <v>335</v>
      </c>
      <c r="D176" s="33">
        <f>IF(C176="ID",1,(IF(C176="PR",2,(IF(C176="DE",3,(IF(C176="RS",4,(IF(C176="RC",5,0)))))))))</f>
        <v>1</v>
      </c>
      <c r="E176" s="33" t="s">
        <v>341</v>
      </c>
      <c r="F176" s="33">
        <f>IF(E176="AM",1,(IF(E176="BE",2,(IF(E176="GV",3,(IF(E176="RA",4,(IF(E176="RM",5,(IF(E176="AC",1,(IF(E176="AT",2,(IF(E176="DS",3,(IF(E176="IP",4,(IF(E176="MA",5,(IF(E176="PT",6,(IF(E176="AE",1,(IF(E176="CM",2,(IF(E176="DP",3,(IF(E176="AN",1,(IF(E176="CO",2,(IF(E176="IM",3,(IF(E176="MI",4,(IF(E176="RP",5,(IF(E176="SC",6,0)))))))))))))))))))))))))))))))))))))))</f>
        <v>3</v>
      </c>
      <c r="G176" s="170">
        <v>1</v>
      </c>
      <c r="H176" s="38" t="s">
        <v>511</v>
      </c>
      <c r="I176" s="105" t="s">
        <v>1449</v>
      </c>
      <c r="J176" s="157" t="s">
        <v>1711</v>
      </c>
      <c r="K176" s="34" t="s">
        <v>1712</v>
      </c>
      <c r="L176" s="5">
        <f>IF(O176="","",N176*O176*M176)</f>
        <v>99</v>
      </c>
      <c r="M176" s="8">
        <v>1</v>
      </c>
      <c r="N176" s="1">
        <v>1</v>
      </c>
      <c r="O176" s="15">
        <f>IF(SUM(Q176:AF176)&lt;1,"",SUM(Q176:AF176)/COUNTIF(Q176:AF176,"&gt;0"))</f>
        <v>99</v>
      </c>
      <c r="P176" s="16"/>
      <c r="Q176" s="13"/>
      <c r="R176" s="4"/>
      <c r="S176" s="4"/>
      <c r="T176" s="4">
        <v>99</v>
      </c>
      <c r="Y176" s="4"/>
      <c r="AB176" s="4"/>
      <c r="AC176" s="4"/>
      <c r="AD176" s="4"/>
      <c r="AE176" s="4"/>
      <c r="AF176" s="14"/>
    </row>
    <row r="177" spans="1:32" s="2" customFormat="1" ht="15.75" customHeight="1" x14ac:dyDescent="0.25">
      <c r="A177" s="33" t="str">
        <f>CONCATENATE(D177,".",F177,"-",G177,".",H177,"")</f>
        <v>1.3-1.1</v>
      </c>
      <c r="B177" s="33" t="s">
        <v>814</v>
      </c>
      <c r="C177" s="39" t="s">
        <v>335</v>
      </c>
      <c r="D177" s="33">
        <f>IF(C177="ID",1,(IF(C177="PR",2,(IF(C177="DE",3,(IF(C177="RS",4,(IF(C177="RC",5,0)))))))))</f>
        <v>1</v>
      </c>
      <c r="E177" s="33" t="s">
        <v>341</v>
      </c>
      <c r="F177" s="33">
        <f>IF(E177="AM",1,(IF(E177="BE",2,(IF(E177="GV",3,(IF(E177="RA",4,(IF(E177="RM",5,(IF(E177="AC",1,(IF(E177="AT",2,(IF(E177="DS",3,(IF(E177="IP",4,(IF(E177="MA",5,(IF(E177="PT",6,(IF(E177="AE",1,(IF(E177="CM",2,(IF(E177="DP",3,(IF(E177="AN",1,(IF(E177="CO",2,(IF(E177="IM",3,(IF(E177="MI",4,(IF(E177="RP",5,(IF(E177="SC",6,0)))))))))))))))))))))))))))))))))))))))</f>
        <v>3</v>
      </c>
      <c r="G177" s="170">
        <v>1</v>
      </c>
      <c r="H177" s="38" t="s">
        <v>511</v>
      </c>
      <c r="I177" s="105" t="s">
        <v>1449</v>
      </c>
      <c r="J177" s="157" t="s">
        <v>1825</v>
      </c>
      <c r="K177" s="34" t="s">
        <v>1826</v>
      </c>
      <c r="L177" s="5">
        <f>IF(O177="","",N177*O177*M177)</f>
        <v>99</v>
      </c>
      <c r="M177" s="8">
        <v>1</v>
      </c>
      <c r="N177" s="1">
        <v>1</v>
      </c>
      <c r="O177" s="15">
        <f>IF(SUM(Q177:AF177)&lt;1,"",SUM(Q177:AF177)/COUNTIF(Q177:AF177,"&gt;0"))</f>
        <v>99</v>
      </c>
      <c r="P177" s="16"/>
      <c r="Q177" s="13"/>
      <c r="R177" s="4"/>
      <c r="S177" s="4"/>
      <c r="T177" s="4">
        <v>99</v>
      </c>
      <c r="Y177" s="4"/>
      <c r="AB177" s="4"/>
      <c r="AC177" s="4"/>
      <c r="AD177" s="4"/>
      <c r="AE177" s="4"/>
      <c r="AF177" s="14"/>
    </row>
    <row r="178" spans="1:32" s="2" customFormat="1" ht="15.75" customHeight="1" x14ac:dyDescent="0.25">
      <c r="A178" s="33" t="str">
        <f>CONCATENATE(D178,".",F178,"-",G178,".",H178,"")</f>
        <v>1.3-1.1</v>
      </c>
      <c r="B178" s="33" t="s">
        <v>814</v>
      </c>
      <c r="C178" s="39" t="s">
        <v>335</v>
      </c>
      <c r="D178" s="33">
        <f>IF(C178="ID",1,(IF(C178="PR",2,(IF(C178="DE",3,(IF(C178="RS",4,(IF(C178="RC",5,0)))))))))</f>
        <v>1</v>
      </c>
      <c r="E178" s="33" t="s">
        <v>341</v>
      </c>
      <c r="F178" s="33">
        <f>IF(E178="AM",1,(IF(E178="BE",2,(IF(E178="GV",3,(IF(E178="RA",4,(IF(E178="RM",5,(IF(E178="AC",1,(IF(E178="AT",2,(IF(E178="DS",3,(IF(E178="IP",4,(IF(E178="MA",5,(IF(E178="PT",6,(IF(E178="AE",1,(IF(E178="CM",2,(IF(E178="DP",3,(IF(E178="AN",1,(IF(E178="CO",2,(IF(E178="IM",3,(IF(E178="MI",4,(IF(E178="RP",5,(IF(E178="SC",6,0)))))))))))))))))))))))))))))))))))))))</f>
        <v>3</v>
      </c>
      <c r="G178" s="170">
        <v>1</v>
      </c>
      <c r="H178" s="38" t="s">
        <v>511</v>
      </c>
      <c r="I178" s="105" t="s">
        <v>1449</v>
      </c>
      <c r="J178" s="157" t="s">
        <v>1869</v>
      </c>
      <c r="K178" s="34" t="s">
        <v>1870</v>
      </c>
      <c r="L178" s="5">
        <f>IF(O178="","",N178*O178*M178)</f>
        <v>99</v>
      </c>
      <c r="M178" s="8">
        <v>1</v>
      </c>
      <c r="N178" s="1">
        <v>1</v>
      </c>
      <c r="O178" s="15">
        <f>IF(SUM(Q178:AF178)&lt;1,"",SUM(Q178:AF178)/COUNTIF(Q178:AF178,"&gt;0"))</f>
        <v>99</v>
      </c>
      <c r="P178" s="16"/>
      <c r="Q178" s="13"/>
      <c r="R178" s="4"/>
      <c r="S178" s="4"/>
      <c r="T178" s="4">
        <v>99</v>
      </c>
      <c r="Y178" s="4"/>
      <c r="AB178" s="4"/>
      <c r="AC178" s="4"/>
      <c r="AD178" s="4"/>
      <c r="AE178" s="4"/>
      <c r="AF178" s="14"/>
    </row>
    <row r="179" spans="1:32" s="2" customFormat="1" ht="15.75" customHeight="1" x14ac:dyDescent="0.25">
      <c r="A179" s="33" t="str">
        <f>CONCATENATE(D179,".",F179,"-",G179,".",H179,"")</f>
        <v>1.3-1.1</v>
      </c>
      <c r="B179" s="33"/>
      <c r="C179" s="39" t="s">
        <v>335</v>
      </c>
      <c r="D179" s="33">
        <f>IF(C179="ID",1,(IF(C179="PR",2,(IF(C179="DE",3,(IF(C179="RS",4,(IF(C179="RC",5,0)))))))))</f>
        <v>1</v>
      </c>
      <c r="E179" s="33" t="s">
        <v>341</v>
      </c>
      <c r="F179" s="33">
        <f>IF(E179="AM",1,(IF(E179="BE",2,(IF(E179="GV",3,(IF(E179="RA",4,(IF(E179="RM",5,(IF(E179="AC",1,(IF(E179="AT",2,(IF(E179="DS",3,(IF(E179="IP",4,(IF(E179="MA",5,(IF(E179="PT",6,(IF(E179="AE",1,(IF(E179="CM",2,(IF(E179="DP",3,(IF(E179="AN",1,(IF(E179="CO",2,(IF(E179="IM",3,(IF(E179="MI",4,(IF(E179="RP",5,(IF(E179="SC",6,0)))))))))))))))))))))))))))))))))))))))</f>
        <v>3</v>
      </c>
      <c r="G179" s="170">
        <v>1</v>
      </c>
      <c r="H179" s="38" t="s">
        <v>511</v>
      </c>
      <c r="I179" s="105" t="s">
        <v>1670</v>
      </c>
      <c r="J179" s="157" t="s">
        <v>2065</v>
      </c>
      <c r="K179" s="34" t="s">
        <v>2066</v>
      </c>
      <c r="L179" s="5">
        <f>IF(O179="","",N179*O179*M179)</f>
        <v>99</v>
      </c>
      <c r="M179" s="8">
        <v>1</v>
      </c>
      <c r="N179" s="1">
        <v>1</v>
      </c>
      <c r="O179" s="15">
        <f>IF(SUM(Q179:AF179)&lt;1,"",SUM(Q179:AF179)/COUNTIF(Q179:AF179,"&gt;0"))</f>
        <v>99</v>
      </c>
      <c r="P179" s="16"/>
      <c r="Q179" s="13"/>
      <c r="R179" s="4"/>
      <c r="S179" s="4"/>
      <c r="T179" s="4">
        <v>99</v>
      </c>
      <c r="Y179" s="4"/>
      <c r="AB179" s="4"/>
      <c r="AC179" s="4"/>
      <c r="AD179" s="4"/>
      <c r="AE179" s="4"/>
      <c r="AF179" s="14"/>
    </row>
    <row r="180" spans="1:32" s="2" customFormat="1" ht="15.75" customHeight="1" x14ac:dyDescent="0.25">
      <c r="A180" s="33" t="str">
        <f>CONCATENATE(D180,".",F180,"-",G180,".",H180,"")</f>
        <v>1.3-1.1</v>
      </c>
      <c r="B180" s="33"/>
      <c r="C180" s="39" t="s">
        <v>335</v>
      </c>
      <c r="D180" s="33">
        <f>IF(C180="ID",1,(IF(C180="PR",2,(IF(C180="DE",3,(IF(C180="RS",4,(IF(C180="RC",5,0)))))))))</f>
        <v>1</v>
      </c>
      <c r="E180" s="33" t="s">
        <v>341</v>
      </c>
      <c r="F180" s="33">
        <f>IF(E180="AM",1,(IF(E180="BE",2,(IF(E180="GV",3,(IF(E180="RA",4,(IF(E180="RM",5,(IF(E180="AC",1,(IF(E180="AT",2,(IF(E180="DS",3,(IF(E180="IP",4,(IF(E180="MA",5,(IF(E180="PT",6,(IF(E180="AE",1,(IF(E180="CM",2,(IF(E180="DP",3,(IF(E180="AN",1,(IF(E180="CO",2,(IF(E180="IM",3,(IF(E180="MI",4,(IF(E180="RP",5,(IF(E180="SC",6,0)))))))))))))))))))))))))))))))))))))))</f>
        <v>3</v>
      </c>
      <c r="G180" s="170">
        <v>1</v>
      </c>
      <c r="H180" s="38" t="s">
        <v>511</v>
      </c>
      <c r="I180" s="105" t="s">
        <v>1670</v>
      </c>
      <c r="J180" s="157" t="s">
        <v>2067</v>
      </c>
      <c r="K180" s="34" t="s">
        <v>2068</v>
      </c>
      <c r="L180" s="5">
        <f>IF(O180="","",N180*O180*M180)</f>
        <v>99</v>
      </c>
      <c r="M180" s="8">
        <v>1</v>
      </c>
      <c r="N180" s="1">
        <v>1</v>
      </c>
      <c r="O180" s="15">
        <f>IF(SUM(Q180:AF180)&lt;1,"",SUM(Q180:AF180)/COUNTIF(Q180:AF180,"&gt;0"))</f>
        <v>99</v>
      </c>
      <c r="P180" s="16"/>
      <c r="Q180" s="13"/>
      <c r="R180" s="4"/>
      <c r="S180" s="4"/>
      <c r="T180" s="4">
        <v>99</v>
      </c>
      <c r="Y180" s="4"/>
      <c r="AB180" s="4"/>
      <c r="AC180" s="4"/>
      <c r="AD180" s="4"/>
      <c r="AE180" s="4"/>
      <c r="AF180" s="14"/>
    </row>
    <row r="181" spans="1:32" s="2" customFormat="1" ht="15.75" customHeight="1" x14ac:dyDescent="0.25">
      <c r="A181" s="33" t="str">
        <f>CONCATENATE(D181,".",F181,"-",G181,".",H181,"")</f>
        <v>1.3-1.1</v>
      </c>
      <c r="B181" s="33"/>
      <c r="C181" s="39" t="s">
        <v>335</v>
      </c>
      <c r="D181" s="33">
        <f>IF(C181="ID",1,(IF(C181="PR",2,(IF(C181="DE",3,(IF(C181="RS",4,(IF(C181="RC",5,0)))))))))</f>
        <v>1</v>
      </c>
      <c r="E181" s="33" t="s">
        <v>341</v>
      </c>
      <c r="F181" s="33">
        <f>IF(E181="AM",1,(IF(E181="BE",2,(IF(E181="GV",3,(IF(E181="RA",4,(IF(E181="RM",5,(IF(E181="AC",1,(IF(E181="AT",2,(IF(E181="DS",3,(IF(E181="IP",4,(IF(E181="MA",5,(IF(E181="PT",6,(IF(E181="AE",1,(IF(E181="CM",2,(IF(E181="DP",3,(IF(E181="AN",1,(IF(E181="CO",2,(IF(E181="IM",3,(IF(E181="MI",4,(IF(E181="RP",5,(IF(E181="SC",6,0)))))))))))))))))))))))))))))))))))))))</f>
        <v>3</v>
      </c>
      <c r="G181" s="170">
        <v>1</v>
      </c>
      <c r="H181" s="38" t="s">
        <v>511</v>
      </c>
      <c r="I181" s="105" t="s">
        <v>1670</v>
      </c>
      <c r="J181" s="157" t="s">
        <v>2069</v>
      </c>
      <c r="K181" s="34" t="s">
        <v>2070</v>
      </c>
      <c r="L181" s="5">
        <f>IF(O181="","",N181*O181*M181)</f>
        <v>99</v>
      </c>
      <c r="M181" s="8">
        <v>1</v>
      </c>
      <c r="N181" s="1">
        <v>1</v>
      </c>
      <c r="O181" s="15">
        <f>IF(SUM(Q181:AF181)&lt;1,"",SUM(Q181:AF181)/COUNTIF(Q181:AF181,"&gt;0"))</f>
        <v>99</v>
      </c>
      <c r="P181" s="16"/>
      <c r="Q181" s="13"/>
      <c r="R181" s="4"/>
      <c r="S181" s="4"/>
      <c r="T181" s="4">
        <v>99</v>
      </c>
      <c r="Y181" s="4"/>
      <c r="AB181" s="4"/>
      <c r="AC181" s="4"/>
      <c r="AD181" s="4"/>
      <c r="AE181" s="4"/>
      <c r="AF181" s="14"/>
    </row>
    <row r="182" spans="1:32" s="2" customFormat="1" ht="15.75" customHeight="1" x14ac:dyDescent="0.25">
      <c r="A182" s="33" t="str">
        <f>CONCATENATE(D182,".",F182,"-",G182,".",H182,"")</f>
        <v>1.3-1.1</v>
      </c>
      <c r="B182" s="33"/>
      <c r="C182" s="39" t="s">
        <v>335</v>
      </c>
      <c r="D182" s="33">
        <f>IF(C182="ID",1,(IF(C182="PR",2,(IF(C182="DE",3,(IF(C182="RS",4,(IF(C182="RC",5,0)))))))))</f>
        <v>1</v>
      </c>
      <c r="E182" s="33" t="s">
        <v>341</v>
      </c>
      <c r="F182" s="33">
        <f>IF(E182="AM",1,(IF(E182="BE",2,(IF(E182="GV",3,(IF(E182="RA",4,(IF(E182="RM",5,(IF(E182="AC",1,(IF(E182="AT",2,(IF(E182="DS",3,(IF(E182="IP",4,(IF(E182="MA",5,(IF(E182="PT",6,(IF(E182="AE",1,(IF(E182="CM",2,(IF(E182="DP",3,(IF(E182="AN",1,(IF(E182="CO",2,(IF(E182="IM",3,(IF(E182="MI",4,(IF(E182="RP",5,(IF(E182="SC",6,0)))))))))))))))))))))))))))))))))))))))</f>
        <v>3</v>
      </c>
      <c r="G182" s="170">
        <v>1</v>
      </c>
      <c r="H182" s="38" t="s">
        <v>511</v>
      </c>
      <c r="I182" s="105" t="s">
        <v>1670</v>
      </c>
      <c r="J182" s="157" t="s">
        <v>2071</v>
      </c>
      <c r="K182" s="34" t="s">
        <v>2072</v>
      </c>
      <c r="L182" s="5">
        <f>IF(O182="","",N182*O182*M182)</f>
        <v>99</v>
      </c>
      <c r="M182" s="8">
        <v>1</v>
      </c>
      <c r="N182" s="1">
        <v>1</v>
      </c>
      <c r="O182" s="15">
        <f>IF(SUM(Q182:AF182)&lt;1,"",SUM(Q182:AF182)/COUNTIF(Q182:AF182,"&gt;0"))</f>
        <v>99</v>
      </c>
      <c r="P182" s="16"/>
      <c r="Q182" s="13"/>
      <c r="R182" s="4"/>
      <c r="S182" s="4"/>
      <c r="T182" s="4">
        <v>99</v>
      </c>
      <c r="Y182" s="4"/>
      <c r="AB182" s="4"/>
      <c r="AC182" s="4"/>
      <c r="AD182" s="4"/>
      <c r="AE182" s="4"/>
      <c r="AF182" s="14"/>
    </row>
    <row r="183" spans="1:32" s="2" customFormat="1" ht="15.75" customHeight="1" x14ac:dyDescent="0.25">
      <c r="A183" s="33" t="str">
        <f>CONCATENATE(D183,".",F183,"-",G183,".",H183,"")</f>
        <v>1.3-1.1</v>
      </c>
      <c r="B183" s="33"/>
      <c r="C183" s="39" t="s">
        <v>335</v>
      </c>
      <c r="D183" s="33">
        <f>IF(C183="ID",1,(IF(C183="PR",2,(IF(C183="DE",3,(IF(C183="RS",4,(IF(C183="RC",5,0)))))))))</f>
        <v>1</v>
      </c>
      <c r="E183" s="33" t="s">
        <v>341</v>
      </c>
      <c r="F183" s="33">
        <f>IF(E183="AM",1,(IF(E183="BE",2,(IF(E183="GV",3,(IF(E183="RA",4,(IF(E183="RM",5,(IF(E183="AC",1,(IF(E183="AT",2,(IF(E183="DS",3,(IF(E183="IP",4,(IF(E183="MA",5,(IF(E183="PT",6,(IF(E183="AE",1,(IF(E183="CM",2,(IF(E183="DP",3,(IF(E183="AN",1,(IF(E183="CO",2,(IF(E183="IM",3,(IF(E183="MI",4,(IF(E183="RP",5,(IF(E183="SC",6,0)))))))))))))))))))))))))))))))))))))))</f>
        <v>3</v>
      </c>
      <c r="G183" s="170">
        <v>1</v>
      </c>
      <c r="H183" s="38" t="s">
        <v>511</v>
      </c>
      <c r="I183" s="105" t="s">
        <v>1670</v>
      </c>
      <c r="J183" s="157" t="s">
        <v>2073</v>
      </c>
      <c r="K183" s="34" t="s">
        <v>2074</v>
      </c>
      <c r="L183" s="5">
        <f>IF(O183="","",N183*O183*M183)</f>
        <v>99</v>
      </c>
      <c r="M183" s="8">
        <v>1</v>
      </c>
      <c r="N183" s="1">
        <v>1</v>
      </c>
      <c r="O183" s="15">
        <f>IF(SUM(Q183:AF183)&lt;1,"",SUM(Q183:AF183)/COUNTIF(Q183:AF183,"&gt;0"))</f>
        <v>99</v>
      </c>
      <c r="P183" s="16"/>
      <c r="Q183" s="13"/>
      <c r="R183" s="4"/>
      <c r="S183" s="4"/>
      <c r="T183" s="4">
        <v>99</v>
      </c>
      <c r="Y183" s="4"/>
      <c r="AB183" s="4"/>
      <c r="AC183" s="4"/>
      <c r="AD183" s="4"/>
      <c r="AE183" s="4"/>
      <c r="AF183" s="14"/>
    </row>
    <row r="184" spans="1:32" s="2" customFormat="1" ht="15.75" customHeight="1" x14ac:dyDescent="0.25">
      <c r="A184" s="33" t="str">
        <f>CONCATENATE(D184,".",F184,"-",G184,".",H184,"")</f>
        <v>1.3-1.1</v>
      </c>
      <c r="B184" s="33" t="s">
        <v>814</v>
      </c>
      <c r="C184" s="39" t="s">
        <v>335</v>
      </c>
      <c r="D184" s="33">
        <f>IF(C184="ID",1,(IF(C184="PR",2,(IF(C184="DE",3,(IF(C184="RS",4,(IF(C184="RC",5,0)))))))))</f>
        <v>1</v>
      </c>
      <c r="E184" s="33" t="s">
        <v>341</v>
      </c>
      <c r="F184" s="33">
        <f>IF(E184="AM",1,(IF(E184="BE",2,(IF(E184="GV",3,(IF(E184="RA",4,(IF(E184="RM",5,(IF(E184="AC",1,(IF(E184="AT",2,(IF(E184="DS",3,(IF(E184="IP",4,(IF(E184="MA",5,(IF(E184="PT",6,(IF(E184="AE",1,(IF(E184="CM",2,(IF(E184="DP",3,(IF(E184="AN",1,(IF(E184="CO",2,(IF(E184="IM",3,(IF(E184="MI",4,(IF(E184="RP",5,(IF(E184="SC",6,0)))))))))))))))))))))))))))))))))))))))</f>
        <v>3</v>
      </c>
      <c r="G184" s="170">
        <v>1</v>
      </c>
      <c r="H184" s="38" t="s">
        <v>511</v>
      </c>
      <c r="I184" s="105" t="s">
        <v>1449</v>
      </c>
      <c r="J184" s="157" t="s">
        <v>2075</v>
      </c>
      <c r="K184" s="34" t="s">
        <v>2076</v>
      </c>
      <c r="L184" s="5">
        <f>IF(O184="","",N184*O184*M184)</f>
        <v>99</v>
      </c>
      <c r="M184" s="8">
        <v>1</v>
      </c>
      <c r="N184" s="1">
        <v>1</v>
      </c>
      <c r="O184" s="15">
        <f>IF(SUM(Q184:AF184)&lt;1,"",SUM(Q184:AF184)/COUNTIF(Q184:AF184,"&gt;0"))</f>
        <v>99</v>
      </c>
      <c r="P184" s="16"/>
      <c r="Q184" s="13"/>
      <c r="R184" s="4"/>
      <c r="S184" s="4"/>
      <c r="T184" s="4">
        <v>99</v>
      </c>
      <c r="Y184" s="4"/>
      <c r="AB184" s="4"/>
      <c r="AC184" s="4"/>
      <c r="AD184" s="4"/>
      <c r="AE184" s="4"/>
      <c r="AF184" s="14"/>
    </row>
    <row r="185" spans="1:32" s="2" customFormat="1" ht="15.75" customHeight="1" x14ac:dyDescent="0.25">
      <c r="A185" s="33" t="str">
        <f>CONCATENATE(D185,".",F185,"-",G185,".",H185,"")</f>
        <v>1.3-1.1</v>
      </c>
      <c r="B185" s="33"/>
      <c r="C185" s="39" t="s">
        <v>335</v>
      </c>
      <c r="D185" s="33">
        <f>IF(C185="ID",1,(IF(C185="PR",2,(IF(C185="DE",3,(IF(C185="RS",4,(IF(C185="RC",5,0)))))))))</f>
        <v>1</v>
      </c>
      <c r="E185" s="33" t="s">
        <v>341</v>
      </c>
      <c r="F185" s="33">
        <f>IF(E185="AM",1,(IF(E185="BE",2,(IF(E185="GV",3,(IF(E185="RA",4,(IF(E185="RM",5,(IF(E185="AC",1,(IF(E185="AT",2,(IF(E185="DS",3,(IF(E185="IP",4,(IF(E185="MA",5,(IF(E185="PT",6,(IF(E185="AE",1,(IF(E185="CM",2,(IF(E185="DP",3,(IF(E185="AN",1,(IF(E185="CO",2,(IF(E185="IM",3,(IF(E185="MI",4,(IF(E185="RP",5,(IF(E185="SC",6,0)))))))))))))))))))))))))))))))))))))))</f>
        <v>3</v>
      </c>
      <c r="G185" s="170">
        <v>1</v>
      </c>
      <c r="H185" s="38" t="s">
        <v>511</v>
      </c>
      <c r="I185" s="105" t="s">
        <v>1670</v>
      </c>
      <c r="J185" s="157" t="s">
        <v>2187</v>
      </c>
      <c r="K185" s="34" t="s">
        <v>2188</v>
      </c>
      <c r="L185" s="5">
        <f>IF(O185="","",N185*O185*M185)</f>
        <v>99</v>
      </c>
      <c r="M185" s="8">
        <v>1</v>
      </c>
      <c r="N185" s="1">
        <v>1</v>
      </c>
      <c r="O185" s="15">
        <f>IF(SUM(Q185:AF185)&lt;1,"",SUM(Q185:AF185)/COUNTIF(Q185:AF185,"&gt;0"))</f>
        <v>99</v>
      </c>
      <c r="P185" s="16"/>
      <c r="Q185" s="13"/>
      <c r="R185" s="4"/>
      <c r="S185" s="4"/>
      <c r="T185" s="4">
        <v>99</v>
      </c>
      <c r="Y185" s="4"/>
      <c r="AB185" s="4"/>
      <c r="AC185" s="4"/>
      <c r="AD185" s="4"/>
      <c r="AE185" s="4"/>
      <c r="AF185" s="14"/>
    </row>
    <row r="186" spans="1:32" s="2" customFormat="1" ht="15.75" customHeight="1" x14ac:dyDescent="0.25">
      <c r="A186" s="33" t="str">
        <f>CONCATENATE(D186,".",F186,"-",G186,".",H186,"")</f>
        <v>1.3-1.1</v>
      </c>
      <c r="B186" s="33"/>
      <c r="C186" s="39" t="s">
        <v>335</v>
      </c>
      <c r="D186" s="33">
        <f>IF(C186="ID",1,(IF(C186="PR",2,(IF(C186="DE",3,(IF(C186="RS",4,(IF(C186="RC",5,0)))))))))</f>
        <v>1</v>
      </c>
      <c r="E186" s="33" t="s">
        <v>341</v>
      </c>
      <c r="F186" s="33">
        <f>IF(E186="AM",1,(IF(E186="BE",2,(IF(E186="GV",3,(IF(E186="RA",4,(IF(E186="RM",5,(IF(E186="AC",1,(IF(E186="AT",2,(IF(E186="DS",3,(IF(E186="IP",4,(IF(E186="MA",5,(IF(E186="PT",6,(IF(E186="AE",1,(IF(E186="CM",2,(IF(E186="DP",3,(IF(E186="AN",1,(IF(E186="CO",2,(IF(E186="IM",3,(IF(E186="MI",4,(IF(E186="RP",5,(IF(E186="SC",6,0)))))))))))))))))))))))))))))))))))))))</f>
        <v>3</v>
      </c>
      <c r="G186" s="170">
        <v>1</v>
      </c>
      <c r="H186" s="38" t="s">
        <v>511</v>
      </c>
      <c r="I186" s="105" t="s">
        <v>1670</v>
      </c>
      <c r="J186" s="157" t="s">
        <v>2189</v>
      </c>
      <c r="K186" s="34" t="s">
        <v>2190</v>
      </c>
      <c r="L186" s="5">
        <f>IF(O186="","",N186*O186*M186)</f>
        <v>99</v>
      </c>
      <c r="M186" s="8">
        <v>1</v>
      </c>
      <c r="N186" s="1">
        <v>1</v>
      </c>
      <c r="O186" s="15">
        <f>IF(SUM(Q186:AF186)&lt;1,"",SUM(Q186:AF186)/COUNTIF(Q186:AF186,"&gt;0"))</f>
        <v>99</v>
      </c>
      <c r="P186" s="16"/>
      <c r="Q186" s="13"/>
      <c r="R186" s="4"/>
      <c r="S186" s="4"/>
      <c r="T186" s="4">
        <v>99</v>
      </c>
      <c r="Y186" s="4"/>
      <c r="AB186" s="4"/>
      <c r="AC186" s="4"/>
      <c r="AD186" s="4"/>
      <c r="AE186" s="4"/>
      <c r="AF186" s="14"/>
    </row>
    <row r="187" spans="1:32" s="2" customFormat="1" ht="15.75" customHeight="1" x14ac:dyDescent="0.25">
      <c r="A187" s="33" t="str">
        <f>CONCATENATE(D187,".",F187,"-",G187,".",H187,"")</f>
        <v>1.3-1.1</v>
      </c>
      <c r="B187" s="33"/>
      <c r="C187" s="39" t="s">
        <v>335</v>
      </c>
      <c r="D187" s="33">
        <f>IF(C187="ID",1,(IF(C187="PR",2,(IF(C187="DE",3,(IF(C187="RS",4,(IF(C187="RC",5,0)))))))))</f>
        <v>1</v>
      </c>
      <c r="E187" s="33" t="s">
        <v>341</v>
      </c>
      <c r="F187" s="33">
        <f>IF(E187="AM",1,(IF(E187="BE",2,(IF(E187="GV",3,(IF(E187="RA",4,(IF(E187="RM",5,(IF(E187="AC",1,(IF(E187="AT",2,(IF(E187="DS",3,(IF(E187="IP",4,(IF(E187="MA",5,(IF(E187="PT",6,(IF(E187="AE",1,(IF(E187="CM",2,(IF(E187="DP",3,(IF(E187="AN",1,(IF(E187="CO",2,(IF(E187="IM",3,(IF(E187="MI",4,(IF(E187="RP",5,(IF(E187="SC",6,0)))))))))))))))))))))))))))))))))))))))</f>
        <v>3</v>
      </c>
      <c r="G187" s="170">
        <v>1</v>
      </c>
      <c r="H187" s="38" t="s">
        <v>511</v>
      </c>
      <c r="I187" s="105" t="s">
        <v>1670</v>
      </c>
      <c r="J187" s="157" t="s">
        <v>2191</v>
      </c>
      <c r="K187" s="34" t="s">
        <v>2192</v>
      </c>
      <c r="L187" s="5">
        <f>IF(O187="","",N187*O187*M187)</f>
        <v>99</v>
      </c>
      <c r="M187" s="8">
        <v>1</v>
      </c>
      <c r="N187" s="1">
        <v>1</v>
      </c>
      <c r="O187" s="15">
        <f>IF(SUM(Q187:AF187)&lt;1,"",SUM(Q187:AF187)/COUNTIF(Q187:AF187,"&gt;0"))</f>
        <v>99</v>
      </c>
      <c r="P187" s="16"/>
      <c r="Q187" s="13"/>
      <c r="R187" s="4"/>
      <c r="S187" s="4"/>
      <c r="T187" s="4">
        <v>99</v>
      </c>
      <c r="Y187" s="4"/>
      <c r="AB187" s="4"/>
      <c r="AC187" s="4"/>
      <c r="AD187" s="4"/>
      <c r="AE187" s="4"/>
      <c r="AF187" s="14"/>
    </row>
    <row r="188" spans="1:32" s="2" customFormat="1" ht="15.75" customHeight="1" x14ac:dyDescent="0.25">
      <c r="A188" s="33" t="str">
        <f>CONCATENATE(D188,".",F188,"-",G188,".",H188,"")</f>
        <v>1.3-1.1</v>
      </c>
      <c r="B188" s="33"/>
      <c r="C188" s="39" t="s">
        <v>335</v>
      </c>
      <c r="D188" s="33">
        <f>IF(C188="ID",1,(IF(C188="PR",2,(IF(C188="DE",3,(IF(C188="RS",4,(IF(C188="RC",5,0)))))))))</f>
        <v>1</v>
      </c>
      <c r="E188" s="33" t="s">
        <v>341</v>
      </c>
      <c r="F188" s="33">
        <f>IF(E188="AM",1,(IF(E188="BE",2,(IF(E188="GV",3,(IF(E188="RA",4,(IF(E188="RM",5,(IF(E188="AC",1,(IF(E188="AT",2,(IF(E188="DS",3,(IF(E188="IP",4,(IF(E188="MA",5,(IF(E188="PT",6,(IF(E188="AE",1,(IF(E188="CM",2,(IF(E188="DP",3,(IF(E188="AN",1,(IF(E188="CO",2,(IF(E188="IM",3,(IF(E188="MI",4,(IF(E188="RP",5,(IF(E188="SC",6,0)))))))))))))))))))))))))))))))))))))))</f>
        <v>3</v>
      </c>
      <c r="G188" s="170">
        <v>1</v>
      </c>
      <c r="H188" s="38" t="s">
        <v>511</v>
      </c>
      <c r="I188" s="105" t="s">
        <v>1670</v>
      </c>
      <c r="J188" s="157" t="s">
        <v>2193</v>
      </c>
      <c r="K188" s="34" t="s">
        <v>2194</v>
      </c>
      <c r="L188" s="5">
        <f>IF(O188="","",N188*O188*M188)</f>
        <v>99</v>
      </c>
      <c r="M188" s="8">
        <v>1</v>
      </c>
      <c r="N188" s="1">
        <v>1</v>
      </c>
      <c r="O188" s="15">
        <f>IF(SUM(Q188:AF188)&lt;1,"",SUM(Q188:AF188)/COUNTIF(Q188:AF188,"&gt;0"))</f>
        <v>99</v>
      </c>
      <c r="P188" s="16"/>
      <c r="Q188" s="13"/>
      <c r="R188" s="4"/>
      <c r="S188" s="4"/>
      <c r="T188" s="4">
        <v>99</v>
      </c>
      <c r="Y188" s="4"/>
      <c r="AB188" s="4"/>
      <c r="AC188" s="4"/>
      <c r="AD188" s="4"/>
      <c r="AE188" s="4"/>
      <c r="AF188" s="14"/>
    </row>
    <row r="189" spans="1:32" s="2" customFormat="1" ht="15.75" customHeight="1" x14ac:dyDescent="0.25">
      <c r="A189" s="33" t="str">
        <f>CONCATENATE(D189,".",F189,"-",G189,".",H189,"")</f>
        <v>1.3-1.1</v>
      </c>
      <c r="B189" s="33"/>
      <c r="C189" s="39" t="s">
        <v>335</v>
      </c>
      <c r="D189" s="33">
        <f>IF(C189="ID",1,(IF(C189="PR",2,(IF(C189="DE",3,(IF(C189="RS",4,(IF(C189="RC",5,0)))))))))</f>
        <v>1</v>
      </c>
      <c r="E189" s="33" t="s">
        <v>341</v>
      </c>
      <c r="F189" s="33">
        <f>IF(E189="AM",1,(IF(E189="BE",2,(IF(E189="GV",3,(IF(E189="RA",4,(IF(E189="RM",5,(IF(E189="AC",1,(IF(E189="AT",2,(IF(E189="DS",3,(IF(E189="IP",4,(IF(E189="MA",5,(IF(E189="PT",6,(IF(E189="AE",1,(IF(E189="CM",2,(IF(E189="DP",3,(IF(E189="AN",1,(IF(E189="CO",2,(IF(E189="IM",3,(IF(E189="MI",4,(IF(E189="RP",5,(IF(E189="SC",6,0)))))))))))))))))))))))))))))))))))))))</f>
        <v>3</v>
      </c>
      <c r="G189" s="170">
        <v>1</v>
      </c>
      <c r="H189" s="38" t="s">
        <v>511</v>
      </c>
      <c r="I189" s="105" t="s">
        <v>1670</v>
      </c>
      <c r="J189" s="157" t="s">
        <v>2195</v>
      </c>
      <c r="K189" s="34" t="s">
        <v>2196</v>
      </c>
      <c r="L189" s="5">
        <f>IF(O189="","",N189*O189*M189)</f>
        <v>99</v>
      </c>
      <c r="M189" s="8">
        <v>1</v>
      </c>
      <c r="N189" s="1">
        <v>1</v>
      </c>
      <c r="O189" s="15">
        <f>IF(SUM(Q189:AF189)&lt;1,"",SUM(Q189:AF189)/COUNTIF(Q189:AF189,"&gt;0"))</f>
        <v>99</v>
      </c>
      <c r="P189" s="16"/>
      <c r="Q189" s="13"/>
      <c r="R189" s="4"/>
      <c r="S189" s="4"/>
      <c r="T189" s="4">
        <v>99</v>
      </c>
      <c r="Y189" s="4"/>
      <c r="AB189" s="4"/>
      <c r="AC189" s="4"/>
      <c r="AD189" s="4"/>
      <c r="AE189" s="4"/>
      <c r="AF189" s="14"/>
    </row>
    <row r="190" spans="1:32" s="2" customFormat="1" ht="15.75" customHeight="1" x14ac:dyDescent="0.25">
      <c r="A190" s="33" t="str">
        <f>CONCATENATE(D190,".",F190,"-",G190,".",H190,"")</f>
        <v>1.3-1.1</v>
      </c>
      <c r="B190" s="33"/>
      <c r="C190" s="39" t="s">
        <v>335</v>
      </c>
      <c r="D190" s="33">
        <f>IF(C190="ID",1,(IF(C190="PR",2,(IF(C190="DE",3,(IF(C190="RS",4,(IF(C190="RC",5,0)))))))))</f>
        <v>1</v>
      </c>
      <c r="E190" s="33" t="s">
        <v>341</v>
      </c>
      <c r="F190" s="33">
        <f>IF(E190="AM",1,(IF(E190="BE",2,(IF(E190="GV",3,(IF(E190="RA",4,(IF(E190="RM",5,(IF(E190="AC",1,(IF(E190="AT",2,(IF(E190="DS",3,(IF(E190="IP",4,(IF(E190="MA",5,(IF(E190="PT",6,(IF(E190="AE",1,(IF(E190="CM",2,(IF(E190="DP",3,(IF(E190="AN",1,(IF(E190="CO",2,(IF(E190="IM",3,(IF(E190="MI",4,(IF(E190="RP",5,(IF(E190="SC",6,0)))))))))))))))))))))))))))))))))))))))</f>
        <v>3</v>
      </c>
      <c r="G190" s="170">
        <v>1</v>
      </c>
      <c r="H190" s="38" t="s">
        <v>511</v>
      </c>
      <c r="I190" s="105" t="s">
        <v>1670</v>
      </c>
      <c r="J190" s="157" t="s">
        <v>2197</v>
      </c>
      <c r="K190" s="34" t="s">
        <v>2198</v>
      </c>
      <c r="L190" s="5">
        <f>IF(O190="","",N190*O190*M190)</f>
        <v>99</v>
      </c>
      <c r="M190" s="8">
        <v>1</v>
      </c>
      <c r="N190" s="1">
        <v>1</v>
      </c>
      <c r="O190" s="15">
        <f>IF(SUM(Q190:AF190)&lt;1,"",SUM(Q190:AF190)/COUNTIF(Q190:AF190,"&gt;0"))</f>
        <v>99</v>
      </c>
      <c r="P190" s="16"/>
      <c r="Q190" s="13"/>
      <c r="R190" s="4"/>
      <c r="S190" s="4"/>
      <c r="T190" s="4">
        <v>99</v>
      </c>
      <c r="Y190" s="4"/>
      <c r="AB190" s="4"/>
      <c r="AC190" s="4"/>
      <c r="AD190" s="4"/>
      <c r="AE190" s="4"/>
      <c r="AF190" s="14"/>
    </row>
    <row r="191" spans="1:32" s="2" customFormat="1" ht="15.75" customHeight="1" x14ac:dyDescent="0.25">
      <c r="A191" s="33" t="str">
        <f>CONCATENATE(D191,".",F191,"-",G191,".",H191,"")</f>
        <v>1.3-1.1</v>
      </c>
      <c r="B191" s="33" t="s">
        <v>814</v>
      </c>
      <c r="C191" s="39" t="s">
        <v>335</v>
      </c>
      <c r="D191" s="33">
        <f>IF(C191="ID",1,(IF(C191="PR",2,(IF(C191="DE",3,(IF(C191="RS",4,(IF(C191="RC",5,0)))))))))</f>
        <v>1</v>
      </c>
      <c r="E191" s="33" t="s">
        <v>341</v>
      </c>
      <c r="F191" s="33">
        <f>IF(E191="AM",1,(IF(E191="BE",2,(IF(E191="GV",3,(IF(E191="RA",4,(IF(E191="RM",5,(IF(E191="AC",1,(IF(E191="AT",2,(IF(E191="DS",3,(IF(E191="IP",4,(IF(E191="MA",5,(IF(E191="PT",6,(IF(E191="AE",1,(IF(E191="CM",2,(IF(E191="DP",3,(IF(E191="AN",1,(IF(E191="CO",2,(IF(E191="IM",3,(IF(E191="MI",4,(IF(E191="RP",5,(IF(E191="SC",6,0)))))))))))))))))))))))))))))))))))))))</f>
        <v>3</v>
      </c>
      <c r="G191" s="170">
        <v>1</v>
      </c>
      <c r="H191" s="38" t="s">
        <v>511</v>
      </c>
      <c r="I191" s="105" t="s">
        <v>1449</v>
      </c>
      <c r="J191" s="157" t="s">
        <v>2265</v>
      </c>
      <c r="K191" s="34" t="s">
        <v>2266</v>
      </c>
      <c r="L191" s="5">
        <f>IF(O191="","",N191*O191*M191)</f>
        <v>99</v>
      </c>
      <c r="M191" s="8">
        <v>1</v>
      </c>
      <c r="N191" s="1">
        <v>1</v>
      </c>
      <c r="O191" s="15">
        <f>IF(SUM(Q191:AF191)&lt;1,"",SUM(Q191:AF191)/COUNTIF(Q191:AF191,"&gt;0"))</f>
        <v>99</v>
      </c>
      <c r="P191" s="16"/>
      <c r="Q191" s="13"/>
      <c r="R191" s="4"/>
      <c r="S191" s="4"/>
      <c r="T191" s="4">
        <v>99</v>
      </c>
      <c r="Y191" s="4"/>
      <c r="AB191" s="4"/>
      <c r="AC191" s="4"/>
      <c r="AD191" s="4"/>
      <c r="AE191" s="4"/>
      <c r="AF191" s="14"/>
    </row>
    <row r="192" spans="1:32" s="2" customFormat="1" ht="15.75" customHeight="1" x14ac:dyDescent="0.25">
      <c r="A192" s="33" t="str">
        <f>CONCATENATE(D192,".",F192,"-",G192,".",H192,"")</f>
        <v>1.3-1.1</v>
      </c>
      <c r="B192" s="33" t="s">
        <v>814</v>
      </c>
      <c r="C192" s="39" t="s">
        <v>335</v>
      </c>
      <c r="D192" s="33">
        <f>IF(C192="ID",1,(IF(C192="PR",2,(IF(C192="DE",3,(IF(C192="RS",4,(IF(C192="RC",5,0)))))))))</f>
        <v>1</v>
      </c>
      <c r="E192" s="33" t="s">
        <v>341</v>
      </c>
      <c r="F192" s="33">
        <f>IF(E192="AM",1,(IF(E192="BE",2,(IF(E192="GV",3,(IF(E192="RA",4,(IF(E192="RM",5,(IF(E192="AC",1,(IF(E192="AT",2,(IF(E192="DS",3,(IF(E192="IP",4,(IF(E192="MA",5,(IF(E192="PT",6,(IF(E192="AE",1,(IF(E192="CM",2,(IF(E192="DP",3,(IF(E192="AN",1,(IF(E192="CO",2,(IF(E192="IM",3,(IF(E192="MI",4,(IF(E192="RP",5,(IF(E192="SC",6,0)))))))))))))))))))))))))))))))))))))))</f>
        <v>3</v>
      </c>
      <c r="G192" s="170">
        <v>1</v>
      </c>
      <c r="H192" s="38" t="s">
        <v>511</v>
      </c>
      <c r="I192" s="105" t="s">
        <v>1449</v>
      </c>
      <c r="J192" s="157" t="s">
        <v>2317</v>
      </c>
      <c r="K192" s="34" t="s">
        <v>2318</v>
      </c>
      <c r="L192" s="5">
        <f>IF(O192="","",N192*O192*M192)</f>
        <v>99</v>
      </c>
      <c r="M192" s="8">
        <v>1</v>
      </c>
      <c r="N192" s="1">
        <v>1</v>
      </c>
      <c r="O192" s="15">
        <f>IF(SUM(Q192:AF192)&lt;1,"",SUM(Q192:AF192)/COUNTIF(Q192:AF192,"&gt;0"))</f>
        <v>99</v>
      </c>
      <c r="P192" s="16"/>
      <c r="Q192" s="13"/>
      <c r="R192" s="4"/>
      <c r="S192" s="4"/>
      <c r="T192" s="4">
        <v>99</v>
      </c>
      <c r="Y192" s="4"/>
      <c r="AB192" s="4"/>
      <c r="AC192" s="4"/>
      <c r="AD192" s="4"/>
      <c r="AE192" s="4"/>
      <c r="AF192" s="14"/>
    </row>
    <row r="193" spans="1:32" s="2" customFormat="1" ht="15.75" customHeight="1" x14ac:dyDescent="0.25">
      <c r="A193" s="33" t="str">
        <f>CONCATENATE(D193,".",F193,"-",G193,".",H193,"")</f>
        <v>1.3-1.1</v>
      </c>
      <c r="B193" s="33" t="s">
        <v>814</v>
      </c>
      <c r="C193" s="39" t="s">
        <v>335</v>
      </c>
      <c r="D193" s="33">
        <f>IF(C193="ID",1,(IF(C193="PR",2,(IF(C193="DE",3,(IF(C193="RS",4,(IF(C193="RC",5,0)))))))))</f>
        <v>1</v>
      </c>
      <c r="E193" s="33" t="s">
        <v>341</v>
      </c>
      <c r="F193" s="33">
        <f>IF(E193="AM",1,(IF(E193="BE",2,(IF(E193="GV",3,(IF(E193="RA",4,(IF(E193="RM",5,(IF(E193="AC",1,(IF(E193="AT",2,(IF(E193="DS",3,(IF(E193="IP",4,(IF(E193="MA",5,(IF(E193="PT",6,(IF(E193="AE",1,(IF(E193="CM",2,(IF(E193="DP",3,(IF(E193="AN",1,(IF(E193="CO",2,(IF(E193="IM",3,(IF(E193="MI",4,(IF(E193="RP",5,(IF(E193="SC",6,0)))))))))))))))))))))))))))))))))))))))</f>
        <v>3</v>
      </c>
      <c r="G193" s="170">
        <v>1</v>
      </c>
      <c r="H193" s="38" t="s">
        <v>511</v>
      </c>
      <c r="I193" s="105" t="s">
        <v>1449</v>
      </c>
      <c r="J193" s="157" t="s">
        <v>2361</v>
      </c>
      <c r="K193" s="34" t="s">
        <v>2362</v>
      </c>
      <c r="L193" s="5">
        <f>IF(O193="","",N193*O193*M193)</f>
        <v>99</v>
      </c>
      <c r="M193" s="8">
        <v>1</v>
      </c>
      <c r="N193" s="1">
        <v>1</v>
      </c>
      <c r="O193" s="15">
        <f>IF(SUM(Q193:AF193)&lt;1,"",SUM(Q193:AF193)/COUNTIF(Q193:AF193,"&gt;0"))</f>
        <v>99</v>
      </c>
      <c r="P193" s="16"/>
      <c r="Q193" s="13"/>
      <c r="R193" s="4"/>
      <c r="S193" s="4"/>
      <c r="T193" s="4">
        <v>99</v>
      </c>
      <c r="Y193" s="4"/>
      <c r="AB193" s="4"/>
      <c r="AC193" s="4"/>
      <c r="AD193" s="4"/>
      <c r="AE193" s="4"/>
      <c r="AF193" s="14"/>
    </row>
    <row r="194" spans="1:32" s="2" customFormat="1" ht="15.75" customHeight="1" x14ac:dyDescent="0.25">
      <c r="A194" s="33" t="str">
        <f>CONCATENATE(D194,".",F194,"-",G194,".",H194,"")</f>
        <v>1.3-1.1</v>
      </c>
      <c r="B194" s="33" t="s">
        <v>814</v>
      </c>
      <c r="C194" s="39" t="s">
        <v>335</v>
      </c>
      <c r="D194" s="33">
        <f>IF(C194="ID",1,(IF(C194="PR",2,(IF(C194="DE",3,(IF(C194="RS",4,(IF(C194="RC",5,0)))))))))</f>
        <v>1</v>
      </c>
      <c r="E194" s="33" t="s">
        <v>341</v>
      </c>
      <c r="F194" s="33">
        <f>IF(E194="AM",1,(IF(E194="BE",2,(IF(E194="GV",3,(IF(E194="RA",4,(IF(E194="RM",5,(IF(E194="AC",1,(IF(E194="AT",2,(IF(E194="DS",3,(IF(E194="IP",4,(IF(E194="MA",5,(IF(E194="PT",6,(IF(E194="AE",1,(IF(E194="CM",2,(IF(E194="DP",3,(IF(E194="AN",1,(IF(E194="CO",2,(IF(E194="IM",3,(IF(E194="MI",4,(IF(E194="RP",5,(IF(E194="SC",6,0)))))))))))))))))))))))))))))))))))))))</f>
        <v>3</v>
      </c>
      <c r="G194" s="170">
        <v>1</v>
      </c>
      <c r="H194" s="38" t="s">
        <v>511</v>
      </c>
      <c r="I194" s="105" t="s">
        <v>1449</v>
      </c>
      <c r="J194" s="157" t="s">
        <v>2461</v>
      </c>
      <c r="K194" s="34" t="s">
        <v>2462</v>
      </c>
      <c r="L194" s="5">
        <f>IF(O194="","",N194*O194*M194)</f>
        <v>99</v>
      </c>
      <c r="M194" s="8">
        <v>1</v>
      </c>
      <c r="N194" s="1">
        <v>1</v>
      </c>
      <c r="O194" s="15">
        <f>IF(SUM(Q194:AF194)&lt;1,"",SUM(Q194:AF194)/COUNTIF(Q194:AF194,"&gt;0"))</f>
        <v>99</v>
      </c>
      <c r="P194" s="16"/>
      <c r="Q194" s="13"/>
      <c r="R194" s="4"/>
      <c r="S194" s="4"/>
      <c r="T194" s="4">
        <v>99</v>
      </c>
      <c r="Y194" s="4"/>
      <c r="AB194" s="4"/>
      <c r="AC194" s="4"/>
      <c r="AD194" s="4"/>
      <c r="AE194" s="4"/>
      <c r="AF194" s="14"/>
    </row>
    <row r="195" spans="1:32" s="1" customFormat="1" ht="15.75" customHeight="1" x14ac:dyDescent="0.25">
      <c r="A195" s="33" t="str">
        <f>CONCATENATE(D195,".",F195,"-",G195,".",H195,"")</f>
        <v>1.3-1.1</v>
      </c>
      <c r="B195" s="33" t="s">
        <v>814</v>
      </c>
      <c r="C195" s="39" t="s">
        <v>335</v>
      </c>
      <c r="D195" s="33">
        <f>IF(C195="ID",1,(IF(C195="PR",2,(IF(C195="DE",3,(IF(C195="RS",4,(IF(C195="RC",5,0)))))))))</f>
        <v>1</v>
      </c>
      <c r="E195" s="33" t="s">
        <v>341</v>
      </c>
      <c r="F195" s="33">
        <f>IF(E195="AM",1,(IF(E195="BE",2,(IF(E195="GV",3,(IF(E195="RA",4,(IF(E195="RM",5,(IF(E195="AC",1,(IF(E195="AT",2,(IF(E195="DS",3,(IF(E195="IP",4,(IF(E195="MA",5,(IF(E195="PT",6,(IF(E195="AE",1,(IF(E195="CM",2,(IF(E195="DP",3,(IF(E195="AN",1,(IF(E195="CO",2,(IF(E195="IM",3,(IF(E195="MI",4,(IF(E195="RP",5,(IF(E195="SC",6,0)))))))))))))))))))))))))))))))))))))))</f>
        <v>3</v>
      </c>
      <c r="G195" s="170">
        <v>1</v>
      </c>
      <c r="H195" s="38" t="s">
        <v>511</v>
      </c>
      <c r="I195" s="105" t="s">
        <v>1449</v>
      </c>
      <c r="J195" s="157" t="s">
        <v>2481</v>
      </c>
      <c r="K195" s="34" t="s">
        <v>2482</v>
      </c>
      <c r="L195" s="5">
        <f>IF(O195="","",N195*O195*M195)</f>
        <v>99</v>
      </c>
      <c r="M195" s="8">
        <v>1</v>
      </c>
      <c r="N195" s="1">
        <v>1</v>
      </c>
      <c r="O195" s="15">
        <f>IF(SUM(Q195:AF195)&lt;1,"",SUM(Q195:AF195)/COUNTIF(Q195:AF195,"&gt;0"))</f>
        <v>99</v>
      </c>
      <c r="P195" s="16"/>
      <c r="Q195" s="13"/>
      <c r="R195" s="4"/>
      <c r="S195" s="4"/>
      <c r="T195" s="4">
        <v>99</v>
      </c>
      <c r="U195" s="2"/>
      <c r="V195" s="2"/>
      <c r="W195" s="2"/>
      <c r="X195" s="2"/>
      <c r="Y195" s="4"/>
      <c r="Z195" s="2"/>
      <c r="AA195" s="2"/>
      <c r="AB195" s="4"/>
      <c r="AC195" s="4"/>
      <c r="AD195" s="4"/>
      <c r="AE195" s="4"/>
      <c r="AF195" s="14"/>
    </row>
    <row r="196" spans="1:32" s="1" customFormat="1" ht="15.75" customHeight="1" x14ac:dyDescent="0.25">
      <c r="A196" s="33" t="str">
        <f>CONCATENATE(D196,".",F196,"-",G196,".",H196,"")</f>
        <v>1.3-1.1</v>
      </c>
      <c r="B196" s="33" t="s">
        <v>814</v>
      </c>
      <c r="C196" s="39" t="s">
        <v>335</v>
      </c>
      <c r="D196" s="33">
        <f>IF(C196="ID",1,(IF(C196="PR",2,(IF(C196="DE",3,(IF(C196="RS",4,(IF(C196="RC",5,0)))))))))</f>
        <v>1</v>
      </c>
      <c r="E196" s="33" t="s">
        <v>341</v>
      </c>
      <c r="F196" s="33">
        <f>IF(E196="AM",1,(IF(E196="BE",2,(IF(E196="GV",3,(IF(E196="RA",4,(IF(E196="RM",5,(IF(E196="AC",1,(IF(E196="AT",2,(IF(E196="DS",3,(IF(E196="IP",4,(IF(E196="MA",5,(IF(E196="PT",6,(IF(E196="AE",1,(IF(E196="CM",2,(IF(E196="DP",3,(IF(E196="AN",1,(IF(E196="CO",2,(IF(E196="IM",3,(IF(E196="MI",4,(IF(E196="RP",5,(IF(E196="SC",6,0)))))))))))))))))))))))))))))))))))))))</f>
        <v>3</v>
      </c>
      <c r="G196" s="170">
        <v>1</v>
      </c>
      <c r="H196" s="38" t="s">
        <v>511</v>
      </c>
      <c r="I196" s="105" t="s">
        <v>1449</v>
      </c>
      <c r="J196" s="157" t="s">
        <v>2513</v>
      </c>
      <c r="K196" s="34" t="s">
        <v>2514</v>
      </c>
      <c r="L196" s="5">
        <f>IF(O196="","",N196*O196*M196)</f>
        <v>99</v>
      </c>
      <c r="M196" s="8">
        <v>1</v>
      </c>
      <c r="N196" s="1">
        <v>1</v>
      </c>
      <c r="O196" s="15">
        <f>IF(SUM(Q196:AF196)&lt;1,"",SUM(Q196:AF196)/COUNTIF(Q196:AF196,"&gt;0"))</f>
        <v>99</v>
      </c>
      <c r="P196" s="16"/>
      <c r="Q196" s="13"/>
      <c r="R196" s="4"/>
      <c r="S196" s="4"/>
      <c r="T196" s="4">
        <v>99</v>
      </c>
      <c r="U196" s="2"/>
      <c r="V196" s="2"/>
      <c r="W196" s="2"/>
      <c r="X196" s="2"/>
      <c r="Y196" s="4"/>
      <c r="Z196" s="2"/>
      <c r="AA196" s="2"/>
      <c r="AB196" s="4"/>
      <c r="AC196" s="4"/>
      <c r="AD196" s="4"/>
      <c r="AE196" s="4"/>
      <c r="AF196" s="14"/>
    </row>
    <row r="197" spans="1:32" s="1" customFormat="1" ht="15.75" customHeight="1" x14ac:dyDescent="0.25">
      <c r="A197" s="33" t="str">
        <f>CONCATENATE(D197,".",F197,"-",G197,".",H197,"")</f>
        <v>1.3-1.1</v>
      </c>
      <c r="B197" s="33" t="s">
        <v>814</v>
      </c>
      <c r="C197" s="39" t="s">
        <v>335</v>
      </c>
      <c r="D197" s="33">
        <f>IF(C197="ID",1,(IF(C197="PR",2,(IF(C197="DE",3,(IF(C197="RS",4,(IF(C197="RC",5,0)))))))))</f>
        <v>1</v>
      </c>
      <c r="E197" s="33" t="s">
        <v>341</v>
      </c>
      <c r="F197" s="33">
        <f>IF(E197="AM",1,(IF(E197="BE",2,(IF(E197="GV",3,(IF(E197="RA",4,(IF(E197="RM",5,(IF(E197="AC",1,(IF(E197="AT",2,(IF(E197="DS",3,(IF(E197="IP",4,(IF(E197="MA",5,(IF(E197="PT",6,(IF(E197="AE",1,(IF(E197="CM",2,(IF(E197="DP",3,(IF(E197="AN",1,(IF(E197="CO",2,(IF(E197="IM",3,(IF(E197="MI",4,(IF(E197="RP",5,(IF(E197="SC",6,0)))))))))))))))))))))))))))))))))))))))</f>
        <v>3</v>
      </c>
      <c r="G197" s="170">
        <v>1</v>
      </c>
      <c r="H197" s="38" t="s">
        <v>511</v>
      </c>
      <c r="I197" s="105" t="s">
        <v>1449</v>
      </c>
      <c r="J197" s="157" t="s">
        <v>2543</v>
      </c>
      <c r="K197" s="34" t="s">
        <v>2544</v>
      </c>
      <c r="L197" s="5">
        <f>IF(O197="","",N197*O197*M197)</f>
        <v>99</v>
      </c>
      <c r="M197" s="8">
        <v>1</v>
      </c>
      <c r="N197" s="1">
        <v>1</v>
      </c>
      <c r="O197" s="15">
        <f>IF(SUM(Q197:AF197)&lt;1,"",SUM(Q197:AF197)/COUNTIF(Q197:AF197,"&gt;0"))</f>
        <v>99</v>
      </c>
      <c r="P197" s="16"/>
      <c r="Q197" s="13"/>
      <c r="R197" s="4"/>
      <c r="S197" s="4"/>
      <c r="T197" s="4">
        <v>99</v>
      </c>
      <c r="U197" s="2"/>
      <c r="V197" s="2"/>
      <c r="W197" s="2"/>
      <c r="X197" s="2"/>
      <c r="Y197" s="4"/>
      <c r="Z197" s="2"/>
      <c r="AA197" s="2"/>
      <c r="AB197" s="4"/>
      <c r="AC197" s="4"/>
      <c r="AD197" s="4"/>
      <c r="AE197" s="4"/>
      <c r="AF197" s="14"/>
    </row>
    <row r="198" spans="1:32" s="1" customFormat="1" ht="15.75" customHeight="1" x14ac:dyDescent="0.25">
      <c r="A198" s="33" t="str">
        <f>CONCATENATE(D198,".",F198,"-",G198,".",H198,"")</f>
        <v>1.3-1.1</v>
      </c>
      <c r="B198" s="33"/>
      <c r="C198" s="39" t="s">
        <v>335</v>
      </c>
      <c r="D198" s="33">
        <f>IF(C198="ID",1,(IF(C198="PR",2,(IF(C198="DE",3,(IF(C198="RS",4,(IF(C198="RC",5,0)))))))))</f>
        <v>1</v>
      </c>
      <c r="E198" s="33" t="s">
        <v>341</v>
      </c>
      <c r="F198" s="33">
        <f>IF(E198="AM",1,(IF(E198="BE",2,(IF(E198="GV",3,(IF(E198="RA",4,(IF(E198="RM",5,(IF(E198="AC",1,(IF(E198="AT",2,(IF(E198="DS",3,(IF(E198="IP",4,(IF(E198="MA",5,(IF(E198="PT",6,(IF(E198="AE",1,(IF(E198="CM",2,(IF(E198="DP",3,(IF(E198="AN",1,(IF(E198="CO",2,(IF(E198="IM",3,(IF(E198="MI",4,(IF(E198="RP",5,(IF(E198="SC",6,0)))))))))))))))))))))))))))))))))))))))</f>
        <v>3</v>
      </c>
      <c r="G198" s="170">
        <v>1</v>
      </c>
      <c r="H198" s="38" t="s">
        <v>511</v>
      </c>
      <c r="I198" s="105" t="s">
        <v>1449</v>
      </c>
      <c r="J198" s="157" t="s">
        <v>2569</v>
      </c>
      <c r="K198" s="34" t="s">
        <v>2570</v>
      </c>
      <c r="L198" s="5">
        <f>IF(O198="","",N198*O198*M198)</f>
        <v>99</v>
      </c>
      <c r="M198" s="8">
        <v>1</v>
      </c>
      <c r="N198" s="1">
        <v>1</v>
      </c>
      <c r="O198" s="15">
        <f>IF(SUM(Q198:AF198)&lt;1,"",SUM(Q198:AF198)/COUNTIF(Q198:AF198,"&gt;0"))</f>
        <v>99</v>
      </c>
      <c r="P198" s="16"/>
      <c r="Q198" s="13"/>
      <c r="R198" s="4"/>
      <c r="S198" s="4"/>
      <c r="T198" s="4">
        <v>99</v>
      </c>
      <c r="U198" s="2"/>
      <c r="V198" s="2"/>
      <c r="W198" s="2"/>
      <c r="X198" s="2"/>
      <c r="Y198" s="4"/>
      <c r="Z198" s="2"/>
      <c r="AA198" s="2"/>
      <c r="AB198" s="4"/>
      <c r="AC198" s="4"/>
      <c r="AD198" s="4"/>
      <c r="AE198" s="4"/>
      <c r="AF198" s="14"/>
    </row>
    <row r="199" spans="1:32" s="2" customFormat="1" ht="15.75" customHeight="1" x14ac:dyDescent="0.25">
      <c r="A199" s="33" t="str">
        <f>CONCATENATE(D199,".",F199,"-",G199,".",H199,"")</f>
        <v>1.3-1.1</v>
      </c>
      <c r="B199" s="33" t="s">
        <v>814</v>
      </c>
      <c r="C199" s="39" t="s">
        <v>335</v>
      </c>
      <c r="D199" s="33">
        <f>IF(C199="ID",1,(IF(C199="PR",2,(IF(C199="DE",3,(IF(C199="RS",4,(IF(C199="RC",5,0)))))))))</f>
        <v>1</v>
      </c>
      <c r="E199" s="33" t="s">
        <v>341</v>
      </c>
      <c r="F199" s="33">
        <f>IF(E199="AM",1,(IF(E199="BE",2,(IF(E199="GV",3,(IF(E199="RA",4,(IF(E199="RM",5,(IF(E199="AC",1,(IF(E199="AT",2,(IF(E199="DS",3,(IF(E199="IP",4,(IF(E199="MA",5,(IF(E199="PT",6,(IF(E199="AE",1,(IF(E199="CM",2,(IF(E199="DP",3,(IF(E199="AN",1,(IF(E199="CO",2,(IF(E199="IM",3,(IF(E199="MI",4,(IF(E199="RP",5,(IF(E199="SC",6,0)))))))))))))))))))))))))))))))))))))))</f>
        <v>3</v>
      </c>
      <c r="G199" s="170">
        <v>1</v>
      </c>
      <c r="H199" s="38" t="s">
        <v>511</v>
      </c>
      <c r="I199" s="105" t="s">
        <v>1449</v>
      </c>
      <c r="J199" s="157" t="s">
        <v>2741</v>
      </c>
      <c r="K199" s="34" t="s">
        <v>2742</v>
      </c>
      <c r="L199" s="5">
        <f>IF(O199="","",N199*O199*M199)</f>
        <v>99</v>
      </c>
      <c r="M199" s="8">
        <v>1</v>
      </c>
      <c r="N199" s="1">
        <v>1</v>
      </c>
      <c r="O199" s="15">
        <f>IF(SUM(Q199:AF199)&lt;1,"",SUM(Q199:AF199)/COUNTIF(Q199:AF199,"&gt;0"))</f>
        <v>99</v>
      </c>
      <c r="P199" s="16"/>
      <c r="Q199" s="13"/>
      <c r="R199" s="4"/>
      <c r="S199" s="4"/>
      <c r="T199" s="4">
        <v>99</v>
      </c>
      <c r="Y199" s="4"/>
      <c r="AB199" s="4"/>
      <c r="AC199" s="4"/>
      <c r="AD199" s="4"/>
      <c r="AE199" s="4"/>
      <c r="AF199" s="14"/>
    </row>
    <row r="200" spans="1:32" s="2" customFormat="1" ht="15.75" customHeight="1" x14ac:dyDescent="0.25">
      <c r="A200" s="33" t="str">
        <f>CONCATENATE(D200,".",F200,"-",G200,".",H200,"")</f>
        <v>1.3-1.1</v>
      </c>
      <c r="B200" s="33"/>
      <c r="C200" s="39" t="s">
        <v>335</v>
      </c>
      <c r="D200" s="33">
        <f>IF(C200="ID",1,(IF(C200="PR",2,(IF(C200="DE",3,(IF(C200="RS",4,(IF(C200="RC",5,0)))))))))</f>
        <v>1</v>
      </c>
      <c r="E200" s="33" t="s">
        <v>341</v>
      </c>
      <c r="F200" s="33">
        <f>IF(E200="AM",1,(IF(E200="BE",2,(IF(E200="GV",3,(IF(E200="RA",4,(IF(E200="RM",5,(IF(E200="AC",1,(IF(E200="AT",2,(IF(E200="DS",3,(IF(E200="IP",4,(IF(E200="MA",5,(IF(E200="PT",6,(IF(E200="AE",1,(IF(E200="CM",2,(IF(E200="DP",3,(IF(E200="AN",1,(IF(E200="CO",2,(IF(E200="IM",3,(IF(E200="MI",4,(IF(E200="RP",5,(IF(E200="SC",6,0)))))))))))))))))))))))))))))))))))))))</f>
        <v>3</v>
      </c>
      <c r="G200" s="170">
        <v>1</v>
      </c>
      <c r="H200" s="38" t="s">
        <v>511</v>
      </c>
      <c r="I200" s="105" t="s">
        <v>1670</v>
      </c>
      <c r="J200" s="157" t="s">
        <v>2979</v>
      </c>
      <c r="K200" s="34" t="s">
        <v>2980</v>
      </c>
      <c r="L200" s="5">
        <f>IF(O200="","",N200*O200*M200)</f>
        <v>99</v>
      </c>
      <c r="M200" s="8">
        <v>1</v>
      </c>
      <c r="N200" s="1">
        <v>1</v>
      </c>
      <c r="O200" s="15">
        <f>IF(SUM(Q200:AF200)&lt;1,"",SUM(Q200:AF200)/COUNTIF(Q200:AF200,"&gt;0"))</f>
        <v>99</v>
      </c>
      <c r="P200" s="16"/>
      <c r="Q200" s="13"/>
      <c r="R200" s="4"/>
      <c r="S200" s="4"/>
      <c r="T200" s="4">
        <v>99</v>
      </c>
      <c r="Y200" s="4"/>
      <c r="AB200" s="4"/>
      <c r="AC200" s="4"/>
      <c r="AD200" s="4"/>
      <c r="AE200" s="4"/>
      <c r="AF200" s="14"/>
    </row>
    <row r="201" spans="1:32" s="2" customFormat="1" ht="15.75" customHeight="1" x14ac:dyDescent="0.25">
      <c r="A201" s="33" t="str">
        <f>CONCATENATE(D201,".",F201,"-",G201,".",H201,"")</f>
        <v>1.3-1.1</v>
      </c>
      <c r="B201" s="33"/>
      <c r="C201" s="39" t="s">
        <v>335</v>
      </c>
      <c r="D201" s="33">
        <f>IF(C201="ID",1,(IF(C201="PR",2,(IF(C201="DE",3,(IF(C201="RS",4,(IF(C201="RC",5,0)))))))))</f>
        <v>1</v>
      </c>
      <c r="E201" s="33" t="s">
        <v>341</v>
      </c>
      <c r="F201" s="33">
        <f>IF(E201="AM",1,(IF(E201="BE",2,(IF(E201="GV",3,(IF(E201="RA",4,(IF(E201="RM",5,(IF(E201="AC",1,(IF(E201="AT",2,(IF(E201="DS",3,(IF(E201="IP",4,(IF(E201="MA",5,(IF(E201="PT",6,(IF(E201="AE",1,(IF(E201="CM",2,(IF(E201="DP",3,(IF(E201="AN",1,(IF(E201="CO",2,(IF(E201="IM",3,(IF(E201="MI",4,(IF(E201="RP",5,(IF(E201="SC",6,0)))))))))))))))))))))))))))))))))))))))</f>
        <v>3</v>
      </c>
      <c r="G201" s="170">
        <v>1</v>
      </c>
      <c r="H201" s="38" t="s">
        <v>511</v>
      </c>
      <c r="I201" s="105" t="s">
        <v>1670</v>
      </c>
      <c r="J201" s="157" t="s">
        <v>2981</v>
      </c>
      <c r="K201" s="34" t="s">
        <v>2982</v>
      </c>
      <c r="L201" s="5">
        <f>IF(O201="","",N201*O201*M201)</f>
        <v>99</v>
      </c>
      <c r="M201" s="8">
        <v>1</v>
      </c>
      <c r="N201" s="1">
        <v>1</v>
      </c>
      <c r="O201" s="15">
        <f>IF(SUM(Q201:AF201)&lt;1,"",SUM(Q201:AF201)/COUNTIF(Q201:AF201,"&gt;0"))</f>
        <v>99</v>
      </c>
      <c r="P201" s="16"/>
      <c r="Q201" s="13"/>
      <c r="R201" s="4"/>
      <c r="S201" s="4"/>
      <c r="T201" s="4">
        <v>99</v>
      </c>
      <c r="Y201" s="4"/>
      <c r="AB201" s="4"/>
      <c r="AC201" s="4"/>
      <c r="AD201" s="4"/>
      <c r="AE201" s="4"/>
      <c r="AF201" s="14"/>
    </row>
    <row r="202" spans="1:32" s="2" customFormat="1" ht="15.75" customHeight="1" x14ac:dyDescent="0.25">
      <c r="A202" s="33" t="str">
        <f>CONCATENATE(D202,".",F202,"-",G202,".",H202,"")</f>
        <v>1.3-1.1</v>
      </c>
      <c r="B202" s="33" t="s">
        <v>814</v>
      </c>
      <c r="C202" s="39" t="s">
        <v>335</v>
      </c>
      <c r="D202" s="33">
        <f>IF(C202="ID",1,(IF(C202="PR",2,(IF(C202="DE",3,(IF(C202="RS",4,(IF(C202="RC",5,0)))))))))</f>
        <v>1</v>
      </c>
      <c r="E202" s="33" t="s">
        <v>341</v>
      </c>
      <c r="F202" s="33">
        <f>IF(E202="AM",1,(IF(E202="BE",2,(IF(E202="GV",3,(IF(E202="RA",4,(IF(E202="RM",5,(IF(E202="AC",1,(IF(E202="AT",2,(IF(E202="DS",3,(IF(E202="IP",4,(IF(E202="MA",5,(IF(E202="PT",6,(IF(E202="AE",1,(IF(E202="CM",2,(IF(E202="DP",3,(IF(E202="AN",1,(IF(E202="CO",2,(IF(E202="IM",3,(IF(E202="MI",4,(IF(E202="RP",5,(IF(E202="SC",6,0)))))))))))))))))))))))))))))))))))))))</f>
        <v>3</v>
      </c>
      <c r="G202" s="170">
        <v>1</v>
      </c>
      <c r="H202" s="38" t="s">
        <v>511</v>
      </c>
      <c r="I202" s="105" t="s">
        <v>1449</v>
      </c>
      <c r="J202" s="157" t="s">
        <v>2983</v>
      </c>
      <c r="K202" s="34" t="s">
        <v>2984</v>
      </c>
      <c r="L202" s="5">
        <f>IF(O202="","",N202*O202*M202)</f>
        <v>99</v>
      </c>
      <c r="M202" s="8">
        <v>1</v>
      </c>
      <c r="N202" s="1">
        <v>1</v>
      </c>
      <c r="O202" s="15">
        <f>IF(SUM(Q202:AF202)&lt;1,"",SUM(Q202:AF202)/COUNTIF(Q202:AF202,"&gt;0"))</f>
        <v>99</v>
      </c>
      <c r="P202" s="16"/>
      <c r="Q202" s="13"/>
      <c r="R202" s="4"/>
      <c r="S202" s="4"/>
      <c r="T202" s="4">
        <v>99</v>
      </c>
      <c r="Y202" s="4"/>
      <c r="AB202" s="4"/>
      <c r="AC202" s="4"/>
      <c r="AD202" s="4"/>
      <c r="AE202" s="4"/>
      <c r="AF202" s="14"/>
    </row>
    <row r="203" spans="1:32" s="2" customFormat="1" ht="15.75" customHeight="1" x14ac:dyDescent="0.25">
      <c r="A203" s="33" t="str">
        <f>CONCATENATE(D203,".",F203,"-",G203,".",H203,"")</f>
        <v>1.3-1.1</v>
      </c>
      <c r="B203" s="33"/>
      <c r="C203" s="39" t="s">
        <v>335</v>
      </c>
      <c r="D203" s="33">
        <f>IF(C203="ID",1,(IF(C203="PR",2,(IF(C203="DE",3,(IF(C203="RS",4,(IF(C203="RC",5,0)))))))))</f>
        <v>1</v>
      </c>
      <c r="E203" s="33" t="s">
        <v>341</v>
      </c>
      <c r="F203" s="33">
        <f>IF(E203="AM",1,(IF(E203="BE",2,(IF(E203="GV",3,(IF(E203="RA",4,(IF(E203="RM",5,(IF(E203="AC",1,(IF(E203="AT",2,(IF(E203="DS",3,(IF(E203="IP",4,(IF(E203="MA",5,(IF(E203="PT",6,(IF(E203="AE",1,(IF(E203="CM",2,(IF(E203="DP",3,(IF(E203="AN",1,(IF(E203="CO",2,(IF(E203="IM",3,(IF(E203="MI",4,(IF(E203="RP",5,(IF(E203="SC",6,0)))))))))))))))))))))))))))))))))))))))</f>
        <v>3</v>
      </c>
      <c r="G203" s="170">
        <v>1</v>
      </c>
      <c r="H203" s="38" t="s">
        <v>511</v>
      </c>
      <c r="I203" s="105" t="s">
        <v>1670</v>
      </c>
      <c r="J203" s="157" t="s">
        <v>3147</v>
      </c>
      <c r="K203" s="34" t="s">
        <v>3148</v>
      </c>
      <c r="L203" s="5">
        <f>IF(O203="","",N203*O203*M203)</f>
        <v>99</v>
      </c>
      <c r="M203" s="8">
        <v>1</v>
      </c>
      <c r="N203" s="1">
        <v>1</v>
      </c>
      <c r="O203" s="15">
        <f>IF(SUM(Q203:AF203)&lt;1,"",SUM(Q203:AF203)/COUNTIF(Q203:AF203,"&gt;0"))</f>
        <v>99</v>
      </c>
      <c r="P203" s="16"/>
      <c r="Q203" s="13"/>
      <c r="R203" s="4"/>
      <c r="S203" s="4"/>
      <c r="T203" s="4">
        <v>99</v>
      </c>
      <c r="Y203" s="4"/>
      <c r="AB203" s="4"/>
      <c r="AC203" s="4"/>
      <c r="AD203" s="4"/>
      <c r="AE203" s="4"/>
      <c r="AF203" s="14"/>
    </row>
    <row r="204" spans="1:32" s="2" customFormat="1" ht="15.75" customHeight="1" x14ac:dyDescent="0.25">
      <c r="A204" s="33" t="str">
        <f>CONCATENATE(D204,".",F204,"-",G204,".",H204,"")</f>
        <v>1.3-1.1</v>
      </c>
      <c r="B204" s="33"/>
      <c r="C204" s="39" t="s">
        <v>335</v>
      </c>
      <c r="D204" s="33">
        <f>IF(C204="ID",1,(IF(C204="PR",2,(IF(C204="DE",3,(IF(C204="RS",4,(IF(C204="RC",5,0)))))))))</f>
        <v>1</v>
      </c>
      <c r="E204" s="33" t="s">
        <v>341</v>
      </c>
      <c r="F204" s="33">
        <f>IF(E204="AM",1,(IF(E204="BE",2,(IF(E204="GV",3,(IF(E204="RA",4,(IF(E204="RM",5,(IF(E204="AC",1,(IF(E204="AT",2,(IF(E204="DS",3,(IF(E204="IP",4,(IF(E204="MA",5,(IF(E204="PT",6,(IF(E204="AE",1,(IF(E204="CM",2,(IF(E204="DP",3,(IF(E204="AN",1,(IF(E204="CO",2,(IF(E204="IM",3,(IF(E204="MI",4,(IF(E204="RP",5,(IF(E204="SC",6,0)))))))))))))))))))))))))))))))))))))))</f>
        <v>3</v>
      </c>
      <c r="G204" s="170">
        <v>1</v>
      </c>
      <c r="H204" s="38" t="s">
        <v>511</v>
      </c>
      <c r="I204" s="105" t="s">
        <v>1670</v>
      </c>
      <c r="J204" s="157" t="s">
        <v>3149</v>
      </c>
      <c r="K204" s="34" t="s">
        <v>3150</v>
      </c>
      <c r="L204" s="5">
        <f>IF(O204="","",N204*O204*M204)</f>
        <v>99</v>
      </c>
      <c r="M204" s="8">
        <v>1</v>
      </c>
      <c r="N204" s="1">
        <v>1</v>
      </c>
      <c r="O204" s="15">
        <f>IF(SUM(Q204:AF204)&lt;1,"",SUM(Q204:AF204)/COUNTIF(Q204:AF204,"&gt;0"))</f>
        <v>99</v>
      </c>
      <c r="P204" s="16"/>
      <c r="Q204" s="13"/>
      <c r="R204" s="4"/>
      <c r="S204" s="4"/>
      <c r="T204" s="4">
        <v>99</v>
      </c>
      <c r="Y204" s="4"/>
      <c r="AB204" s="4"/>
      <c r="AC204" s="4"/>
      <c r="AD204" s="4"/>
      <c r="AE204" s="4"/>
      <c r="AF204" s="14"/>
    </row>
    <row r="205" spans="1:32" s="2" customFormat="1" ht="15.75" customHeight="1" x14ac:dyDescent="0.25">
      <c r="A205" s="33" t="str">
        <f>CONCATENATE(D205,".",F205,"-",G205,".",H205,"")</f>
        <v>1.3-1.1</v>
      </c>
      <c r="B205" s="33"/>
      <c r="C205" s="39" t="s">
        <v>335</v>
      </c>
      <c r="D205" s="33">
        <f>IF(C205="ID",1,(IF(C205="PR",2,(IF(C205="DE",3,(IF(C205="RS",4,(IF(C205="RC",5,0)))))))))</f>
        <v>1</v>
      </c>
      <c r="E205" s="33" t="s">
        <v>341</v>
      </c>
      <c r="F205" s="33">
        <f>IF(E205="AM",1,(IF(E205="BE",2,(IF(E205="GV",3,(IF(E205="RA",4,(IF(E205="RM",5,(IF(E205="AC",1,(IF(E205="AT",2,(IF(E205="DS",3,(IF(E205="IP",4,(IF(E205="MA",5,(IF(E205="PT",6,(IF(E205="AE",1,(IF(E205="CM",2,(IF(E205="DP",3,(IF(E205="AN",1,(IF(E205="CO",2,(IF(E205="IM",3,(IF(E205="MI",4,(IF(E205="RP",5,(IF(E205="SC",6,0)))))))))))))))))))))))))))))))))))))))</f>
        <v>3</v>
      </c>
      <c r="G205" s="170">
        <v>1</v>
      </c>
      <c r="H205" s="38" t="s">
        <v>511</v>
      </c>
      <c r="I205" s="105" t="s">
        <v>1670</v>
      </c>
      <c r="J205" s="38" t="s">
        <v>3151</v>
      </c>
      <c r="K205" s="34" t="s">
        <v>3152</v>
      </c>
      <c r="L205" s="5">
        <f>IF(O205="","",N205*O205*M205)</f>
        <v>99</v>
      </c>
      <c r="M205" s="8">
        <v>1</v>
      </c>
      <c r="N205" s="1">
        <v>1</v>
      </c>
      <c r="O205" s="15">
        <f>IF(SUM(Q205:AF205)&lt;1,"",SUM(Q205:AF205)/COUNTIF(Q205:AF205,"&gt;0"))</f>
        <v>99</v>
      </c>
      <c r="P205" s="16"/>
      <c r="Q205" s="13"/>
      <c r="R205" s="4"/>
      <c r="S205" s="4"/>
      <c r="T205" s="4">
        <v>99</v>
      </c>
      <c r="Y205" s="4"/>
      <c r="AB205" s="4"/>
      <c r="AC205" s="4"/>
      <c r="AD205" s="4"/>
      <c r="AE205" s="4"/>
      <c r="AF205" s="14"/>
    </row>
    <row r="206" spans="1:32" s="2" customFormat="1" ht="15.75" customHeight="1" x14ac:dyDescent="0.25">
      <c r="A206" s="33" t="str">
        <f>CONCATENATE(D206,".",F206,"-",G206,".",H206,"")</f>
        <v>1.3-1.1</v>
      </c>
      <c r="B206" s="33"/>
      <c r="C206" s="39" t="s">
        <v>335</v>
      </c>
      <c r="D206" s="33">
        <f>IF(C206="ID",1,(IF(C206="PR",2,(IF(C206="DE",3,(IF(C206="RS",4,(IF(C206="RC",5,0)))))))))</f>
        <v>1</v>
      </c>
      <c r="E206" s="33" t="s">
        <v>341</v>
      </c>
      <c r="F206" s="33">
        <f>IF(E206="AM",1,(IF(E206="BE",2,(IF(E206="GV",3,(IF(E206="RA",4,(IF(E206="RM",5,(IF(E206="AC",1,(IF(E206="AT",2,(IF(E206="DS",3,(IF(E206="IP",4,(IF(E206="MA",5,(IF(E206="PT",6,(IF(E206="AE",1,(IF(E206="CM",2,(IF(E206="DP",3,(IF(E206="AN",1,(IF(E206="CO",2,(IF(E206="IM",3,(IF(E206="MI",4,(IF(E206="RP",5,(IF(E206="SC",6,0)))))))))))))))))))))))))))))))))))))))</f>
        <v>3</v>
      </c>
      <c r="G206" s="170">
        <v>1</v>
      </c>
      <c r="H206" s="38" t="s">
        <v>511</v>
      </c>
      <c r="I206" s="105" t="s">
        <v>1670</v>
      </c>
      <c r="J206" s="38" t="s">
        <v>3153</v>
      </c>
      <c r="K206" s="34" t="s">
        <v>3154</v>
      </c>
      <c r="L206" s="5">
        <f>IF(O206="","",N206*O206*M206)</f>
        <v>99</v>
      </c>
      <c r="M206" s="8">
        <v>1</v>
      </c>
      <c r="N206" s="1">
        <v>1</v>
      </c>
      <c r="O206" s="15">
        <f>IF(SUM(Q206:AF206)&lt;1,"",SUM(Q206:AF206)/COUNTIF(Q206:AF206,"&gt;0"))</f>
        <v>99</v>
      </c>
      <c r="P206" s="16"/>
      <c r="Q206" s="13"/>
      <c r="R206" s="4"/>
      <c r="S206" s="4"/>
      <c r="T206" s="4">
        <v>99</v>
      </c>
      <c r="Y206" s="4"/>
      <c r="AB206" s="4"/>
      <c r="AC206" s="4"/>
      <c r="AD206" s="4"/>
      <c r="AE206" s="4"/>
      <c r="AF206" s="14"/>
    </row>
    <row r="207" spans="1:32" s="2" customFormat="1" ht="15.75" customHeight="1" x14ac:dyDescent="0.25">
      <c r="A207" s="33" t="str">
        <f>CONCATENATE(D207,".",F207,"-",G207,".",H207,"")</f>
        <v>1.3-1.1</v>
      </c>
      <c r="B207" s="33"/>
      <c r="C207" s="39" t="s">
        <v>335</v>
      </c>
      <c r="D207" s="33">
        <f>IF(C207="ID",1,(IF(C207="PR",2,(IF(C207="DE",3,(IF(C207="RS",4,(IF(C207="RC",5,0)))))))))</f>
        <v>1</v>
      </c>
      <c r="E207" s="33" t="s">
        <v>341</v>
      </c>
      <c r="F207" s="33">
        <f>IF(E207="AM",1,(IF(E207="BE",2,(IF(E207="GV",3,(IF(E207="RA",4,(IF(E207="RM",5,(IF(E207="AC",1,(IF(E207="AT",2,(IF(E207="DS",3,(IF(E207="IP",4,(IF(E207="MA",5,(IF(E207="PT",6,(IF(E207="AE",1,(IF(E207="CM",2,(IF(E207="DP",3,(IF(E207="AN",1,(IF(E207="CO",2,(IF(E207="IM",3,(IF(E207="MI",4,(IF(E207="RP",5,(IF(E207="SC",6,0)))))))))))))))))))))))))))))))))))))))</f>
        <v>3</v>
      </c>
      <c r="G207" s="170">
        <v>1</v>
      </c>
      <c r="H207" s="38" t="s">
        <v>511</v>
      </c>
      <c r="I207" s="105" t="s">
        <v>1670</v>
      </c>
      <c r="J207" s="157" t="s">
        <v>3155</v>
      </c>
      <c r="K207" s="34" t="s">
        <v>3156</v>
      </c>
      <c r="L207" s="5">
        <f>IF(O207="","",N207*O207*M207)</f>
        <v>99</v>
      </c>
      <c r="M207" s="8">
        <v>1</v>
      </c>
      <c r="N207" s="1">
        <v>1</v>
      </c>
      <c r="O207" s="15">
        <f>IF(SUM(Q207:AF207)&lt;1,"",SUM(Q207:AF207)/COUNTIF(Q207:AF207,"&gt;0"))</f>
        <v>99</v>
      </c>
      <c r="P207" s="16"/>
      <c r="Q207" s="13"/>
      <c r="R207" s="4"/>
      <c r="S207" s="4"/>
      <c r="T207" s="4">
        <v>99</v>
      </c>
      <c r="Y207" s="4"/>
      <c r="AB207" s="4"/>
      <c r="AC207" s="4"/>
      <c r="AD207" s="4"/>
      <c r="AE207" s="4"/>
      <c r="AF207" s="14"/>
    </row>
    <row r="208" spans="1:32" s="2" customFormat="1" ht="15.75" customHeight="1" x14ac:dyDescent="0.25">
      <c r="A208" s="33" t="str">
        <f>CONCATENATE(D208,".",F208,"-",G208,".",H208,"")</f>
        <v>1.3-1.1</v>
      </c>
      <c r="B208" s="33"/>
      <c r="C208" s="39" t="s">
        <v>335</v>
      </c>
      <c r="D208" s="33">
        <f>IF(C208="ID",1,(IF(C208="PR",2,(IF(C208="DE",3,(IF(C208="RS",4,(IF(C208="RC",5,0)))))))))</f>
        <v>1</v>
      </c>
      <c r="E208" s="33" t="s">
        <v>341</v>
      </c>
      <c r="F208" s="33">
        <f>IF(E208="AM",1,(IF(E208="BE",2,(IF(E208="GV",3,(IF(E208="RA",4,(IF(E208="RM",5,(IF(E208="AC",1,(IF(E208="AT",2,(IF(E208="DS",3,(IF(E208="IP",4,(IF(E208="MA",5,(IF(E208="PT",6,(IF(E208="AE",1,(IF(E208="CM",2,(IF(E208="DP",3,(IF(E208="AN",1,(IF(E208="CO",2,(IF(E208="IM",3,(IF(E208="MI",4,(IF(E208="RP",5,(IF(E208="SC",6,0)))))))))))))))))))))))))))))))))))))))</f>
        <v>3</v>
      </c>
      <c r="G208" s="170">
        <v>1</v>
      </c>
      <c r="H208" s="38" t="s">
        <v>511</v>
      </c>
      <c r="I208" s="105" t="s">
        <v>1670</v>
      </c>
      <c r="J208" s="157" t="s">
        <v>3157</v>
      </c>
      <c r="K208" s="34" t="s">
        <v>3158</v>
      </c>
      <c r="L208" s="5">
        <f>IF(O208="","",N208*O208*M208)</f>
        <v>99</v>
      </c>
      <c r="M208" s="8">
        <v>1</v>
      </c>
      <c r="N208" s="1">
        <v>1</v>
      </c>
      <c r="O208" s="15">
        <f>IF(SUM(Q208:AF208)&lt;1,"",SUM(Q208:AF208)/COUNTIF(Q208:AF208,"&gt;0"))</f>
        <v>99</v>
      </c>
      <c r="P208" s="16"/>
      <c r="Q208" s="13"/>
      <c r="R208" s="4"/>
      <c r="S208" s="4"/>
      <c r="T208" s="4">
        <v>99</v>
      </c>
      <c r="Y208" s="4"/>
      <c r="AB208" s="4"/>
      <c r="AC208" s="4"/>
      <c r="AD208" s="4"/>
      <c r="AE208" s="4"/>
      <c r="AF208" s="14"/>
    </row>
    <row r="209" spans="1:32" s="2" customFormat="1" ht="15.75" customHeight="1" x14ac:dyDescent="0.25">
      <c r="A209" s="33" t="str">
        <f>CONCATENATE(D209,".",F209,"-",G209,".",H209,"")</f>
        <v>1.3-1.1</v>
      </c>
      <c r="B209" s="33"/>
      <c r="C209" s="39" t="s">
        <v>335</v>
      </c>
      <c r="D209" s="33">
        <f>IF(C209="ID",1,(IF(C209="PR",2,(IF(C209="DE",3,(IF(C209="RS",4,(IF(C209="RC",5,0)))))))))</f>
        <v>1</v>
      </c>
      <c r="E209" s="33" t="s">
        <v>341</v>
      </c>
      <c r="F209" s="33">
        <f>IF(E209="AM",1,(IF(E209="BE",2,(IF(E209="GV",3,(IF(E209="RA",4,(IF(E209="RM",5,(IF(E209="AC",1,(IF(E209="AT",2,(IF(E209="DS",3,(IF(E209="IP",4,(IF(E209="MA",5,(IF(E209="PT",6,(IF(E209="AE",1,(IF(E209="CM",2,(IF(E209="DP",3,(IF(E209="AN",1,(IF(E209="CO",2,(IF(E209="IM",3,(IF(E209="MI",4,(IF(E209="RP",5,(IF(E209="SC",6,0)))))))))))))))))))))))))))))))))))))))</f>
        <v>3</v>
      </c>
      <c r="G209" s="170">
        <v>1</v>
      </c>
      <c r="H209" s="38" t="s">
        <v>511</v>
      </c>
      <c r="I209" s="105" t="s">
        <v>1670</v>
      </c>
      <c r="J209" s="157" t="s">
        <v>3159</v>
      </c>
      <c r="K209" s="34" t="s">
        <v>3160</v>
      </c>
      <c r="L209" s="5">
        <f>IF(O209="","",N209*O209*M209)</f>
        <v>99</v>
      </c>
      <c r="M209" s="8">
        <v>1</v>
      </c>
      <c r="N209" s="1">
        <v>1</v>
      </c>
      <c r="O209" s="15">
        <f>IF(SUM(Q209:AF209)&lt;1,"",SUM(Q209:AF209)/COUNTIF(Q209:AF209,"&gt;0"))</f>
        <v>99</v>
      </c>
      <c r="P209" s="16"/>
      <c r="Q209" s="13"/>
      <c r="R209" s="4"/>
      <c r="S209" s="4"/>
      <c r="T209" s="4">
        <v>99</v>
      </c>
      <c r="Y209" s="4"/>
      <c r="AB209" s="4"/>
      <c r="AC209" s="4"/>
      <c r="AD209" s="4"/>
      <c r="AE209" s="4"/>
      <c r="AF209" s="14"/>
    </row>
    <row r="210" spans="1:32" s="2" customFormat="1" ht="15.75" customHeight="1" x14ac:dyDescent="0.25">
      <c r="A210" s="33" t="str">
        <f>CONCATENATE(D210,".",F210,"-",G210,".",H210,"")</f>
        <v>1.3-1.2</v>
      </c>
      <c r="B210" s="33" t="s">
        <v>814</v>
      </c>
      <c r="C210" s="39" t="s">
        <v>335</v>
      </c>
      <c r="D210" s="33">
        <f>IF(C210="ID",1,(IF(C210="PR",2,(IF(C210="DE",3,(IF(C210="RS",4,(IF(C210="RC",5,0)))))))))</f>
        <v>1</v>
      </c>
      <c r="E210" s="33" t="s">
        <v>341</v>
      </c>
      <c r="F210" s="33">
        <f>IF(E210="AM",1,(IF(E210="BE",2,(IF(E210="GV",3,(IF(E210="RA",4,(IF(E210="RM",5,(IF(E210="AC",1,(IF(E210="AT",2,(IF(E210="DS",3,(IF(E210="IP",4,(IF(E210="MA",5,(IF(E210="PT",6,(IF(E210="AE",1,(IF(E210="CM",2,(IF(E210="DP",3,(IF(E210="AN",1,(IF(E210="CO",2,(IF(E210="IM",3,(IF(E210="MI",4,(IF(E210="RP",5,(IF(E210="SC",6,0)))))))))))))))))))))))))))))))))))))))</f>
        <v>3</v>
      </c>
      <c r="G210" s="170">
        <v>1</v>
      </c>
      <c r="H210" s="38" t="s">
        <v>512</v>
      </c>
      <c r="I210" s="27" t="s">
        <v>266</v>
      </c>
      <c r="J210" s="149" t="s">
        <v>491</v>
      </c>
      <c r="K210" s="79" t="s">
        <v>1391</v>
      </c>
      <c r="L210" s="66">
        <f>IF(O210="","",N210*O210*M210)</f>
        <v>75</v>
      </c>
      <c r="M210" s="8">
        <v>1</v>
      </c>
      <c r="N210" s="1">
        <v>1</v>
      </c>
      <c r="O210" s="15">
        <f>IF(SUM(Q210:AF210)&lt;1,"",SUM(Q210:AF210)/COUNTIF(Q210:AF210,"&gt;0"))</f>
        <v>75</v>
      </c>
      <c r="P210" s="16"/>
      <c r="Q210" s="13"/>
      <c r="R210" s="4"/>
      <c r="S210" s="4"/>
      <c r="T210" s="4">
        <v>75</v>
      </c>
      <c r="Y210" s="4"/>
      <c r="AB210" s="4"/>
      <c r="AC210" s="4"/>
      <c r="AD210" s="4"/>
      <c r="AE210" s="4"/>
      <c r="AF210" s="14"/>
    </row>
    <row r="211" spans="1:32" s="2" customFormat="1" ht="15.75" customHeight="1" x14ac:dyDescent="0.25">
      <c r="A211" s="33" t="str">
        <f>CONCATENATE(D211,".",F211,"-",G211,".",H211,"")</f>
        <v>1.3-1.2</v>
      </c>
      <c r="B211" s="33" t="s">
        <v>814</v>
      </c>
      <c r="C211" s="39" t="s">
        <v>335</v>
      </c>
      <c r="D211" s="33">
        <f>IF(C211="ID",1,(IF(C211="PR",2,(IF(C211="DE",3,(IF(C211="RS",4,(IF(C211="RC",5,0)))))))))</f>
        <v>1</v>
      </c>
      <c r="E211" s="33" t="s">
        <v>341</v>
      </c>
      <c r="F211" s="33">
        <f>IF(E211="AM",1,(IF(E211="BE",2,(IF(E211="GV",3,(IF(E211="RA",4,(IF(E211="RM",5,(IF(E211="AC",1,(IF(E211="AT",2,(IF(E211="DS",3,(IF(E211="IP",4,(IF(E211="MA",5,(IF(E211="PT",6,(IF(E211="AE",1,(IF(E211="CM",2,(IF(E211="DP",3,(IF(E211="AN",1,(IF(E211="CO",2,(IF(E211="IM",3,(IF(E211="MI",4,(IF(E211="RP",5,(IF(E211="SC",6,0)))))))))))))))))))))))))))))))))))))))</f>
        <v>3</v>
      </c>
      <c r="G211" s="170">
        <v>1</v>
      </c>
      <c r="H211" s="38" t="s">
        <v>512</v>
      </c>
      <c r="I211" s="27" t="s">
        <v>266</v>
      </c>
      <c r="J211" s="149" t="s">
        <v>494</v>
      </c>
      <c r="K211" s="79" t="s">
        <v>1397</v>
      </c>
      <c r="L211" s="66">
        <f>IF(O211="","",N211*O211*M211)</f>
        <v>75</v>
      </c>
      <c r="M211" s="8">
        <v>1</v>
      </c>
      <c r="N211" s="1">
        <v>1</v>
      </c>
      <c r="O211" s="15">
        <f>IF(SUM(Q211:AF211)&lt;1,"",SUM(Q211:AF211)/COUNTIF(Q211:AF211,"&gt;0"))</f>
        <v>75</v>
      </c>
      <c r="P211" s="16"/>
      <c r="Q211" s="13"/>
      <c r="R211" s="4"/>
      <c r="S211" s="4"/>
      <c r="T211" s="4">
        <v>75</v>
      </c>
      <c r="Y211" s="4"/>
      <c r="AB211" s="4"/>
      <c r="AC211" s="4"/>
      <c r="AD211" s="4"/>
      <c r="AE211" s="4"/>
      <c r="AF211" s="14"/>
    </row>
    <row r="212" spans="1:32" s="2" customFormat="1" ht="15.75" customHeight="1" x14ac:dyDescent="0.25">
      <c r="A212" s="33" t="str">
        <f>CONCATENATE(D212,".",F212,"-",G212,".",H212,"")</f>
        <v>1.3-1.3</v>
      </c>
      <c r="B212" s="33" t="s">
        <v>814</v>
      </c>
      <c r="C212" s="40" t="s">
        <v>335</v>
      </c>
      <c r="D212" s="33">
        <f>IF(C212="ID",1,(IF(C212="PR",2,(IF(C212="DE",3,(IF(C212="RS",4,(IF(C212="RC",5,0)))))))))</f>
        <v>1</v>
      </c>
      <c r="E212" s="33" t="s">
        <v>341</v>
      </c>
      <c r="F212" s="33">
        <f>IF(E212="AM",1,(IF(E212="BE",2,(IF(E212="GV",3,(IF(E212="RA",4,(IF(E212="RM",5,(IF(E212="AC",1,(IF(E212="AT",2,(IF(E212="DS",3,(IF(E212="IP",4,(IF(E212="MA",5,(IF(E212="PT",6,(IF(E212="AE",1,(IF(E212="CM",2,(IF(E212="DP",3,(IF(E212="AN",1,(IF(E212="CO",2,(IF(E212="IM",3,(IF(E212="MI",4,(IF(E212="RP",5,(IF(E212="SC",6,0)))))))))))))))))))))))))))))))))))))))</f>
        <v>3</v>
      </c>
      <c r="G212" s="170">
        <v>1</v>
      </c>
      <c r="H212" s="38" t="s">
        <v>513</v>
      </c>
      <c r="I212" s="27" t="s">
        <v>266</v>
      </c>
      <c r="J212" s="149" t="s">
        <v>486</v>
      </c>
      <c r="K212" s="79" t="s">
        <v>1380</v>
      </c>
      <c r="L212" s="66">
        <f>IF(O212="","",N212*O212*M212)</f>
        <v>75</v>
      </c>
      <c r="M212" s="8">
        <v>1</v>
      </c>
      <c r="N212" s="1">
        <v>1</v>
      </c>
      <c r="O212" s="15">
        <f>IF(SUM(Q212:AF212)&lt;1,"",SUM(Q212:AF212)/COUNTIF(Q212:AF212,"&gt;0"))</f>
        <v>75</v>
      </c>
      <c r="P212" s="16"/>
      <c r="Q212" s="13"/>
      <c r="R212" s="4"/>
      <c r="S212" s="4"/>
      <c r="T212" s="4">
        <v>75</v>
      </c>
      <c r="Y212" s="4"/>
      <c r="AB212" s="4"/>
      <c r="AC212" s="4"/>
      <c r="AD212" s="4"/>
      <c r="AE212" s="4"/>
      <c r="AF212" s="14"/>
    </row>
    <row r="213" spans="1:32" s="2" customFormat="1" ht="15.75" customHeight="1" x14ac:dyDescent="0.25">
      <c r="A213" s="33" t="str">
        <f>CONCATENATE(D213,".",F213,"-",G213,".",H213,"")</f>
        <v>1.3-1.4</v>
      </c>
      <c r="B213" s="33" t="s">
        <v>814</v>
      </c>
      <c r="C213" s="39" t="s">
        <v>335</v>
      </c>
      <c r="D213" s="33">
        <f>IF(C213="ID",1,(IF(C213="PR",2,(IF(C213="DE",3,(IF(C213="RS",4,(IF(C213="RC",5,0)))))))))</f>
        <v>1</v>
      </c>
      <c r="E213" s="33" t="s">
        <v>341</v>
      </c>
      <c r="F213" s="33">
        <f>IF(E213="AM",1,(IF(E213="BE",2,(IF(E213="GV",3,(IF(E213="RA",4,(IF(E213="RM",5,(IF(E213="AC",1,(IF(E213="AT",2,(IF(E213="DS",3,(IF(E213="IP",4,(IF(E213="MA",5,(IF(E213="PT",6,(IF(E213="AE",1,(IF(E213="CM",2,(IF(E213="DP",3,(IF(E213="AN",1,(IF(E213="CO",2,(IF(E213="IM",3,(IF(E213="MI",4,(IF(E213="RP",5,(IF(E213="SC",6,0)))))))))))))))))))))))))))))))))))))))</f>
        <v>3</v>
      </c>
      <c r="G213" s="170">
        <v>1</v>
      </c>
      <c r="H213" s="33">
        <v>4</v>
      </c>
      <c r="I213" s="27" t="s">
        <v>266</v>
      </c>
      <c r="J213" s="150" t="s">
        <v>79</v>
      </c>
      <c r="K213" s="79" t="s">
        <v>1394</v>
      </c>
      <c r="L213" s="5">
        <f>IF(O213="","",N213*O213*M213)</f>
        <v>75</v>
      </c>
      <c r="M213" s="8">
        <v>1</v>
      </c>
      <c r="N213" s="1">
        <v>1</v>
      </c>
      <c r="O213" s="15">
        <f>IF(SUM(Q213:AF213)&lt;1,"",SUM(Q213:AF213)/COUNTIF(Q213:AF213,"&gt;0"))</f>
        <v>75</v>
      </c>
      <c r="P213" s="16"/>
      <c r="Q213" s="13"/>
      <c r="R213" s="3"/>
      <c r="S213" s="3"/>
      <c r="T213" s="4">
        <v>75</v>
      </c>
      <c r="U213" s="3"/>
      <c r="V213" s="3"/>
      <c r="W213" s="3"/>
      <c r="X213" s="3"/>
      <c r="Y213" s="3"/>
      <c r="Z213" s="3"/>
      <c r="AA213" s="3"/>
      <c r="AB213" s="3"/>
      <c r="AC213" s="3"/>
      <c r="AD213" s="3"/>
      <c r="AE213" s="3"/>
      <c r="AF213" s="104"/>
    </row>
    <row r="214" spans="1:32" s="2" customFormat="1" ht="15.75" customHeight="1" x14ac:dyDescent="0.25">
      <c r="A214" s="33" t="str">
        <f>CONCATENATE(D214,".",F214,"-",G214,".",H214,"")</f>
        <v>1.3-2.0</v>
      </c>
      <c r="B214" s="33" t="s">
        <v>814</v>
      </c>
      <c r="C214" s="40" t="s">
        <v>335</v>
      </c>
      <c r="D214" s="33">
        <f>IF(C214="ID",1,(IF(C214="PR",2,(IF(C214="DE",3,(IF(C214="RS",4,(IF(C214="RC",5,0)))))))))</f>
        <v>1</v>
      </c>
      <c r="E214" s="33" t="s">
        <v>341</v>
      </c>
      <c r="F214" s="33">
        <f>IF(E214="AM",1,(IF(E214="BE",2,(IF(E214="GV",3,(IF(E214="RA",4,(IF(E214="RM",5,(IF(E214="AC",1,(IF(E214="AT",2,(IF(E214="DS",3,(IF(E214="IP",4,(IF(E214="MA",5,(IF(E214="PT",6,(IF(E214="AE",1,(IF(E214="CM",2,(IF(E214="DP",3,(IF(E214="AN",1,(IF(E214="CO",2,(IF(E214="IM",3,(IF(E214="MI",4,(IF(E214="RP",5,(IF(E214="SC",6,0)))))))))))))))))))))))))))))))))))))))</f>
        <v>3</v>
      </c>
      <c r="G214" s="170">
        <v>2</v>
      </c>
      <c r="H214" s="38" t="s">
        <v>597</v>
      </c>
      <c r="I214" s="27" t="s">
        <v>1200</v>
      </c>
      <c r="J214" s="149" t="s">
        <v>649</v>
      </c>
      <c r="K214" s="97" t="s">
        <v>362</v>
      </c>
      <c r="L214" s="66">
        <f>IF(O214="","",N214*O214*M214)</f>
        <v>75</v>
      </c>
      <c r="M214" s="8">
        <v>1</v>
      </c>
      <c r="N214" s="1">
        <v>1</v>
      </c>
      <c r="O214" s="15">
        <f>IF(SUM(Q214:AF214)&lt;1,"",SUM(Q214:AF214)/COUNTIF(Q214:AF214,"&gt;0"))</f>
        <v>75</v>
      </c>
      <c r="P214" s="16"/>
      <c r="Q214" s="13"/>
      <c r="R214" s="4"/>
      <c r="S214" s="4"/>
      <c r="T214" s="4">
        <v>75</v>
      </c>
      <c r="Y214" s="4"/>
      <c r="AB214" s="4"/>
      <c r="AC214" s="4"/>
      <c r="AD214" s="4"/>
      <c r="AE214" s="4"/>
      <c r="AF214" s="14"/>
    </row>
    <row r="215" spans="1:32" s="2" customFormat="1" ht="15.75" customHeight="1" x14ac:dyDescent="0.25">
      <c r="A215" s="33" t="str">
        <f>CONCATENATE(D215,".",F215,"-",G215,".",H215,"")</f>
        <v>1.3-2.1</v>
      </c>
      <c r="B215" s="33" t="s">
        <v>814</v>
      </c>
      <c r="C215" s="39" t="s">
        <v>335</v>
      </c>
      <c r="D215" s="33">
        <f>IF(C215="ID",1,(IF(C215="PR",2,(IF(C215="DE",3,(IF(C215="RS",4,(IF(C215="RC",5,0)))))))))</f>
        <v>1</v>
      </c>
      <c r="E215" s="33" t="s">
        <v>341</v>
      </c>
      <c r="F215" s="33">
        <f>IF(E215="AM",1,(IF(E215="BE",2,(IF(E215="GV",3,(IF(E215="RA",4,(IF(E215="RM",5,(IF(E215="AC",1,(IF(E215="AT",2,(IF(E215="DS",3,(IF(E215="IP",4,(IF(E215="MA",5,(IF(E215="PT",6,(IF(E215="AE",1,(IF(E215="CM",2,(IF(E215="DP",3,(IF(E215="AN",1,(IF(E215="CO",2,(IF(E215="IM",3,(IF(E215="MI",4,(IF(E215="RP",5,(IF(E215="SC",6,0)))))))))))))))))))))))))))))))))))))))</f>
        <v>3</v>
      </c>
      <c r="G215" s="170">
        <v>2</v>
      </c>
      <c r="H215" s="38" t="s">
        <v>511</v>
      </c>
      <c r="I215" s="105" t="s">
        <v>821</v>
      </c>
      <c r="J215" s="150">
        <v>1.5</v>
      </c>
      <c r="K215" s="79" t="s">
        <v>1283</v>
      </c>
      <c r="L215" s="66">
        <f>IF(O215="","",N215*O215*M215)</f>
        <v>75</v>
      </c>
      <c r="M215" s="8">
        <v>1</v>
      </c>
      <c r="N215" s="3">
        <v>1</v>
      </c>
      <c r="O215" s="15">
        <f>IF(SUM(Q215:AF215)&lt;1,"",SUM(Q215:AF215)/COUNTIF(Q215:AF215,"&gt;0"))</f>
        <v>75</v>
      </c>
      <c r="P215" s="16"/>
      <c r="Q215" s="13"/>
      <c r="R215" s="4"/>
      <c r="S215" s="4"/>
      <c r="T215" s="4">
        <v>75</v>
      </c>
      <c r="Y215" s="4"/>
      <c r="AB215" s="4"/>
      <c r="AC215" s="4"/>
      <c r="AD215" s="4"/>
      <c r="AE215" s="4"/>
      <c r="AF215" s="14"/>
    </row>
    <row r="216" spans="1:32" s="2" customFormat="1" ht="15.75" customHeight="1" x14ac:dyDescent="0.25">
      <c r="A216" s="33" t="str">
        <f>CONCATENATE(D216,".",F216,"-",G216,".",H216,"")</f>
        <v>1.3-2.1</v>
      </c>
      <c r="B216" s="33" t="s">
        <v>814</v>
      </c>
      <c r="C216" s="39" t="s">
        <v>335</v>
      </c>
      <c r="D216" s="33">
        <f>IF(C216="ID",1,(IF(C216="PR",2,(IF(C216="DE",3,(IF(C216="RS",4,(IF(C216="RC",5,0)))))))))</f>
        <v>1</v>
      </c>
      <c r="E216" s="33" t="s">
        <v>341</v>
      </c>
      <c r="F216" s="33">
        <f>IF(E216="AM",1,(IF(E216="BE",2,(IF(E216="GV",3,(IF(E216="RA",4,(IF(E216="RM",5,(IF(E216="AC",1,(IF(E216="AT",2,(IF(E216="DS",3,(IF(E216="IP",4,(IF(E216="MA",5,(IF(E216="PT",6,(IF(E216="AE",1,(IF(E216="CM",2,(IF(E216="DP",3,(IF(E216="AN",1,(IF(E216="CO",2,(IF(E216="IM",3,(IF(E216="MI",4,(IF(E216="RP",5,(IF(E216="SC",6,0)))))))))))))))))))))))))))))))))))))))</f>
        <v>3</v>
      </c>
      <c r="G216" s="170">
        <v>2</v>
      </c>
      <c r="H216" s="38" t="s">
        <v>511</v>
      </c>
      <c r="I216" s="105" t="s">
        <v>821</v>
      </c>
      <c r="J216" s="150">
        <v>2.5</v>
      </c>
      <c r="K216" s="79" t="s">
        <v>1283</v>
      </c>
      <c r="L216" s="66">
        <f>IF(O216="","",N216*O216*M216)</f>
        <v>75</v>
      </c>
      <c r="M216" s="8">
        <v>1</v>
      </c>
      <c r="N216" s="3">
        <v>1</v>
      </c>
      <c r="O216" s="15">
        <f>IF(SUM(Q216:AF216)&lt;1,"",SUM(Q216:AF216)/COUNTIF(Q216:AF216,"&gt;0"))</f>
        <v>75</v>
      </c>
      <c r="P216" s="16"/>
      <c r="Q216" s="13"/>
      <c r="R216" s="4"/>
      <c r="S216" s="4"/>
      <c r="T216" s="4">
        <v>75</v>
      </c>
      <c r="Y216" s="4"/>
      <c r="AB216" s="4"/>
      <c r="AC216" s="4"/>
      <c r="AD216" s="4"/>
      <c r="AE216" s="4"/>
      <c r="AF216" s="14"/>
    </row>
    <row r="217" spans="1:32" s="2" customFormat="1" ht="15.75" customHeight="1" x14ac:dyDescent="0.25">
      <c r="A217" s="33" t="str">
        <f>CONCATENATE(D217,".",F217,"-",G217,".",H217,"")</f>
        <v>1.3-2.1</v>
      </c>
      <c r="B217" s="33" t="s">
        <v>814</v>
      </c>
      <c r="C217" s="39" t="s">
        <v>335</v>
      </c>
      <c r="D217" s="33">
        <f>IF(C217="ID",1,(IF(C217="PR",2,(IF(C217="DE",3,(IF(C217="RS",4,(IF(C217="RC",5,0)))))))))</f>
        <v>1</v>
      </c>
      <c r="E217" s="33" t="s">
        <v>341</v>
      </c>
      <c r="F217" s="33">
        <f>IF(E217="AM",1,(IF(E217="BE",2,(IF(E217="GV",3,(IF(E217="RA",4,(IF(E217="RM",5,(IF(E217="AC",1,(IF(E217="AT",2,(IF(E217="DS",3,(IF(E217="IP",4,(IF(E217="MA",5,(IF(E217="PT",6,(IF(E217="AE",1,(IF(E217="CM",2,(IF(E217="DP",3,(IF(E217="AN",1,(IF(E217="CO",2,(IF(E217="IM",3,(IF(E217="MI",4,(IF(E217="RP",5,(IF(E217="SC",6,0)))))))))))))))))))))))))))))))))))))))</f>
        <v>3</v>
      </c>
      <c r="G217" s="170">
        <v>2</v>
      </c>
      <c r="H217" s="38" t="s">
        <v>511</v>
      </c>
      <c r="I217" s="105" t="s">
        <v>821</v>
      </c>
      <c r="J217" s="150">
        <v>3.7</v>
      </c>
      <c r="K217" s="79" t="s">
        <v>1283</v>
      </c>
      <c r="L217" s="66">
        <f>IF(O217="","",N217*O217*M217)</f>
        <v>75</v>
      </c>
      <c r="M217" s="8">
        <v>1</v>
      </c>
      <c r="N217" s="3">
        <v>1</v>
      </c>
      <c r="O217" s="15">
        <f>IF(SUM(Q217:AF217)&lt;1,"",SUM(Q217:AF217)/COUNTIF(Q217:AF217,"&gt;0"))</f>
        <v>75</v>
      </c>
      <c r="P217" s="16"/>
      <c r="Q217" s="13"/>
      <c r="R217" s="4"/>
      <c r="S217" s="4"/>
      <c r="T217" s="4">
        <v>75</v>
      </c>
      <c r="Y217" s="4"/>
      <c r="AB217" s="4"/>
      <c r="AC217" s="4"/>
      <c r="AD217" s="4"/>
      <c r="AE217" s="4"/>
      <c r="AF217" s="14"/>
    </row>
    <row r="218" spans="1:32" s="2" customFormat="1" ht="15.75" customHeight="1" x14ac:dyDescent="0.25">
      <c r="A218" s="33" t="str">
        <f>CONCATENATE(D218,".",F218,"-",G218,".",H218,"")</f>
        <v>1.3-2.1</v>
      </c>
      <c r="B218" s="33" t="s">
        <v>814</v>
      </c>
      <c r="C218" s="39" t="s">
        <v>335</v>
      </c>
      <c r="D218" s="33">
        <f>IF(C218="ID",1,(IF(C218="PR",2,(IF(C218="DE",3,(IF(C218="RS",4,(IF(C218="RC",5,0)))))))))</f>
        <v>1</v>
      </c>
      <c r="E218" s="33" t="s">
        <v>341</v>
      </c>
      <c r="F218" s="33">
        <f>IF(E218="AM",1,(IF(E218="BE",2,(IF(E218="GV",3,(IF(E218="RA",4,(IF(E218="RM",5,(IF(E218="AC",1,(IF(E218="AT",2,(IF(E218="DS",3,(IF(E218="IP",4,(IF(E218="MA",5,(IF(E218="PT",6,(IF(E218="AE",1,(IF(E218="CM",2,(IF(E218="DP",3,(IF(E218="AN",1,(IF(E218="CO",2,(IF(E218="IM",3,(IF(E218="MI",4,(IF(E218="RP",5,(IF(E218="SC",6,0)))))))))))))))))))))))))))))))))))))))</f>
        <v>3</v>
      </c>
      <c r="G218" s="170">
        <v>2</v>
      </c>
      <c r="H218" s="38" t="s">
        <v>511</v>
      </c>
      <c r="I218" s="105" t="s">
        <v>821</v>
      </c>
      <c r="J218" s="150">
        <v>4.3</v>
      </c>
      <c r="K218" s="79" t="s">
        <v>1283</v>
      </c>
      <c r="L218" s="66">
        <f>IF(O218="","",N218*O218*M218)</f>
        <v>75</v>
      </c>
      <c r="M218" s="8">
        <v>1</v>
      </c>
      <c r="N218" s="3">
        <v>1</v>
      </c>
      <c r="O218" s="15">
        <f>IF(SUM(Q218:AF218)&lt;1,"",SUM(Q218:AF218)/COUNTIF(Q218:AF218,"&gt;0"))</f>
        <v>75</v>
      </c>
      <c r="P218" s="16"/>
      <c r="Q218" s="13"/>
      <c r="R218" s="4"/>
      <c r="S218" s="4"/>
      <c r="T218" s="4">
        <v>75</v>
      </c>
      <c r="Y218" s="4"/>
      <c r="AB218" s="4"/>
      <c r="AC218" s="4"/>
      <c r="AD218" s="4"/>
      <c r="AE218" s="4"/>
      <c r="AF218" s="14"/>
    </row>
    <row r="219" spans="1:32" s="2" customFormat="1" ht="15.75" customHeight="1" x14ac:dyDescent="0.25">
      <c r="A219" s="33" t="str">
        <f>CONCATENATE(D219,".",F219,"-",G219,".",H219,"")</f>
        <v>1.3-2.1</v>
      </c>
      <c r="B219" s="33" t="s">
        <v>814</v>
      </c>
      <c r="C219" s="39" t="s">
        <v>335</v>
      </c>
      <c r="D219" s="33">
        <f>IF(C219="ID",1,(IF(C219="PR",2,(IF(C219="DE",3,(IF(C219="RS",4,(IF(C219="RC",5,0)))))))))</f>
        <v>1</v>
      </c>
      <c r="E219" s="33" t="s">
        <v>341</v>
      </c>
      <c r="F219" s="33">
        <f>IF(E219="AM",1,(IF(E219="BE",2,(IF(E219="GV",3,(IF(E219="RA",4,(IF(E219="RM",5,(IF(E219="AC",1,(IF(E219="AT",2,(IF(E219="DS",3,(IF(E219="IP",4,(IF(E219="MA",5,(IF(E219="PT",6,(IF(E219="AE",1,(IF(E219="CM",2,(IF(E219="DP",3,(IF(E219="AN",1,(IF(E219="CO",2,(IF(E219="IM",3,(IF(E219="MI",4,(IF(E219="RP",5,(IF(E219="SC",6,0)))))))))))))))))))))))))))))))))))))))</f>
        <v>3</v>
      </c>
      <c r="G219" s="170">
        <v>2</v>
      </c>
      <c r="H219" s="38" t="s">
        <v>511</v>
      </c>
      <c r="I219" s="35" t="s">
        <v>1176</v>
      </c>
      <c r="J219" s="162">
        <v>19.3</v>
      </c>
      <c r="K219" s="80" t="s">
        <v>1164</v>
      </c>
      <c r="L219" s="66">
        <f>IF(O219="","",N219*O219*M219)</f>
        <v>75</v>
      </c>
      <c r="M219" s="8">
        <v>1</v>
      </c>
      <c r="N219" s="3">
        <v>1</v>
      </c>
      <c r="O219" s="15">
        <f>IF(SUM(Q219:AF219)&lt;1,"",SUM(Q219:AF219)/COUNTIF(Q219:AF219,"&gt;0"))</f>
        <v>75</v>
      </c>
      <c r="P219" s="16"/>
      <c r="Q219" s="13"/>
      <c r="R219" s="4"/>
      <c r="S219" s="4"/>
      <c r="T219" s="4">
        <v>75</v>
      </c>
      <c r="Y219" s="4"/>
      <c r="AB219" s="4"/>
      <c r="AC219" s="4"/>
      <c r="AD219" s="4"/>
      <c r="AE219" s="4"/>
      <c r="AF219" s="14"/>
    </row>
    <row r="220" spans="1:32" s="2" customFormat="1" ht="15.75" customHeight="1" x14ac:dyDescent="0.25">
      <c r="A220" s="33" t="str">
        <f>CONCATENATE(D220,".",F220,"-",G220,".",H220,"")</f>
        <v>1.3-2.1</v>
      </c>
      <c r="B220" s="33" t="s">
        <v>814</v>
      </c>
      <c r="C220" s="39" t="s">
        <v>335</v>
      </c>
      <c r="D220" s="33">
        <f>IF(C220="ID",1,(IF(C220="PR",2,(IF(C220="DE",3,(IF(C220="RS",4,(IF(C220="RC",5,0)))))))))</f>
        <v>1</v>
      </c>
      <c r="E220" s="33" t="s">
        <v>341</v>
      </c>
      <c r="F220" s="33">
        <f>IF(E220="AM",1,(IF(E220="BE",2,(IF(E220="GV",3,(IF(E220="RA",4,(IF(E220="RM",5,(IF(E220="AC",1,(IF(E220="AT",2,(IF(E220="DS",3,(IF(E220="IP",4,(IF(E220="MA",5,(IF(E220="PT",6,(IF(E220="AE",1,(IF(E220="CM",2,(IF(E220="DP",3,(IF(E220="AN",1,(IF(E220="CO",2,(IF(E220="IM",3,(IF(E220="MI",4,(IF(E220="RP",5,(IF(E220="SC",6,0)))))))))))))))))))))))))))))))))))))))</f>
        <v>3</v>
      </c>
      <c r="G220" s="170">
        <v>2</v>
      </c>
      <c r="H220" s="38" t="s">
        <v>511</v>
      </c>
      <c r="I220" s="105" t="s">
        <v>821</v>
      </c>
      <c r="J220" s="150">
        <v>5.4</v>
      </c>
      <c r="K220" s="79" t="s">
        <v>1283</v>
      </c>
      <c r="L220" s="66">
        <f>IF(O220="","",N220*O220*M220)</f>
        <v>75</v>
      </c>
      <c r="M220" s="8">
        <v>1</v>
      </c>
      <c r="N220" s="3">
        <v>1</v>
      </c>
      <c r="O220" s="15">
        <f>IF(SUM(Q220:AF220)&lt;1,"",SUM(Q220:AF220)/COUNTIF(Q220:AF220,"&gt;0"))</f>
        <v>75</v>
      </c>
      <c r="P220" s="16"/>
      <c r="Q220" s="13"/>
      <c r="R220" s="4"/>
      <c r="S220" s="4"/>
      <c r="T220" s="4">
        <v>75</v>
      </c>
      <c r="Y220" s="4"/>
      <c r="AB220" s="4"/>
      <c r="AC220" s="4"/>
      <c r="AD220" s="4"/>
      <c r="AE220" s="4"/>
      <c r="AF220" s="14"/>
    </row>
    <row r="221" spans="1:32" s="2" customFormat="1" ht="15.75" customHeight="1" x14ac:dyDescent="0.25">
      <c r="A221" s="33" t="str">
        <f>CONCATENATE(D221,".",F221,"-",G221,".",H221,"")</f>
        <v>1.3-2.1</v>
      </c>
      <c r="B221" s="33" t="s">
        <v>814</v>
      </c>
      <c r="C221" s="39" t="s">
        <v>335</v>
      </c>
      <c r="D221" s="33">
        <f>IF(C221="ID",1,(IF(C221="PR",2,(IF(C221="DE",3,(IF(C221="RS",4,(IF(C221="RC",5,0)))))))))</f>
        <v>1</v>
      </c>
      <c r="E221" s="33" t="s">
        <v>341</v>
      </c>
      <c r="F221" s="33">
        <f>IF(E221="AM",1,(IF(E221="BE",2,(IF(E221="GV",3,(IF(E221="RA",4,(IF(E221="RM",5,(IF(E221="AC",1,(IF(E221="AT",2,(IF(E221="DS",3,(IF(E221="IP",4,(IF(E221="MA",5,(IF(E221="PT",6,(IF(E221="AE",1,(IF(E221="CM",2,(IF(E221="DP",3,(IF(E221="AN",1,(IF(E221="CO",2,(IF(E221="IM",3,(IF(E221="MI",4,(IF(E221="RP",5,(IF(E221="SC",6,0)))))))))))))))))))))))))))))))))))))))</f>
        <v>3</v>
      </c>
      <c r="G221" s="170">
        <v>2</v>
      </c>
      <c r="H221" s="38" t="s">
        <v>511</v>
      </c>
      <c r="I221" s="105" t="s">
        <v>821</v>
      </c>
      <c r="J221" s="150">
        <v>6.7</v>
      </c>
      <c r="K221" s="79" t="s">
        <v>1283</v>
      </c>
      <c r="L221" s="66">
        <f>IF(O221="","",N221*O221*M221)</f>
        <v>75</v>
      </c>
      <c r="M221" s="8">
        <v>1</v>
      </c>
      <c r="N221" s="3">
        <v>1</v>
      </c>
      <c r="O221" s="15">
        <f>IF(SUM(Q221:AF221)&lt;1,"",SUM(Q221:AF221)/COUNTIF(Q221:AF221,"&gt;0"))</f>
        <v>75</v>
      </c>
      <c r="P221" s="16"/>
      <c r="Q221" s="13"/>
      <c r="R221" s="4"/>
      <c r="S221" s="4"/>
      <c r="T221" s="4">
        <v>75</v>
      </c>
      <c r="Y221" s="4"/>
      <c r="AB221" s="4"/>
      <c r="AC221" s="4"/>
      <c r="AD221" s="4"/>
      <c r="AE221" s="4"/>
      <c r="AF221" s="14"/>
    </row>
    <row r="222" spans="1:32" s="2" customFormat="1" ht="15.75" customHeight="1" x14ac:dyDescent="0.25">
      <c r="A222" s="33" t="str">
        <f>CONCATENATE(D222,".",F222,"-",G222,".",H222,"")</f>
        <v>1.3-2.1</v>
      </c>
      <c r="B222" s="33" t="s">
        <v>814</v>
      </c>
      <c r="C222" s="39" t="s">
        <v>335</v>
      </c>
      <c r="D222" s="33">
        <f>IF(C222="ID",1,(IF(C222="PR",2,(IF(C222="DE",3,(IF(C222="RS",4,(IF(C222="RC",5,0)))))))))</f>
        <v>1</v>
      </c>
      <c r="E222" s="33" t="s">
        <v>341</v>
      </c>
      <c r="F222" s="33">
        <f>IF(E222="AM",1,(IF(E222="BE",2,(IF(E222="GV",3,(IF(E222="RA",4,(IF(E222="RM",5,(IF(E222="AC",1,(IF(E222="AT",2,(IF(E222="DS",3,(IF(E222="IP",4,(IF(E222="MA",5,(IF(E222="PT",6,(IF(E222="AE",1,(IF(E222="CM",2,(IF(E222="DP",3,(IF(E222="AN",1,(IF(E222="CO",2,(IF(E222="IM",3,(IF(E222="MI",4,(IF(E222="RP",5,(IF(E222="SC",6,0)))))))))))))))))))))))))))))))))))))))</f>
        <v>3</v>
      </c>
      <c r="G222" s="170">
        <v>2</v>
      </c>
      <c r="H222" s="38" t="s">
        <v>511</v>
      </c>
      <c r="I222" s="105" t="s">
        <v>821</v>
      </c>
      <c r="J222" s="150">
        <v>8.8000000000000007</v>
      </c>
      <c r="K222" s="79" t="s">
        <v>1283</v>
      </c>
      <c r="L222" s="66">
        <f>IF(O222="","",N222*O222*M222)</f>
        <v>75</v>
      </c>
      <c r="M222" s="8">
        <v>1</v>
      </c>
      <c r="N222" s="3">
        <v>1</v>
      </c>
      <c r="O222" s="15">
        <f>IF(SUM(Q222:AF222)&lt;1,"",SUM(Q222:AF222)/COUNTIF(Q222:AF222,"&gt;0"))</f>
        <v>75</v>
      </c>
      <c r="P222" s="16"/>
      <c r="Q222" s="13"/>
      <c r="R222" s="4"/>
      <c r="S222" s="4"/>
      <c r="T222" s="4">
        <v>75</v>
      </c>
      <c r="Y222" s="4"/>
      <c r="AB222" s="4"/>
      <c r="AC222" s="4"/>
      <c r="AD222" s="4"/>
      <c r="AE222" s="4"/>
      <c r="AF222" s="14"/>
    </row>
    <row r="223" spans="1:32" s="2" customFormat="1" ht="15.75" customHeight="1" x14ac:dyDescent="0.25">
      <c r="A223" s="33" t="str">
        <f>CONCATENATE(D223,".",F223,"-",G223,".",H223,"")</f>
        <v>1.3-2.1</v>
      </c>
      <c r="B223" s="33" t="s">
        <v>814</v>
      </c>
      <c r="C223" s="40" t="s">
        <v>335</v>
      </c>
      <c r="D223" s="33">
        <f>IF(C223="ID",1,(IF(C223="PR",2,(IF(C223="DE",3,(IF(C223="RS",4,(IF(C223="RC",5,0)))))))))</f>
        <v>1</v>
      </c>
      <c r="E223" s="33" t="s">
        <v>341</v>
      </c>
      <c r="F223" s="33">
        <f>IF(E223="AM",1,(IF(E223="BE",2,(IF(E223="GV",3,(IF(E223="RA",4,(IF(E223="RM",5,(IF(E223="AC",1,(IF(E223="AT",2,(IF(E223="DS",3,(IF(E223="IP",4,(IF(E223="MA",5,(IF(E223="PT",6,(IF(E223="AE",1,(IF(E223="CM",2,(IF(E223="DP",3,(IF(E223="AN",1,(IF(E223="CO",2,(IF(E223="IM",3,(IF(E223="MI",4,(IF(E223="RP",5,(IF(E223="SC",6,0)))))))))))))))))))))))))))))))))))))))</f>
        <v>3</v>
      </c>
      <c r="G223" s="170">
        <v>2</v>
      </c>
      <c r="H223" s="38" t="s">
        <v>511</v>
      </c>
      <c r="I223" s="105" t="s">
        <v>821</v>
      </c>
      <c r="J223" s="150">
        <v>10.9</v>
      </c>
      <c r="K223" s="79" t="s">
        <v>1283</v>
      </c>
      <c r="L223" s="66">
        <f>IF(O223="","",N223*O223*M223)</f>
        <v>75</v>
      </c>
      <c r="M223" s="8">
        <v>1</v>
      </c>
      <c r="N223" s="3">
        <v>1</v>
      </c>
      <c r="O223" s="15">
        <f>IF(SUM(Q223:AF223)&lt;1,"",SUM(Q223:AF223)/COUNTIF(Q223:AF223,"&gt;0"))</f>
        <v>75</v>
      </c>
      <c r="P223" s="16"/>
      <c r="Q223" s="13"/>
      <c r="R223" s="4"/>
      <c r="S223" s="4"/>
      <c r="T223" s="4">
        <v>75</v>
      </c>
      <c r="Y223" s="4"/>
      <c r="AB223" s="4"/>
      <c r="AC223" s="4"/>
      <c r="AD223" s="4"/>
      <c r="AE223" s="4"/>
      <c r="AF223" s="14"/>
    </row>
    <row r="224" spans="1:32" s="2" customFormat="1" ht="15.75" customHeight="1" x14ac:dyDescent="0.25">
      <c r="A224" s="33" t="str">
        <f>CONCATENATE(D224,".",F224,"-",G224,".",H224,"")</f>
        <v>1.3-2.1</v>
      </c>
      <c r="B224" s="33" t="s">
        <v>814</v>
      </c>
      <c r="C224" s="39" t="s">
        <v>335</v>
      </c>
      <c r="D224" s="33">
        <f>IF(C224="ID",1,(IF(C224="PR",2,(IF(C224="DE",3,(IF(C224="RS",4,(IF(C224="RC",5,0)))))))))</f>
        <v>1</v>
      </c>
      <c r="E224" s="33" t="s">
        <v>341</v>
      </c>
      <c r="F224" s="33">
        <f>IF(E224="AM",1,(IF(E224="BE",2,(IF(E224="GV",3,(IF(E224="RA",4,(IF(E224="RM",5,(IF(E224="AC",1,(IF(E224="AT",2,(IF(E224="DS",3,(IF(E224="IP",4,(IF(E224="MA",5,(IF(E224="PT",6,(IF(E224="AE",1,(IF(E224="CM",2,(IF(E224="DP",3,(IF(E224="AN",1,(IF(E224="CO",2,(IF(E224="IM",3,(IF(E224="MI",4,(IF(E224="RP",5,(IF(E224="SC",6,0)))))))))))))))))))))))))))))))))))))))</f>
        <v>3</v>
      </c>
      <c r="G224" s="170">
        <v>2</v>
      </c>
      <c r="H224" s="38" t="s">
        <v>511</v>
      </c>
      <c r="I224" s="105" t="s">
        <v>821</v>
      </c>
      <c r="J224" s="150">
        <v>11.6</v>
      </c>
      <c r="K224" s="79" t="s">
        <v>1283</v>
      </c>
      <c r="L224" s="66">
        <f>IF(O224="","",N224*O224*M224)</f>
        <v>75</v>
      </c>
      <c r="M224" s="8">
        <v>1</v>
      </c>
      <c r="N224" s="3">
        <v>1</v>
      </c>
      <c r="O224" s="15">
        <f>IF(SUM(Q224:AF224)&lt;1,"",SUM(Q224:AF224)/COUNTIF(Q224:AF224,"&gt;0"))</f>
        <v>75</v>
      </c>
      <c r="P224" s="16"/>
      <c r="Q224" s="13"/>
      <c r="R224" s="4"/>
      <c r="S224" s="4"/>
      <c r="T224" s="4">
        <v>75</v>
      </c>
      <c r="Y224" s="4"/>
      <c r="AB224" s="4"/>
      <c r="AC224" s="4"/>
      <c r="AD224" s="4"/>
      <c r="AE224" s="4"/>
      <c r="AF224" s="14"/>
    </row>
    <row r="225" spans="1:32" s="2" customFormat="1" ht="15.75" customHeight="1" x14ac:dyDescent="0.25">
      <c r="A225" s="33" t="str">
        <f>CONCATENATE(D225,".",F225,"-",G225,".",H225,"")</f>
        <v>1.3-2.1</v>
      </c>
      <c r="B225" s="33" t="s">
        <v>814</v>
      </c>
      <c r="C225" s="39" t="s">
        <v>335</v>
      </c>
      <c r="D225" s="33">
        <f>IF(C225="ID",1,(IF(C225="PR",2,(IF(C225="DE",3,(IF(C225="RS",4,(IF(C225="RC",5,0)))))))))</f>
        <v>1</v>
      </c>
      <c r="E225" s="33" t="s">
        <v>341</v>
      </c>
      <c r="F225" s="33">
        <f>IF(E225="AM",1,(IF(E225="BE",2,(IF(E225="GV",3,(IF(E225="RA",4,(IF(E225="RM",5,(IF(E225="AC",1,(IF(E225="AT",2,(IF(E225="DS",3,(IF(E225="IP",4,(IF(E225="MA",5,(IF(E225="PT",6,(IF(E225="AE",1,(IF(E225="CM",2,(IF(E225="DP",3,(IF(E225="AN",1,(IF(E225="CO",2,(IF(E225="IM",3,(IF(E225="MI",4,(IF(E225="RP",5,(IF(E225="SC",6,0)))))))))))))))))))))))))))))))))))))))</f>
        <v>3</v>
      </c>
      <c r="G225" s="170">
        <v>2</v>
      </c>
      <c r="H225" s="38" t="s">
        <v>511</v>
      </c>
      <c r="I225" s="105" t="s">
        <v>821</v>
      </c>
      <c r="J225" s="150">
        <v>12.3</v>
      </c>
      <c r="K225" s="79" t="s">
        <v>1283</v>
      </c>
      <c r="L225" s="66">
        <f>IF(O225="","",N225*O225*M225)</f>
        <v>75</v>
      </c>
      <c r="M225" s="8">
        <v>1</v>
      </c>
      <c r="N225" s="3">
        <v>1</v>
      </c>
      <c r="O225" s="15">
        <f>IF(SUM(Q225:AF225)&lt;1,"",SUM(Q225:AF225)/COUNTIF(Q225:AF225,"&gt;0"))</f>
        <v>75</v>
      </c>
      <c r="P225" s="16"/>
      <c r="Q225" s="13"/>
      <c r="R225" s="4"/>
      <c r="S225" s="4"/>
      <c r="T225" s="4">
        <v>75</v>
      </c>
      <c r="Y225" s="4"/>
      <c r="AB225" s="4"/>
      <c r="AC225" s="4"/>
      <c r="AD225" s="4"/>
      <c r="AE225" s="4"/>
      <c r="AF225" s="14"/>
    </row>
    <row r="226" spans="1:32" s="2" customFormat="1" ht="15.75" customHeight="1" x14ac:dyDescent="0.25">
      <c r="A226" s="33" t="str">
        <f>CONCATENATE(D226,".",F226,"-",G226,".",H226,"")</f>
        <v>1.3-2.1</v>
      </c>
      <c r="B226" s="33" t="s">
        <v>814</v>
      </c>
      <c r="C226" s="40" t="s">
        <v>335</v>
      </c>
      <c r="D226" s="33">
        <f>IF(C226="ID",1,(IF(C226="PR",2,(IF(C226="DE",3,(IF(C226="RS",4,(IF(C226="RC",5,0)))))))))</f>
        <v>1</v>
      </c>
      <c r="E226" s="33" t="s">
        <v>341</v>
      </c>
      <c r="F226" s="33">
        <f>IF(E226="AM",1,(IF(E226="BE",2,(IF(E226="GV",3,(IF(E226="RA",4,(IF(E226="RM",5,(IF(E226="AC",1,(IF(E226="AT",2,(IF(E226="DS",3,(IF(E226="IP",4,(IF(E226="MA",5,(IF(E226="PT",6,(IF(E226="AE",1,(IF(E226="CM",2,(IF(E226="DP",3,(IF(E226="AN",1,(IF(E226="CO",2,(IF(E226="IM",3,(IF(E226="MI",4,(IF(E226="RP",5,(IF(E226="SC",6,0)))))))))))))))))))))))))))))))))))))))</f>
        <v>3</v>
      </c>
      <c r="G226" s="171">
        <v>2</v>
      </c>
      <c r="H226" s="38" t="s">
        <v>511</v>
      </c>
      <c r="I226" s="27" t="s">
        <v>936</v>
      </c>
      <c r="J226" s="163">
        <v>164.31399999999999</v>
      </c>
      <c r="K226" s="34" t="s">
        <v>962</v>
      </c>
      <c r="L226" s="66">
        <f>IF(O226="","",N226*O226*M226)</f>
        <v>75</v>
      </c>
      <c r="M226" s="8">
        <v>1</v>
      </c>
      <c r="N226" s="3">
        <v>1</v>
      </c>
      <c r="O226" s="15">
        <f>IF(SUM(Q226:AF226)&lt;1,"",SUM(Q226:AF226)/COUNTIF(Q226:AF226,"&gt;0"))</f>
        <v>75</v>
      </c>
      <c r="P226" s="16"/>
      <c r="Q226" s="13"/>
      <c r="R226" s="4"/>
      <c r="S226" s="4"/>
      <c r="T226" s="4">
        <v>75</v>
      </c>
      <c r="Y226" s="4"/>
      <c r="AB226" s="4"/>
      <c r="AC226" s="4"/>
      <c r="AD226" s="4"/>
      <c r="AE226" s="4"/>
      <c r="AF226" s="14"/>
    </row>
    <row r="227" spans="1:32" s="2" customFormat="1" ht="15.75" customHeight="1" x14ac:dyDescent="0.25">
      <c r="A227" s="33" t="str">
        <f>CONCATENATE(D227,".",F227,"-",G227,".",H227,"")</f>
        <v>1.3-2.1</v>
      </c>
      <c r="B227" s="33" t="s">
        <v>814</v>
      </c>
      <c r="C227" s="39" t="s">
        <v>335</v>
      </c>
      <c r="D227" s="33">
        <f>IF(C227="ID",1,(IF(C227="PR",2,(IF(C227="DE",3,(IF(C227="RS",4,(IF(C227="RC",5,0)))))))))</f>
        <v>1</v>
      </c>
      <c r="E227" s="33" t="s">
        <v>341</v>
      </c>
      <c r="F227" s="33">
        <f>IF(E227="AM",1,(IF(E227="BE",2,(IF(E227="GV",3,(IF(E227="RA",4,(IF(E227="RM",5,(IF(E227="AC",1,(IF(E227="AT",2,(IF(E227="DS",3,(IF(E227="IP",4,(IF(E227="MA",5,(IF(E227="PT",6,(IF(E227="AE",1,(IF(E227="CM",2,(IF(E227="DP",3,(IF(E227="AN",1,(IF(E227="CO",2,(IF(E227="IM",3,(IF(E227="MI",4,(IF(E227="RP",5,(IF(E227="SC",6,0)))))))))))))))))))))))))))))))))))))))</f>
        <v>3</v>
      </c>
      <c r="G227" s="170">
        <v>2</v>
      </c>
      <c r="H227" s="38" t="s">
        <v>511</v>
      </c>
      <c r="I227" s="105" t="s">
        <v>821</v>
      </c>
      <c r="J227" s="150" t="s">
        <v>25</v>
      </c>
      <c r="K227" s="79" t="s">
        <v>1283</v>
      </c>
      <c r="L227" s="66">
        <f>IF(O227="","",N227*O227*M227)</f>
        <v>75</v>
      </c>
      <c r="M227" s="8">
        <v>1</v>
      </c>
      <c r="N227" s="3">
        <v>1</v>
      </c>
      <c r="O227" s="15">
        <f>IF(SUM(Q227:AF227)&lt;1,"",SUM(Q227:AF227)/COUNTIF(Q227:AF227,"&gt;0"))</f>
        <v>75</v>
      </c>
      <c r="P227" s="16"/>
      <c r="Q227" s="13"/>
      <c r="R227" s="4"/>
      <c r="S227" s="4"/>
      <c r="T227" s="4">
        <v>75</v>
      </c>
      <c r="Y227" s="4"/>
      <c r="AB227" s="4"/>
      <c r="AC227" s="4"/>
      <c r="AD227" s="4"/>
      <c r="AE227" s="4"/>
      <c r="AF227" s="14"/>
    </row>
    <row r="228" spans="1:32" s="2" customFormat="1" ht="15.75" customHeight="1" x14ac:dyDescent="0.25">
      <c r="A228" s="33" t="str">
        <f>CONCATENATE(D228,".",F228,"-",G228,".",H228,"")</f>
        <v>1.3-2.1</v>
      </c>
      <c r="B228" s="33" t="s">
        <v>814</v>
      </c>
      <c r="C228" s="40" t="s">
        <v>335</v>
      </c>
      <c r="D228" s="33">
        <f>IF(C228="ID",1,(IF(C228="PR",2,(IF(C228="DE",3,(IF(C228="RS",4,(IF(C228="RC",5,0)))))))))</f>
        <v>1</v>
      </c>
      <c r="E228" s="33" t="s">
        <v>341</v>
      </c>
      <c r="F228" s="33">
        <f>IF(E228="AM",1,(IF(E228="BE",2,(IF(E228="GV",3,(IF(E228="RA",4,(IF(E228="RM",5,(IF(E228="AC",1,(IF(E228="AT",2,(IF(E228="DS",3,(IF(E228="IP",4,(IF(E228="MA",5,(IF(E228="PT",6,(IF(E228="AE",1,(IF(E228="CM",2,(IF(E228="DP",3,(IF(E228="AN",1,(IF(E228="CO",2,(IF(E228="IM",3,(IF(E228="MI",4,(IF(E228="RP",5,(IF(E228="SC",6,0)))))))))))))))))))))))))))))))))))))))</f>
        <v>3</v>
      </c>
      <c r="G228" s="171">
        <v>2</v>
      </c>
      <c r="H228" s="38" t="s">
        <v>511</v>
      </c>
      <c r="I228" s="27" t="s">
        <v>936</v>
      </c>
      <c r="J228" s="163" t="s">
        <v>875</v>
      </c>
      <c r="K228" s="34" t="s">
        <v>976</v>
      </c>
      <c r="L228" s="66">
        <f>IF(O228="","",N228*O228*M228)</f>
        <v>75</v>
      </c>
      <c r="M228" s="8">
        <v>1</v>
      </c>
      <c r="N228" s="3">
        <v>1</v>
      </c>
      <c r="O228" s="15">
        <f>IF(SUM(Q228:AF228)&lt;1,"",SUM(Q228:AF228)/COUNTIF(Q228:AF228,"&gt;0"))</f>
        <v>75</v>
      </c>
      <c r="P228" s="16"/>
      <c r="Q228" s="13"/>
      <c r="R228" s="4"/>
      <c r="S228" s="4"/>
      <c r="T228" s="4">
        <v>75</v>
      </c>
      <c r="Y228" s="4"/>
      <c r="AB228" s="4"/>
      <c r="AC228" s="4"/>
      <c r="AD228" s="4"/>
      <c r="AE228" s="4"/>
      <c r="AF228" s="14"/>
    </row>
    <row r="229" spans="1:32" s="2" customFormat="1" ht="15.75" customHeight="1" x14ac:dyDescent="0.25">
      <c r="A229" s="33" t="str">
        <f>CONCATENATE(D229,".",F229,"-",G229,".",H229,"")</f>
        <v>1.3-2.1</v>
      </c>
      <c r="B229" s="33" t="s">
        <v>814</v>
      </c>
      <c r="C229" s="40" t="s">
        <v>335</v>
      </c>
      <c r="D229" s="33">
        <f>IF(C229="ID",1,(IF(C229="PR",2,(IF(C229="DE",3,(IF(C229="RS",4,(IF(C229="RC",5,0)))))))))</f>
        <v>1</v>
      </c>
      <c r="E229" s="33" t="s">
        <v>341</v>
      </c>
      <c r="F229" s="33">
        <f>IF(E229="AM",1,(IF(E229="BE",2,(IF(E229="GV",3,(IF(E229="RA",4,(IF(E229="RM",5,(IF(E229="AC",1,(IF(E229="AT",2,(IF(E229="DS",3,(IF(E229="IP",4,(IF(E229="MA",5,(IF(E229="PT",6,(IF(E229="AE",1,(IF(E229="CM",2,(IF(E229="DP",3,(IF(E229="AN",1,(IF(E229="CO",2,(IF(E229="IM",3,(IF(E229="MI",4,(IF(E229="RP",5,(IF(E229="SC",6,0)))))))))))))))))))))))))))))))))))))))</f>
        <v>3</v>
      </c>
      <c r="G229" s="171">
        <v>2</v>
      </c>
      <c r="H229" s="38" t="s">
        <v>511</v>
      </c>
      <c r="I229" s="27" t="s">
        <v>936</v>
      </c>
      <c r="J229" s="163" t="s">
        <v>870</v>
      </c>
      <c r="K229" s="34" t="s">
        <v>982</v>
      </c>
      <c r="L229" s="66">
        <f>IF(O229="","",N229*O229*M229)</f>
        <v>75</v>
      </c>
      <c r="M229" s="8">
        <v>1</v>
      </c>
      <c r="N229" s="3">
        <v>1</v>
      </c>
      <c r="O229" s="15">
        <f>IF(SUM(Q229:AF229)&lt;1,"",SUM(Q229:AF229)/COUNTIF(Q229:AF229,"&gt;0"))</f>
        <v>75</v>
      </c>
      <c r="P229" s="16"/>
      <c r="Q229" s="13"/>
      <c r="R229" s="4"/>
      <c r="S229" s="4"/>
      <c r="T229" s="4">
        <v>75</v>
      </c>
      <c r="Y229" s="4"/>
      <c r="AB229" s="4"/>
      <c r="AC229" s="4"/>
      <c r="AD229" s="4"/>
      <c r="AE229" s="4"/>
      <c r="AF229" s="14"/>
    </row>
    <row r="230" spans="1:32" s="2" customFormat="1" ht="15.75" customHeight="1" x14ac:dyDescent="0.25">
      <c r="A230" s="33" t="str">
        <f>CONCATENATE(D230,".",F230,"-",G230,".",H230,"")</f>
        <v>1.3-2.1</v>
      </c>
      <c r="B230" s="33" t="s">
        <v>814</v>
      </c>
      <c r="C230" s="40" t="s">
        <v>335</v>
      </c>
      <c r="D230" s="33">
        <f>IF(C230="ID",1,(IF(C230="PR",2,(IF(C230="DE",3,(IF(C230="RS",4,(IF(C230="RC",5,0)))))))))</f>
        <v>1</v>
      </c>
      <c r="E230" s="33" t="s">
        <v>341</v>
      </c>
      <c r="F230" s="33">
        <f>IF(E230="AM",1,(IF(E230="BE",2,(IF(E230="GV",3,(IF(E230="RA",4,(IF(E230="RM",5,(IF(E230="AC",1,(IF(E230="AT",2,(IF(E230="DS",3,(IF(E230="IP",4,(IF(E230="MA",5,(IF(E230="PT",6,(IF(E230="AE",1,(IF(E230="CM",2,(IF(E230="DP",3,(IF(E230="AN",1,(IF(E230="CO",2,(IF(E230="IM",3,(IF(E230="MI",4,(IF(E230="RP",5,(IF(E230="SC",6,0)))))))))))))))))))))))))))))))))))))))</f>
        <v>3</v>
      </c>
      <c r="G230" s="171">
        <v>2</v>
      </c>
      <c r="H230" s="38" t="s">
        <v>511</v>
      </c>
      <c r="I230" s="27" t="s">
        <v>936</v>
      </c>
      <c r="J230" s="163" t="s">
        <v>874</v>
      </c>
      <c r="K230" s="34" t="s">
        <v>1028</v>
      </c>
      <c r="L230" s="66">
        <f>IF(O230="","",N230*O230*M230)</f>
        <v>75</v>
      </c>
      <c r="M230" s="8">
        <v>1</v>
      </c>
      <c r="N230" s="3">
        <v>1</v>
      </c>
      <c r="O230" s="15">
        <f>IF(SUM(Q230:AF230)&lt;1,"",SUM(Q230:AF230)/COUNTIF(Q230:AF230,"&gt;0"))</f>
        <v>75</v>
      </c>
      <c r="P230" s="16"/>
      <c r="Q230" s="13"/>
      <c r="R230" s="4"/>
      <c r="S230" s="4"/>
      <c r="T230" s="4">
        <v>75</v>
      </c>
      <c r="Y230" s="4"/>
      <c r="AB230" s="4"/>
      <c r="AC230" s="4"/>
      <c r="AD230" s="4"/>
      <c r="AE230" s="4"/>
      <c r="AF230" s="14"/>
    </row>
    <row r="231" spans="1:32" s="2" customFormat="1" ht="15.75" customHeight="1" x14ac:dyDescent="0.25">
      <c r="A231" s="33" t="str">
        <f>CONCATENATE(D231,".",F231,"-",G231,".",H231,"")</f>
        <v>1.3-2.1</v>
      </c>
      <c r="B231" s="33" t="s">
        <v>814</v>
      </c>
      <c r="C231" s="39" t="s">
        <v>335</v>
      </c>
      <c r="D231" s="33">
        <f>IF(C231="ID",1,(IF(C231="PR",2,(IF(C231="DE",3,(IF(C231="RS",4,(IF(C231="RC",5,0)))))))))</f>
        <v>1</v>
      </c>
      <c r="E231" s="33" t="s">
        <v>341</v>
      </c>
      <c r="F231" s="33">
        <f>IF(E231="AM",1,(IF(E231="BE",2,(IF(E231="GV",3,(IF(E231="RA",4,(IF(E231="RM",5,(IF(E231="AC",1,(IF(E231="AT",2,(IF(E231="DS",3,(IF(E231="IP",4,(IF(E231="MA",5,(IF(E231="PT",6,(IF(E231="AE",1,(IF(E231="CM",2,(IF(E231="DP",3,(IF(E231="AN",1,(IF(E231="CO",2,(IF(E231="IM",3,(IF(E231="MI",4,(IF(E231="RP",5,(IF(E231="SC",6,0)))))))))))))))))))))))))))))))))))))))</f>
        <v>3</v>
      </c>
      <c r="G231" s="170">
        <v>2</v>
      </c>
      <c r="H231" s="38" t="s">
        <v>511</v>
      </c>
      <c r="I231" s="27" t="s">
        <v>266</v>
      </c>
      <c r="J231" s="149" t="s">
        <v>449</v>
      </c>
      <c r="K231" s="79" t="s">
        <v>1287</v>
      </c>
      <c r="L231" s="5">
        <f>IF(O231="","",N231*O231*M231)</f>
        <v>75</v>
      </c>
      <c r="M231" s="8">
        <v>1</v>
      </c>
      <c r="N231" s="1">
        <v>1</v>
      </c>
      <c r="O231" s="15">
        <f>IF(SUM(Q231:AF231)&lt;1,"",SUM(Q231:AF231)/COUNTIF(Q231:AF231,"&gt;0"))</f>
        <v>75</v>
      </c>
      <c r="P231" s="16"/>
      <c r="Q231" s="13"/>
      <c r="R231" s="4"/>
      <c r="S231" s="4"/>
      <c r="T231" s="4">
        <v>75</v>
      </c>
      <c r="Y231" s="4"/>
      <c r="AB231" s="4"/>
      <c r="AC231" s="4"/>
      <c r="AD231" s="4"/>
      <c r="AE231" s="4"/>
      <c r="AF231" s="14"/>
    </row>
    <row r="232" spans="1:32" s="2" customFormat="1" ht="15.75" customHeight="1" x14ac:dyDescent="0.25">
      <c r="A232" s="33" t="str">
        <f>CONCATENATE(D232,".",F232,"-",G232,".",H232,"")</f>
        <v>1.3-2.1</v>
      </c>
      <c r="B232" s="33" t="s">
        <v>814</v>
      </c>
      <c r="C232" s="39" t="s">
        <v>335</v>
      </c>
      <c r="D232" s="33">
        <f>IF(C232="ID",1,(IF(C232="PR",2,(IF(C232="DE",3,(IF(C232="RS",4,(IF(C232="RC",5,0)))))))))</f>
        <v>1</v>
      </c>
      <c r="E232" s="33" t="s">
        <v>341</v>
      </c>
      <c r="F232" s="33">
        <f>IF(E232="AM",1,(IF(E232="BE",2,(IF(E232="GV",3,(IF(E232="RA",4,(IF(E232="RM",5,(IF(E232="AC",1,(IF(E232="AT",2,(IF(E232="DS",3,(IF(E232="IP",4,(IF(E232="MA",5,(IF(E232="PT",6,(IF(E232="AE",1,(IF(E232="CM",2,(IF(E232="DP",3,(IF(E232="AN",1,(IF(E232="CO",2,(IF(E232="IM",3,(IF(E232="MI",4,(IF(E232="RP",5,(IF(E232="SC",6,0)))))))))))))))))))))))))))))))))))))))</f>
        <v>3</v>
      </c>
      <c r="G232" s="170">
        <v>2</v>
      </c>
      <c r="H232" s="38" t="s">
        <v>511</v>
      </c>
      <c r="I232" s="27" t="s">
        <v>266</v>
      </c>
      <c r="J232" s="149" t="s">
        <v>450</v>
      </c>
      <c r="K232" s="79" t="s">
        <v>1288</v>
      </c>
      <c r="L232" s="5">
        <f>IF(O232="","",N232*O232*M232)</f>
        <v>75</v>
      </c>
      <c r="M232" s="8">
        <v>1</v>
      </c>
      <c r="N232" s="1">
        <v>1</v>
      </c>
      <c r="O232" s="15">
        <f>IF(SUM(Q232:AF232)&lt;1,"",SUM(Q232:AF232)/COUNTIF(Q232:AF232,"&gt;0"))</f>
        <v>75</v>
      </c>
      <c r="P232" s="16"/>
      <c r="Q232" s="13"/>
      <c r="R232" s="4"/>
      <c r="S232" s="4"/>
      <c r="T232" s="4">
        <v>75</v>
      </c>
      <c r="Y232" s="4"/>
      <c r="AB232" s="4"/>
      <c r="AC232" s="4"/>
      <c r="AD232" s="4"/>
      <c r="AE232" s="4"/>
      <c r="AF232" s="14"/>
    </row>
    <row r="233" spans="1:32" s="2" customFormat="1" ht="15.75" customHeight="1" x14ac:dyDescent="0.25">
      <c r="A233" s="33" t="str">
        <f>CONCATENATE(D233,".",F233,"-",G233,".",H233,"")</f>
        <v>1.3-2.1</v>
      </c>
      <c r="B233" s="33" t="s">
        <v>814</v>
      </c>
      <c r="C233" s="39" t="s">
        <v>335</v>
      </c>
      <c r="D233" s="33">
        <f>IF(C233="ID",1,(IF(C233="PR",2,(IF(C233="DE",3,(IF(C233="RS",4,(IF(C233="RC",5,0)))))))))</f>
        <v>1</v>
      </c>
      <c r="E233" s="33" t="s">
        <v>341</v>
      </c>
      <c r="F233" s="33">
        <f>IF(E233="AM",1,(IF(E233="BE",2,(IF(E233="GV",3,(IF(E233="RA",4,(IF(E233="RM",5,(IF(E233="AC",1,(IF(E233="AT",2,(IF(E233="DS",3,(IF(E233="IP",4,(IF(E233="MA",5,(IF(E233="PT",6,(IF(E233="AE",1,(IF(E233="CM",2,(IF(E233="DP",3,(IF(E233="AN",1,(IF(E233="CO",2,(IF(E233="IM",3,(IF(E233="MI",4,(IF(E233="RP",5,(IF(E233="SC",6,0)))))))))))))))))))))))))))))))))))))))</f>
        <v>3</v>
      </c>
      <c r="G233" s="170">
        <v>2</v>
      </c>
      <c r="H233" s="33">
        <v>1</v>
      </c>
      <c r="I233" s="27" t="s">
        <v>266</v>
      </c>
      <c r="J233" s="149" t="s">
        <v>466</v>
      </c>
      <c r="K233" s="79" t="s">
        <v>1332</v>
      </c>
      <c r="L233" s="66">
        <f>IF(O233="","",N233*O233*M233)</f>
        <v>75</v>
      </c>
      <c r="M233" s="8">
        <v>1</v>
      </c>
      <c r="N233" s="1">
        <v>1</v>
      </c>
      <c r="O233" s="15">
        <f>IF(SUM(Q233:AF233)&lt;1,"",SUM(Q233:AF233)/COUNTIF(Q233:AF233,"&gt;0"))</f>
        <v>75</v>
      </c>
      <c r="P233" s="16"/>
      <c r="Q233" s="13"/>
      <c r="R233" s="4"/>
      <c r="S233" s="4"/>
      <c r="T233" s="4">
        <v>75</v>
      </c>
      <c r="Y233" s="4"/>
      <c r="AB233" s="4"/>
      <c r="AC233" s="4"/>
      <c r="AD233" s="4"/>
      <c r="AE233" s="4"/>
      <c r="AF233" s="14"/>
    </row>
    <row r="234" spans="1:32" s="2" customFormat="1" ht="15.75" customHeight="1" x14ac:dyDescent="0.25">
      <c r="A234" s="33" t="str">
        <f>CONCATENATE(D234,".",F234,"-",G234,".",H234,"")</f>
        <v>1.3-2.1</v>
      </c>
      <c r="B234" s="33" t="s">
        <v>814</v>
      </c>
      <c r="C234" s="39" t="s">
        <v>335</v>
      </c>
      <c r="D234" s="33">
        <f>IF(C234="ID",1,(IF(C234="PR",2,(IF(C234="DE",3,(IF(C234="RS",4,(IF(C234="RC",5,0)))))))))</f>
        <v>1</v>
      </c>
      <c r="E234" s="33" t="s">
        <v>341</v>
      </c>
      <c r="F234" s="33">
        <f>IF(E234="AM",1,(IF(E234="BE",2,(IF(E234="GV",3,(IF(E234="RA",4,(IF(E234="RM",5,(IF(E234="AC",1,(IF(E234="AT",2,(IF(E234="DS",3,(IF(E234="IP",4,(IF(E234="MA",5,(IF(E234="PT",6,(IF(E234="AE",1,(IF(E234="CM",2,(IF(E234="DP",3,(IF(E234="AN",1,(IF(E234="CO",2,(IF(E234="IM",3,(IF(E234="MI",4,(IF(E234="RP",5,(IF(E234="SC",6,0)))))))))))))))))))))))))))))))))))))))</f>
        <v>3</v>
      </c>
      <c r="G234" s="170">
        <v>2</v>
      </c>
      <c r="H234" s="33">
        <v>1</v>
      </c>
      <c r="I234" s="27" t="s">
        <v>266</v>
      </c>
      <c r="J234" s="150" t="s">
        <v>2</v>
      </c>
      <c r="K234" s="79" t="s">
        <v>1335</v>
      </c>
      <c r="L234" s="5">
        <f>IF(O234="","",N234*O234*M234)</f>
        <v>75</v>
      </c>
      <c r="M234" s="8">
        <v>1</v>
      </c>
      <c r="N234" s="1">
        <v>1</v>
      </c>
      <c r="O234" s="15">
        <f>IF(SUM(Q234:AF234)&lt;1,"",SUM(Q234:AF234)/COUNTIF(Q234:AF234,"&gt;0"))</f>
        <v>75</v>
      </c>
      <c r="P234" s="16"/>
      <c r="Q234" s="13"/>
      <c r="R234" s="3"/>
      <c r="S234" s="3"/>
      <c r="T234" s="4">
        <v>75</v>
      </c>
      <c r="U234" s="3"/>
      <c r="V234" s="3"/>
      <c r="W234" s="3"/>
      <c r="X234" s="3"/>
      <c r="Y234" s="3"/>
      <c r="Z234" s="3"/>
      <c r="AA234" s="3"/>
      <c r="AB234" s="3"/>
      <c r="AC234" s="3"/>
      <c r="AD234" s="3"/>
      <c r="AE234" s="3"/>
      <c r="AF234" s="104"/>
    </row>
    <row r="235" spans="1:32" s="2" customFormat="1" ht="15.75" customHeight="1" x14ac:dyDescent="0.25">
      <c r="A235" s="33" t="str">
        <f>CONCATENATE(D235,".",F235,"-",G235,".",H235,"")</f>
        <v>1.3-2.1</v>
      </c>
      <c r="B235" s="33" t="s">
        <v>814</v>
      </c>
      <c r="C235" s="39" t="s">
        <v>335</v>
      </c>
      <c r="D235" s="33">
        <f>IF(C235="ID",1,(IF(C235="PR",2,(IF(C235="DE",3,(IF(C235="RS",4,(IF(C235="RC",5,0)))))))))</f>
        <v>1</v>
      </c>
      <c r="E235" s="33" t="s">
        <v>341</v>
      </c>
      <c r="F235" s="33">
        <f>IF(E235="AM",1,(IF(E235="BE",2,(IF(E235="GV",3,(IF(E235="RA",4,(IF(E235="RM",5,(IF(E235="AC",1,(IF(E235="AT",2,(IF(E235="DS",3,(IF(E235="IP",4,(IF(E235="MA",5,(IF(E235="PT",6,(IF(E235="AE",1,(IF(E235="CM",2,(IF(E235="DP",3,(IF(E235="AN",1,(IF(E235="CO",2,(IF(E235="IM",3,(IF(E235="MI",4,(IF(E235="RP",5,(IF(E235="SC",6,0)))))))))))))))))))))))))))))))))))))))</f>
        <v>3</v>
      </c>
      <c r="G235" s="170">
        <v>2</v>
      </c>
      <c r="H235" s="38" t="s">
        <v>511</v>
      </c>
      <c r="I235" s="27" t="s">
        <v>266</v>
      </c>
      <c r="J235" s="149" t="s">
        <v>326</v>
      </c>
      <c r="K235" s="79" t="s">
        <v>1345</v>
      </c>
      <c r="L235" s="66">
        <f>IF(O235="","",N235*O235*M235)</f>
        <v>75</v>
      </c>
      <c r="M235" s="8">
        <v>1</v>
      </c>
      <c r="N235" s="1">
        <v>1</v>
      </c>
      <c r="O235" s="15">
        <f>IF(SUM(Q235:AF235)&lt;1,"",SUM(Q235:AF235)/COUNTIF(Q235:AF235,"&gt;0"))</f>
        <v>75</v>
      </c>
      <c r="P235" s="16"/>
      <c r="Q235" s="13"/>
      <c r="R235" s="4"/>
      <c r="S235" s="4"/>
      <c r="T235" s="4">
        <v>75</v>
      </c>
      <c r="Y235" s="4"/>
      <c r="AB235" s="4"/>
      <c r="AC235" s="4"/>
      <c r="AD235" s="4"/>
      <c r="AE235" s="4"/>
      <c r="AF235" s="14"/>
    </row>
    <row r="236" spans="1:32" s="2" customFormat="1" ht="15.75" customHeight="1" x14ac:dyDescent="0.25">
      <c r="A236" s="33" t="str">
        <f>CONCATENATE(D236,".",F236,"-",G236,".",H236,"")</f>
        <v>1.3-2.1</v>
      </c>
      <c r="B236" s="33" t="s">
        <v>814</v>
      </c>
      <c r="C236" s="41" t="s">
        <v>335</v>
      </c>
      <c r="D236" s="33">
        <f>IF(C236="ID",1,(IF(C236="PR",2,(IF(C236="DE",3,(IF(C236="RS",4,(IF(C236="RC",5,0)))))))))</f>
        <v>1</v>
      </c>
      <c r="E236" s="33" t="s">
        <v>341</v>
      </c>
      <c r="F236" s="33">
        <f>IF(E236="AM",1,(IF(E236="BE",2,(IF(E236="GV",3,(IF(E236="RA",4,(IF(E236="RM",5,(IF(E236="AC",1,(IF(E236="AT",2,(IF(E236="DS",3,(IF(E236="IP",4,(IF(E236="MA",5,(IF(E236="PT",6,(IF(E236="AE",1,(IF(E236="CM",2,(IF(E236="DP",3,(IF(E236="AN",1,(IF(E236="CO",2,(IF(E236="IM",3,(IF(E236="MI",4,(IF(E236="RP",5,(IF(E236="SC",6,0)))))))))))))))))))))))))))))))))))))))</f>
        <v>3</v>
      </c>
      <c r="G236" s="170">
        <v>2</v>
      </c>
      <c r="H236" s="38" t="s">
        <v>511</v>
      </c>
      <c r="I236" s="27" t="s">
        <v>266</v>
      </c>
      <c r="J236" s="149" t="s">
        <v>444</v>
      </c>
      <c r="K236" s="79" t="s">
        <v>1363</v>
      </c>
      <c r="L236" s="5">
        <f>IF(O236="","",N236*O236*M236)</f>
        <v>75</v>
      </c>
      <c r="M236" s="8">
        <v>1</v>
      </c>
      <c r="N236" s="1">
        <v>1</v>
      </c>
      <c r="O236" s="15">
        <f>IF(SUM(Q236:AF236)&lt;1,"",SUM(Q236:AF236)/COUNTIF(Q236:AF236,"&gt;0"))</f>
        <v>75</v>
      </c>
      <c r="P236" s="16"/>
      <c r="Q236" s="13"/>
      <c r="R236" s="4"/>
      <c r="S236" s="4"/>
      <c r="T236" s="4">
        <v>75</v>
      </c>
      <c r="Y236" s="4"/>
      <c r="AB236" s="4"/>
      <c r="AC236" s="4"/>
      <c r="AD236" s="4"/>
      <c r="AE236" s="4"/>
      <c r="AF236" s="14"/>
    </row>
    <row r="237" spans="1:32" s="2" customFormat="1" ht="15.75" customHeight="1" x14ac:dyDescent="0.25">
      <c r="A237" s="33" t="str">
        <f>CONCATENATE(D237,".",F237,"-",G237,".",H237,"")</f>
        <v>1.3-2.1</v>
      </c>
      <c r="B237" s="33" t="s">
        <v>814</v>
      </c>
      <c r="C237" s="39" t="s">
        <v>335</v>
      </c>
      <c r="D237" s="33">
        <f>IF(C237="ID",1,(IF(C237="PR",2,(IF(C237="DE",3,(IF(C237="RS",4,(IF(C237="RC",5,0)))))))))</f>
        <v>1</v>
      </c>
      <c r="E237" s="33" t="s">
        <v>341</v>
      </c>
      <c r="F237" s="33">
        <f>IF(E237="AM",1,(IF(E237="BE",2,(IF(E237="GV",3,(IF(E237="RA",4,(IF(E237="RM",5,(IF(E237="AC",1,(IF(E237="AT",2,(IF(E237="DS",3,(IF(E237="IP",4,(IF(E237="MA",5,(IF(E237="PT",6,(IF(E237="AE",1,(IF(E237="CM",2,(IF(E237="DP",3,(IF(E237="AN",1,(IF(E237="CO",2,(IF(E237="IM",3,(IF(E237="MI",4,(IF(E237="RP",5,(IF(E237="SC",6,0)))))))))))))))))))))))))))))))))))))))</f>
        <v>3</v>
      </c>
      <c r="G237" s="170">
        <v>2</v>
      </c>
      <c r="H237" s="33">
        <v>1</v>
      </c>
      <c r="I237" s="27" t="s">
        <v>266</v>
      </c>
      <c r="J237" s="150" t="s">
        <v>5</v>
      </c>
      <c r="K237" s="79" t="s">
        <v>1393</v>
      </c>
      <c r="L237" s="5">
        <f>IF(O237="","",N237*O237*M237)</f>
        <v>75</v>
      </c>
      <c r="M237" s="8">
        <v>1</v>
      </c>
      <c r="N237" s="1">
        <v>1</v>
      </c>
      <c r="O237" s="15">
        <f>IF(SUM(Q237:AF237)&lt;1,"",SUM(Q237:AF237)/COUNTIF(Q237:AF237,"&gt;0"))</f>
        <v>75</v>
      </c>
      <c r="P237" s="16"/>
      <c r="Q237" s="13"/>
      <c r="R237" s="3"/>
      <c r="S237" s="3"/>
      <c r="T237" s="4">
        <v>75</v>
      </c>
      <c r="U237" s="3"/>
      <c r="V237" s="3"/>
      <c r="W237" s="3"/>
      <c r="X237" s="3"/>
      <c r="Y237" s="3"/>
      <c r="Z237" s="3"/>
      <c r="AA237" s="3"/>
      <c r="AB237" s="3"/>
      <c r="AC237" s="3"/>
      <c r="AD237" s="3"/>
      <c r="AE237" s="3"/>
      <c r="AF237" s="104"/>
    </row>
    <row r="238" spans="1:32" s="2" customFormat="1" ht="15.75" customHeight="1" x14ac:dyDescent="0.25">
      <c r="A238" s="33" t="str">
        <f>CONCATENATE(D238,".",F238,"-",G238,".",H238,"")</f>
        <v>1.3-2.1</v>
      </c>
      <c r="B238" s="33" t="s">
        <v>814</v>
      </c>
      <c r="C238" s="39" t="s">
        <v>335</v>
      </c>
      <c r="D238" s="33">
        <f>IF(C238="ID",1,(IF(C238="PR",2,(IF(C238="DE",3,(IF(C238="RS",4,(IF(C238="RC",5,0)))))))))</f>
        <v>1</v>
      </c>
      <c r="E238" s="33" t="s">
        <v>341</v>
      </c>
      <c r="F238" s="33">
        <f>IF(E238="AM",1,(IF(E238="BE",2,(IF(E238="GV",3,(IF(E238="RA",4,(IF(E238="RM",5,(IF(E238="AC",1,(IF(E238="AT",2,(IF(E238="DS",3,(IF(E238="IP",4,(IF(E238="MA",5,(IF(E238="PT",6,(IF(E238="AE",1,(IF(E238="CM",2,(IF(E238="DP",3,(IF(E238="AN",1,(IF(E238="CO",2,(IF(E238="IM",3,(IF(E238="MI",4,(IF(E238="RP",5,(IF(E238="SC",6,0)))))))))))))))))))))))))))))))))))))))</f>
        <v>3</v>
      </c>
      <c r="G238" s="170">
        <v>2</v>
      </c>
      <c r="H238" s="38" t="s">
        <v>511</v>
      </c>
      <c r="I238" s="27" t="s">
        <v>266</v>
      </c>
      <c r="J238" s="149" t="s">
        <v>493</v>
      </c>
      <c r="K238" s="79" t="s">
        <v>1396</v>
      </c>
      <c r="L238" s="66">
        <f>IF(O238="","",N238*O238*M238)</f>
        <v>75</v>
      </c>
      <c r="M238" s="8">
        <v>1</v>
      </c>
      <c r="N238" s="1">
        <v>1</v>
      </c>
      <c r="O238" s="15">
        <f>IF(SUM(Q238:AF238)&lt;1,"",SUM(Q238:AF238)/COUNTIF(Q238:AF238,"&gt;0"))</f>
        <v>75</v>
      </c>
      <c r="P238" s="16"/>
      <c r="Q238" s="13"/>
      <c r="R238" s="4"/>
      <c r="S238" s="4"/>
      <c r="T238" s="4">
        <v>75</v>
      </c>
      <c r="Y238" s="4"/>
      <c r="AB238" s="4"/>
      <c r="AC238" s="4"/>
      <c r="AD238" s="4"/>
      <c r="AE238" s="4"/>
      <c r="AF238" s="14"/>
    </row>
    <row r="239" spans="1:32" s="2" customFormat="1" ht="15.75" customHeight="1" x14ac:dyDescent="0.25">
      <c r="A239" s="33" t="str">
        <f>CONCATENATE(D239,".",F239,"-",G239,".",H239,"")</f>
        <v>1.3-2.1</v>
      </c>
      <c r="B239" s="33" t="s">
        <v>814</v>
      </c>
      <c r="C239" s="39" t="s">
        <v>335</v>
      </c>
      <c r="D239" s="33">
        <f>IF(C239="ID",1,(IF(C239="PR",2,(IF(C239="DE",3,(IF(C239="RS",4,(IF(C239="RC",5,0)))))))))</f>
        <v>1</v>
      </c>
      <c r="E239" s="33" t="s">
        <v>341</v>
      </c>
      <c r="F239" s="33">
        <f>IF(E239="AM",1,(IF(E239="BE",2,(IF(E239="GV",3,(IF(E239="RA",4,(IF(E239="RM",5,(IF(E239="AC",1,(IF(E239="AT",2,(IF(E239="DS",3,(IF(E239="IP",4,(IF(E239="MA",5,(IF(E239="PT",6,(IF(E239="AE",1,(IF(E239="CM",2,(IF(E239="DP",3,(IF(E239="AN",1,(IF(E239="CO",2,(IF(E239="IM",3,(IF(E239="MI",4,(IF(E239="RP",5,(IF(E239="SC",6,0)))))))))))))))))))))))))))))))))))))))</f>
        <v>3</v>
      </c>
      <c r="G239" s="170">
        <v>2</v>
      </c>
      <c r="H239" s="33">
        <v>1</v>
      </c>
      <c r="I239" s="27" t="s">
        <v>266</v>
      </c>
      <c r="J239" s="150" t="s">
        <v>4</v>
      </c>
      <c r="K239" s="79" t="s">
        <v>1398</v>
      </c>
      <c r="L239" s="5">
        <f>IF(O239="","",N239*O239*M239)</f>
        <v>75</v>
      </c>
      <c r="M239" s="8">
        <v>1</v>
      </c>
      <c r="N239" s="1">
        <v>1</v>
      </c>
      <c r="O239" s="15">
        <f>IF(SUM(Q239:AF239)&lt;1,"",SUM(Q239:AF239)/COUNTIF(Q239:AF239,"&gt;0"))</f>
        <v>75</v>
      </c>
      <c r="P239" s="16"/>
      <c r="Q239" s="13"/>
      <c r="R239" s="3"/>
      <c r="S239" s="3"/>
      <c r="T239" s="4">
        <v>75</v>
      </c>
      <c r="U239" s="3"/>
      <c r="V239" s="3"/>
      <c r="W239" s="3"/>
      <c r="X239" s="3"/>
      <c r="Y239" s="3"/>
      <c r="Z239" s="3"/>
      <c r="AA239" s="3"/>
      <c r="AB239" s="3"/>
      <c r="AC239" s="3"/>
      <c r="AD239" s="3"/>
      <c r="AE239" s="3"/>
      <c r="AF239" s="104"/>
    </row>
    <row r="240" spans="1:32" s="2" customFormat="1" ht="15.75" customHeight="1" x14ac:dyDescent="0.25">
      <c r="A240" s="33" t="str">
        <f>CONCATENATE(D240,".",F240,"-",G240,".",H240,"")</f>
        <v>1.3-2.1</v>
      </c>
      <c r="B240" s="33" t="s">
        <v>814</v>
      </c>
      <c r="C240" s="39" t="s">
        <v>335</v>
      </c>
      <c r="D240" s="33">
        <f>IF(C240="ID",1,(IF(C240="PR",2,(IF(C240="DE",3,(IF(C240="RS",4,(IF(C240="RC",5,0)))))))))</f>
        <v>1</v>
      </c>
      <c r="E240" s="33" t="s">
        <v>341</v>
      </c>
      <c r="F240" s="33">
        <f>IF(E240="AM",1,(IF(E240="BE",2,(IF(E240="GV",3,(IF(E240="RA",4,(IF(E240="RM",5,(IF(E240="AC",1,(IF(E240="AT",2,(IF(E240="DS",3,(IF(E240="IP",4,(IF(E240="MA",5,(IF(E240="PT",6,(IF(E240="AE",1,(IF(E240="CM",2,(IF(E240="DP",3,(IF(E240="AN",1,(IF(E240="CO",2,(IF(E240="IM",3,(IF(E240="MI",4,(IF(E240="RP",5,(IF(E240="SC",6,0)))))))))))))))))))))))))))))))))))))))</f>
        <v>3</v>
      </c>
      <c r="G240" s="170">
        <v>2</v>
      </c>
      <c r="H240" s="33">
        <v>1</v>
      </c>
      <c r="I240" s="27" t="s">
        <v>266</v>
      </c>
      <c r="J240" s="150" t="s">
        <v>13</v>
      </c>
      <c r="K240" s="79" t="s">
        <v>1405</v>
      </c>
      <c r="L240" s="5">
        <f>IF(O240="","",N240*O240*M240)</f>
        <v>75</v>
      </c>
      <c r="M240" s="8">
        <v>1</v>
      </c>
      <c r="N240" s="1">
        <v>1</v>
      </c>
      <c r="O240" s="15">
        <f>IF(SUM(Q240:AF240)&lt;1,"",SUM(Q240:AF240)/COUNTIF(Q240:AF240,"&gt;0"))</f>
        <v>75</v>
      </c>
      <c r="P240" s="16"/>
      <c r="Q240" s="13"/>
      <c r="R240" s="3"/>
      <c r="S240" s="3"/>
      <c r="T240" s="4">
        <v>75</v>
      </c>
      <c r="U240" s="3"/>
      <c r="V240" s="3"/>
      <c r="W240" s="3"/>
      <c r="X240" s="3"/>
      <c r="Y240" s="3"/>
      <c r="Z240" s="3"/>
      <c r="AA240" s="3"/>
      <c r="AB240" s="3"/>
      <c r="AC240" s="3"/>
      <c r="AD240" s="3"/>
      <c r="AE240" s="3"/>
      <c r="AF240" s="104"/>
    </row>
    <row r="241" spans="1:32" s="2" customFormat="1" ht="15.75" customHeight="1" x14ac:dyDescent="0.25">
      <c r="A241" s="33" t="str">
        <f>CONCATENATE(D241,".",F241,"-",G241,".",H241,"")</f>
        <v>1.3-2.1</v>
      </c>
      <c r="B241" s="33" t="s">
        <v>814</v>
      </c>
      <c r="C241" s="39" t="s">
        <v>335</v>
      </c>
      <c r="D241" s="33">
        <f>IF(C241="ID",1,(IF(C241="PR",2,(IF(C241="DE",3,(IF(C241="RS",4,(IF(C241="RC",5,0)))))))))</f>
        <v>1</v>
      </c>
      <c r="E241" s="33" t="s">
        <v>341</v>
      </c>
      <c r="F241" s="33">
        <f>IF(E241="AM",1,(IF(E241="BE",2,(IF(E241="GV",3,(IF(E241="RA",4,(IF(E241="RM",5,(IF(E241="AC",1,(IF(E241="AT",2,(IF(E241="DS",3,(IF(E241="IP",4,(IF(E241="MA",5,(IF(E241="PT",6,(IF(E241="AE",1,(IF(E241="CM",2,(IF(E241="DP",3,(IF(E241="AN",1,(IF(E241="CO",2,(IF(E241="IM",3,(IF(E241="MI",4,(IF(E241="RP",5,(IF(E241="SC",6,0)))))))))))))))))))))))))))))))))))))))</f>
        <v>3</v>
      </c>
      <c r="G241" s="170">
        <v>2</v>
      </c>
      <c r="H241" s="38" t="s">
        <v>511</v>
      </c>
      <c r="I241" s="105" t="s">
        <v>1449</v>
      </c>
      <c r="J241" s="157" t="s">
        <v>1552</v>
      </c>
      <c r="K241" s="34" t="s">
        <v>1553</v>
      </c>
      <c r="L241" s="5">
        <f>IF(O241="","",N241*O241*M241)</f>
        <v>99</v>
      </c>
      <c r="M241" s="8">
        <v>1</v>
      </c>
      <c r="N241" s="1">
        <v>1</v>
      </c>
      <c r="O241" s="15">
        <f>IF(SUM(Q241:AF241)&lt;1,"",SUM(Q241:AF241)/COUNTIF(Q241:AF241,"&gt;0"))</f>
        <v>99</v>
      </c>
      <c r="P241" s="16"/>
      <c r="Q241" s="13"/>
      <c r="R241" s="4"/>
      <c r="S241" s="4"/>
      <c r="T241" s="4">
        <v>99</v>
      </c>
      <c r="Y241" s="4"/>
      <c r="AB241" s="4"/>
      <c r="AC241" s="4"/>
      <c r="AD241" s="4"/>
      <c r="AE241" s="4"/>
      <c r="AF241" s="14"/>
    </row>
    <row r="242" spans="1:32" s="2" customFormat="1" ht="15.75" customHeight="1" x14ac:dyDescent="0.25">
      <c r="A242" s="33" t="str">
        <f>CONCATENATE(D242,".",F242,"-",G242,".",H242,"")</f>
        <v>1.3-2.1</v>
      </c>
      <c r="B242" s="33" t="s">
        <v>814</v>
      </c>
      <c r="C242" s="39" t="s">
        <v>335</v>
      </c>
      <c r="D242" s="33">
        <f>IF(C242="ID",1,(IF(C242="PR",2,(IF(C242="DE",3,(IF(C242="RS",4,(IF(C242="RC",5,0)))))))))</f>
        <v>1</v>
      </c>
      <c r="E242" s="33" t="s">
        <v>341</v>
      </c>
      <c r="F242" s="33">
        <f>IF(E242="AM",1,(IF(E242="BE",2,(IF(E242="GV",3,(IF(E242="RA",4,(IF(E242="RM",5,(IF(E242="AC",1,(IF(E242="AT",2,(IF(E242="DS",3,(IF(E242="IP",4,(IF(E242="MA",5,(IF(E242="PT",6,(IF(E242="AE",1,(IF(E242="CM",2,(IF(E242="DP",3,(IF(E242="AN",1,(IF(E242="CO",2,(IF(E242="IM",3,(IF(E242="MI",4,(IF(E242="RP",5,(IF(E242="SC",6,0)))))))))))))))))))))))))))))))))))))))</f>
        <v>3</v>
      </c>
      <c r="G242" s="170">
        <v>2</v>
      </c>
      <c r="H242" s="38" t="s">
        <v>511</v>
      </c>
      <c r="I242" s="105" t="s">
        <v>1449</v>
      </c>
      <c r="J242" s="157" t="s">
        <v>1751</v>
      </c>
      <c r="K242" s="34" t="s">
        <v>1752</v>
      </c>
      <c r="L242" s="5">
        <f>IF(O242="","",N242*O242*M242)</f>
        <v>99</v>
      </c>
      <c r="M242" s="8">
        <v>1</v>
      </c>
      <c r="N242" s="1">
        <v>1</v>
      </c>
      <c r="O242" s="15">
        <f>IF(SUM(Q242:AF242)&lt;1,"",SUM(Q242:AF242)/COUNTIF(Q242:AF242,"&gt;0"))</f>
        <v>99</v>
      </c>
      <c r="P242" s="16"/>
      <c r="Q242" s="13"/>
      <c r="R242" s="4"/>
      <c r="S242" s="4"/>
      <c r="T242" s="4">
        <v>99</v>
      </c>
      <c r="Y242" s="4"/>
      <c r="AB242" s="4"/>
      <c r="AC242" s="4"/>
      <c r="AD242" s="4"/>
      <c r="AE242" s="4"/>
      <c r="AF242" s="14"/>
    </row>
    <row r="243" spans="1:32" s="2" customFormat="1" ht="15.75" customHeight="1" x14ac:dyDescent="0.25">
      <c r="A243" s="33" t="str">
        <f>CONCATENATE(D243,".",F243,"-",G243,".",H243,"")</f>
        <v>1.3-2.1</v>
      </c>
      <c r="B243" s="33"/>
      <c r="C243" s="39" t="s">
        <v>335</v>
      </c>
      <c r="D243" s="33">
        <f>IF(C243="ID",1,(IF(C243="PR",2,(IF(C243="DE",3,(IF(C243="RS",4,(IF(C243="RC",5,0)))))))))</f>
        <v>1</v>
      </c>
      <c r="E243" s="33" t="s">
        <v>341</v>
      </c>
      <c r="F243" s="33">
        <f>IF(E243="AM",1,(IF(E243="BE",2,(IF(E243="GV",3,(IF(E243="RA",4,(IF(E243="RM",5,(IF(E243="AC",1,(IF(E243="AT",2,(IF(E243="DS",3,(IF(E243="IP",4,(IF(E243="MA",5,(IF(E243="PT",6,(IF(E243="AE",1,(IF(E243="CM",2,(IF(E243="DP",3,(IF(E243="AN",1,(IF(E243="CO",2,(IF(E243="IM",3,(IF(E243="MI",4,(IF(E243="RP",5,(IF(E243="SC",6,0)))))))))))))))))))))))))))))))))))))))</f>
        <v>3</v>
      </c>
      <c r="G243" s="170">
        <v>2</v>
      </c>
      <c r="H243" s="38" t="s">
        <v>511</v>
      </c>
      <c r="I243" s="105" t="s">
        <v>1449</v>
      </c>
      <c r="J243" s="157" t="s">
        <v>2539</v>
      </c>
      <c r="K243" s="34" t="s">
        <v>2540</v>
      </c>
      <c r="L243" s="5">
        <f>IF(O243="","",N243*O243*M243)</f>
        <v>99</v>
      </c>
      <c r="M243" s="8">
        <v>1</v>
      </c>
      <c r="N243" s="1">
        <v>1</v>
      </c>
      <c r="O243" s="15">
        <f>IF(SUM(Q243:AF243)&lt;1,"",SUM(Q243:AF243)/COUNTIF(Q243:AF243,"&gt;0"))</f>
        <v>99</v>
      </c>
      <c r="P243" s="16"/>
      <c r="Q243" s="13"/>
      <c r="R243" s="4"/>
      <c r="S243" s="4"/>
      <c r="T243" s="4">
        <v>99</v>
      </c>
      <c r="Y243" s="4"/>
      <c r="AB243" s="4"/>
      <c r="AC243" s="4"/>
      <c r="AD243" s="4"/>
      <c r="AE243" s="4"/>
      <c r="AF243" s="14"/>
    </row>
    <row r="244" spans="1:32" s="2" customFormat="1" ht="15.75" customHeight="1" x14ac:dyDescent="0.25">
      <c r="A244" s="33" t="str">
        <f>CONCATENATE(D244,".",F244,"-",G244,".",H244,"")</f>
        <v>1.3-2.1</v>
      </c>
      <c r="B244" s="33"/>
      <c r="C244" s="39" t="s">
        <v>335</v>
      </c>
      <c r="D244" s="33">
        <f>IF(C244="ID",1,(IF(C244="PR",2,(IF(C244="DE",3,(IF(C244="RS",4,(IF(C244="RC",5,0)))))))))</f>
        <v>1</v>
      </c>
      <c r="E244" s="33" t="s">
        <v>341</v>
      </c>
      <c r="F244" s="33">
        <f>IF(E244="AM",1,(IF(E244="BE",2,(IF(E244="GV",3,(IF(E244="RA",4,(IF(E244="RM",5,(IF(E244="AC",1,(IF(E244="AT",2,(IF(E244="DS",3,(IF(E244="IP",4,(IF(E244="MA",5,(IF(E244="PT",6,(IF(E244="AE",1,(IF(E244="CM",2,(IF(E244="DP",3,(IF(E244="AN",1,(IF(E244="CO",2,(IF(E244="IM",3,(IF(E244="MI",4,(IF(E244="RP",5,(IF(E244="SC",6,0)))))))))))))))))))))))))))))))))))))))</f>
        <v>3</v>
      </c>
      <c r="G244" s="170">
        <v>2</v>
      </c>
      <c r="H244" s="38" t="s">
        <v>511</v>
      </c>
      <c r="I244" s="105" t="s">
        <v>1449</v>
      </c>
      <c r="J244" s="157" t="s">
        <v>2737</v>
      </c>
      <c r="K244" s="34" t="s">
        <v>2738</v>
      </c>
      <c r="L244" s="5">
        <f>IF(O244="","",N244*O244*M244)</f>
        <v>99</v>
      </c>
      <c r="M244" s="8">
        <v>1</v>
      </c>
      <c r="N244" s="1">
        <v>1</v>
      </c>
      <c r="O244" s="15">
        <f>IF(SUM(Q244:AF244)&lt;1,"",SUM(Q244:AF244)/COUNTIF(Q244:AF244,"&gt;0"))</f>
        <v>99</v>
      </c>
      <c r="P244" s="16"/>
      <c r="Q244" s="13"/>
      <c r="R244" s="4"/>
      <c r="S244" s="4"/>
      <c r="T244" s="4">
        <v>99</v>
      </c>
      <c r="Y244" s="4"/>
      <c r="AB244" s="4"/>
      <c r="AC244" s="4"/>
      <c r="AD244" s="4"/>
      <c r="AE244" s="4"/>
      <c r="AF244" s="14"/>
    </row>
    <row r="245" spans="1:32" s="2" customFormat="1" ht="15.75" customHeight="1" x14ac:dyDescent="0.25">
      <c r="A245" s="33" t="str">
        <f>CONCATENATE(D245,".",F245,"-",G245,".",H245,"")</f>
        <v>1.3-2.4</v>
      </c>
      <c r="B245" s="33" t="s">
        <v>814</v>
      </c>
      <c r="C245" s="39" t="s">
        <v>335</v>
      </c>
      <c r="D245" s="33">
        <f>IF(C245="ID",1,(IF(C245="PR",2,(IF(C245="DE",3,(IF(C245="RS",4,(IF(C245="RC",5,0)))))))))</f>
        <v>1</v>
      </c>
      <c r="E245" s="33" t="s">
        <v>341</v>
      </c>
      <c r="F245" s="33">
        <f>IF(E245="AM",1,(IF(E245="BE",2,(IF(E245="GV",3,(IF(E245="RA",4,(IF(E245="RM",5,(IF(E245="AC",1,(IF(E245="AT",2,(IF(E245="DS",3,(IF(E245="IP",4,(IF(E245="MA",5,(IF(E245="PT",6,(IF(E245="AE",1,(IF(E245="CM",2,(IF(E245="DP",3,(IF(E245="AN",1,(IF(E245="CO",2,(IF(E245="IM",3,(IF(E245="MI",4,(IF(E245="RP",5,(IF(E245="SC",6,0)))))))))))))))))))))))))))))))))))))))</f>
        <v>3</v>
      </c>
      <c r="G245" s="170">
        <v>2</v>
      </c>
      <c r="H245" s="33">
        <v>4</v>
      </c>
      <c r="I245" s="27" t="s">
        <v>266</v>
      </c>
      <c r="J245" s="150" t="s">
        <v>2</v>
      </c>
      <c r="K245" s="79" t="s">
        <v>1335</v>
      </c>
      <c r="L245" s="5">
        <f>IF(O245="","",N245*O245*M245)</f>
        <v>75</v>
      </c>
      <c r="M245" s="8">
        <v>1</v>
      </c>
      <c r="N245" s="1">
        <v>1</v>
      </c>
      <c r="O245" s="15">
        <f>IF(SUM(Q245:AF245)&lt;1,"",SUM(Q245:AF245)/COUNTIF(Q245:AF245,"&gt;0"))</f>
        <v>75</v>
      </c>
      <c r="P245" s="16"/>
      <c r="Q245" s="13"/>
      <c r="R245" s="3"/>
      <c r="S245" s="3"/>
      <c r="T245" s="4">
        <v>75</v>
      </c>
      <c r="U245" s="3"/>
      <c r="V245" s="3"/>
      <c r="W245" s="3"/>
      <c r="X245" s="3"/>
      <c r="Y245" s="3"/>
      <c r="Z245" s="3"/>
      <c r="AA245" s="3"/>
      <c r="AB245" s="3"/>
      <c r="AC245" s="3"/>
      <c r="AD245" s="3"/>
      <c r="AE245" s="3"/>
      <c r="AF245" s="104"/>
    </row>
    <row r="246" spans="1:32" s="2" customFormat="1" ht="15.75" customHeight="1" x14ac:dyDescent="0.25">
      <c r="A246" s="33" t="str">
        <f>CONCATENATE(D246,".",F246,"-",G246,".",H246,"")</f>
        <v>1.3-2.9</v>
      </c>
      <c r="B246" s="33"/>
      <c r="C246" s="39" t="s">
        <v>335</v>
      </c>
      <c r="D246" s="33">
        <f>IF(C246="ID",1,(IF(C246="PR",2,(IF(C246="DE",3,(IF(C246="RS",4,(IF(C246="RC",5,0)))))))))</f>
        <v>1</v>
      </c>
      <c r="E246" s="33" t="s">
        <v>341</v>
      </c>
      <c r="F246" s="33">
        <f>IF(E246="AM",1,(IF(E246="BE",2,(IF(E246="GV",3,(IF(E246="RA",4,(IF(E246="RM",5,(IF(E246="AC",1,(IF(E246="AT",2,(IF(E246="DS",3,(IF(E246="IP",4,(IF(E246="MA",5,(IF(E246="PT",6,(IF(E246="AE",1,(IF(E246="CM",2,(IF(E246="DP",3,(IF(E246="AN",1,(IF(E246="CO",2,(IF(E246="IM",3,(IF(E246="MI",4,(IF(E246="RP",5,(IF(E246="SC",6,0)))))))))))))))))))))))))))))))))))))))</f>
        <v>3</v>
      </c>
      <c r="G246" s="170">
        <v>2</v>
      </c>
      <c r="H246" s="38" t="s">
        <v>596</v>
      </c>
      <c r="I246" s="105" t="s">
        <v>1449</v>
      </c>
      <c r="J246" s="157" t="s">
        <v>2479</v>
      </c>
      <c r="K246" s="34" t="s">
        <v>2480</v>
      </c>
      <c r="L246" s="5">
        <f>IF(O246="","",N246*O246*M246)</f>
        <v>99</v>
      </c>
      <c r="M246" s="8">
        <v>1</v>
      </c>
      <c r="N246" s="1">
        <v>1</v>
      </c>
      <c r="O246" s="15">
        <f>IF(SUM(Q246:AF246)&lt;1,"",SUM(Q246:AF246)/COUNTIF(Q246:AF246,"&gt;0"))</f>
        <v>99</v>
      </c>
      <c r="P246" s="16"/>
      <c r="Q246" s="13"/>
      <c r="R246" s="4"/>
      <c r="S246" s="4"/>
      <c r="T246" s="4">
        <v>99</v>
      </c>
      <c r="Y246" s="4"/>
      <c r="AB246" s="4"/>
      <c r="AC246" s="4"/>
      <c r="AD246" s="4"/>
      <c r="AE246" s="4"/>
      <c r="AF246" s="14"/>
    </row>
    <row r="247" spans="1:32" s="2" customFormat="1" ht="15.75" customHeight="1" x14ac:dyDescent="0.25">
      <c r="A247" s="33" t="str">
        <f>CONCATENATE(D247,".",F247,"-",G247,".",H247,"")</f>
        <v>1.3-2.9</v>
      </c>
      <c r="B247" s="33"/>
      <c r="C247" s="39" t="s">
        <v>335</v>
      </c>
      <c r="D247" s="33">
        <f>IF(C247="ID",1,(IF(C247="PR",2,(IF(C247="DE",3,(IF(C247="RS",4,(IF(C247="RC",5,0)))))))))</f>
        <v>1</v>
      </c>
      <c r="E247" s="33" t="s">
        <v>341</v>
      </c>
      <c r="F247" s="33">
        <f>IF(E247="AM",1,(IF(E247="BE",2,(IF(E247="GV",3,(IF(E247="RA",4,(IF(E247="RM",5,(IF(E247="AC",1,(IF(E247="AT",2,(IF(E247="DS",3,(IF(E247="IP",4,(IF(E247="MA",5,(IF(E247="PT",6,(IF(E247="AE",1,(IF(E247="CM",2,(IF(E247="DP",3,(IF(E247="AN",1,(IF(E247="CO",2,(IF(E247="IM",3,(IF(E247="MI",4,(IF(E247="RP",5,(IF(E247="SC",6,0)))))))))))))))))))))))))))))))))))))))</f>
        <v>3</v>
      </c>
      <c r="G247" s="170">
        <v>2</v>
      </c>
      <c r="H247" s="38" t="s">
        <v>596</v>
      </c>
      <c r="I247" s="105" t="s">
        <v>1449</v>
      </c>
      <c r="J247" s="157" t="s">
        <v>2497</v>
      </c>
      <c r="K247" s="34" t="s">
        <v>2498</v>
      </c>
      <c r="L247" s="5">
        <f>IF(O247="","",N247*O247*M247)</f>
        <v>99</v>
      </c>
      <c r="M247" s="8">
        <v>1</v>
      </c>
      <c r="N247" s="1">
        <v>1</v>
      </c>
      <c r="O247" s="15">
        <f>IF(SUM(Q247:AF247)&lt;1,"",SUM(Q247:AF247)/COUNTIF(Q247:AF247,"&gt;0"))</f>
        <v>99</v>
      </c>
      <c r="P247" s="16"/>
      <c r="Q247" s="13"/>
      <c r="R247" s="4"/>
      <c r="S247" s="4"/>
      <c r="T247" s="4">
        <v>99</v>
      </c>
      <c r="Y247" s="4"/>
      <c r="AB247" s="4"/>
      <c r="AC247" s="4"/>
      <c r="AD247" s="4"/>
      <c r="AE247" s="4"/>
      <c r="AF247" s="14"/>
    </row>
    <row r="248" spans="1:32" s="2" customFormat="1" ht="15.75" customHeight="1" x14ac:dyDescent="0.25">
      <c r="A248" s="33" t="str">
        <f>CONCATENATE(D248,".",F248,"-",G248,".",H248,"")</f>
        <v>1.3-3.0</v>
      </c>
      <c r="B248" s="33" t="s">
        <v>814</v>
      </c>
      <c r="C248" s="40" t="s">
        <v>335</v>
      </c>
      <c r="D248" s="33">
        <f>IF(C248="ID",1,(IF(C248="PR",2,(IF(C248="DE",3,(IF(C248="RS",4,(IF(C248="RC",5,0)))))))))</f>
        <v>1</v>
      </c>
      <c r="E248" s="33" t="s">
        <v>341</v>
      </c>
      <c r="F248" s="33">
        <f>IF(E248="AM",1,(IF(E248="BE",2,(IF(E248="GV",3,(IF(E248="RA",4,(IF(E248="RM",5,(IF(E248="AC",1,(IF(E248="AT",2,(IF(E248="DS",3,(IF(E248="IP",4,(IF(E248="MA",5,(IF(E248="PT",6,(IF(E248="AE",1,(IF(E248="CM",2,(IF(E248="DP",3,(IF(E248="AN",1,(IF(E248="CO",2,(IF(E248="IM",3,(IF(E248="MI",4,(IF(E248="RP",5,(IF(E248="SC",6,0)))))))))))))))))))))))))))))))))))))))</f>
        <v>3</v>
      </c>
      <c r="G248" s="170">
        <v>3</v>
      </c>
      <c r="H248" s="38" t="s">
        <v>597</v>
      </c>
      <c r="I248" s="27" t="s">
        <v>1200</v>
      </c>
      <c r="J248" s="149" t="s">
        <v>611</v>
      </c>
      <c r="K248" s="97" t="s">
        <v>363</v>
      </c>
      <c r="L248" s="66">
        <f>IF(O248="","",N248*O248*M248)</f>
        <v>75</v>
      </c>
      <c r="M248" s="8">
        <v>1</v>
      </c>
      <c r="N248" s="1">
        <v>1</v>
      </c>
      <c r="O248" s="15">
        <f>IF(SUM(Q248:AF248)&lt;1,"",SUM(Q248:AF248)/COUNTIF(Q248:AF248,"&gt;0"))</f>
        <v>75</v>
      </c>
      <c r="P248" s="16"/>
      <c r="Q248" s="13"/>
      <c r="R248" s="4"/>
      <c r="S248" s="4"/>
      <c r="T248" s="4">
        <v>75</v>
      </c>
      <c r="Y248" s="4"/>
      <c r="AB248" s="4"/>
      <c r="AC248" s="4"/>
      <c r="AD248" s="4"/>
      <c r="AE248" s="4"/>
      <c r="AF248" s="14"/>
    </row>
    <row r="249" spans="1:32" s="2" customFormat="1" ht="15.75" customHeight="1" x14ac:dyDescent="0.25">
      <c r="A249" s="33" t="str">
        <f>CONCATENATE(D249,".",F249,"-",G249,".",H249,"")</f>
        <v>1.3-3.0</v>
      </c>
      <c r="B249" s="33" t="s">
        <v>814</v>
      </c>
      <c r="C249" s="39" t="s">
        <v>335</v>
      </c>
      <c r="D249" s="33">
        <f>IF(C249="ID",1,(IF(C249="PR",2,(IF(C249="DE",3,(IF(C249="RS",4,(IF(C249="RC",5,0)))))))))</f>
        <v>1</v>
      </c>
      <c r="E249" s="33" t="s">
        <v>341</v>
      </c>
      <c r="F249" s="33">
        <f>IF(E249="AM",1,(IF(E249="BE",2,(IF(E249="GV",3,(IF(E249="RA",4,(IF(E249="RM",5,(IF(E249="AC",1,(IF(E249="AT",2,(IF(E249="DS",3,(IF(E249="IP",4,(IF(E249="MA",5,(IF(E249="PT",6,(IF(E249="AE",1,(IF(E249="CM",2,(IF(E249="DP",3,(IF(E249="AN",1,(IF(E249="CO",2,(IF(E249="IM",3,(IF(E249="MI",4,(IF(E249="RP",5,(IF(E249="SC",6,0)))))))))))))))))))))))))))))))))))))))</f>
        <v>3</v>
      </c>
      <c r="G249" s="170">
        <v>3</v>
      </c>
      <c r="H249" s="33">
        <v>0</v>
      </c>
      <c r="I249" s="27" t="s">
        <v>266</v>
      </c>
      <c r="J249" s="150" t="s">
        <v>77</v>
      </c>
      <c r="K249" s="79" t="s">
        <v>1382</v>
      </c>
      <c r="L249" s="5">
        <f>IF(O249="","",N249*O249*M249)</f>
        <v>75</v>
      </c>
      <c r="M249" s="8">
        <v>1</v>
      </c>
      <c r="N249" s="1">
        <v>1</v>
      </c>
      <c r="O249" s="15">
        <f>IF(SUM(Q249:AF249)&lt;1,"",SUM(Q249:AF249)/COUNTIF(Q249:AF249,"&gt;0"))</f>
        <v>75</v>
      </c>
      <c r="P249" s="16"/>
      <c r="Q249" s="13"/>
      <c r="R249" s="3"/>
      <c r="S249" s="3"/>
      <c r="T249" s="4">
        <v>75</v>
      </c>
      <c r="U249" s="3"/>
      <c r="V249" s="3"/>
      <c r="W249" s="3"/>
      <c r="X249" s="3"/>
      <c r="Y249" s="3"/>
      <c r="Z249" s="3"/>
      <c r="AA249" s="3"/>
      <c r="AB249" s="3"/>
      <c r="AC249" s="3"/>
      <c r="AD249" s="3"/>
      <c r="AE249" s="3"/>
      <c r="AF249" s="104"/>
    </row>
    <row r="250" spans="1:32" s="2" customFormat="1" ht="15.75" customHeight="1" x14ac:dyDescent="0.25">
      <c r="A250" s="33" t="str">
        <f>CONCATENATE(D250,".",F250,"-",G250,".",H250,"")</f>
        <v>1.3-3.1</v>
      </c>
      <c r="B250" s="33" t="s">
        <v>814</v>
      </c>
      <c r="C250" s="40" t="s">
        <v>335</v>
      </c>
      <c r="D250" s="33">
        <f>IF(C250="ID",1,(IF(C250="PR",2,(IF(C250="DE",3,(IF(C250="RS",4,(IF(C250="RC",5,0)))))))))</f>
        <v>1</v>
      </c>
      <c r="E250" s="33" t="s">
        <v>341</v>
      </c>
      <c r="F250" s="33">
        <f>IF(E250="AM",1,(IF(E250="BE",2,(IF(E250="GV",3,(IF(E250="RA",4,(IF(E250="RM",5,(IF(E250="AC",1,(IF(E250="AT",2,(IF(E250="DS",3,(IF(E250="IP",4,(IF(E250="MA",5,(IF(E250="PT",6,(IF(E250="AE",1,(IF(E250="CM",2,(IF(E250="DP",3,(IF(E250="AN",1,(IF(E250="CO",2,(IF(E250="IM",3,(IF(E250="MI",4,(IF(E250="RP",5,(IF(E250="SC",6,0)))))))))))))))))))))))))))))))))))))))</f>
        <v>3</v>
      </c>
      <c r="G250" s="171">
        <v>3</v>
      </c>
      <c r="H250" s="38" t="s">
        <v>511</v>
      </c>
      <c r="I250" s="27" t="s">
        <v>936</v>
      </c>
      <c r="J250" s="163">
        <v>164.31399999999999</v>
      </c>
      <c r="K250" s="34" t="s">
        <v>962</v>
      </c>
      <c r="L250" s="66">
        <f>IF(O250="","",N250*O250*M250)</f>
        <v>75</v>
      </c>
      <c r="M250" s="8">
        <v>1</v>
      </c>
      <c r="N250" s="3">
        <v>1</v>
      </c>
      <c r="O250" s="15">
        <f>IF(SUM(Q250:AF250)&lt;1,"",SUM(Q250:AF250)/COUNTIF(Q250:AF250,"&gt;0"))</f>
        <v>75</v>
      </c>
      <c r="P250" s="16"/>
      <c r="Q250" s="13"/>
      <c r="R250" s="4"/>
      <c r="S250" s="4"/>
      <c r="T250" s="4">
        <v>75</v>
      </c>
      <c r="Y250" s="4"/>
      <c r="AB250" s="4"/>
      <c r="AC250" s="4"/>
      <c r="AD250" s="4"/>
      <c r="AE250" s="4"/>
      <c r="AF250" s="14"/>
    </row>
    <row r="251" spans="1:32" s="2" customFormat="1" ht="15.75" customHeight="1" x14ac:dyDescent="0.25">
      <c r="A251" s="33" t="str">
        <f>CONCATENATE(D251,".",F251,"-",G251,".",H251,"")</f>
        <v>1.3-3.1</v>
      </c>
      <c r="B251" s="33" t="s">
        <v>814</v>
      </c>
      <c r="C251" s="40" t="s">
        <v>335</v>
      </c>
      <c r="D251" s="33">
        <f>IF(C251="ID",1,(IF(C251="PR",2,(IF(C251="DE",3,(IF(C251="RS",4,(IF(C251="RC",5,0)))))))))</f>
        <v>1</v>
      </c>
      <c r="E251" s="33" t="s">
        <v>341</v>
      </c>
      <c r="F251" s="33">
        <f>IF(E251="AM",1,(IF(E251="BE",2,(IF(E251="GV",3,(IF(E251="RA",4,(IF(E251="RM",5,(IF(E251="AC",1,(IF(E251="AT",2,(IF(E251="DS",3,(IF(E251="IP",4,(IF(E251="MA",5,(IF(E251="PT",6,(IF(E251="AE",1,(IF(E251="CM",2,(IF(E251="DP",3,(IF(E251="AN",1,(IF(E251="CO",2,(IF(E251="IM",3,(IF(E251="MI",4,(IF(E251="RP",5,(IF(E251="SC",6,0)))))))))))))))))))))))))))))))))))))))</f>
        <v>3</v>
      </c>
      <c r="G251" s="171">
        <v>3</v>
      </c>
      <c r="H251" s="38" t="s">
        <v>511</v>
      </c>
      <c r="I251" s="27" t="s">
        <v>936</v>
      </c>
      <c r="J251" s="163" t="s">
        <v>871</v>
      </c>
      <c r="K251" s="34" t="s">
        <v>1001</v>
      </c>
      <c r="L251" s="66">
        <f>IF(O251="","",N251*O251*M251)</f>
        <v>75</v>
      </c>
      <c r="M251" s="8">
        <v>1</v>
      </c>
      <c r="N251" s="3">
        <v>1</v>
      </c>
      <c r="O251" s="15">
        <f>IF(SUM(Q251:AF251)&lt;1,"",SUM(Q251:AF251)/COUNTIF(Q251:AF251,"&gt;0"))</f>
        <v>75</v>
      </c>
      <c r="P251" s="16"/>
      <c r="Q251" s="13"/>
      <c r="R251" s="4"/>
      <c r="S251" s="4"/>
      <c r="T251" s="4">
        <v>75</v>
      </c>
      <c r="Y251" s="4"/>
      <c r="AB251" s="4"/>
      <c r="AC251" s="4"/>
      <c r="AD251" s="4"/>
      <c r="AE251" s="4"/>
      <c r="AF251" s="14"/>
    </row>
    <row r="252" spans="1:32" s="2" customFormat="1" ht="15.75" customHeight="1" x14ac:dyDescent="0.25">
      <c r="A252" s="33" t="str">
        <f>CONCATENATE(D252,".",F252,"-",G252,".",H252,"")</f>
        <v>1.3-3.1</v>
      </c>
      <c r="B252" s="33" t="s">
        <v>814</v>
      </c>
      <c r="C252" s="40" t="s">
        <v>335</v>
      </c>
      <c r="D252" s="33">
        <f>IF(C252="ID",1,(IF(C252="PR",2,(IF(C252="DE",3,(IF(C252="RS",4,(IF(C252="RC",5,0)))))))))</f>
        <v>1</v>
      </c>
      <c r="E252" s="33" t="s">
        <v>341</v>
      </c>
      <c r="F252" s="33">
        <f>IF(E252="AM",1,(IF(E252="BE",2,(IF(E252="GV",3,(IF(E252="RA",4,(IF(E252="RM",5,(IF(E252="AC",1,(IF(E252="AT",2,(IF(E252="DS",3,(IF(E252="IP",4,(IF(E252="MA",5,(IF(E252="PT",6,(IF(E252="AE",1,(IF(E252="CM",2,(IF(E252="DP",3,(IF(E252="AN",1,(IF(E252="CO",2,(IF(E252="IM",3,(IF(E252="MI",4,(IF(E252="RP",5,(IF(E252="SC",6,0)))))))))))))))))))))))))))))))))))))))</f>
        <v>3</v>
      </c>
      <c r="G252" s="171">
        <v>3</v>
      </c>
      <c r="H252" s="38" t="s">
        <v>511</v>
      </c>
      <c r="I252" s="27" t="s">
        <v>936</v>
      </c>
      <c r="J252" s="163" t="s">
        <v>1029</v>
      </c>
      <c r="K252" s="34" t="s">
        <v>1031</v>
      </c>
      <c r="L252" s="66">
        <f>IF(O252="","",N252*O252*M252)</f>
        <v>75</v>
      </c>
      <c r="M252" s="8">
        <v>1</v>
      </c>
      <c r="N252" s="3">
        <v>1</v>
      </c>
      <c r="O252" s="15">
        <f>IF(SUM(Q252:AF252)&lt;1,"",SUM(Q252:AF252)/COUNTIF(Q252:AF252,"&gt;0"))</f>
        <v>75</v>
      </c>
      <c r="P252" s="16"/>
      <c r="Q252" s="13"/>
      <c r="R252" s="4"/>
      <c r="S252" s="4"/>
      <c r="T252" s="4">
        <v>75</v>
      </c>
      <c r="Y252" s="4"/>
      <c r="AB252" s="4"/>
      <c r="AC252" s="4"/>
      <c r="AD252" s="4"/>
      <c r="AE252" s="4"/>
      <c r="AF252" s="14"/>
    </row>
    <row r="253" spans="1:32" s="2" customFormat="1" ht="15.75" customHeight="1" x14ac:dyDescent="0.25">
      <c r="A253" s="33" t="str">
        <f>CONCATENATE(D253,".",F253,"-",G253,".",H253,"")</f>
        <v>1.3-3.1</v>
      </c>
      <c r="B253" s="33" t="s">
        <v>814</v>
      </c>
      <c r="C253" s="41" t="s">
        <v>335</v>
      </c>
      <c r="D253" s="33">
        <f>IF(C253="ID",1,(IF(C253="PR",2,(IF(C253="DE",3,(IF(C253="RS",4,(IF(C253="RC",5,0)))))))))</f>
        <v>1</v>
      </c>
      <c r="E253" s="33" t="s">
        <v>341</v>
      </c>
      <c r="F253" s="33">
        <f>IF(E253="AM",1,(IF(E253="BE",2,(IF(E253="GV",3,(IF(E253="RA",4,(IF(E253="RM",5,(IF(E253="AC",1,(IF(E253="AT",2,(IF(E253="DS",3,(IF(E253="IP",4,(IF(E253="MA",5,(IF(E253="PT",6,(IF(E253="AE",1,(IF(E253="CM",2,(IF(E253="DP",3,(IF(E253="AN",1,(IF(E253="CO",2,(IF(E253="IM",3,(IF(E253="MI",4,(IF(E253="RP",5,(IF(E253="SC",6,0)))))))))))))))))))))))))))))))))))))))</f>
        <v>3</v>
      </c>
      <c r="G253" s="170">
        <v>3</v>
      </c>
      <c r="H253" s="38" t="s">
        <v>511</v>
      </c>
      <c r="I253" s="27" t="s">
        <v>266</v>
      </c>
      <c r="J253" s="149" t="s">
        <v>269</v>
      </c>
      <c r="K253" s="79" t="s">
        <v>1381</v>
      </c>
      <c r="L253" s="5">
        <f>IF(O253="","",N253*O253*M253)</f>
        <v>75</v>
      </c>
      <c r="M253" s="8">
        <v>1</v>
      </c>
      <c r="N253" s="1">
        <v>1</v>
      </c>
      <c r="O253" s="15">
        <f>IF(SUM(Q253:AF253)&lt;1,"",SUM(Q253:AF253)/COUNTIF(Q253:AF253,"&gt;0"))</f>
        <v>75</v>
      </c>
      <c r="P253" s="16"/>
      <c r="Q253" s="13"/>
      <c r="R253" s="4"/>
      <c r="S253" s="4"/>
      <c r="T253" s="4">
        <v>75</v>
      </c>
      <c r="Y253" s="4"/>
      <c r="AB253" s="4"/>
      <c r="AC253" s="4"/>
      <c r="AD253" s="4"/>
      <c r="AE253" s="4"/>
      <c r="AF253" s="14"/>
    </row>
    <row r="254" spans="1:32" s="2" customFormat="1" ht="15.75" customHeight="1" x14ac:dyDescent="0.25">
      <c r="A254" s="33" t="str">
        <f>CONCATENATE(D254,".",F254,"-",G254,".",H254,"")</f>
        <v>1.3-3.1</v>
      </c>
      <c r="B254" s="33" t="s">
        <v>814</v>
      </c>
      <c r="C254" s="39" t="s">
        <v>335</v>
      </c>
      <c r="D254" s="33">
        <f>IF(C254="ID",1,(IF(C254="PR",2,(IF(C254="DE",3,(IF(C254="RS",4,(IF(C254="RC",5,0)))))))))</f>
        <v>1</v>
      </c>
      <c r="E254" s="33" t="s">
        <v>341</v>
      </c>
      <c r="F254" s="33">
        <f>IF(E254="AM",1,(IF(E254="BE",2,(IF(E254="GV",3,(IF(E254="RA",4,(IF(E254="RM",5,(IF(E254="AC",1,(IF(E254="AT",2,(IF(E254="DS",3,(IF(E254="IP",4,(IF(E254="MA",5,(IF(E254="PT",6,(IF(E254="AE",1,(IF(E254="CM",2,(IF(E254="DP",3,(IF(E254="AN",1,(IF(E254="CO",2,(IF(E254="IM",3,(IF(E254="MI",4,(IF(E254="RP",5,(IF(E254="SC",6,0)))))))))))))))))))))))))))))))))))))))</f>
        <v>3</v>
      </c>
      <c r="G254" s="170">
        <v>3</v>
      </c>
      <c r="H254" s="33">
        <v>1</v>
      </c>
      <c r="I254" s="27" t="s">
        <v>266</v>
      </c>
      <c r="J254" s="150" t="s">
        <v>77</v>
      </c>
      <c r="K254" s="79" t="s">
        <v>1382</v>
      </c>
      <c r="L254" s="5">
        <f>IF(O254="","",N254*O254*M254)</f>
        <v>75</v>
      </c>
      <c r="M254" s="8">
        <v>1</v>
      </c>
      <c r="N254" s="1">
        <v>1</v>
      </c>
      <c r="O254" s="15">
        <f>IF(SUM(Q254:AF254)&lt;1,"",SUM(Q254:AF254)/COUNTIF(Q254:AF254,"&gt;0"))</f>
        <v>75</v>
      </c>
      <c r="P254" s="16"/>
      <c r="Q254" s="13"/>
      <c r="R254" s="3"/>
      <c r="S254" s="3"/>
      <c r="T254" s="4">
        <v>75</v>
      </c>
      <c r="U254" s="3"/>
      <c r="V254" s="3"/>
      <c r="W254" s="3"/>
      <c r="X254" s="3"/>
      <c r="Y254" s="3"/>
      <c r="Z254" s="3"/>
      <c r="AA254" s="3"/>
      <c r="AB254" s="3"/>
      <c r="AC254" s="3"/>
      <c r="AD254" s="3"/>
      <c r="AE254" s="3"/>
      <c r="AF254" s="104"/>
    </row>
    <row r="255" spans="1:32" s="2" customFormat="1" ht="15.75" customHeight="1" x14ac:dyDescent="0.25">
      <c r="A255" s="33" t="str">
        <f>CONCATENATE(D255,".",F255,"-",G255,".",H255,"")</f>
        <v>1.3-3.1</v>
      </c>
      <c r="B255" s="33" t="s">
        <v>814</v>
      </c>
      <c r="C255" s="39" t="s">
        <v>335</v>
      </c>
      <c r="D255" s="33">
        <f>IF(C255="ID",1,(IF(C255="PR",2,(IF(C255="DE",3,(IF(C255="RS",4,(IF(C255="RC",5,0)))))))))</f>
        <v>1</v>
      </c>
      <c r="E255" s="33" t="s">
        <v>341</v>
      </c>
      <c r="F255" s="33">
        <f>IF(E255="AM",1,(IF(E255="BE",2,(IF(E255="GV",3,(IF(E255="RA",4,(IF(E255="RM",5,(IF(E255="AC",1,(IF(E255="AT",2,(IF(E255="DS",3,(IF(E255="IP",4,(IF(E255="MA",5,(IF(E255="PT",6,(IF(E255="AE",1,(IF(E255="CM",2,(IF(E255="DP",3,(IF(E255="AN",1,(IF(E255="CO",2,(IF(E255="IM",3,(IF(E255="MI",4,(IF(E255="RP",5,(IF(E255="SC",6,0)))))))))))))))))))))))))))))))))))))))</f>
        <v>3</v>
      </c>
      <c r="G255" s="170">
        <v>3</v>
      </c>
      <c r="H255" s="38" t="s">
        <v>511</v>
      </c>
      <c r="I255" s="27" t="s">
        <v>266</v>
      </c>
      <c r="J255" s="149" t="s">
        <v>487</v>
      </c>
      <c r="K255" s="79" t="s">
        <v>1383</v>
      </c>
      <c r="L255" s="66">
        <f>IF(O255="","",N255*O255*M255)</f>
        <v>75</v>
      </c>
      <c r="M255" s="8">
        <v>1</v>
      </c>
      <c r="N255" s="1">
        <v>1</v>
      </c>
      <c r="O255" s="15">
        <f>IF(SUM(Q255:AF255)&lt;1,"",SUM(Q255:AF255)/COUNTIF(Q255:AF255,"&gt;0"))</f>
        <v>75</v>
      </c>
      <c r="P255" s="16"/>
      <c r="Q255" s="13"/>
      <c r="R255" s="4"/>
      <c r="S255" s="4"/>
      <c r="T255" s="4">
        <v>75</v>
      </c>
      <c r="Y255" s="4"/>
      <c r="AB255" s="4"/>
      <c r="AC255" s="4"/>
      <c r="AD255" s="4"/>
      <c r="AE255" s="4"/>
      <c r="AF255" s="14"/>
    </row>
    <row r="256" spans="1:32" s="2" customFormat="1" ht="15.75" customHeight="1" x14ac:dyDescent="0.25">
      <c r="A256" s="33" t="str">
        <f>CONCATENATE(D256,".",F256,"-",G256,".",H256,"")</f>
        <v>1.3-3.1</v>
      </c>
      <c r="B256" s="33" t="s">
        <v>814</v>
      </c>
      <c r="C256" s="39" t="s">
        <v>335</v>
      </c>
      <c r="D256" s="33">
        <f>IF(C256="ID",1,(IF(C256="PR",2,(IF(C256="DE",3,(IF(C256="RS",4,(IF(C256="RC",5,0)))))))))</f>
        <v>1</v>
      </c>
      <c r="E256" s="33" t="s">
        <v>341</v>
      </c>
      <c r="F256" s="33">
        <f>IF(E256="AM",1,(IF(E256="BE",2,(IF(E256="GV",3,(IF(E256="RA",4,(IF(E256="RM",5,(IF(E256="AC",1,(IF(E256="AT",2,(IF(E256="DS",3,(IF(E256="IP",4,(IF(E256="MA",5,(IF(E256="PT",6,(IF(E256="AE",1,(IF(E256="CM",2,(IF(E256="DP",3,(IF(E256="AN",1,(IF(E256="CO",2,(IF(E256="IM",3,(IF(E256="MI",4,(IF(E256="RP",5,(IF(E256="SC",6,0)))))))))))))))))))))))))))))))))))))))</f>
        <v>3</v>
      </c>
      <c r="G256" s="170">
        <v>3</v>
      </c>
      <c r="H256" s="33">
        <v>1</v>
      </c>
      <c r="I256" s="27" t="s">
        <v>266</v>
      </c>
      <c r="J256" s="150" t="s">
        <v>23</v>
      </c>
      <c r="K256" s="79" t="s">
        <v>1384</v>
      </c>
      <c r="L256" s="5">
        <f>IF(O256="","",N256*O256*M256)</f>
        <v>75</v>
      </c>
      <c r="M256" s="8">
        <v>1</v>
      </c>
      <c r="N256" s="1">
        <v>1</v>
      </c>
      <c r="O256" s="15">
        <f>IF(SUM(Q256:AF256)&lt;1,"",SUM(Q256:AF256)/COUNTIF(Q256:AF256,"&gt;0"))</f>
        <v>75</v>
      </c>
      <c r="P256" s="16"/>
      <c r="Q256" s="13"/>
      <c r="R256" s="3"/>
      <c r="S256" s="3"/>
      <c r="T256" s="4">
        <v>75</v>
      </c>
      <c r="U256" s="3"/>
      <c r="V256" s="3"/>
      <c r="W256" s="3"/>
      <c r="X256" s="3"/>
      <c r="Y256" s="3"/>
      <c r="Z256" s="3"/>
      <c r="AA256" s="3"/>
      <c r="AB256" s="3"/>
      <c r="AC256" s="3"/>
      <c r="AD256" s="3"/>
      <c r="AE256" s="3"/>
      <c r="AF256" s="104"/>
    </row>
    <row r="257" spans="1:32" s="2" customFormat="1" ht="15.75" customHeight="1" x14ac:dyDescent="0.25">
      <c r="A257" s="33" t="str">
        <f>CONCATENATE(D257,".",F257,"-",G257,".",H257,"")</f>
        <v>1.3-3.1</v>
      </c>
      <c r="B257" s="33" t="s">
        <v>814</v>
      </c>
      <c r="C257" s="41" t="s">
        <v>335</v>
      </c>
      <c r="D257" s="33">
        <f>IF(C257="ID",1,(IF(C257="PR",2,(IF(C257="DE",3,(IF(C257="RS",4,(IF(C257="RC",5,0)))))))))</f>
        <v>1</v>
      </c>
      <c r="E257" s="33" t="s">
        <v>341</v>
      </c>
      <c r="F257" s="33">
        <f>IF(E257="AM",1,(IF(E257="BE",2,(IF(E257="GV",3,(IF(E257="RA",4,(IF(E257="RM",5,(IF(E257="AC",1,(IF(E257="AT",2,(IF(E257="DS",3,(IF(E257="IP",4,(IF(E257="MA",5,(IF(E257="PT",6,(IF(E257="AE",1,(IF(E257="CM",2,(IF(E257="DP",3,(IF(E257="AN",1,(IF(E257="CO",2,(IF(E257="IM",3,(IF(E257="MI",4,(IF(E257="RP",5,(IF(E257="SC",6,0)))))))))))))))))))))))))))))))))))))))</f>
        <v>3</v>
      </c>
      <c r="G257" s="170">
        <v>3</v>
      </c>
      <c r="H257" s="38" t="s">
        <v>511</v>
      </c>
      <c r="I257" s="27" t="s">
        <v>266</v>
      </c>
      <c r="J257" s="149" t="s">
        <v>280</v>
      </c>
      <c r="K257" s="79" t="s">
        <v>1385</v>
      </c>
      <c r="L257" s="5">
        <f>IF(O257="","",N257*O257*M257)</f>
        <v>75</v>
      </c>
      <c r="M257" s="8">
        <v>1</v>
      </c>
      <c r="N257" s="1">
        <v>1</v>
      </c>
      <c r="O257" s="15">
        <f>IF(SUM(Q257:AF257)&lt;1,"",SUM(Q257:AF257)/COUNTIF(Q257:AF257,"&gt;0"))</f>
        <v>75</v>
      </c>
      <c r="P257" s="16"/>
      <c r="Q257" s="13"/>
      <c r="R257" s="4"/>
      <c r="S257" s="4"/>
      <c r="T257" s="4">
        <v>75</v>
      </c>
      <c r="Y257" s="4"/>
      <c r="AB257" s="4"/>
      <c r="AC257" s="4"/>
      <c r="AD257" s="4"/>
      <c r="AE257" s="4"/>
      <c r="AF257" s="14"/>
    </row>
    <row r="258" spans="1:32" s="2" customFormat="1" ht="15.75" customHeight="1" x14ac:dyDescent="0.25">
      <c r="A258" s="33" t="str">
        <f>CONCATENATE(D258,".",F258,"-",G258,".",H258,"")</f>
        <v>1.3-3.1</v>
      </c>
      <c r="B258" s="33" t="s">
        <v>814</v>
      </c>
      <c r="C258" s="39" t="s">
        <v>335</v>
      </c>
      <c r="D258" s="33">
        <f>IF(C258="ID",1,(IF(C258="PR",2,(IF(C258="DE",3,(IF(C258="RS",4,(IF(C258="RC",5,0)))))))))</f>
        <v>1</v>
      </c>
      <c r="E258" s="33" t="s">
        <v>341</v>
      </c>
      <c r="F258" s="33">
        <f>IF(E258="AM",1,(IF(E258="BE",2,(IF(E258="GV",3,(IF(E258="RA",4,(IF(E258="RM",5,(IF(E258="AC",1,(IF(E258="AT",2,(IF(E258="DS",3,(IF(E258="IP",4,(IF(E258="MA",5,(IF(E258="PT",6,(IF(E258="AE",1,(IF(E258="CM",2,(IF(E258="DP",3,(IF(E258="AN",1,(IF(E258="CO",2,(IF(E258="IM",3,(IF(E258="MI",4,(IF(E258="RP",5,(IF(E258="SC",6,0)))))))))))))))))))))))))))))))))))))))</f>
        <v>3</v>
      </c>
      <c r="G258" s="170">
        <v>3</v>
      </c>
      <c r="H258" s="33">
        <v>1</v>
      </c>
      <c r="I258" s="27" t="s">
        <v>266</v>
      </c>
      <c r="J258" s="150" t="s">
        <v>488</v>
      </c>
      <c r="K258" s="79" t="s">
        <v>1386</v>
      </c>
      <c r="L258" s="5">
        <f>IF(O258="","",N258*O258*M258)</f>
        <v>75</v>
      </c>
      <c r="M258" s="8">
        <v>1</v>
      </c>
      <c r="N258" s="1">
        <v>1</v>
      </c>
      <c r="O258" s="15">
        <f>IF(SUM(Q258:AF258)&lt;1,"",SUM(Q258:AF258)/COUNTIF(Q258:AF258,"&gt;0"))</f>
        <v>75</v>
      </c>
      <c r="P258" s="16"/>
      <c r="Q258" s="13"/>
      <c r="R258" s="3"/>
      <c r="S258" s="3"/>
      <c r="T258" s="4">
        <v>75</v>
      </c>
      <c r="U258" s="3"/>
      <c r="V258" s="3"/>
      <c r="W258" s="3"/>
      <c r="X258" s="3"/>
      <c r="Y258" s="3"/>
      <c r="Z258" s="3"/>
      <c r="AA258" s="3"/>
      <c r="AB258" s="3"/>
      <c r="AC258" s="3"/>
      <c r="AD258" s="3"/>
      <c r="AE258" s="3"/>
      <c r="AF258" s="104"/>
    </row>
    <row r="259" spans="1:32" s="2" customFormat="1" ht="15.75" customHeight="1" x14ac:dyDescent="0.25">
      <c r="A259" s="33" t="str">
        <f>CONCATENATE(D259,".",F259,"-",G259,".",H259,"")</f>
        <v>1.3-3.1</v>
      </c>
      <c r="B259" s="33" t="s">
        <v>814</v>
      </c>
      <c r="C259" s="39" t="s">
        <v>335</v>
      </c>
      <c r="D259" s="33">
        <f>IF(C259="ID",1,(IF(C259="PR",2,(IF(C259="DE",3,(IF(C259="RS",4,(IF(C259="RC",5,0)))))))))</f>
        <v>1</v>
      </c>
      <c r="E259" s="33" t="s">
        <v>341</v>
      </c>
      <c r="F259" s="33">
        <f>IF(E259="AM",1,(IF(E259="BE",2,(IF(E259="GV",3,(IF(E259="RA",4,(IF(E259="RM",5,(IF(E259="AC",1,(IF(E259="AT",2,(IF(E259="DS",3,(IF(E259="IP",4,(IF(E259="MA",5,(IF(E259="PT",6,(IF(E259="AE",1,(IF(E259="CM",2,(IF(E259="DP",3,(IF(E259="AN",1,(IF(E259="CO",2,(IF(E259="IM",3,(IF(E259="MI",4,(IF(E259="RP",5,(IF(E259="SC",6,0)))))))))))))))))))))))))))))))))))))))</f>
        <v>3</v>
      </c>
      <c r="G259" s="170">
        <v>3</v>
      </c>
      <c r="H259" s="38" t="s">
        <v>511</v>
      </c>
      <c r="I259" s="27" t="s">
        <v>266</v>
      </c>
      <c r="J259" s="149" t="s">
        <v>492</v>
      </c>
      <c r="K259" s="79" t="s">
        <v>1392</v>
      </c>
      <c r="L259" s="66">
        <f>IF(O259="","",N259*O259*M259)</f>
        <v>75</v>
      </c>
      <c r="M259" s="8">
        <v>1</v>
      </c>
      <c r="N259" s="1">
        <v>1</v>
      </c>
      <c r="O259" s="15">
        <f>IF(SUM(Q259:AF259)&lt;1,"",SUM(Q259:AF259)/COUNTIF(Q259:AF259,"&gt;0"))</f>
        <v>75</v>
      </c>
      <c r="P259" s="16"/>
      <c r="Q259" s="13"/>
      <c r="R259" s="4"/>
      <c r="S259" s="4"/>
      <c r="T259" s="4">
        <v>75</v>
      </c>
      <c r="Y259" s="4"/>
      <c r="AB259" s="4"/>
      <c r="AC259" s="4"/>
      <c r="AD259" s="4"/>
      <c r="AE259" s="4"/>
      <c r="AF259" s="14"/>
    </row>
    <row r="260" spans="1:32" s="2" customFormat="1" ht="15.75" customHeight="1" x14ac:dyDescent="0.25">
      <c r="A260" s="33" t="str">
        <f>CONCATENATE(D260,".",F260,"-",G260,".",H260,"")</f>
        <v>1.3-3.1</v>
      </c>
      <c r="B260" s="33"/>
      <c r="C260" s="39" t="s">
        <v>335</v>
      </c>
      <c r="D260" s="33">
        <f>IF(C260="ID",1,(IF(C260="PR",2,(IF(C260="DE",3,(IF(C260="RS",4,(IF(C260="RC",5,0)))))))))</f>
        <v>1</v>
      </c>
      <c r="E260" s="33" t="s">
        <v>341</v>
      </c>
      <c r="F260" s="33">
        <f>IF(E260="AM",1,(IF(E260="BE",2,(IF(E260="GV",3,(IF(E260="RA",4,(IF(E260="RM",5,(IF(E260="AC",1,(IF(E260="AT",2,(IF(E260="DS",3,(IF(E260="IP",4,(IF(E260="MA",5,(IF(E260="PT",6,(IF(E260="AE",1,(IF(E260="CM",2,(IF(E260="DP",3,(IF(E260="AN",1,(IF(E260="CO",2,(IF(E260="IM",3,(IF(E260="MI",4,(IF(E260="RP",5,(IF(E260="SC",6,0)))))))))))))))))))))))))))))))))))))))</f>
        <v>3</v>
      </c>
      <c r="G260" s="170">
        <v>3</v>
      </c>
      <c r="H260" s="38" t="s">
        <v>511</v>
      </c>
      <c r="I260" s="105" t="s">
        <v>1449</v>
      </c>
      <c r="J260" s="157" t="s">
        <v>2735</v>
      </c>
      <c r="K260" s="34" t="s">
        <v>2736</v>
      </c>
      <c r="L260" s="5">
        <f>IF(O260="","",N260*O260*M260)</f>
        <v>99</v>
      </c>
      <c r="M260" s="8">
        <v>1</v>
      </c>
      <c r="N260" s="1">
        <v>1</v>
      </c>
      <c r="O260" s="15">
        <f>IF(SUM(Q260:AF260)&lt;1,"",SUM(Q260:AF260)/COUNTIF(Q260:AF260,"&gt;0"))</f>
        <v>99</v>
      </c>
      <c r="P260" s="16"/>
      <c r="Q260" s="13"/>
      <c r="R260" s="4"/>
      <c r="S260" s="4"/>
      <c r="T260" s="4">
        <v>99</v>
      </c>
      <c r="Y260" s="4"/>
      <c r="AB260" s="4"/>
      <c r="AC260" s="4"/>
      <c r="AD260" s="4"/>
      <c r="AE260" s="4"/>
      <c r="AF260" s="14"/>
    </row>
    <row r="261" spans="1:32" s="2" customFormat="1" ht="15.75" customHeight="1" x14ac:dyDescent="0.25">
      <c r="A261" s="33" t="str">
        <f>CONCATENATE(D261,".",F261,"-",G261,".",H261,"")</f>
        <v>1.3-3.2</v>
      </c>
      <c r="B261" s="33" t="s">
        <v>814</v>
      </c>
      <c r="C261" s="39" t="s">
        <v>335</v>
      </c>
      <c r="D261" s="33">
        <f>IF(C261="ID",1,(IF(C261="PR",2,(IF(C261="DE",3,(IF(C261="RS",4,(IF(C261="RC",5,0)))))))))</f>
        <v>1</v>
      </c>
      <c r="E261" s="33" t="s">
        <v>341</v>
      </c>
      <c r="F261" s="33">
        <f>IF(E261="AM",1,(IF(E261="BE",2,(IF(E261="GV",3,(IF(E261="RA",4,(IF(E261="RM",5,(IF(E261="AC",1,(IF(E261="AT",2,(IF(E261="DS",3,(IF(E261="IP",4,(IF(E261="MA",5,(IF(E261="PT",6,(IF(E261="AE",1,(IF(E261="CM",2,(IF(E261="DP",3,(IF(E261="AN",1,(IF(E261="CO",2,(IF(E261="IM",3,(IF(E261="MI",4,(IF(E261="RP",5,(IF(E261="SC",6,0)))))))))))))))))))))))))))))))))))))))</f>
        <v>3</v>
      </c>
      <c r="G261" s="170">
        <v>3</v>
      </c>
      <c r="H261" s="38" t="s">
        <v>512</v>
      </c>
      <c r="I261" s="27" t="s">
        <v>266</v>
      </c>
      <c r="J261" s="149" t="s">
        <v>333</v>
      </c>
      <c r="K261" s="79" t="s">
        <v>1338</v>
      </c>
      <c r="L261" s="66">
        <f>IF(O261="","",N261*O261*M261)</f>
        <v>75</v>
      </c>
      <c r="M261" s="8">
        <v>1</v>
      </c>
      <c r="N261" s="1">
        <v>1</v>
      </c>
      <c r="O261" s="15">
        <f>IF(SUM(Q261:AF261)&lt;1,"",SUM(Q261:AF261)/COUNTIF(Q261:AF261,"&gt;0"))</f>
        <v>75</v>
      </c>
      <c r="P261" s="16"/>
      <c r="Q261" s="13"/>
      <c r="R261" s="4"/>
      <c r="S261" s="4"/>
      <c r="T261" s="4">
        <v>75</v>
      </c>
      <c r="Y261" s="4"/>
      <c r="AB261" s="4"/>
      <c r="AC261" s="4"/>
      <c r="AD261" s="4"/>
      <c r="AE261" s="4"/>
      <c r="AF261" s="14"/>
    </row>
    <row r="262" spans="1:32" s="2" customFormat="1" ht="15.75" customHeight="1" x14ac:dyDescent="0.25">
      <c r="A262" s="33" t="str">
        <f>CONCATENATE(D262,".",F262,"-",G262,".",H262,"")</f>
        <v>1.3-3.2</v>
      </c>
      <c r="B262" s="33"/>
      <c r="C262" s="39" t="s">
        <v>335</v>
      </c>
      <c r="D262" s="33">
        <f>IF(C262="ID",1,(IF(C262="PR",2,(IF(C262="DE",3,(IF(C262="RS",4,(IF(C262="RC",5,0)))))))))</f>
        <v>1</v>
      </c>
      <c r="E262" s="33" t="s">
        <v>341</v>
      </c>
      <c r="F262" s="33">
        <f>IF(E262="AM",1,(IF(E262="BE",2,(IF(E262="GV",3,(IF(E262="RA",4,(IF(E262="RM",5,(IF(E262="AC",1,(IF(E262="AT",2,(IF(E262="DS",3,(IF(E262="IP",4,(IF(E262="MA",5,(IF(E262="PT",6,(IF(E262="AE",1,(IF(E262="CM",2,(IF(E262="DP",3,(IF(E262="AN",1,(IF(E262="CO",2,(IF(E262="IM",3,(IF(E262="MI",4,(IF(E262="RP",5,(IF(E262="SC",6,0)))))))))))))))))))))))))))))))))))))))</f>
        <v>3</v>
      </c>
      <c r="G262" s="170">
        <v>3</v>
      </c>
      <c r="H262" s="38" t="s">
        <v>512</v>
      </c>
      <c r="I262" s="105" t="s">
        <v>1449</v>
      </c>
      <c r="J262" s="157" t="s">
        <v>2739</v>
      </c>
      <c r="K262" s="34" t="s">
        <v>2740</v>
      </c>
      <c r="L262" s="5">
        <f>IF(O262="","",N262*O262*M262)</f>
        <v>99</v>
      </c>
      <c r="M262" s="8">
        <v>1</v>
      </c>
      <c r="N262" s="1">
        <v>1</v>
      </c>
      <c r="O262" s="15">
        <f>IF(SUM(Q262:AF262)&lt;1,"",SUM(Q262:AF262)/COUNTIF(Q262:AF262,"&gt;0"))</f>
        <v>99</v>
      </c>
      <c r="P262" s="16"/>
      <c r="Q262" s="13"/>
      <c r="R262" s="4"/>
      <c r="S262" s="4"/>
      <c r="T262" s="4">
        <v>99</v>
      </c>
      <c r="Y262" s="4"/>
      <c r="AB262" s="4"/>
      <c r="AC262" s="4"/>
      <c r="AD262" s="4"/>
      <c r="AE262" s="4"/>
      <c r="AF262" s="14"/>
    </row>
    <row r="263" spans="1:32" s="2" customFormat="1" ht="15.75" customHeight="1" x14ac:dyDescent="0.25">
      <c r="A263" s="33" t="str">
        <f>CONCATENATE(D263,".",F263,"-",G263,".",H263,"")</f>
        <v>1.3-4.0</v>
      </c>
      <c r="B263" s="33" t="s">
        <v>814</v>
      </c>
      <c r="C263" s="40" t="s">
        <v>335</v>
      </c>
      <c r="D263" s="33">
        <f>IF(C263="ID",1,(IF(C263="PR",2,(IF(C263="DE",3,(IF(C263="RS",4,(IF(C263="RC",5,0)))))))))</f>
        <v>1</v>
      </c>
      <c r="E263" s="33" t="s">
        <v>341</v>
      </c>
      <c r="F263" s="33">
        <f>IF(E263="AM",1,(IF(E263="BE",2,(IF(E263="GV",3,(IF(E263="RA",4,(IF(E263="RM",5,(IF(E263="AC",1,(IF(E263="AT",2,(IF(E263="DS",3,(IF(E263="IP",4,(IF(E263="MA",5,(IF(E263="PT",6,(IF(E263="AE",1,(IF(E263="CM",2,(IF(E263="DP",3,(IF(E263="AN",1,(IF(E263="CO",2,(IF(E263="IM",3,(IF(E263="MI",4,(IF(E263="RP",5,(IF(E263="SC",6,0)))))))))))))))))))))))))))))))))))))))</f>
        <v>3</v>
      </c>
      <c r="G263" s="170">
        <v>4</v>
      </c>
      <c r="H263" s="38" t="s">
        <v>597</v>
      </c>
      <c r="I263" s="27" t="s">
        <v>1200</v>
      </c>
      <c r="J263" s="149" t="s">
        <v>650</v>
      </c>
      <c r="K263" s="97" t="s">
        <v>364</v>
      </c>
      <c r="L263" s="66">
        <f>IF(O263="","",N263*O263*M263)</f>
        <v>75</v>
      </c>
      <c r="M263" s="8">
        <v>1</v>
      </c>
      <c r="N263" s="1">
        <v>1</v>
      </c>
      <c r="O263" s="15">
        <f>IF(SUM(Q263:AF263)&lt;1,"",SUM(Q263:AF263)/COUNTIF(Q263:AF263,"&gt;0"))</f>
        <v>75</v>
      </c>
      <c r="P263" s="16"/>
      <c r="Q263" s="13"/>
      <c r="R263" s="4"/>
      <c r="S263" s="4"/>
      <c r="T263" s="4">
        <v>75</v>
      </c>
      <c r="X263" s="4"/>
      <c r="Y263" s="4"/>
      <c r="Z263" s="4"/>
      <c r="AA263" s="4"/>
      <c r="AB263" s="4"/>
      <c r="AC263" s="4"/>
      <c r="AD263" s="4"/>
      <c r="AE263" s="4"/>
      <c r="AF263" s="14"/>
    </row>
    <row r="264" spans="1:32" s="2" customFormat="1" ht="15.75" customHeight="1" x14ac:dyDescent="0.25">
      <c r="A264" s="33" t="str">
        <f>CONCATENATE(D264,".",F264,"-",G264,".",H264,"")</f>
        <v>1.3-4.1</v>
      </c>
      <c r="B264" s="33" t="s">
        <v>814</v>
      </c>
      <c r="C264" s="39" t="s">
        <v>335</v>
      </c>
      <c r="D264" s="33">
        <f>IF(C264="ID",1,(IF(C264="PR",2,(IF(C264="DE",3,(IF(C264="RS",4,(IF(C264="RC",5,0)))))))))</f>
        <v>1</v>
      </c>
      <c r="E264" s="33" t="s">
        <v>341</v>
      </c>
      <c r="F264" s="33">
        <f>IF(E264="AM",1,(IF(E264="BE",2,(IF(E264="GV",3,(IF(E264="RA",4,(IF(E264="RM",5,(IF(E264="AC",1,(IF(E264="AT",2,(IF(E264="DS",3,(IF(E264="IP",4,(IF(E264="MA",5,(IF(E264="PT",6,(IF(E264="AE",1,(IF(E264="CM",2,(IF(E264="DP",3,(IF(E264="AN",1,(IF(E264="CO",2,(IF(E264="IM",3,(IF(E264="MI",4,(IF(E264="RP",5,(IF(E264="SC",6,0)))))))))))))))))))))))))))))))))))))))</f>
        <v>3</v>
      </c>
      <c r="G264" s="170">
        <v>4</v>
      </c>
      <c r="H264" s="38" t="s">
        <v>511</v>
      </c>
      <c r="I264" s="105" t="s">
        <v>821</v>
      </c>
      <c r="J264" s="150">
        <v>8.1</v>
      </c>
      <c r="K264" s="79" t="s">
        <v>1283</v>
      </c>
      <c r="L264" s="66">
        <f>IF(O264="","",N264*O264*M264)</f>
        <v>75</v>
      </c>
      <c r="M264" s="8">
        <v>1</v>
      </c>
      <c r="N264" s="3">
        <v>1</v>
      </c>
      <c r="O264" s="15">
        <f>IF(SUM(Q264:AF264)&lt;1,"",SUM(Q264:AF264)/COUNTIF(Q264:AF264,"&gt;0"))</f>
        <v>75</v>
      </c>
      <c r="P264" s="16"/>
      <c r="Q264" s="13"/>
      <c r="R264" s="4"/>
      <c r="S264" s="4"/>
      <c r="T264" s="4">
        <v>75</v>
      </c>
      <c r="Y264" s="4"/>
      <c r="AB264" s="4"/>
      <c r="AC264" s="4"/>
      <c r="AD264" s="4"/>
      <c r="AE264" s="4"/>
      <c r="AF264" s="14"/>
    </row>
    <row r="265" spans="1:32" s="2" customFormat="1" ht="15.75" customHeight="1" x14ac:dyDescent="0.25">
      <c r="A265" s="33" t="str">
        <f>CONCATENATE(D265,".",F265,"-",G265,".",H265,"")</f>
        <v>1.3-4.1</v>
      </c>
      <c r="B265" s="33" t="s">
        <v>814</v>
      </c>
      <c r="C265" s="40" t="s">
        <v>335</v>
      </c>
      <c r="D265" s="33">
        <f>IF(C265="ID",1,(IF(C265="PR",2,(IF(C265="DE",3,(IF(C265="RS",4,(IF(C265="RC",5,0)))))))))</f>
        <v>1</v>
      </c>
      <c r="E265" s="33" t="s">
        <v>341</v>
      </c>
      <c r="F265" s="33">
        <f>IF(E265="AM",1,(IF(E265="BE",2,(IF(E265="GV",3,(IF(E265="RA",4,(IF(E265="RM",5,(IF(E265="AC",1,(IF(E265="AT",2,(IF(E265="DS",3,(IF(E265="IP",4,(IF(E265="MA",5,(IF(E265="PT",6,(IF(E265="AE",1,(IF(E265="CM",2,(IF(E265="DP",3,(IF(E265="AN",1,(IF(E265="CO",2,(IF(E265="IM",3,(IF(E265="MI",4,(IF(E265="RP",5,(IF(E265="SC",6,0)))))))))))))))))))))))))))))))))))))))</f>
        <v>3</v>
      </c>
      <c r="G265" s="171">
        <v>4</v>
      </c>
      <c r="H265" s="38" t="s">
        <v>511</v>
      </c>
      <c r="I265" s="105" t="s">
        <v>821</v>
      </c>
      <c r="J265" s="149">
        <v>12.2</v>
      </c>
      <c r="K265" s="79" t="s">
        <v>1283</v>
      </c>
      <c r="L265" s="66">
        <f>IF(O265="","",N265*O265*M265)</f>
        <v>75</v>
      </c>
      <c r="M265" s="8">
        <v>1</v>
      </c>
      <c r="N265" s="1">
        <v>1</v>
      </c>
      <c r="O265" s="15">
        <f>IF(SUM(Q265:AF265)&lt;1,"",SUM(Q265:AF265)/COUNTIF(Q265:AF265,"&gt;0"))</f>
        <v>75</v>
      </c>
      <c r="P265" s="16"/>
      <c r="Q265" s="13"/>
      <c r="R265" s="4"/>
      <c r="S265" s="4"/>
      <c r="T265" s="4">
        <v>75</v>
      </c>
      <c r="Y265" s="4"/>
      <c r="AB265" s="4"/>
      <c r="AC265" s="4"/>
      <c r="AD265" s="4"/>
      <c r="AE265" s="4"/>
      <c r="AF265" s="14"/>
    </row>
    <row r="266" spans="1:32" s="2" customFormat="1" ht="15.75" customHeight="1" x14ac:dyDescent="0.25">
      <c r="A266" s="33" t="str">
        <f>CONCATENATE(D266,".",F266,"-",G266,".",H266,"")</f>
        <v>1.3-4.1</v>
      </c>
      <c r="B266" s="33" t="s">
        <v>814</v>
      </c>
      <c r="C266" s="40" t="s">
        <v>335</v>
      </c>
      <c r="D266" s="33">
        <f>IF(C266="ID",1,(IF(C266="PR",2,(IF(C266="DE",3,(IF(C266="RS",4,(IF(C266="RC",5,0)))))))))</f>
        <v>1</v>
      </c>
      <c r="E266" s="33" t="s">
        <v>341</v>
      </c>
      <c r="F266" s="33">
        <f>IF(E266="AM",1,(IF(E266="BE",2,(IF(E266="GV",3,(IF(E266="RA",4,(IF(E266="RM",5,(IF(E266="AC",1,(IF(E266="AT",2,(IF(E266="DS",3,(IF(E266="IP",4,(IF(E266="MA",5,(IF(E266="PT",6,(IF(E266="AE",1,(IF(E266="CM",2,(IF(E266="DP",3,(IF(E266="AN",1,(IF(E266="CO",2,(IF(E266="IM",3,(IF(E266="MI",4,(IF(E266="RP",5,(IF(E266="SC",6,0)))))))))))))))))))))))))))))))))))))))</f>
        <v>3</v>
      </c>
      <c r="G266" s="171">
        <v>4</v>
      </c>
      <c r="H266" s="38" t="s">
        <v>511</v>
      </c>
      <c r="I266" s="27" t="s">
        <v>936</v>
      </c>
      <c r="J266" s="163" t="s">
        <v>1024</v>
      </c>
      <c r="K266" s="34" t="s">
        <v>1027</v>
      </c>
      <c r="L266" s="66">
        <f>IF(O266="","",N266*O266*M266)</f>
        <v>75</v>
      </c>
      <c r="M266" s="8">
        <v>1</v>
      </c>
      <c r="N266" s="3">
        <v>1</v>
      </c>
      <c r="O266" s="15">
        <f>IF(SUM(Q266:AF266)&lt;1,"",SUM(Q266:AF266)/COUNTIF(Q266:AF266,"&gt;0"))</f>
        <v>75</v>
      </c>
      <c r="P266" s="16"/>
      <c r="Q266" s="13"/>
      <c r="R266" s="4"/>
      <c r="S266" s="4"/>
      <c r="T266" s="4">
        <v>75</v>
      </c>
      <c r="Y266" s="4"/>
      <c r="AB266" s="4"/>
      <c r="AC266" s="4"/>
      <c r="AD266" s="4"/>
      <c r="AE266" s="4"/>
      <c r="AF266" s="14"/>
    </row>
    <row r="267" spans="1:32" s="2" customFormat="1" ht="15.75" customHeight="1" x14ac:dyDescent="0.25">
      <c r="A267" s="33" t="str">
        <f>CONCATENATE(D267,".",F267,"-",G267,".",H267,"")</f>
        <v>1.3-4.1</v>
      </c>
      <c r="B267" s="33" t="s">
        <v>814</v>
      </c>
      <c r="C267" s="40" t="s">
        <v>335</v>
      </c>
      <c r="D267" s="33">
        <f>IF(C267="ID",1,(IF(C267="PR",2,(IF(C267="DE",3,(IF(C267="RS",4,(IF(C267="RC",5,0)))))))))</f>
        <v>1</v>
      </c>
      <c r="E267" s="33" t="s">
        <v>341</v>
      </c>
      <c r="F267" s="33">
        <f>IF(E267="AM",1,(IF(E267="BE",2,(IF(E267="GV",3,(IF(E267="RA",4,(IF(E267="RM",5,(IF(E267="AC",1,(IF(E267="AT",2,(IF(E267="DS",3,(IF(E267="IP",4,(IF(E267="MA",5,(IF(E267="PT",6,(IF(E267="AE",1,(IF(E267="CM",2,(IF(E267="DP",3,(IF(E267="AN",1,(IF(E267="CO",2,(IF(E267="IM",3,(IF(E267="MI",4,(IF(E267="RP",5,(IF(E267="SC",6,0)))))))))))))))))))))))))))))))))))))))</f>
        <v>3</v>
      </c>
      <c r="G267" s="170">
        <v>4</v>
      </c>
      <c r="H267" s="38" t="s">
        <v>511</v>
      </c>
      <c r="I267" s="105" t="s">
        <v>821</v>
      </c>
      <c r="J267" s="150" t="s">
        <v>1239</v>
      </c>
      <c r="K267" s="79" t="s">
        <v>1283</v>
      </c>
      <c r="L267" s="66">
        <f>IF(O267="","",N267*O267*M267)</f>
        <v>75</v>
      </c>
      <c r="M267" s="8">
        <v>1</v>
      </c>
      <c r="N267" s="3">
        <v>1</v>
      </c>
      <c r="O267" s="15">
        <f>IF(SUM(Q267:AF267)&lt;1,"",SUM(Q267:AF267)/COUNTIF(Q267:AF267,"&gt;0"))</f>
        <v>75</v>
      </c>
      <c r="P267" s="16"/>
      <c r="Q267" s="13"/>
      <c r="R267" s="4"/>
      <c r="S267" s="4"/>
      <c r="T267" s="4">
        <v>75</v>
      </c>
      <c r="Y267" s="4"/>
      <c r="AB267" s="4"/>
      <c r="AC267" s="4"/>
      <c r="AD267" s="4"/>
      <c r="AE267" s="4"/>
      <c r="AF267" s="14"/>
    </row>
    <row r="268" spans="1:32" s="2" customFormat="1" ht="15.75" customHeight="1" x14ac:dyDescent="0.25">
      <c r="A268" s="33" t="str">
        <f>CONCATENATE(D268,".",F268,"-",G268,".",H268,"")</f>
        <v>1.3-4.1</v>
      </c>
      <c r="B268" s="33" t="s">
        <v>814</v>
      </c>
      <c r="C268" s="41" t="s">
        <v>335</v>
      </c>
      <c r="D268" s="33">
        <f>IF(C268="ID",1,(IF(C268="PR",2,(IF(C268="DE",3,(IF(C268="RS",4,(IF(C268="RC",5,0)))))))))</f>
        <v>1</v>
      </c>
      <c r="E268" s="33" t="s">
        <v>341</v>
      </c>
      <c r="F268" s="33">
        <f>IF(E268="AM",1,(IF(E268="BE",2,(IF(E268="GV",3,(IF(E268="RA",4,(IF(E268="RM",5,(IF(E268="AC",1,(IF(E268="AT",2,(IF(E268="DS",3,(IF(E268="IP",4,(IF(E268="MA",5,(IF(E268="PT",6,(IF(E268="AE",1,(IF(E268="CM",2,(IF(E268="DP",3,(IF(E268="AN",1,(IF(E268="CO",2,(IF(E268="IM",3,(IF(E268="MI",4,(IF(E268="RP",5,(IF(E268="SC",6,0)))))))))))))))))))))))))))))))))))))))</f>
        <v>3</v>
      </c>
      <c r="G268" s="170">
        <v>4</v>
      </c>
      <c r="H268" s="38" t="s">
        <v>511</v>
      </c>
      <c r="I268" s="27" t="s">
        <v>266</v>
      </c>
      <c r="J268" s="149" t="s">
        <v>444</v>
      </c>
      <c r="K268" s="79" t="s">
        <v>1363</v>
      </c>
      <c r="L268" s="5">
        <f>IF(O268="","",N268*O268*M268)</f>
        <v>75</v>
      </c>
      <c r="M268" s="8">
        <v>1</v>
      </c>
      <c r="N268" s="1">
        <v>1</v>
      </c>
      <c r="O268" s="15">
        <f>IF(SUM(Q268:AF268)&lt;1,"",SUM(Q268:AF268)/COUNTIF(Q268:AF268,"&gt;0"))</f>
        <v>75</v>
      </c>
      <c r="P268" s="16"/>
      <c r="Q268" s="13"/>
      <c r="R268" s="4"/>
      <c r="S268" s="4"/>
      <c r="T268" s="4">
        <v>75</v>
      </c>
      <c r="Y268" s="4"/>
      <c r="AB268" s="4"/>
      <c r="AC268" s="4"/>
      <c r="AD268" s="4"/>
      <c r="AE268" s="4"/>
      <c r="AF268" s="14"/>
    </row>
    <row r="269" spans="1:32" s="2" customFormat="1" ht="15.75" customHeight="1" x14ac:dyDescent="0.25">
      <c r="A269" s="33" t="str">
        <f>CONCATENATE(D269,".",F269,"-",G269,".",H269,"")</f>
        <v>1.3-4.1</v>
      </c>
      <c r="B269" s="33" t="s">
        <v>814</v>
      </c>
      <c r="C269" s="41" t="s">
        <v>335</v>
      </c>
      <c r="D269" s="33">
        <f>IF(C269="ID",1,(IF(C269="PR",2,(IF(C269="DE",3,(IF(C269="RS",4,(IF(C269="RC",5,0)))))))))</f>
        <v>1</v>
      </c>
      <c r="E269" s="33" t="s">
        <v>341</v>
      </c>
      <c r="F269" s="33">
        <f>IF(E269="AM",1,(IF(E269="BE",2,(IF(E269="GV",3,(IF(E269="RA",4,(IF(E269="RM",5,(IF(E269="AC",1,(IF(E269="AT",2,(IF(E269="DS",3,(IF(E269="IP",4,(IF(E269="MA",5,(IF(E269="PT",6,(IF(E269="AE",1,(IF(E269="CM",2,(IF(E269="DP",3,(IF(E269="AN",1,(IF(E269="CO",2,(IF(E269="IM",3,(IF(E269="MI",4,(IF(E269="RP",5,(IF(E269="SC",6,0)))))))))))))))))))))))))))))))))))))))</f>
        <v>3</v>
      </c>
      <c r="G269" s="170">
        <v>4</v>
      </c>
      <c r="H269" s="38" t="s">
        <v>511</v>
      </c>
      <c r="I269" s="27" t="s">
        <v>266</v>
      </c>
      <c r="J269" s="149" t="s">
        <v>330</v>
      </c>
      <c r="K269" s="79" t="s">
        <v>1390</v>
      </c>
      <c r="L269" s="5">
        <f>IF(O269="","",N269*O269*M269)</f>
        <v>75</v>
      </c>
      <c r="M269" s="8">
        <v>1</v>
      </c>
      <c r="N269" s="1">
        <v>1</v>
      </c>
      <c r="O269" s="15">
        <f>IF(SUM(Q269:AF269)&lt;1,"",SUM(Q269:AF269)/COUNTIF(Q269:AF269,"&gt;0"))</f>
        <v>75</v>
      </c>
      <c r="P269" s="16"/>
      <c r="Q269" s="13"/>
      <c r="R269" s="4"/>
      <c r="S269" s="4"/>
      <c r="T269" s="4">
        <v>75</v>
      </c>
      <c r="Y269" s="4"/>
      <c r="AB269" s="4"/>
      <c r="AC269" s="4"/>
      <c r="AD269" s="4"/>
      <c r="AE269" s="4"/>
      <c r="AF269" s="14"/>
    </row>
    <row r="270" spans="1:32" s="2" customFormat="1" ht="15.75" customHeight="1" x14ac:dyDescent="0.25">
      <c r="A270" s="33" t="str">
        <f>CONCATENATE(D270,".",F270,"-",G270,".",H270,"")</f>
        <v>1.3-4.1</v>
      </c>
      <c r="B270" s="33" t="s">
        <v>814</v>
      </c>
      <c r="C270" s="39" t="s">
        <v>335</v>
      </c>
      <c r="D270" s="33">
        <f>IF(C270="ID",1,(IF(C270="PR",2,(IF(C270="DE",3,(IF(C270="RS",4,(IF(C270="RC",5,0)))))))))</f>
        <v>1</v>
      </c>
      <c r="E270" s="33" t="s">
        <v>341</v>
      </c>
      <c r="F270" s="33">
        <f>IF(E270="AM",1,(IF(E270="BE",2,(IF(E270="GV",3,(IF(E270="RA",4,(IF(E270="RM",5,(IF(E270="AC",1,(IF(E270="AT",2,(IF(E270="DS",3,(IF(E270="IP",4,(IF(E270="MA",5,(IF(E270="PT",6,(IF(E270="AE",1,(IF(E270="CM",2,(IF(E270="DP",3,(IF(E270="AN",1,(IF(E270="CO",2,(IF(E270="IM",3,(IF(E270="MI",4,(IF(E270="RP",5,(IF(E270="SC",6,0)))))))))))))))))))))))))))))))))))))))</f>
        <v>3</v>
      </c>
      <c r="G270" s="171">
        <v>4</v>
      </c>
      <c r="H270" s="33">
        <v>1</v>
      </c>
      <c r="I270" s="27" t="s">
        <v>266</v>
      </c>
      <c r="J270" s="150" t="s">
        <v>79</v>
      </c>
      <c r="K270" s="79" t="s">
        <v>1394</v>
      </c>
      <c r="L270" s="5">
        <f>IF(O270="","",N270*O270*M270)</f>
        <v>75</v>
      </c>
      <c r="M270" s="8">
        <v>1</v>
      </c>
      <c r="N270" s="1">
        <v>1</v>
      </c>
      <c r="O270" s="15">
        <f>IF(SUM(Q270:AF270)&lt;1,"",SUM(Q270:AF270)/COUNTIF(Q270:AF270,"&gt;0"))</f>
        <v>75</v>
      </c>
      <c r="P270" s="16"/>
      <c r="Q270" s="13"/>
      <c r="R270" s="3"/>
      <c r="S270" s="3"/>
      <c r="T270" s="4">
        <v>75</v>
      </c>
      <c r="U270" s="3"/>
      <c r="V270" s="3"/>
      <c r="W270" s="3"/>
      <c r="X270" s="3"/>
      <c r="Y270" s="3"/>
      <c r="Z270" s="3"/>
      <c r="AA270" s="3"/>
      <c r="AB270" s="3"/>
      <c r="AC270" s="3"/>
      <c r="AD270" s="3"/>
      <c r="AE270" s="3"/>
      <c r="AF270" s="104"/>
    </row>
    <row r="271" spans="1:32" s="2" customFormat="1" ht="15.75" customHeight="1" x14ac:dyDescent="0.25">
      <c r="A271" s="33" t="str">
        <f>CONCATENATE(D271,".",F271,"-",G271,".",H271,"")</f>
        <v>1.3-4.1</v>
      </c>
      <c r="B271" s="33" t="s">
        <v>814</v>
      </c>
      <c r="C271" s="39" t="s">
        <v>335</v>
      </c>
      <c r="D271" s="33">
        <f>IF(C271="ID",1,(IF(C271="PR",2,(IF(C271="DE",3,(IF(C271="RS",4,(IF(C271="RC",5,0)))))))))</f>
        <v>1</v>
      </c>
      <c r="E271" s="33" t="s">
        <v>341</v>
      </c>
      <c r="F271" s="33">
        <f>IF(E271="AM",1,(IF(E271="BE",2,(IF(E271="GV",3,(IF(E271="RA",4,(IF(E271="RM",5,(IF(E271="AC",1,(IF(E271="AT",2,(IF(E271="DS",3,(IF(E271="IP",4,(IF(E271="MA",5,(IF(E271="PT",6,(IF(E271="AE",1,(IF(E271="CM",2,(IF(E271="DP",3,(IF(E271="AN",1,(IF(E271="CO",2,(IF(E271="IM",3,(IF(E271="MI",4,(IF(E271="RP",5,(IF(E271="SC",6,0)))))))))))))))))))))))))))))))))))))))</f>
        <v>3</v>
      </c>
      <c r="G271" s="170">
        <v>4</v>
      </c>
      <c r="H271" s="38" t="s">
        <v>511</v>
      </c>
      <c r="I271" s="105" t="s">
        <v>1449</v>
      </c>
      <c r="J271" s="157" t="s">
        <v>1616</v>
      </c>
      <c r="K271" s="34" t="s">
        <v>1617</v>
      </c>
      <c r="L271" s="5">
        <f>IF(O271="","",N271*O271*M271)</f>
        <v>99</v>
      </c>
      <c r="M271" s="8">
        <v>1</v>
      </c>
      <c r="N271" s="1">
        <v>1</v>
      </c>
      <c r="O271" s="15">
        <f>IF(SUM(Q271:AF271)&lt;1,"",SUM(Q271:AF271)/COUNTIF(Q271:AF271,"&gt;0"))</f>
        <v>99</v>
      </c>
      <c r="P271" s="16"/>
      <c r="Q271" s="13"/>
      <c r="R271" s="4"/>
      <c r="S271" s="4"/>
      <c r="T271" s="4">
        <v>99</v>
      </c>
      <c r="Y271" s="4"/>
      <c r="AB271" s="4"/>
      <c r="AC271" s="4"/>
      <c r="AD271" s="4"/>
      <c r="AE271" s="4"/>
      <c r="AF271" s="14"/>
    </row>
    <row r="272" spans="1:32" s="2" customFormat="1" ht="15.75" customHeight="1" x14ac:dyDescent="0.25">
      <c r="A272" s="33" t="str">
        <f>CONCATENATE(D272,".",F272,"-",G272,".",H272,"")</f>
        <v>1.3-4.1</v>
      </c>
      <c r="B272" s="33"/>
      <c r="C272" s="39" t="s">
        <v>335</v>
      </c>
      <c r="D272" s="33">
        <f>IF(C272="ID",1,(IF(C272="PR",2,(IF(C272="DE",3,(IF(C272="RS",4,(IF(C272="RC",5,0)))))))))</f>
        <v>1</v>
      </c>
      <c r="E272" s="33" t="s">
        <v>341</v>
      </c>
      <c r="F272" s="33">
        <f>IF(E272="AM",1,(IF(E272="BE",2,(IF(E272="GV",3,(IF(E272="RA",4,(IF(E272="RM",5,(IF(E272="AC",1,(IF(E272="AT",2,(IF(E272="DS",3,(IF(E272="IP",4,(IF(E272="MA",5,(IF(E272="PT",6,(IF(E272="AE",1,(IF(E272="CM",2,(IF(E272="DP",3,(IF(E272="AN",1,(IF(E272="CO",2,(IF(E272="IM",3,(IF(E272="MI",4,(IF(E272="RP",5,(IF(E272="SC",6,0)))))))))))))))))))))))))))))))))))))))</f>
        <v>3</v>
      </c>
      <c r="G272" s="170">
        <v>4</v>
      </c>
      <c r="H272" s="38" t="s">
        <v>511</v>
      </c>
      <c r="I272" s="105" t="s">
        <v>1449</v>
      </c>
      <c r="J272" s="157" t="s">
        <v>2511</v>
      </c>
      <c r="K272" s="34" t="s">
        <v>2512</v>
      </c>
      <c r="L272" s="5">
        <f>IF(O272="","",N272*O272*M272)</f>
        <v>99</v>
      </c>
      <c r="M272" s="8">
        <v>1</v>
      </c>
      <c r="N272" s="1">
        <v>1</v>
      </c>
      <c r="O272" s="15">
        <f>IF(SUM(Q272:AF272)&lt;1,"",SUM(Q272:AF272)/COUNTIF(Q272:AF272,"&gt;0"))</f>
        <v>99</v>
      </c>
      <c r="P272" s="16"/>
      <c r="Q272" s="13"/>
      <c r="R272" s="4"/>
      <c r="S272" s="4"/>
      <c r="T272" s="4">
        <v>99</v>
      </c>
      <c r="Y272" s="4"/>
      <c r="AB272" s="4"/>
      <c r="AC272" s="4"/>
      <c r="AD272" s="4"/>
      <c r="AE272" s="4"/>
      <c r="AF272" s="14"/>
    </row>
    <row r="273" spans="1:33" s="2" customFormat="1" ht="15.75" customHeight="1" x14ac:dyDescent="0.25">
      <c r="A273" s="33" t="str">
        <f>CONCATENATE(D273,".",F273,"-",G273,".",H273,"")</f>
        <v>1.3-4.3</v>
      </c>
      <c r="B273" s="33" t="s">
        <v>814</v>
      </c>
      <c r="C273" s="39" t="s">
        <v>335</v>
      </c>
      <c r="D273" s="33">
        <f>IF(C273="ID",1,(IF(C273="PR",2,(IF(C273="DE",3,(IF(C273="RS",4,(IF(C273="RC",5,0)))))))))</f>
        <v>1</v>
      </c>
      <c r="E273" s="33" t="s">
        <v>341</v>
      </c>
      <c r="F273" s="33">
        <f>IF(E273="AM",1,(IF(E273="BE",2,(IF(E273="GV",3,(IF(E273="RA",4,(IF(E273="RM",5,(IF(E273="AC",1,(IF(E273="AT",2,(IF(E273="DS",3,(IF(E273="IP",4,(IF(E273="MA",5,(IF(E273="PT",6,(IF(E273="AE",1,(IF(E273="CM",2,(IF(E273="DP",3,(IF(E273="AN",1,(IF(E273="CO",2,(IF(E273="IM",3,(IF(E273="MI",4,(IF(E273="RP",5,(IF(E273="SC",6,0)))))))))))))))))))))))))))))))))))))))</f>
        <v>3</v>
      </c>
      <c r="G273" s="170">
        <v>4</v>
      </c>
      <c r="H273" s="38" t="s">
        <v>513</v>
      </c>
      <c r="I273" s="27" t="s">
        <v>266</v>
      </c>
      <c r="J273" s="149" t="s">
        <v>489</v>
      </c>
      <c r="K273" s="79" t="s">
        <v>1387</v>
      </c>
      <c r="L273" s="66">
        <f>IF(O273="","",N273*O273*M273)</f>
        <v>75</v>
      </c>
      <c r="M273" s="8">
        <v>1</v>
      </c>
      <c r="N273" s="1">
        <v>1</v>
      </c>
      <c r="O273" s="15">
        <f>IF(SUM(Q273:AF273)&lt;1,"",SUM(Q273:AF273)/COUNTIF(Q273:AF273,"&gt;0"))</f>
        <v>75</v>
      </c>
      <c r="P273" s="16"/>
      <c r="Q273" s="13"/>
      <c r="R273" s="4"/>
      <c r="S273" s="4"/>
      <c r="T273" s="4">
        <v>75</v>
      </c>
      <c r="Y273" s="4"/>
      <c r="AB273" s="4"/>
      <c r="AC273" s="4"/>
      <c r="AD273" s="4"/>
      <c r="AE273" s="4"/>
      <c r="AF273" s="14"/>
    </row>
    <row r="274" spans="1:33" s="2" customFormat="1" ht="15.75" customHeight="1" x14ac:dyDescent="0.25">
      <c r="A274" s="33" t="str">
        <f>CONCATENATE(D274,".",F274,"-",G274,".",H274,"")</f>
        <v>1.3-4.3</v>
      </c>
      <c r="B274" s="33" t="s">
        <v>814</v>
      </c>
      <c r="C274" s="39" t="s">
        <v>335</v>
      </c>
      <c r="D274" s="33">
        <f>IF(C274="ID",1,(IF(C274="PR",2,(IF(C274="DE",3,(IF(C274="RS",4,(IF(C274="RC",5,0)))))))))</f>
        <v>1</v>
      </c>
      <c r="E274" s="33" t="s">
        <v>341</v>
      </c>
      <c r="F274" s="33">
        <f>IF(E274="AM",1,(IF(E274="BE",2,(IF(E274="GV",3,(IF(E274="RA",4,(IF(E274="RM",5,(IF(E274="AC",1,(IF(E274="AT",2,(IF(E274="DS",3,(IF(E274="IP",4,(IF(E274="MA",5,(IF(E274="PT",6,(IF(E274="AE",1,(IF(E274="CM",2,(IF(E274="DP",3,(IF(E274="AN",1,(IF(E274="CO",2,(IF(E274="IM",3,(IF(E274="MI",4,(IF(E274="RP",5,(IF(E274="SC",6,0)))))))))))))))))))))))))))))))))))))))</f>
        <v>3</v>
      </c>
      <c r="G274" s="170">
        <v>4</v>
      </c>
      <c r="H274" s="38" t="s">
        <v>513</v>
      </c>
      <c r="I274" s="27" t="s">
        <v>266</v>
      </c>
      <c r="J274" s="149" t="s">
        <v>490</v>
      </c>
      <c r="K274" s="79" t="s">
        <v>1388</v>
      </c>
      <c r="L274" s="66">
        <f>IF(O274="","",N274*O274*M274)</f>
        <v>75</v>
      </c>
      <c r="M274" s="8">
        <v>1</v>
      </c>
      <c r="N274" s="1">
        <v>1</v>
      </c>
      <c r="O274" s="15">
        <f>IF(SUM(Q274:AF274)&lt;1,"",SUM(Q274:AF274)/COUNTIF(Q274:AF274,"&gt;0"))</f>
        <v>75</v>
      </c>
      <c r="P274" s="16"/>
      <c r="Q274" s="13"/>
      <c r="R274" s="4"/>
      <c r="S274" s="4"/>
      <c r="T274" s="4">
        <v>75</v>
      </c>
      <c r="Y274" s="4"/>
      <c r="AB274" s="4"/>
      <c r="AC274" s="4"/>
      <c r="AD274" s="4"/>
      <c r="AE274" s="4"/>
      <c r="AF274" s="14"/>
    </row>
    <row r="275" spans="1:33" s="2" customFormat="1" ht="15.75" customHeight="1" x14ac:dyDescent="0.25">
      <c r="A275" s="33" t="str">
        <f>CONCATENATE(D275,".",F275,"-",G275,".",H275,"")</f>
        <v>1.3-4.9</v>
      </c>
      <c r="B275" s="33"/>
      <c r="C275" s="39" t="s">
        <v>335</v>
      </c>
      <c r="D275" s="33">
        <f>IF(C275="ID",1,(IF(C275="PR",2,(IF(C275="DE",3,(IF(C275="RS",4,(IF(C275="RC",5,0)))))))))</f>
        <v>1</v>
      </c>
      <c r="E275" s="33" t="s">
        <v>341</v>
      </c>
      <c r="F275" s="33">
        <f>IF(E275="AM",1,(IF(E275="BE",2,(IF(E275="GV",3,(IF(E275="RA",4,(IF(E275="RM",5,(IF(E275="AC",1,(IF(E275="AT",2,(IF(E275="DS",3,(IF(E275="IP",4,(IF(E275="MA",5,(IF(E275="PT",6,(IF(E275="AE",1,(IF(E275="CM",2,(IF(E275="DP",3,(IF(E275="AN",1,(IF(E275="CO",2,(IF(E275="IM",3,(IF(E275="MI",4,(IF(E275="RP",5,(IF(E275="SC",6,0)))))))))))))))))))))))))))))))))))))))</f>
        <v>3</v>
      </c>
      <c r="G275" s="170">
        <v>4</v>
      </c>
      <c r="H275" s="38" t="s">
        <v>596</v>
      </c>
      <c r="I275" s="105" t="s">
        <v>1449</v>
      </c>
      <c r="J275" s="157" t="s">
        <v>2499</v>
      </c>
      <c r="K275" s="34" t="s">
        <v>2500</v>
      </c>
      <c r="L275" s="5">
        <f>IF(O275="","",N275*O275*M275)</f>
        <v>99</v>
      </c>
      <c r="M275" s="8">
        <v>1</v>
      </c>
      <c r="N275" s="1">
        <v>1</v>
      </c>
      <c r="O275" s="15">
        <f>IF(SUM(Q275:AF275)&lt;1,"",SUM(Q275:AF275)/COUNTIF(Q275:AF275,"&gt;0"))</f>
        <v>99</v>
      </c>
      <c r="P275" s="16"/>
      <c r="Q275" s="13"/>
      <c r="R275" s="4"/>
      <c r="S275" s="4"/>
      <c r="T275" s="4">
        <v>99</v>
      </c>
      <c r="Y275" s="4"/>
      <c r="AB275" s="4"/>
      <c r="AC275" s="4"/>
      <c r="AD275" s="4"/>
      <c r="AE275" s="4"/>
      <c r="AF275" s="14"/>
    </row>
    <row r="276" spans="1:33" s="2" customFormat="1" ht="15.75" customHeight="1" x14ac:dyDescent="0.25">
      <c r="A276" s="33" t="str">
        <f>CONCATENATE(D276,".",F276,"-",G276,".",H276,"")</f>
        <v>1.4-0.0</v>
      </c>
      <c r="B276" s="33" t="s">
        <v>1229</v>
      </c>
      <c r="C276" s="40" t="s">
        <v>335</v>
      </c>
      <c r="D276" s="33">
        <f>IF(C276="ID",1,(IF(C276="PR",2,(IF(C276="DE",3,(IF(C276="RS",4,(IF(C276="RC",5,0)))))))))</f>
        <v>1</v>
      </c>
      <c r="E276" s="33" t="s">
        <v>261</v>
      </c>
      <c r="F276" s="33">
        <f>IF(E276="AM",1,(IF(E276="BE",2,(IF(E276="GV",3,(IF(E276="RA",4,(IF(E276="RM",5,(IF(E276="AC",1,(IF(E276="AT",2,(IF(E276="DS",3,(IF(E276="IP",4,(IF(E276="MA",5,(IF(E276="PT",6,(IF(E276="AE",1,(IF(E276="CM",2,(IF(E276="DP",3,(IF(E276="AN",1,(IF(E276="CO",2,(IF(E276="IM",3,(IF(E276="MI",4,(IF(E276="RP",5,(IF(E276="SC",6,0)))))))))))))))))))))))))))))))))))))))</f>
        <v>4</v>
      </c>
      <c r="G276" s="170">
        <v>0</v>
      </c>
      <c r="H276" s="38" t="s">
        <v>597</v>
      </c>
      <c r="I276" s="27" t="s">
        <v>1200</v>
      </c>
      <c r="J276" s="164" t="s">
        <v>652</v>
      </c>
      <c r="K276" s="97" t="s">
        <v>730</v>
      </c>
      <c r="L276" s="66" t="str">
        <f>IF(O276="","",N276*O276*M276)</f>
        <v/>
      </c>
      <c r="M276" s="8">
        <v>1</v>
      </c>
      <c r="N276" s="1">
        <v>1</v>
      </c>
      <c r="O276" s="15" t="str">
        <f>IF(SUM(Q276:AF276)&lt;1,"",SUM(Q276:AF276)/COUNTIF(Q276:AF276,"&gt;0"))</f>
        <v/>
      </c>
      <c r="P276" s="16"/>
      <c r="Q276" s="13"/>
      <c r="R276" s="4"/>
      <c r="S276" s="4"/>
      <c r="Y276" s="4"/>
      <c r="AB276" s="4"/>
      <c r="AC276" s="4"/>
      <c r="AD276" s="4"/>
      <c r="AE276" s="4"/>
      <c r="AF276" s="14"/>
    </row>
    <row r="277" spans="1:33" s="2" customFormat="1" ht="15.75" customHeight="1" x14ac:dyDescent="0.25">
      <c r="A277" s="33" t="str">
        <f>CONCATENATE(D277,".",F277,"-",G277,".",H277,"")</f>
        <v>1.4-0.1</v>
      </c>
      <c r="B277" s="33" t="s">
        <v>1229</v>
      </c>
      <c r="C277" s="40" t="s">
        <v>335</v>
      </c>
      <c r="D277" s="33">
        <f>IF(C277="ID",1,(IF(C277="PR",2,(IF(C277="DE",3,(IF(C277="RS",4,(IF(C277="RC",5,0)))))))))</f>
        <v>1</v>
      </c>
      <c r="E277" s="33" t="s">
        <v>261</v>
      </c>
      <c r="F277" s="33">
        <f>IF(E277="AM",1,(IF(E277="BE",2,(IF(E277="GV",3,(IF(E277="RA",4,(IF(E277="RM",5,(IF(E277="AC",1,(IF(E277="AT",2,(IF(E277="DS",3,(IF(E277="IP",4,(IF(E277="MA",5,(IF(E277="PT",6,(IF(E277="AE",1,(IF(E277="CM",2,(IF(E277="DP",3,(IF(E277="AN",1,(IF(E277="CO",2,(IF(E277="IM",3,(IF(E277="MI",4,(IF(E277="RP",5,(IF(E277="SC",6,0)))))))))))))))))))))))))))))))))))))))</f>
        <v>4</v>
      </c>
      <c r="G277" s="170">
        <v>0</v>
      </c>
      <c r="H277" s="38" t="s">
        <v>511</v>
      </c>
      <c r="I277" s="27" t="s">
        <v>1200</v>
      </c>
      <c r="J277" s="164" t="s">
        <v>652</v>
      </c>
      <c r="K277" s="97" t="s">
        <v>731</v>
      </c>
      <c r="L277" s="66" t="str">
        <f>IF(O277="","",N277*O277*M277)</f>
        <v/>
      </c>
      <c r="M277" s="8">
        <v>1</v>
      </c>
      <c r="N277" s="1">
        <v>1</v>
      </c>
      <c r="O277" s="15" t="str">
        <f>IF(SUM(Q277:AF277)&lt;1,"",SUM(Q277:AF277)/COUNTIF(Q277:AF277,"&gt;0"))</f>
        <v/>
      </c>
      <c r="P277" s="16"/>
      <c r="Q277" s="13"/>
      <c r="R277" s="4"/>
      <c r="S277" s="4"/>
      <c r="Y277" s="4"/>
      <c r="AB277" s="4"/>
      <c r="AC277" s="4"/>
      <c r="AD277" s="4"/>
      <c r="AE277" s="4"/>
      <c r="AF277" s="4"/>
      <c r="AG277" s="13"/>
    </row>
    <row r="278" spans="1:33" s="2" customFormat="1" ht="15.75" customHeight="1" x14ac:dyDescent="0.25">
      <c r="A278" s="33" t="str">
        <f>CONCATENATE(D278,".",F278,"-",G278,".",H278,"")</f>
        <v>1.4-1.0</v>
      </c>
      <c r="B278" s="33" t="s">
        <v>814</v>
      </c>
      <c r="C278" s="40" t="s">
        <v>335</v>
      </c>
      <c r="D278" s="33">
        <f>IF(C278="ID",1,(IF(C278="PR",2,(IF(C278="DE",3,(IF(C278="RS",4,(IF(C278="RC",5,0)))))))))</f>
        <v>1</v>
      </c>
      <c r="E278" s="33" t="s">
        <v>261</v>
      </c>
      <c r="F278" s="33">
        <f>IF(E278="AM",1,(IF(E278="BE",2,(IF(E278="GV",3,(IF(E278="RA",4,(IF(E278="RM",5,(IF(E278="AC",1,(IF(E278="AT",2,(IF(E278="DS",3,(IF(E278="IP",4,(IF(E278="MA",5,(IF(E278="PT",6,(IF(E278="AE",1,(IF(E278="CM",2,(IF(E278="DP",3,(IF(E278="AN",1,(IF(E278="CO",2,(IF(E278="IM",3,(IF(E278="MI",4,(IF(E278="RP",5,(IF(E278="SC",6,0)))))))))))))))))))))))))))))))))))))))</f>
        <v>4</v>
      </c>
      <c r="G278" s="170">
        <v>1</v>
      </c>
      <c r="H278" s="38" t="s">
        <v>597</v>
      </c>
      <c r="I278" s="27" t="s">
        <v>1200</v>
      </c>
      <c r="J278" s="149" t="s">
        <v>653</v>
      </c>
      <c r="K278" s="97" t="s">
        <v>365</v>
      </c>
      <c r="L278" s="66">
        <f>IF(O278="","",N278*O278*M278)</f>
        <v>75</v>
      </c>
      <c r="M278" s="8">
        <v>1</v>
      </c>
      <c r="N278" s="1">
        <v>1</v>
      </c>
      <c r="O278" s="15">
        <f>IF(SUM(Q278:AF278)&lt;1,"",SUM(Q278:AF278)/COUNTIF(Q278:AF278,"&gt;0"))</f>
        <v>75</v>
      </c>
      <c r="P278" s="16"/>
      <c r="Q278" s="13"/>
      <c r="R278" s="4"/>
      <c r="S278" s="4"/>
      <c r="T278" s="4">
        <v>75</v>
      </c>
      <c r="Y278" s="4"/>
      <c r="AB278" s="4"/>
      <c r="AC278" s="4"/>
      <c r="AD278" s="4"/>
      <c r="AE278" s="4"/>
      <c r="AF278" s="14"/>
    </row>
    <row r="279" spans="1:33" s="2" customFormat="1" ht="15.75" customHeight="1" x14ac:dyDescent="0.25">
      <c r="A279" s="33" t="str">
        <f>CONCATENATE(D279,".",F279,"-",G279,".",H279,"")</f>
        <v>1.4-1.0</v>
      </c>
      <c r="B279" s="33" t="s">
        <v>814</v>
      </c>
      <c r="C279" s="40" t="s">
        <v>335</v>
      </c>
      <c r="D279" s="33">
        <f>IF(C279="ID",1,(IF(C279="PR",2,(IF(C279="DE",3,(IF(C279="RS",4,(IF(C279="RC",5,0)))))))))</f>
        <v>1</v>
      </c>
      <c r="E279" s="33" t="s">
        <v>261</v>
      </c>
      <c r="F279" s="33">
        <f>IF(E279="AM",1,(IF(E279="BE",2,(IF(E279="GV",3,(IF(E279="RA",4,(IF(E279="RM",5,(IF(E279="AC",1,(IF(E279="AT",2,(IF(E279="DS",3,(IF(E279="IP",4,(IF(E279="MA",5,(IF(E279="PT",6,(IF(E279="AE",1,(IF(E279="CM",2,(IF(E279="DP",3,(IF(E279="AN",1,(IF(E279="CO",2,(IF(E279="IM",3,(IF(E279="MI",4,(IF(E279="RP",5,(IF(E279="SC",6,0)))))))))))))))))))))))))))))))))))))))</f>
        <v>4</v>
      </c>
      <c r="G279" s="171">
        <v>1</v>
      </c>
      <c r="H279" s="38" t="s">
        <v>597</v>
      </c>
      <c r="I279" s="27" t="s">
        <v>936</v>
      </c>
      <c r="J279" s="163" t="s">
        <v>865</v>
      </c>
      <c r="K279" s="34" t="s">
        <v>972</v>
      </c>
      <c r="L279" s="66">
        <f>IF(O279="","",N279*O279*M279)</f>
        <v>75</v>
      </c>
      <c r="M279" s="8">
        <v>1</v>
      </c>
      <c r="N279" s="3">
        <v>1</v>
      </c>
      <c r="O279" s="15">
        <f>IF(SUM(Q279:AF279)&lt;1,"",SUM(Q279:AF279)/COUNTIF(Q279:AF279,"&gt;0"))</f>
        <v>75</v>
      </c>
      <c r="P279" s="16"/>
      <c r="Q279" s="13"/>
      <c r="R279" s="4"/>
      <c r="S279" s="4"/>
      <c r="T279" s="4">
        <v>75</v>
      </c>
      <c r="Y279" s="4"/>
      <c r="AB279" s="4"/>
      <c r="AC279" s="4"/>
      <c r="AD279" s="4"/>
      <c r="AE279" s="4"/>
      <c r="AF279" s="14"/>
    </row>
    <row r="280" spans="1:33" s="2" customFormat="1" ht="15.75" customHeight="1" x14ac:dyDescent="0.25">
      <c r="A280" s="33" t="str">
        <f>CONCATENATE(D280,".",F280,"-",G280,".",H280,"")</f>
        <v>1.4-1.1</v>
      </c>
      <c r="B280" s="33" t="s">
        <v>814</v>
      </c>
      <c r="C280" s="40" t="s">
        <v>335</v>
      </c>
      <c r="D280" s="33">
        <f>IF(C280="ID",1,(IF(C280="PR",2,(IF(C280="DE",3,(IF(C280="RS",4,(IF(C280="RC",5,0)))))))))</f>
        <v>1</v>
      </c>
      <c r="E280" s="33" t="s">
        <v>261</v>
      </c>
      <c r="F280" s="33">
        <f>IF(E280="AM",1,(IF(E280="BE",2,(IF(E280="GV",3,(IF(E280="RA",4,(IF(E280="RM",5,(IF(E280="AC",1,(IF(E280="AT",2,(IF(E280="DS",3,(IF(E280="IP",4,(IF(E280="MA",5,(IF(E280="PT",6,(IF(E280="AE",1,(IF(E280="CM",2,(IF(E280="DP",3,(IF(E280="AN",1,(IF(E280="CO",2,(IF(E280="IM",3,(IF(E280="MI",4,(IF(E280="RP",5,(IF(E280="SC",6,0)))))))))))))))))))))))))))))))))))))))</f>
        <v>4</v>
      </c>
      <c r="G280" s="171">
        <v>1</v>
      </c>
      <c r="H280" s="38" t="s">
        <v>511</v>
      </c>
      <c r="I280" s="27" t="s">
        <v>936</v>
      </c>
      <c r="J280" s="163" t="s">
        <v>867</v>
      </c>
      <c r="K280" s="34" t="s">
        <v>991</v>
      </c>
      <c r="L280" s="66">
        <f>IF(O280="","",N280*O280*M280)</f>
        <v>75</v>
      </c>
      <c r="M280" s="8">
        <v>1</v>
      </c>
      <c r="N280" s="3">
        <v>1</v>
      </c>
      <c r="O280" s="15">
        <f>IF(SUM(Q280:AF280)&lt;1,"",SUM(Q280:AF280)/COUNTIF(Q280:AF280,"&gt;0"))</f>
        <v>75</v>
      </c>
      <c r="P280" s="16"/>
      <c r="Q280" s="13"/>
      <c r="R280" s="4"/>
      <c r="S280" s="4"/>
      <c r="T280" s="4">
        <v>75</v>
      </c>
      <c r="Y280" s="4"/>
      <c r="AB280" s="4"/>
      <c r="AC280" s="4"/>
      <c r="AD280" s="4"/>
      <c r="AE280" s="4"/>
      <c r="AF280" s="14"/>
    </row>
    <row r="281" spans="1:33" s="2" customFormat="1" ht="15.75" customHeight="1" x14ac:dyDescent="0.25">
      <c r="A281" s="33" t="str">
        <f>CONCATENATE(D281,".",F281,"-",G281,".",H281,"")</f>
        <v>1.4-1.1</v>
      </c>
      <c r="B281" s="33" t="s">
        <v>814</v>
      </c>
      <c r="C281" s="40" t="s">
        <v>335</v>
      </c>
      <c r="D281" s="33">
        <f>IF(C281="ID",1,(IF(C281="PR",2,(IF(C281="DE",3,(IF(C281="RS",4,(IF(C281="RC",5,0)))))))))</f>
        <v>1</v>
      </c>
      <c r="E281" s="33" t="s">
        <v>261</v>
      </c>
      <c r="F281" s="33">
        <f>IF(E281="AM",1,(IF(E281="BE",2,(IF(E281="GV",3,(IF(E281="RA",4,(IF(E281="RM",5,(IF(E281="AC",1,(IF(E281="AT",2,(IF(E281="DS",3,(IF(E281="IP",4,(IF(E281="MA",5,(IF(E281="PT",6,(IF(E281="AE",1,(IF(E281="CM",2,(IF(E281="DP",3,(IF(E281="AN",1,(IF(E281="CO",2,(IF(E281="IM",3,(IF(E281="MI",4,(IF(E281="RP",5,(IF(E281="SC",6,0)))))))))))))))))))))))))))))))))))))))</f>
        <v>4</v>
      </c>
      <c r="G281" s="171">
        <v>1</v>
      </c>
      <c r="H281" s="38" t="s">
        <v>511</v>
      </c>
      <c r="I281" s="27" t="s">
        <v>936</v>
      </c>
      <c r="J281" s="163" t="s">
        <v>869</v>
      </c>
      <c r="K281" s="34" t="s">
        <v>992</v>
      </c>
      <c r="L281" s="66">
        <f>IF(O281="","",N281*O281*M281)</f>
        <v>75</v>
      </c>
      <c r="M281" s="8">
        <v>1</v>
      </c>
      <c r="N281" s="3">
        <v>1</v>
      </c>
      <c r="O281" s="15">
        <f>IF(SUM(Q281:AF281)&lt;1,"",SUM(Q281:AF281)/COUNTIF(Q281:AF281,"&gt;0"))</f>
        <v>75</v>
      </c>
      <c r="P281" s="16"/>
      <c r="Q281" s="13"/>
      <c r="R281" s="4"/>
      <c r="S281" s="4"/>
      <c r="T281" s="4">
        <v>75</v>
      </c>
      <c r="Y281" s="4"/>
      <c r="AB281" s="4"/>
      <c r="AC281" s="4"/>
      <c r="AD281" s="4"/>
      <c r="AE281" s="4"/>
      <c r="AF281" s="14"/>
    </row>
    <row r="282" spans="1:33" s="2" customFormat="1" ht="15.75" customHeight="1" x14ac:dyDescent="0.25">
      <c r="A282" s="33" t="str">
        <f>CONCATENATE(D282,".",F282,"-",G282,".",H282,"")</f>
        <v>1.4-1.1</v>
      </c>
      <c r="B282" s="33" t="s">
        <v>814</v>
      </c>
      <c r="C282" s="39" t="s">
        <v>335</v>
      </c>
      <c r="D282" s="33">
        <f>IF(C282="ID",1,(IF(C282="PR",2,(IF(C282="DE",3,(IF(C282="RS",4,(IF(C282="RC",5,0)))))))))</f>
        <v>1</v>
      </c>
      <c r="E282" s="33" t="s">
        <v>261</v>
      </c>
      <c r="F282" s="33">
        <f>IF(E282="AM",1,(IF(E282="BE",2,(IF(E282="GV",3,(IF(E282="RA",4,(IF(E282="RM",5,(IF(E282="AC",1,(IF(E282="AT",2,(IF(E282="DS",3,(IF(E282="IP",4,(IF(E282="MA",5,(IF(E282="PT",6,(IF(E282="AE",1,(IF(E282="CM",2,(IF(E282="DP",3,(IF(E282="AN",1,(IF(E282="CO",2,(IF(E282="IM",3,(IF(E282="MI",4,(IF(E282="RP",5,(IF(E282="SC",6,0)))))))))))))))))))))))))))))))))))))))</f>
        <v>4</v>
      </c>
      <c r="G282" s="170">
        <v>1</v>
      </c>
      <c r="H282" s="33">
        <v>1</v>
      </c>
      <c r="I282" s="27" t="s">
        <v>266</v>
      </c>
      <c r="J282" s="150" t="s">
        <v>272</v>
      </c>
      <c r="K282" s="79" t="s">
        <v>1325</v>
      </c>
      <c r="L282" s="5">
        <f>IF(O282="","",N282*O282*M282)</f>
        <v>75</v>
      </c>
      <c r="M282" s="8">
        <v>1</v>
      </c>
      <c r="N282" s="1">
        <v>1</v>
      </c>
      <c r="O282" s="15">
        <f>IF(SUM(Q282:AF282)&lt;1,"",SUM(Q282:AF282)/COUNTIF(Q282:AF282,"&gt;0"))</f>
        <v>75</v>
      </c>
      <c r="P282" s="16"/>
      <c r="Q282" s="13"/>
      <c r="R282" s="3"/>
      <c r="S282" s="3"/>
      <c r="T282" s="4">
        <v>75</v>
      </c>
      <c r="U282" s="3"/>
      <c r="V282" s="3"/>
      <c r="W282" s="3"/>
      <c r="X282" s="3"/>
      <c r="Y282" s="3"/>
      <c r="Z282" s="3"/>
      <c r="AA282" s="3"/>
      <c r="AB282" s="3"/>
      <c r="AC282" s="3"/>
      <c r="AD282" s="3"/>
      <c r="AE282" s="3"/>
      <c r="AF282" s="104"/>
    </row>
    <row r="283" spans="1:33" s="2" customFormat="1" ht="15.75" customHeight="1" x14ac:dyDescent="0.25">
      <c r="A283" s="33" t="str">
        <f>CONCATENATE(D283,".",F283,"-",G283,".",H283,"")</f>
        <v>1.4-1.1</v>
      </c>
      <c r="B283" s="33"/>
      <c r="C283" s="39" t="s">
        <v>335</v>
      </c>
      <c r="D283" s="33">
        <f>IF(C283="ID",1,(IF(C283="PR",2,(IF(C283="DE",3,(IF(C283="RS",4,(IF(C283="RC",5,0)))))))))</f>
        <v>1</v>
      </c>
      <c r="E283" s="33" t="s">
        <v>261</v>
      </c>
      <c r="F283" s="33">
        <f>IF(E283="AM",1,(IF(E283="BE",2,(IF(E283="GV",3,(IF(E283="RA",4,(IF(E283="RM",5,(IF(E283="AC",1,(IF(E283="AT",2,(IF(E283="DS",3,(IF(E283="IP",4,(IF(E283="MA",5,(IF(E283="PT",6,(IF(E283="AE",1,(IF(E283="CM",2,(IF(E283="DP",3,(IF(E283="AN",1,(IF(E283="CO",2,(IF(E283="IM",3,(IF(E283="MI",4,(IF(E283="RP",5,(IF(E283="SC",6,0)))))))))))))))))))))))))))))))))))))))</f>
        <v>4</v>
      </c>
      <c r="G283" s="170">
        <v>1</v>
      </c>
      <c r="H283" s="38" t="s">
        <v>511</v>
      </c>
      <c r="I283" s="105" t="s">
        <v>1449</v>
      </c>
      <c r="J283" s="157" t="s">
        <v>1827</v>
      </c>
      <c r="K283" s="34" t="s">
        <v>1828</v>
      </c>
      <c r="L283" s="5">
        <f>IF(O283="","",N283*O283*M283)</f>
        <v>99</v>
      </c>
      <c r="M283" s="8">
        <v>1</v>
      </c>
      <c r="N283" s="1">
        <v>1</v>
      </c>
      <c r="O283" s="15">
        <f>IF(SUM(Q283:AF283)&lt;1,"",SUM(Q283:AF283)/COUNTIF(Q283:AF283,"&gt;0"))</f>
        <v>99</v>
      </c>
      <c r="P283" s="16"/>
      <c r="Q283" s="13"/>
      <c r="R283" s="4"/>
      <c r="S283" s="4"/>
      <c r="T283" s="4">
        <v>99</v>
      </c>
      <c r="Y283" s="4"/>
      <c r="AB283" s="4"/>
      <c r="AC283" s="4"/>
      <c r="AD283" s="4"/>
      <c r="AE283" s="4"/>
      <c r="AF283" s="14"/>
    </row>
    <row r="284" spans="1:33" s="2" customFormat="1" ht="15.75" customHeight="1" x14ac:dyDescent="0.25">
      <c r="A284" s="33" t="str">
        <f>CONCATENATE(D284,".",F284,"-",G284,".",H284,"")</f>
        <v>1.4-1.1</v>
      </c>
      <c r="B284" s="33"/>
      <c r="C284" s="39" t="s">
        <v>335</v>
      </c>
      <c r="D284" s="33">
        <f>IF(C284="ID",1,(IF(C284="PR",2,(IF(C284="DE",3,(IF(C284="RS",4,(IF(C284="RC",5,0)))))))))</f>
        <v>1</v>
      </c>
      <c r="E284" s="33" t="s">
        <v>261</v>
      </c>
      <c r="F284" s="33">
        <f>IF(E284="AM",1,(IF(E284="BE",2,(IF(E284="GV",3,(IF(E284="RA",4,(IF(E284="RM",5,(IF(E284="AC",1,(IF(E284="AT",2,(IF(E284="DS",3,(IF(E284="IP",4,(IF(E284="MA",5,(IF(E284="PT",6,(IF(E284="AE",1,(IF(E284="CM",2,(IF(E284="DP",3,(IF(E284="AN",1,(IF(E284="CO",2,(IF(E284="IM",3,(IF(E284="MI",4,(IF(E284="RP",5,(IF(E284="SC",6,0)))))))))))))))))))))))))))))))))))))))</f>
        <v>4</v>
      </c>
      <c r="G284" s="170">
        <v>1</v>
      </c>
      <c r="H284" s="38" t="s">
        <v>511</v>
      </c>
      <c r="I284" s="105" t="s">
        <v>1449</v>
      </c>
      <c r="J284" s="157" t="s">
        <v>1829</v>
      </c>
      <c r="K284" s="34" t="s">
        <v>1830</v>
      </c>
      <c r="L284" s="5">
        <f>IF(O284="","",N284*O284*M284)</f>
        <v>99</v>
      </c>
      <c r="M284" s="8">
        <v>1</v>
      </c>
      <c r="N284" s="1">
        <v>1</v>
      </c>
      <c r="O284" s="15">
        <f>IF(SUM(Q284:AF284)&lt;1,"",SUM(Q284:AF284)/COUNTIF(Q284:AF284,"&gt;0"))</f>
        <v>99</v>
      </c>
      <c r="P284" s="16"/>
      <c r="Q284" s="13"/>
      <c r="R284" s="4"/>
      <c r="S284" s="4"/>
      <c r="T284" s="4">
        <v>99</v>
      </c>
      <c r="Y284" s="4"/>
      <c r="AB284" s="4"/>
      <c r="AC284" s="4"/>
      <c r="AD284" s="4"/>
      <c r="AE284" s="4"/>
      <c r="AF284" s="14"/>
    </row>
    <row r="285" spans="1:33" s="2" customFormat="1" ht="15.75" customHeight="1" x14ac:dyDescent="0.25">
      <c r="A285" s="33" t="str">
        <f>CONCATENATE(D285,".",F285,"-",G285,".",H285,"")</f>
        <v>1.4-1.1</v>
      </c>
      <c r="B285" s="33"/>
      <c r="C285" s="39" t="s">
        <v>335</v>
      </c>
      <c r="D285" s="33">
        <f>IF(C285="ID",1,(IF(C285="PR",2,(IF(C285="DE",3,(IF(C285="RS",4,(IF(C285="RC",5,0)))))))))</f>
        <v>1</v>
      </c>
      <c r="E285" s="33" t="s">
        <v>261</v>
      </c>
      <c r="F285" s="33">
        <f>IF(E285="AM",1,(IF(E285="BE",2,(IF(E285="GV",3,(IF(E285="RA",4,(IF(E285="RM",5,(IF(E285="AC",1,(IF(E285="AT",2,(IF(E285="DS",3,(IF(E285="IP",4,(IF(E285="MA",5,(IF(E285="PT",6,(IF(E285="AE",1,(IF(E285="CM",2,(IF(E285="DP",3,(IF(E285="AN",1,(IF(E285="CO",2,(IF(E285="IM",3,(IF(E285="MI",4,(IF(E285="RP",5,(IF(E285="SC",6,0)))))))))))))))))))))))))))))))))))))))</f>
        <v>4</v>
      </c>
      <c r="G285" s="170">
        <v>1</v>
      </c>
      <c r="H285" s="38" t="s">
        <v>511</v>
      </c>
      <c r="I285" s="105" t="s">
        <v>1449</v>
      </c>
      <c r="J285" s="157" t="s">
        <v>1831</v>
      </c>
      <c r="K285" s="34" t="s">
        <v>1832</v>
      </c>
      <c r="L285" s="5">
        <f>IF(O285="","",N285*O285*M285)</f>
        <v>99</v>
      </c>
      <c r="M285" s="8">
        <v>1</v>
      </c>
      <c r="N285" s="1">
        <v>1</v>
      </c>
      <c r="O285" s="15">
        <f>IF(SUM(Q285:AF285)&lt;1,"",SUM(Q285:AF285)/COUNTIF(Q285:AF285,"&gt;0"))</f>
        <v>99</v>
      </c>
      <c r="P285" s="16"/>
      <c r="Q285" s="13"/>
      <c r="R285" s="4"/>
      <c r="S285" s="4"/>
      <c r="T285" s="4">
        <v>99</v>
      </c>
      <c r="Y285" s="4"/>
      <c r="AB285" s="4"/>
      <c r="AC285" s="4"/>
      <c r="AD285" s="4"/>
      <c r="AE285" s="4"/>
      <c r="AF285" s="14"/>
    </row>
    <row r="286" spans="1:33" s="2" customFormat="1" ht="15.75" customHeight="1" x14ac:dyDescent="0.25">
      <c r="A286" s="33" t="str">
        <f>CONCATENATE(D286,".",F286,"-",G286,".",H286,"")</f>
        <v>1.4-1.1</v>
      </c>
      <c r="B286" s="33"/>
      <c r="C286" s="39" t="s">
        <v>335</v>
      </c>
      <c r="D286" s="33">
        <f>IF(C286="ID",1,(IF(C286="PR",2,(IF(C286="DE",3,(IF(C286="RS",4,(IF(C286="RC",5,0)))))))))</f>
        <v>1</v>
      </c>
      <c r="E286" s="33" t="s">
        <v>261</v>
      </c>
      <c r="F286" s="33">
        <f>IF(E286="AM",1,(IF(E286="BE",2,(IF(E286="GV",3,(IF(E286="RA",4,(IF(E286="RM",5,(IF(E286="AC",1,(IF(E286="AT",2,(IF(E286="DS",3,(IF(E286="IP",4,(IF(E286="MA",5,(IF(E286="PT",6,(IF(E286="AE",1,(IF(E286="CM",2,(IF(E286="DP",3,(IF(E286="AN",1,(IF(E286="CO",2,(IF(E286="IM",3,(IF(E286="MI",4,(IF(E286="RP",5,(IF(E286="SC",6,0)))))))))))))))))))))))))))))))))))))))</f>
        <v>4</v>
      </c>
      <c r="G286" s="170">
        <v>1</v>
      </c>
      <c r="H286" s="38" t="s">
        <v>511</v>
      </c>
      <c r="I286" s="105" t="s">
        <v>1449</v>
      </c>
      <c r="J286" s="157" t="s">
        <v>1833</v>
      </c>
      <c r="K286" s="34" t="s">
        <v>1834</v>
      </c>
      <c r="L286" s="5">
        <f>IF(O286="","",N286*O286*M286)</f>
        <v>99</v>
      </c>
      <c r="M286" s="8">
        <v>1</v>
      </c>
      <c r="N286" s="1">
        <v>1</v>
      </c>
      <c r="O286" s="15">
        <f>IF(SUM(Q286:AF286)&lt;1,"",SUM(Q286:AF286)/COUNTIF(Q286:AF286,"&gt;0"))</f>
        <v>99</v>
      </c>
      <c r="P286" s="16"/>
      <c r="Q286" s="13"/>
      <c r="R286" s="4"/>
      <c r="S286" s="4"/>
      <c r="T286" s="4">
        <v>99</v>
      </c>
      <c r="Y286" s="4"/>
      <c r="AB286" s="4"/>
      <c r="AC286" s="4"/>
      <c r="AD286" s="4"/>
      <c r="AE286" s="4"/>
      <c r="AF286" s="14"/>
    </row>
    <row r="287" spans="1:33" s="2" customFormat="1" ht="15.75" customHeight="1" x14ac:dyDescent="0.25">
      <c r="A287" s="33" t="str">
        <f>CONCATENATE(D287,".",F287,"-",G287,".",H287,"")</f>
        <v>1.4-1.1</v>
      </c>
      <c r="B287" s="33"/>
      <c r="C287" s="39" t="s">
        <v>335</v>
      </c>
      <c r="D287" s="33">
        <f>IF(C287="ID",1,(IF(C287="PR",2,(IF(C287="DE",3,(IF(C287="RS",4,(IF(C287="RC",5,0)))))))))</f>
        <v>1</v>
      </c>
      <c r="E287" s="33" t="s">
        <v>261</v>
      </c>
      <c r="F287" s="33">
        <f>IF(E287="AM",1,(IF(E287="BE",2,(IF(E287="GV",3,(IF(E287="RA",4,(IF(E287="RM",5,(IF(E287="AC",1,(IF(E287="AT",2,(IF(E287="DS",3,(IF(E287="IP",4,(IF(E287="MA",5,(IF(E287="PT",6,(IF(E287="AE",1,(IF(E287="CM",2,(IF(E287="DP",3,(IF(E287="AN",1,(IF(E287="CO",2,(IF(E287="IM",3,(IF(E287="MI",4,(IF(E287="RP",5,(IF(E287="SC",6,0)))))))))))))))))))))))))))))))))))))))</f>
        <v>4</v>
      </c>
      <c r="G287" s="170">
        <v>1</v>
      </c>
      <c r="H287" s="38" t="s">
        <v>511</v>
      </c>
      <c r="I287" s="105" t="s">
        <v>1449</v>
      </c>
      <c r="J287" s="157" t="s">
        <v>1853</v>
      </c>
      <c r="K287" s="34" t="s">
        <v>1854</v>
      </c>
      <c r="L287" s="5">
        <f>IF(O287="","",N287*O287*M287)</f>
        <v>99</v>
      </c>
      <c r="M287" s="8">
        <v>1</v>
      </c>
      <c r="N287" s="1">
        <v>1</v>
      </c>
      <c r="O287" s="15">
        <f>IF(SUM(Q287:AF287)&lt;1,"",SUM(Q287:AF287)/COUNTIF(Q287:AF287,"&gt;0"))</f>
        <v>99</v>
      </c>
      <c r="P287" s="16"/>
      <c r="Q287" s="13"/>
      <c r="R287" s="4"/>
      <c r="S287" s="4"/>
      <c r="T287" s="4">
        <v>99</v>
      </c>
      <c r="Y287" s="4"/>
      <c r="AB287" s="4"/>
      <c r="AC287" s="4"/>
      <c r="AD287" s="4"/>
      <c r="AE287" s="4"/>
      <c r="AF287" s="14"/>
    </row>
    <row r="288" spans="1:33" s="2" customFormat="1" ht="15.75" customHeight="1" x14ac:dyDescent="0.25">
      <c r="A288" s="33" t="str">
        <f>CONCATENATE(D288,".",F288,"-",G288,".",H288,"")</f>
        <v>1.4-1.1</v>
      </c>
      <c r="B288" s="33"/>
      <c r="C288" s="39" t="s">
        <v>335</v>
      </c>
      <c r="D288" s="33">
        <f>IF(C288="ID",1,(IF(C288="PR",2,(IF(C288="DE",3,(IF(C288="RS",4,(IF(C288="RC",5,0)))))))))</f>
        <v>1</v>
      </c>
      <c r="E288" s="33" t="s">
        <v>261</v>
      </c>
      <c r="F288" s="33">
        <f>IF(E288="AM",1,(IF(E288="BE",2,(IF(E288="GV",3,(IF(E288="RA",4,(IF(E288="RM",5,(IF(E288="AC",1,(IF(E288="AT",2,(IF(E288="DS",3,(IF(E288="IP",4,(IF(E288="MA",5,(IF(E288="PT",6,(IF(E288="AE",1,(IF(E288="CM",2,(IF(E288="DP",3,(IF(E288="AN",1,(IF(E288="CO",2,(IF(E288="IM",3,(IF(E288="MI",4,(IF(E288="RP",5,(IF(E288="SC",6,0)))))))))))))))))))))))))))))))))))))))</f>
        <v>4</v>
      </c>
      <c r="G288" s="170">
        <v>1</v>
      </c>
      <c r="H288" s="38" t="s">
        <v>511</v>
      </c>
      <c r="I288" s="105" t="s">
        <v>1449</v>
      </c>
      <c r="J288" s="157" t="s">
        <v>1855</v>
      </c>
      <c r="K288" s="34" t="s">
        <v>1856</v>
      </c>
      <c r="L288" s="5">
        <f>IF(O288="","",N288*O288*M288)</f>
        <v>99</v>
      </c>
      <c r="M288" s="8">
        <v>1</v>
      </c>
      <c r="N288" s="1">
        <v>1</v>
      </c>
      <c r="O288" s="15">
        <f>IF(SUM(Q288:AF288)&lt;1,"",SUM(Q288:AF288)/COUNTIF(Q288:AF288,"&gt;0"))</f>
        <v>99</v>
      </c>
      <c r="P288" s="16"/>
      <c r="Q288" s="13"/>
      <c r="R288" s="4"/>
      <c r="S288" s="4"/>
      <c r="T288" s="4">
        <v>99</v>
      </c>
      <c r="Y288" s="4"/>
      <c r="AB288" s="4"/>
      <c r="AC288" s="4"/>
      <c r="AD288" s="4"/>
      <c r="AE288" s="4"/>
      <c r="AF288" s="14"/>
    </row>
    <row r="289" spans="1:32" s="2" customFormat="1" ht="15.75" customHeight="1" x14ac:dyDescent="0.25">
      <c r="A289" s="33" t="str">
        <f>CONCATENATE(D289,".",F289,"-",G289,".",H289,"")</f>
        <v>1.4-1.1</v>
      </c>
      <c r="B289" s="33"/>
      <c r="C289" s="39" t="s">
        <v>335</v>
      </c>
      <c r="D289" s="33">
        <f>IF(C289="ID",1,(IF(C289="PR",2,(IF(C289="DE",3,(IF(C289="RS",4,(IF(C289="RC",5,0)))))))))</f>
        <v>1</v>
      </c>
      <c r="E289" s="33" t="s">
        <v>261</v>
      </c>
      <c r="F289" s="33">
        <f>IF(E289="AM",1,(IF(E289="BE",2,(IF(E289="GV",3,(IF(E289="RA",4,(IF(E289="RM",5,(IF(E289="AC",1,(IF(E289="AT",2,(IF(E289="DS",3,(IF(E289="IP",4,(IF(E289="MA",5,(IF(E289="PT",6,(IF(E289="AE",1,(IF(E289="CM",2,(IF(E289="DP",3,(IF(E289="AN",1,(IF(E289="CO",2,(IF(E289="IM",3,(IF(E289="MI",4,(IF(E289="RP",5,(IF(E289="SC",6,0)))))))))))))))))))))))))))))))))))))))</f>
        <v>4</v>
      </c>
      <c r="G289" s="170">
        <v>1</v>
      </c>
      <c r="H289" s="38" t="s">
        <v>511</v>
      </c>
      <c r="I289" s="105" t="s">
        <v>1449</v>
      </c>
      <c r="J289" s="157" t="s">
        <v>1857</v>
      </c>
      <c r="K289" s="34" t="s">
        <v>1858</v>
      </c>
      <c r="L289" s="5">
        <f>IF(O289="","",N289*O289*M289)</f>
        <v>99</v>
      </c>
      <c r="M289" s="8">
        <v>1</v>
      </c>
      <c r="N289" s="1">
        <v>1</v>
      </c>
      <c r="O289" s="15">
        <f>IF(SUM(Q289:AF289)&lt;1,"",SUM(Q289:AF289)/COUNTIF(Q289:AF289,"&gt;0"))</f>
        <v>99</v>
      </c>
      <c r="P289" s="16"/>
      <c r="Q289" s="13"/>
      <c r="R289" s="4"/>
      <c r="S289" s="4"/>
      <c r="T289" s="4">
        <v>99</v>
      </c>
      <c r="Y289" s="4"/>
      <c r="AB289" s="4"/>
      <c r="AC289" s="4"/>
      <c r="AD289" s="4"/>
      <c r="AE289" s="4"/>
      <c r="AF289" s="14"/>
    </row>
    <row r="290" spans="1:32" s="2" customFormat="1" ht="15.75" customHeight="1" x14ac:dyDescent="0.25">
      <c r="A290" s="33" t="str">
        <f>CONCATENATE(D290,".",F290,"-",G290,".",H290,"")</f>
        <v>1.4-1.1</v>
      </c>
      <c r="B290" s="33"/>
      <c r="C290" s="39" t="s">
        <v>335</v>
      </c>
      <c r="D290" s="33">
        <f>IF(C290="ID",1,(IF(C290="PR",2,(IF(C290="DE",3,(IF(C290="RS",4,(IF(C290="RC",5,0)))))))))</f>
        <v>1</v>
      </c>
      <c r="E290" s="33" t="s">
        <v>261</v>
      </c>
      <c r="F290" s="33">
        <f>IF(E290="AM",1,(IF(E290="BE",2,(IF(E290="GV",3,(IF(E290="RA",4,(IF(E290="RM",5,(IF(E290="AC",1,(IF(E290="AT",2,(IF(E290="DS",3,(IF(E290="IP",4,(IF(E290="MA",5,(IF(E290="PT",6,(IF(E290="AE",1,(IF(E290="CM",2,(IF(E290="DP",3,(IF(E290="AN",1,(IF(E290="CO",2,(IF(E290="IM",3,(IF(E290="MI",4,(IF(E290="RP",5,(IF(E290="SC",6,0)))))))))))))))))))))))))))))))))))))))</f>
        <v>4</v>
      </c>
      <c r="G290" s="170">
        <v>1</v>
      </c>
      <c r="H290" s="38" t="s">
        <v>511</v>
      </c>
      <c r="I290" s="105" t="s">
        <v>1449</v>
      </c>
      <c r="J290" s="157" t="s">
        <v>1859</v>
      </c>
      <c r="K290" s="34" t="s">
        <v>1860</v>
      </c>
      <c r="L290" s="5">
        <f>IF(O290="","",N290*O290*M290)</f>
        <v>99</v>
      </c>
      <c r="M290" s="8">
        <v>1</v>
      </c>
      <c r="N290" s="1">
        <v>1</v>
      </c>
      <c r="O290" s="15">
        <f>IF(SUM(Q290:AF290)&lt;1,"",SUM(Q290:AF290)/COUNTIF(Q290:AF290,"&gt;0"))</f>
        <v>99</v>
      </c>
      <c r="P290" s="16"/>
      <c r="Q290" s="13"/>
      <c r="R290" s="4"/>
      <c r="S290" s="4"/>
      <c r="T290" s="4">
        <v>99</v>
      </c>
      <c r="Y290" s="4"/>
      <c r="AB290" s="4"/>
      <c r="AC290" s="4"/>
      <c r="AD290" s="4"/>
      <c r="AE290" s="4"/>
      <c r="AF290" s="14"/>
    </row>
    <row r="291" spans="1:32" s="2" customFormat="1" ht="15.75" customHeight="1" x14ac:dyDescent="0.25">
      <c r="A291" s="33" t="str">
        <f>CONCATENATE(D291,".",F291,"-",G291,".",H291,"")</f>
        <v>1.4-1.1</v>
      </c>
      <c r="B291" s="33"/>
      <c r="C291" s="39" t="s">
        <v>335</v>
      </c>
      <c r="D291" s="33">
        <f>IF(C291="ID",1,(IF(C291="PR",2,(IF(C291="DE",3,(IF(C291="RS",4,(IF(C291="RC",5,0)))))))))</f>
        <v>1</v>
      </c>
      <c r="E291" s="33" t="s">
        <v>261</v>
      </c>
      <c r="F291" s="33">
        <f>IF(E291="AM",1,(IF(E291="BE",2,(IF(E291="GV",3,(IF(E291="RA",4,(IF(E291="RM",5,(IF(E291="AC",1,(IF(E291="AT",2,(IF(E291="DS",3,(IF(E291="IP",4,(IF(E291="MA",5,(IF(E291="PT",6,(IF(E291="AE",1,(IF(E291="CM",2,(IF(E291="DP",3,(IF(E291="AN",1,(IF(E291="CO",2,(IF(E291="IM",3,(IF(E291="MI",4,(IF(E291="RP",5,(IF(E291="SC",6,0)))))))))))))))))))))))))))))))))))))))</f>
        <v>4</v>
      </c>
      <c r="G291" s="170">
        <v>1</v>
      </c>
      <c r="H291" s="38" t="s">
        <v>511</v>
      </c>
      <c r="I291" s="105" t="s">
        <v>1449</v>
      </c>
      <c r="J291" s="157" t="s">
        <v>1861</v>
      </c>
      <c r="K291" s="34" t="s">
        <v>1862</v>
      </c>
      <c r="L291" s="5">
        <f>IF(O291="","",N291*O291*M291)</f>
        <v>99</v>
      </c>
      <c r="M291" s="8">
        <v>1</v>
      </c>
      <c r="N291" s="1">
        <v>1</v>
      </c>
      <c r="O291" s="15">
        <f>IF(SUM(Q291:AF291)&lt;1,"",SUM(Q291:AF291)/COUNTIF(Q291:AF291,"&gt;0"))</f>
        <v>99</v>
      </c>
      <c r="P291" s="16"/>
      <c r="Q291" s="13"/>
      <c r="R291" s="4"/>
      <c r="S291" s="4"/>
      <c r="T291" s="4">
        <v>99</v>
      </c>
      <c r="Y291" s="4"/>
      <c r="AB291" s="4"/>
      <c r="AC291" s="4"/>
      <c r="AD291" s="4"/>
      <c r="AE291" s="4"/>
      <c r="AF291" s="14"/>
    </row>
    <row r="292" spans="1:32" s="2" customFormat="1" ht="15.75" customHeight="1" x14ac:dyDescent="0.25">
      <c r="A292" s="33" t="str">
        <f>CONCATENATE(D292,".",F292,"-",G292,".",H292,"")</f>
        <v>1.4-1.1</v>
      </c>
      <c r="B292" s="33"/>
      <c r="C292" s="39" t="s">
        <v>335</v>
      </c>
      <c r="D292" s="33">
        <f>IF(C292="ID",1,(IF(C292="PR",2,(IF(C292="DE",3,(IF(C292="RS",4,(IF(C292="RC",5,0)))))))))</f>
        <v>1</v>
      </c>
      <c r="E292" s="33" t="s">
        <v>261</v>
      </c>
      <c r="F292" s="33">
        <f>IF(E292="AM",1,(IF(E292="BE",2,(IF(E292="GV",3,(IF(E292="RA",4,(IF(E292="RM",5,(IF(E292="AC",1,(IF(E292="AT",2,(IF(E292="DS",3,(IF(E292="IP",4,(IF(E292="MA",5,(IF(E292="PT",6,(IF(E292="AE",1,(IF(E292="CM",2,(IF(E292="DP",3,(IF(E292="AN",1,(IF(E292="CO",2,(IF(E292="IM",3,(IF(E292="MI",4,(IF(E292="RP",5,(IF(E292="SC",6,0)))))))))))))))))))))))))))))))))))))))</f>
        <v>4</v>
      </c>
      <c r="G292" s="170">
        <v>1</v>
      </c>
      <c r="H292" s="38" t="s">
        <v>511</v>
      </c>
      <c r="I292" s="105" t="s">
        <v>1449</v>
      </c>
      <c r="J292" s="157" t="s">
        <v>1863</v>
      </c>
      <c r="K292" s="34" t="s">
        <v>1864</v>
      </c>
      <c r="L292" s="5">
        <f>IF(O292="","",N292*O292*M292)</f>
        <v>99</v>
      </c>
      <c r="M292" s="8">
        <v>1</v>
      </c>
      <c r="N292" s="1">
        <v>1</v>
      </c>
      <c r="O292" s="15">
        <f>IF(SUM(Q292:AF292)&lt;1,"",SUM(Q292:AF292)/COUNTIF(Q292:AF292,"&gt;0"))</f>
        <v>99</v>
      </c>
      <c r="P292" s="16"/>
      <c r="Q292" s="13"/>
      <c r="R292" s="4"/>
      <c r="S292" s="4"/>
      <c r="T292" s="4">
        <v>99</v>
      </c>
      <c r="Y292" s="4"/>
      <c r="AB292" s="4"/>
      <c r="AC292" s="4"/>
      <c r="AD292" s="4"/>
      <c r="AE292" s="4"/>
      <c r="AF292" s="14"/>
    </row>
    <row r="293" spans="1:32" s="2" customFormat="1" ht="15.75" customHeight="1" x14ac:dyDescent="0.25">
      <c r="A293" s="33" t="str">
        <f>CONCATENATE(D293,".",F293,"-",G293,".",H293,"")</f>
        <v>1.4-1.1</v>
      </c>
      <c r="B293" s="33"/>
      <c r="C293" s="39" t="s">
        <v>335</v>
      </c>
      <c r="D293" s="33">
        <f>IF(C293="ID",1,(IF(C293="PR",2,(IF(C293="DE",3,(IF(C293="RS",4,(IF(C293="RC",5,0)))))))))</f>
        <v>1</v>
      </c>
      <c r="E293" s="33" t="s">
        <v>261</v>
      </c>
      <c r="F293" s="33">
        <f>IF(E293="AM",1,(IF(E293="BE",2,(IF(E293="GV",3,(IF(E293="RA",4,(IF(E293="RM",5,(IF(E293="AC",1,(IF(E293="AT",2,(IF(E293="DS",3,(IF(E293="IP",4,(IF(E293="MA",5,(IF(E293="PT",6,(IF(E293="AE",1,(IF(E293="CM",2,(IF(E293="DP",3,(IF(E293="AN",1,(IF(E293="CO",2,(IF(E293="IM",3,(IF(E293="MI",4,(IF(E293="RP",5,(IF(E293="SC",6,0)))))))))))))))))))))))))))))))))))))))</f>
        <v>4</v>
      </c>
      <c r="G293" s="170">
        <v>1</v>
      </c>
      <c r="H293" s="38" t="s">
        <v>511</v>
      </c>
      <c r="I293" s="105" t="s">
        <v>1449</v>
      </c>
      <c r="J293" s="157" t="s">
        <v>2547</v>
      </c>
      <c r="K293" s="34" t="s">
        <v>2548</v>
      </c>
      <c r="L293" s="5">
        <f>IF(O293="","",N293*O293*M293)</f>
        <v>99</v>
      </c>
      <c r="M293" s="8">
        <v>1</v>
      </c>
      <c r="N293" s="1">
        <v>1</v>
      </c>
      <c r="O293" s="15">
        <f>IF(SUM(Q293:AF293)&lt;1,"",SUM(Q293:AF293)/COUNTIF(Q293:AF293,"&gt;0"))</f>
        <v>99</v>
      </c>
      <c r="P293" s="16"/>
      <c r="Q293" s="13"/>
      <c r="R293" s="4"/>
      <c r="S293" s="4"/>
      <c r="T293" s="4">
        <v>99</v>
      </c>
      <c r="Y293" s="4"/>
      <c r="AB293" s="4"/>
      <c r="AC293" s="4"/>
      <c r="AD293" s="4"/>
      <c r="AE293" s="4"/>
      <c r="AF293" s="14"/>
    </row>
    <row r="294" spans="1:32" s="2" customFormat="1" ht="15.75" customHeight="1" x14ac:dyDescent="0.25">
      <c r="A294" s="33" t="str">
        <f>CONCATENATE(D294,".",F294,"-",G294,".",H294,"")</f>
        <v>1.4-1.1</v>
      </c>
      <c r="B294" s="33"/>
      <c r="C294" s="39" t="s">
        <v>335</v>
      </c>
      <c r="D294" s="33">
        <f>IF(C294="ID",1,(IF(C294="PR",2,(IF(C294="DE",3,(IF(C294="RS",4,(IF(C294="RC",5,0)))))))))</f>
        <v>1</v>
      </c>
      <c r="E294" s="33" t="s">
        <v>261</v>
      </c>
      <c r="F294" s="33">
        <f>IF(E294="AM",1,(IF(E294="BE",2,(IF(E294="GV",3,(IF(E294="RA",4,(IF(E294="RM",5,(IF(E294="AC",1,(IF(E294="AT",2,(IF(E294="DS",3,(IF(E294="IP",4,(IF(E294="MA",5,(IF(E294="PT",6,(IF(E294="AE",1,(IF(E294="CM",2,(IF(E294="DP",3,(IF(E294="AN",1,(IF(E294="CO",2,(IF(E294="IM",3,(IF(E294="MI",4,(IF(E294="RP",5,(IF(E294="SC",6,0)))))))))))))))))))))))))))))))))))))))</f>
        <v>4</v>
      </c>
      <c r="G294" s="170">
        <v>1</v>
      </c>
      <c r="H294" s="38" t="s">
        <v>511</v>
      </c>
      <c r="I294" s="105" t="s">
        <v>1449</v>
      </c>
      <c r="J294" s="157" t="s">
        <v>2549</v>
      </c>
      <c r="K294" s="34" t="s">
        <v>2550</v>
      </c>
      <c r="L294" s="5">
        <f>IF(O294="","",N294*O294*M294)</f>
        <v>99</v>
      </c>
      <c r="M294" s="8">
        <v>1</v>
      </c>
      <c r="N294" s="1">
        <v>1</v>
      </c>
      <c r="O294" s="15">
        <f>IF(SUM(Q294:AF294)&lt;1,"",SUM(Q294:AF294)/COUNTIF(Q294:AF294,"&gt;0"))</f>
        <v>99</v>
      </c>
      <c r="P294" s="16"/>
      <c r="Q294" s="13"/>
      <c r="R294" s="4"/>
      <c r="S294" s="4"/>
      <c r="T294" s="4">
        <v>99</v>
      </c>
      <c r="Y294" s="4"/>
      <c r="AB294" s="4"/>
      <c r="AC294" s="4"/>
      <c r="AD294" s="4"/>
      <c r="AE294" s="4"/>
      <c r="AF294" s="14"/>
    </row>
    <row r="295" spans="1:32" s="2" customFormat="1" ht="15.75" customHeight="1" x14ac:dyDescent="0.25">
      <c r="A295" s="33" t="str">
        <f>CONCATENATE(D295,".",F295,"-",G295,".",H295,"")</f>
        <v>1.4-1.1</v>
      </c>
      <c r="B295" s="33"/>
      <c r="C295" s="39" t="s">
        <v>335</v>
      </c>
      <c r="D295" s="33">
        <f>IF(C295="ID",1,(IF(C295="PR",2,(IF(C295="DE",3,(IF(C295="RS",4,(IF(C295="RC",5,0)))))))))</f>
        <v>1</v>
      </c>
      <c r="E295" s="33" t="s">
        <v>261</v>
      </c>
      <c r="F295" s="33">
        <f>IF(E295="AM",1,(IF(E295="BE",2,(IF(E295="GV",3,(IF(E295="RA",4,(IF(E295="RM",5,(IF(E295="AC",1,(IF(E295="AT",2,(IF(E295="DS",3,(IF(E295="IP",4,(IF(E295="MA",5,(IF(E295="PT",6,(IF(E295="AE",1,(IF(E295="CM",2,(IF(E295="DP",3,(IF(E295="AN",1,(IF(E295="CO",2,(IF(E295="IM",3,(IF(E295="MI",4,(IF(E295="RP",5,(IF(E295="SC",6,0)))))))))))))))))))))))))))))))))))))))</f>
        <v>4</v>
      </c>
      <c r="G295" s="170">
        <v>1</v>
      </c>
      <c r="H295" s="38" t="s">
        <v>511</v>
      </c>
      <c r="I295" s="105" t="s">
        <v>1449</v>
      </c>
      <c r="J295" s="157" t="s">
        <v>2551</v>
      </c>
      <c r="K295" s="34" t="s">
        <v>2552</v>
      </c>
      <c r="L295" s="5">
        <f>IF(O295="","",N295*O295*M295)</f>
        <v>99</v>
      </c>
      <c r="M295" s="8">
        <v>1</v>
      </c>
      <c r="N295" s="1">
        <v>1</v>
      </c>
      <c r="O295" s="15">
        <f>IF(SUM(Q295:AF295)&lt;1,"",SUM(Q295:AF295)/COUNTIF(Q295:AF295,"&gt;0"))</f>
        <v>99</v>
      </c>
      <c r="P295" s="16"/>
      <c r="Q295" s="13"/>
      <c r="R295" s="4"/>
      <c r="S295" s="4"/>
      <c r="T295" s="4">
        <v>99</v>
      </c>
      <c r="Y295" s="4"/>
      <c r="AB295" s="4"/>
      <c r="AC295" s="4"/>
      <c r="AD295" s="4"/>
      <c r="AE295" s="4"/>
      <c r="AF295" s="14"/>
    </row>
    <row r="296" spans="1:32" s="2" customFormat="1" ht="15.75" customHeight="1" x14ac:dyDescent="0.25">
      <c r="A296" s="33" t="str">
        <f>CONCATENATE(D296,".",F296,"-",G296,".",H296,"")</f>
        <v>1.4-1.1</v>
      </c>
      <c r="B296" s="33"/>
      <c r="C296" s="39" t="s">
        <v>335</v>
      </c>
      <c r="D296" s="33">
        <f>IF(C296="ID",1,(IF(C296="PR",2,(IF(C296="DE",3,(IF(C296="RS",4,(IF(C296="RC",5,0)))))))))</f>
        <v>1</v>
      </c>
      <c r="E296" s="33" t="s">
        <v>261</v>
      </c>
      <c r="F296" s="33">
        <f>IF(E296="AM",1,(IF(E296="BE",2,(IF(E296="GV",3,(IF(E296="RA",4,(IF(E296="RM",5,(IF(E296="AC",1,(IF(E296="AT",2,(IF(E296="DS",3,(IF(E296="IP",4,(IF(E296="MA",5,(IF(E296="PT",6,(IF(E296="AE",1,(IF(E296="CM",2,(IF(E296="DP",3,(IF(E296="AN",1,(IF(E296="CO",2,(IF(E296="IM",3,(IF(E296="MI",4,(IF(E296="RP",5,(IF(E296="SC",6,0)))))))))))))))))))))))))))))))))))))))</f>
        <v>4</v>
      </c>
      <c r="G296" s="170">
        <v>1</v>
      </c>
      <c r="H296" s="38" t="s">
        <v>511</v>
      </c>
      <c r="I296" s="105" t="s">
        <v>1449</v>
      </c>
      <c r="J296" s="157" t="s">
        <v>2553</v>
      </c>
      <c r="K296" s="34" t="s">
        <v>2554</v>
      </c>
      <c r="L296" s="5">
        <f>IF(O296="","",N296*O296*M296)</f>
        <v>99</v>
      </c>
      <c r="M296" s="8">
        <v>1</v>
      </c>
      <c r="N296" s="1">
        <v>1</v>
      </c>
      <c r="O296" s="15">
        <f>IF(SUM(Q296:AF296)&lt;1,"",SUM(Q296:AF296)/COUNTIF(Q296:AF296,"&gt;0"))</f>
        <v>99</v>
      </c>
      <c r="P296" s="16"/>
      <c r="Q296" s="13"/>
      <c r="R296" s="4"/>
      <c r="S296" s="4"/>
      <c r="T296" s="4">
        <v>99</v>
      </c>
      <c r="Y296" s="4"/>
      <c r="AB296" s="4"/>
      <c r="AC296" s="4"/>
      <c r="AD296" s="4"/>
      <c r="AE296" s="4"/>
      <c r="AF296" s="14"/>
    </row>
    <row r="297" spans="1:32" s="2" customFormat="1" ht="15.75" customHeight="1" x14ac:dyDescent="0.25">
      <c r="A297" s="33" t="str">
        <f>CONCATENATE(D297,".",F297,"-",G297,".",H297,"")</f>
        <v>1.4-1.1</v>
      </c>
      <c r="B297" s="33"/>
      <c r="C297" s="39" t="s">
        <v>335</v>
      </c>
      <c r="D297" s="33">
        <f>IF(C297="ID",1,(IF(C297="PR",2,(IF(C297="DE",3,(IF(C297="RS",4,(IF(C297="RC",5,0)))))))))</f>
        <v>1</v>
      </c>
      <c r="E297" s="33" t="s">
        <v>261</v>
      </c>
      <c r="F297" s="33">
        <f>IF(E297="AM",1,(IF(E297="BE",2,(IF(E297="GV",3,(IF(E297="RA",4,(IF(E297="RM",5,(IF(E297="AC",1,(IF(E297="AT",2,(IF(E297="DS",3,(IF(E297="IP",4,(IF(E297="MA",5,(IF(E297="PT",6,(IF(E297="AE",1,(IF(E297="CM",2,(IF(E297="DP",3,(IF(E297="AN",1,(IF(E297="CO",2,(IF(E297="IM",3,(IF(E297="MI",4,(IF(E297="RP",5,(IF(E297="SC",6,0)))))))))))))))))))))))))))))))))))))))</f>
        <v>4</v>
      </c>
      <c r="G297" s="170">
        <v>1</v>
      </c>
      <c r="H297" s="38" t="s">
        <v>511</v>
      </c>
      <c r="I297" s="105" t="s">
        <v>1449</v>
      </c>
      <c r="J297" s="157" t="s">
        <v>2555</v>
      </c>
      <c r="K297" s="34" t="s">
        <v>2556</v>
      </c>
      <c r="L297" s="5">
        <f>IF(O297="","",N297*O297*M297)</f>
        <v>99</v>
      </c>
      <c r="M297" s="8">
        <v>1</v>
      </c>
      <c r="N297" s="1">
        <v>1</v>
      </c>
      <c r="O297" s="15">
        <f>IF(SUM(Q297:AF297)&lt;1,"",SUM(Q297:AF297)/COUNTIF(Q297:AF297,"&gt;0"))</f>
        <v>99</v>
      </c>
      <c r="P297" s="16"/>
      <c r="Q297" s="13"/>
      <c r="R297" s="4"/>
      <c r="S297" s="4"/>
      <c r="T297" s="4">
        <v>99</v>
      </c>
      <c r="Y297" s="4"/>
      <c r="AB297" s="4"/>
      <c r="AC297" s="4"/>
      <c r="AD297" s="4"/>
      <c r="AE297" s="4"/>
      <c r="AF297" s="14"/>
    </row>
    <row r="298" spans="1:32" s="2" customFormat="1" ht="15.75" customHeight="1" x14ac:dyDescent="0.25">
      <c r="A298" s="33" t="str">
        <f>CONCATENATE(D298,".",F298,"-",G298,".",H298,"")</f>
        <v>1.4-1.1</v>
      </c>
      <c r="B298" s="33"/>
      <c r="C298" s="39" t="s">
        <v>335</v>
      </c>
      <c r="D298" s="33">
        <f>IF(C298="ID",1,(IF(C298="PR",2,(IF(C298="DE",3,(IF(C298="RS",4,(IF(C298="RC",5,0)))))))))</f>
        <v>1</v>
      </c>
      <c r="E298" s="33" t="s">
        <v>261</v>
      </c>
      <c r="F298" s="33">
        <f>IF(E298="AM",1,(IF(E298="BE",2,(IF(E298="GV",3,(IF(E298="RA",4,(IF(E298="RM",5,(IF(E298="AC",1,(IF(E298="AT",2,(IF(E298="DS",3,(IF(E298="IP",4,(IF(E298="MA",5,(IF(E298="PT",6,(IF(E298="AE",1,(IF(E298="CM",2,(IF(E298="DP",3,(IF(E298="AN",1,(IF(E298="CO",2,(IF(E298="IM",3,(IF(E298="MI",4,(IF(E298="RP",5,(IF(E298="SC",6,0)))))))))))))))))))))))))))))))))))))))</f>
        <v>4</v>
      </c>
      <c r="G298" s="170">
        <v>1</v>
      </c>
      <c r="H298" s="38" t="s">
        <v>511</v>
      </c>
      <c r="I298" s="105" t="s">
        <v>1449</v>
      </c>
      <c r="J298" s="157" t="s">
        <v>2557</v>
      </c>
      <c r="K298" s="34" t="s">
        <v>2558</v>
      </c>
      <c r="L298" s="5">
        <f>IF(O298="","",N298*O298*M298)</f>
        <v>99</v>
      </c>
      <c r="M298" s="8">
        <v>1</v>
      </c>
      <c r="N298" s="1">
        <v>1</v>
      </c>
      <c r="O298" s="15">
        <f>IF(SUM(Q298:AF298)&lt;1,"",SUM(Q298:AF298)/COUNTIF(Q298:AF298,"&gt;0"))</f>
        <v>99</v>
      </c>
      <c r="P298" s="16"/>
      <c r="Q298" s="13"/>
      <c r="R298" s="4"/>
      <c r="S298" s="4"/>
      <c r="T298" s="4">
        <v>99</v>
      </c>
      <c r="Y298" s="4"/>
      <c r="AB298" s="4"/>
      <c r="AC298" s="4"/>
      <c r="AD298" s="4"/>
      <c r="AE298" s="4"/>
      <c r="AF298" s="14"/>
    </row>
    <row r="299" spans="1:32" s="2" customFormat="1" ht="15.75" customHeight="1" x14ac:dyDescent="0.25">
      <c r="A299" s="33" t="str">
        <f>CONCATENATE(D299,".",F299,"-",G299,".",H299,"")</f>
        <v>1.4-1.1</v>
      </c>
      <c r="B299" s="33"/>
      <c r="C299" s="39" t="s">
        <v>335</v>
      </c>
      <c r="D299" s="33">
        <f>IF(C299="ID",1,(IF(C299="PR",2,(IF(C299="DE",3,(IF(C299="RS",4,(IF(C299="RC",5,0)))))))))</f>
        <v>1</v>
      </c>
      <c r="E299" s="33" t="s">
        <v>261</v>
      </c>
      <c r="F299" s="33">
        <f>IF(E299="AM",1,(IF(E299="BE",2,(IF(E299="GV",3,(IF(E299="RA",4,(IF(E299="RM",5,(IF(E299="AC",1,(IF(E299="AT",2,(IF(E299="DS",3,(IF(E299="IP",4,(IF(E299="MA",5,(IF(E299="PT",6,(IF(E299="AE",1,(IF(E299="CM",2,(IF(E299="DP",3,(IF(E299="AN",1,(IF(E299="CO",2,(IF(E299="IM",3,(IF(E299="MI",4,(IF(E299="RP",5,(IF(E299="SC",6,0)))))))))))))))))))))))))))))))))))))))</f>
        <v>4</v>
      </c>
      <c r="G299" s="170">
        <v>1</v>
      </c>
      <c r="H299" s="38" t="s">
        <v>511</v>
      </c>
      <c r="I299" s="105" t="s">
        <v>1449</v>
      </c>
      <c r="J299" s="157" t="s">
        <v>2559</v>
      </c>
      <c r="K299" s="34" t="s">
        <v>2560</v>
      </c>
      <c r="L299" s="5">
        <f>IF(O299="","",N299*O299*M299)</f>
        <v>99</v>
      </c>
      <c r="M299" s="8">
        <v>1</v>
      </c>
      <c r="N299" s="1">
        <v>1</v>
      </c>
      <c r="O299" s="15">
        <f>IF(SUM(Q299:AF299)&lt;1,"",SUM(Q299:AF299)/COUNTIF(Q299:AF299,"&gt;0"))</f>
        <v>99</v>
      </c>
      <c r="P299" s="16"/>
      <c r="Q299" s="13"/>
      <c r="R299" s="4"/>
      <c r="S299" s="4"/>
      <c r="T299" s="4">
        <v>99</v>
      </c>
      <c r="Y299" s="4"/>
      <c r="AB299" s="4"/>
      <c r="AC299" s="4"/>
      <c r="AD299" s="4"/>
      <c r="AE299" s="4"/>
      <c r="AF299" s="14"/>
    </row>
    <row r="300" spans="1:32" s="2" customFormat="1" ht="15.75" customHeight="1" x14ac:dyDescent="0.25">
      <c r="A300" s="33" t="str">
        <f>CONCATENATE(D300,".",F300,"-",G300,".",H300,"")</f>
        <v>1.4-1.1</v>
      </c>
      <c r="B300" s="33"/>
      <c r="C300" s="39" t="s">
        <v>335</v>
      </c>
      <c r="D300" s="33">
        <f>IF(C300="ID",1,(IF(C300="PR",2,(IF(C300="DE",3,(IF(C300="RS",4,(IF(C300="RC",5,0)))))))))</f>
        <v>1</v>
      </c>
      <c r="E300" s="33" t="s">
        <v>261</v>
      </c>
      <c r="F300" s="33">
        <f>IF(E300="AM",1,(IF(E300="BE",2,(IF(E300="GV",3,(IF(E300="RA",4,(IF(E300="RM",5,(IF(E300="AC",1,(IF(E300="AT",2,(IF(E300="DS",3,(IF(E300="IP",4,(IF(E300="MA",5,(IF(E300="PT",6,(IF(E300="AE",1,(IF(E300="CM",2,(IF(E300="DP",3,(IF(E300="AN",1,(IF(E300="CO",2,(IF(E300="IM",3,(IF(E300="MI",4,(IF(E300="RP",5,(IF(E300="SC",6,0)))))))))))))))))))))))))))))))))))))))</f>
        <v>4</v>
      </c>
      <c r="G300" s="170">
        <v>1</v>
      </c>
      <c r="H300" s="38" t="s">
        <v>511</v>
      </c>
      <c r="I300" s="105" t="s">
        <v>1449</v>
      </c>
      <c r="J300" s="157" t="s">
        <v>2561</v>
      </c>
      <c r="K300" s="34" t="s">
        <v>2562</v>
      </c>
      <c r="L300" s="5">
        <f>IF(O300="","",N300*O300*M300)</f>
        <v>99</v>
      </c>
      <c r="M300" s="8">
        <v>1</v>
      </c>
      <c r="N300" s="1">
        <v>1</v>
      </c>
      <c r="O300" s="15">
        <f>IF(SUM(Q300:AF300)&lt;1,"",SUM(Q300:AF300)/COUNTIF(Q300:AF300,"&gt;0"))</f>
        <v>99</v>
      </c>
      <c r="P300" s="16"/>
      <c r="Q300" s="13"/>
      <c r="R300" s="4"/>
      <c r="S300" s="4"/>
      <c r="T300" s="4">
        <v>99</v>
      </c>
      <c r="Y300" s="4"/>
      <c r="AB300" s="4"/>
      <c r="AC300" s="4"/>
      <c r="AD300" s="4"/>
      <c r="AE300" s="4"/>
      <c r="AF300" s="14"/>
    </row>
    <row r="301" spans="1:32" s="2" customFormat="1" ht="15.75" customHeight="1" x14ac:dyDescent="0.25">
      <c r="A301" s="33" t="str">
        <f>CONCATENATE(D301,".",F301,"-",G301,".",H301,"")</f>
        <v>1.4-1.1</v>
      </c>
      <c r="B301" s="33"/>
      <c r="C301" s="39" t="s">
        <v>335</v>
      </c>
      <c r="D301" s="33">
        <f>IF(C301="ID",1,(IF(C301="PR",2,(IF(C301="DE",3,(IF(C301="RS",4,(IF(C301="RC",5,0)))))))))</f>
        <v>1</v>
      </c>
      <c r="E301" s="33" t="s">
        <v>261</v>
      </c>
      <c r="F301" s="33">
        <f>IF(E301="AM",1,(IF(E301="BE",2,(IF(E301="GV",3,(IF(E301="RA",4,(IF(E301="RM",5,(IF(E301="AC",1,(IF(E301="AT",2,(IF(E301="DS",3,(IF(E301="IP",4,(IF(E301="MA",5,(IF(E301="PT",6,(IF(E301="AE",1,(IF(E301="CM",2,(IF(E301="DP",3,(IF(E301="AN",1,(IF(E301="CO",2,(IF(E301="IM",3,(IF(E301="MI",4,(IF(E301="RP",5,(IF(E301="SC",6,0)))))))))))))))))))))))))))))))))))))))</f>
        <v>4</v>
      </c>
      <c r="G301" s="170">
        <v>1</v>
      </c>
      <c r="H301" s="38" t="s">
        <v>511</v>
      </c>
      <c r="I301" s="105" t="s">
        <v>1449</v>
      </c>
      <c r="J301" s="157" t="s">
        <v>2563</v>
      </c>
      <c r="K301" s="34" t="s">
        <v>2564</v>
      </c>
      <c r="L301" s="5">
        <f>IF(O301="","",N301*O301*M301)</f>
        <v>99</v>
      </c>
      <c r="M301" s="8">
        <v>1</v>
      </c>
      <c r="N301" s="1">
        <v>1</v>
      </c>
      <c r="O301" s="15">
        <f>IF(SUM(Q301:AF301)&lt;1,"",SUM(Q301:AF301)/COUNTIF(Q301:AF301,"&gt;0"))</f>
        <v>99</v>
      </c>
      <c r="P301" s="16"/>
      <c r="Q301" s="13"/>
      <c r="R301" s="4"/>
      <c r="S301" s="4"/>
      <c r="T301" s="4">
        <v>99</v>
      </c>
      <c r="Y301" s="4"/>
      <c r="AB301" s="4"/>
      <c r="AC301" s="4"/>
      <c r="AD301" s="4"/>
      <c r="AE301" s="4"/>
      <c r="AF301" s="14"/>
    </row>
    <row r="302" spans="1:32" s="2" customFormat="1" ht="15.75" customHeight="1" x14ac:dyDescent="0.25">
      <c r="A302" s="33" t="str">
        <f>CONCATENATE(D302,".",F302,"-",G302,".",H302,"")</f>
        <v>1.4-1.1</v>
      </c>
      <c r="B302" s="33"/>
      <c r="C302" s="39" t="s">
        <v>335</v>
      </c>
      <c r="D302" s="33">
        <f>IF(C302="ID",1,(IF(C302="PR",2,(IF(C302="DE",3,(IF(C302="RS",4,(IF(C302="RC",5,0)))))))))</f>
        <v>1</v>
      </c>
      <c r="E302" s="33" t="s">
        <v>261</v>
      </c>
      <c r="F302" s="33">
        <f>IF(E302="AM",1,(IF(E302="BE",2,(IF(E302="GV",3,(IF(E302="RA",4,(IF(E302="RM",5,(IF(E302="AC",1,(IF(E302="AT",2,(IF(E302="DS",3,(IF(E302="IP",4,(IF(E302="MA",5,(IF(E302="PT",6,(IF(E302="AE",1,(IF(E302="CM",2,(IF(E302="DP",3,(IF(E302="AN",1,(IF(E302="CO",2,(IF(E302="IM",3,(IF(E302="MI",4,(IF(E302="RP",5,(IF(E302="SC",6,0)))))))))))))))))))))))))))))))))))))))</f>
        <v>4</v>
      </c>
      <c r="G302" s="170">
        <v>1</v>
      </c>
      <c r="H302" s="38" t="s">
        <v>511</v>
      </c>
      <c r="I302" s="105" t="s">
        <v>1449</v>
      </c>
      <c r="J302" s="157" t="s">
        <v>2565</v>
      </c>
      <c r="K302" s="34" t="s">
        <v>2566</v>
      </c>
      <c r="L302" s="5">
        <f>IF(O302="","",N302*O302*M302)</f>
        <v>99</v>
      </c>
      <c r="M302" s="8">
        <v>1</v>
      </c>
      <c r="N302" s="1">
        <v>1</v>
      </c>
      <c r="O302" s="15">
        <f>IF(SUM(Q302:AF302)&lt;1,"",SUM(Q302:AF302)/COUNTIF(Q302:AF302,"&gt;0"))</f>
        <v>99</v>
      </c>
      <c r="P302" s="16"/>
      <c r="Q302" s="13"/>
      <c r="R302" s="4"/>
      <c r="S302" s="4"/>
      <c r="T302" s="4">
        <v>99</v>
      </c>
      <c r="Y302" s="4"/>
      <c r="AB302" s="4"/>
      <c r="AC302" s="4"/>
      <c r="AD302" s="4"/>
      <c r="AE302" s="4"/>
      <c r="AF302" s="14"/>
    </row>
    <row r="303" spans="1:32" s="2" customFormat="1" ht="15.75" customHeight="1" x14ac:dyDescent="0.25">
      <c r="A303" s="33" t="str">
        <f>CONCATENATE(D303,".",F303,"-",G303,".",H303,"")</f>
        <v>1.4-1.1</v>
      </c>
      <c r="B303" s="33"/>
      <c r="C303" s="39" t="s">
        <v>335</v>
      </c>
      <c r="D303" s="33">
        <f>IF(C303="ID",1,(IF(C303="PR",2,(IF(C303="DE",3,(IF(C303="RS",4,(IF(C303="RC",5,0)))))))))</f>
        <v>1</v>
      </c>
      <c r="E303" s="33" t="s">
        <v>261</v>
      </c>
      <c r="F303" s="33">
        <f>IF(E303="AM",1,(IF(E303="BE",2,(IF(E303="GV",3,(IF(E303="RA",4,(IF(E303="RM",5,(IF(E303="AC",1,(IF(E303="AT",2,(IF(E303="DS",3,(IF(E303="IP",4,(IF(E303="MA",5,(IF(E303="PT",6,(IF(E303="AE",1,(IF(E303="CM",2,(IF(E303="DP",3,(IF(E303="AN",1,(IF(E303="CO",2,(IF(E303="IM",3,(IF(E303="MI",4,(IF(E303="RP",5,(IF(E303="SC",6,0)))))))))))))))))))))))))))))))))))))))</f>
        <v>4</v>
      </c>
      <c r="G303" s="170">
        <v>1</v>
      </c>
      <c r="H303" s="38" t="s">
        <v>511</v>
      </c>
      <c r="I303" s="105" t="s">
        <v>1449</v>
      </c>
      <c r="J303" s="157" t="s">
        <v>2567</v>
      </c>
      <c r="K303" s="34" t="s">
        <v>2568</v>
      </c>
      <c r="L303" s="5">
        <f>IF(O303="","",N303*O303*M303)</f>
        <v>99</v>
      </c>
      <c r="M303" s="8">
        <v>1</v>
      </c>
      <c r="N303" s="1">
        <v>1</v>
      </c>
      <c r="O303" s="15">
        <f>IF(SUM(Q303:AF303)&lt;1,"",SUM(Q303:AF303)/COUNTIF(Q303:AF303,"&gt;0"))</f>
        <v>99</v>
      </c>
      <c r="P303" s="16"/>
      <c r="Q303" s="13"/>
      <c r="R303" s="4"/>
      <c r="S303" s="4"/>
      <c r="T303" s="4">
        <v>99</v>
      </c>
      <c r="Y303" s="4"/>
      <c r="AB303" s="4"/>
      <c r="AC303" s="4"/>
      <c r="AD303" s="4"/>
      <c r="AE303" s="4"/>
      <c r="AF303" s="14"/>
    </row>
    <row r="304" spans="1:32" s="2" customFormat="1" ht="15.75" customHeight="1" x14ac:dyDescent="0.25">
      <c r="A304" s="33" t="str">
        <f>CONCATENATE(D304,".",F304,"-",G304,".",H304,"")</f>
        <v>1.4-1.1</v>
      </c>
      <c r="B304" s="33"/>
      <c r="C304" s="39" t="s">
        <v>335</v>
      </c>
      <c r="D304" s="33">
        <f>IF(C304="ID",1,(IF(C304="PR",2,(IF(C304="DE",3,(IF(C304="RS",4,(IF(C304="RC",5,0)))))))))</f>
        <v>1</v>
      </c>
      <c r="E304" s="33" t="s">
        <v>261</v>
      </c>
      <c r="F304" s="33">
        <f>IF(E304="AM",1,(IF(E304="BE",2,(IF(E304="GV",3,(IF(E304="RA",4,(IF(E304="RM",5,(IF(E304="AC",1,(IF(E304="AT",2,(IF(E304="DS",3,(IF(E304="IP",4,(IF(E304="MA",5,(IF(E304="PT",6,(IF(E304="AE",1,(IF(E304="CM",2,(IF(E304="DP",3,(IF(E304="AN",1,(IF(E304="CO",2,(IF(E304="IM",3,(IF(E304="MI",4,(IF(E304="RP",5,(IF(E304="SC",6,0)))))))))))))))))))))))))))))))))))))))</f>
        <v>4</v>
      </c>
      <c r="G304" s="170">
        <v>1</v>
      </c>
      <c r="H304" s="38" t="s">
        <v>511</v>
      </c>
      <c r="I304" s="105" t="s">
        <v>1449</v>
      </c>
      <c r="J304" s="157" t="s">
        <v>2585</v>
      </c>
      <c r="K304" s="34" t="s">
        <v>2586</v>
      </c>
      <c r="L304" s="5">
        <f>IF(O304="","",N304*O304*M304)</f>
        <v>99</v>
      </c>
      <c r="M304" s="8">
        <v>1</v>
      </c>
      <c r="N304" s="1">
        <v>1</v>
      </c>
      <c r="O304" s="15">
        <f>IF(SUM(Q304:AF304)&lt;1,"",SUM(Q304:AF304)/COUNTIF(Q304:AF304,"&gt;0"))</f>
        <v>99</v>
      </c>
      <c r="P304" s="16"/>
      <c r="Q304" s="13"/>
      <c r="R304" s="4"/>
      <c r="S304" s="4"/>
      <c r="T304" s="4">
        <v>99</v>
      </c>
      <c r="Y304" s="4"/>
      <c r="AB304" s="4"/>
      <c r="AC304" s="4"/>
      <c r="AD304" s="4"/>
      <c r="AE304" s="4"/>
      <c r="AF304" s="14"/>
    </row>
    <row r="305" spans="1:33" s="1" customFormat="1" ht="15.75" customHeight="1" x14ac:dyDescent="0.25">
      <c r="A305" s="33" t="str">
        <f>CONCATENATE(D305,".",F305,"-",G305,".",H305,"")</f>
        <v>1.4-1.1</v>
      </c>
      <c r="B305" s="33"/>
      <c r="C305" s="39" t="s">
        <v>335</v>
      </c>
      <c r="D305" s="33">
        <f>IF(C305="ID",1,(IF(C305="PR",2,(IF(C305="DE",3,(IF(C305="RS",4,(IF(C305="RC",5,0)))))))))</f>
        <v>1</v>
      </c>
      <c r="E305" s="33" t="s">
        <v>261</v>
      </c>
      <c r="F305" s="33">
        <f>IF(E305="AM",1,(IF(E305="BE",2,(IF(E305="GV",3,(IF(E305="RA",4,(IF(E305="RM",5,(IF(E305="AC",1,(IF(E305="AT",2,(IF(E305="DS",3,(IF(E305="IP",4,(IF(E305="MA",5,(IF(E305="PT",6,(IF(E305="AE",1,(IF(E305="CM",2,(IF(E305="DP",3,(IF(E305="AN",1,(IF(E305="CO",2,(IF(E305="IM",3,(IF(E305="MI",4,(IF(E305="RP",5,(IF(E305="SC",6,0)))))))))))))))))))))))))))))))))))))))</f>
        <v>4</v>
      </c>
      <c r="G305" s="170">
        <v>1</v>
      </c>
      <c r="H305" s="38" t="s">
        <v>511</v>
      </c>
      <c r="I305" s="105" t="s">
        <v>1449</v>
      </c>
      <c r="J305" s="157" t="s">
        <v>2587</v>
      </c>
      <c r="K305" s="34" t="s">
        <v>2588</v>
      </c>
      <c r="L305" s="5">
        <f>IF(O305="","",N305*O305*M305)</f>
        <v>99</v>
      </c>
      <c r="M305" s="8">
        <v>1</v>
      </c>
      <c r="N305" s="1">
        <v>1</v>
      </c>
      <c r="O305" s="15">
        <f>IF(SUM(Q305:AF305)&lt;1,"",SUM(Q305:AF305)/COUNTIF(Q305:AF305,"&gt;0"))</f>
        <v>99</v>
      </c>
      <c r="P305" s="16"/>
      <c r="Q305" s="13"/>
      <c r="R305" s="4"/>
      <c r="S305" s="4"/>
      <c r="T305" s="4">
        <v>99</v>
      </c>
      <c r="U305" s="2"/>
      <c r="V305" s="2"/>
      <c r="W305" s="2"/>
      <c r="X305" s="2"/>
      <c r="Y305" s="4"/>
      <c r="Z305" s="2"/>
      <c r="AA305" s="2"/>
      <c r="AB305" s="4"/>
      <c r="AC305" s="4"/>
      <c r="AD305" s="4"/>
      <c r="AE305" s="4"/>
      <c r="AF305" s="14"/>
    </row>
    <row r="306" spans="1:33" s="1" customFormat="1" ht="15.75" customHeight="1" x14ac:dyDescent="0.25">
      <c r="A306" s="33" t="str">
        <f>CONCATENATE(D306,".",F306,"-",G306,".",H306,"")</f>
        <v>1.4-1.1</v>
      </c>
      <c r="B306" s="33"/>
      <c r="C306" s="39" t="s">
        <v>335</v>
      </c>
      <c r="D306" s="33">
        <f>IF(C306="ID",1,(IF(C306="PR",2,(IF(C306="DE",3,(IF(C306="RS",4,(IF(C306="RC",5,0)))))))))</f>
        <v>1</v>
      </c>
      <c r="E306" s="33" t="s">
        <v>261</v>
      </c>
      <c r="F306" s="33">
        <f>IF(E306="AM",1,(IF(E306="BE",2,(IF(E306="GV",3,(IF(E306="RA",4,(IF(E306="RM",5,(IF(E306="AC",1,(IF(E306="AT",2,(IF(E306="DS",3,(IF(E306="IP",4,(IF(E306="MA",5,(IF(E306="PT",6,(IF(E306="AE",1,(IF(E306="CM",2,(IF(E306="DP",3,(IF(E306="AN",1,(IF(E306="CO",2,(IF(E306="IM",3,(IF(E306="MI",4,(IF(E306="RP",5,(IF(E306="SC",6,0)))))))))))))))))))))))))))))))))))))))</f>
        <v>4</v>
      </c>
      <c r="G306" s="170">
        <v>1</v>
      </c>
      <c r="H306" s="38" t="s">
        <v>511</v>
      </c>
      <c r="I306" s="105" t="s">
        <v>1449</v>
      </c>
      <c r="J306" s="157" t="s">
        <v>2589</v>
      </c>
      <c r="K306" s="34" t="s">
        <v>2590</v>
      </c>
      <c r="L306" s="5">
        <f>IF(O306="","",N306*O306*M306)</f>
        <v>99</v>
      </c>
      <c r="M306" s="8">
        <v>1</v>
      </c>
      <c r="N306" s="1">
        <v>1</v>
      </c>
      <c r="O306" s="15">
        <f>IF(SUM(Q306:AF306)&lt;1,"",SUM(Q306:AF306)/COUNTIF(Q306:AF306,"&gt;0"))</f>
        <v>99</v>
      </c>
      <c r="P306" s="16"/>
      <c r="Q306" s="13"/>
      <c r="R306" s="4"/>
      <c r="S306" s="4"/>
      <c r="T306" s="4">
        <v>99</v>
      </c>
      <c r="U306" s="2"/>
      <c r="V306" s="2"/>
      <c r="W306" s="2"/>
      <c r="X306" s="2"/>
      <c r="Y306" s="4"/>
      <c r="Z306" s="2"/>
      <c r="AA306" s="2"/>
      <c r="AB306" s="4"/>
      <c r="AC306" s="4"/>
      <c r="AD306" s="4"/>
      <c r="AE306" s="4"/>
      <c r="AF306" s="14"/>
    </row>
    <row r="307" spans="1:33" s="1" customFormat="1" ht="15.75" customHeight="1" x14ac:dyDescent="0.25">
      <c r="A307" s="33" t="str">
        <f>CONCATENATE(D307,".",F307,"-",G307,".",H307,"")</f>
        <v>1.4-1.1</v>
      </c>
      <c r="B307" s="33"/>
      <c r="C307" s="39" t="s">
        <v>335</v>
      </c>
      <c r="D307" s="33">
        <f>IF(C307="ID",1,(IF(C307="PR",2,(IF(C307="DE",3,(IF(C307="RS",4,(IF(C307="RC",5,0)))))))))</f>
        <v>1</v>
      </c>
      <c r="E307" s="33" t="s">
        <v>261</v>
      </c>
      <c r="F307" s="33">
        <f>IF(E307="AM",1,(IF(E307="BE",2,(IF(E307="GV",3,(IF(E307="RA",4,(IF(E307="RM",5,(IF(E307="AC",1,(IF(E307="AT",2,(IF(E307="DS",3,(IF(E307="IP",4,(IF(E307="MA",5,(IF(E307="PT",6,(IF(E307="AE",1,(IF(E307="CM",2,(IF(E307="DP",3,(IF(E307="AN",1,(IF(E307="CO",2,(IF(E307="IM",3,(IF(E307="MI",4,(IF(E307="RP",5,(IF(E307="SC",6,0)))))))))))))))))))))))))))))))))))))))</f>
        <v>4</v>
      </c>
      <c r="G307" s="170">
        <v>1</v>
      </c>
      <c r="H307" s="38" t="s">
        <v>511</v>
      </c>
      <c r="I307" s="105" t="s">
        <v>1449</v>
      </c>
      <c r="J307" s="157" t="s">
        <v>2591</v>
      </c>
      <c r="K307" s="34" t="s">
        <v>2592</v>
      </c>
      <c r="L307" s="5">
        <f>IF(O307="","",N307*O307*M307)</f>
        <v>99</v>
      </c>
      <c r="M307" s="8">
        <v>1</v>
      </c>
      <c r="N307" s="1">
        <v>1</v>
      </c>
      <c r="O307" s="15">
        <f>IF(SUM(Q307:AF307)&lt;1,"",SUM(Q307:AF307)/COUNTIF(Q307:AF307,"&gt;0"))</f>
        <v>99</v>
      </c>
      <c r="P307" s="16"/>
      <c r="Q307" s="13"/>
      <c r="R307" s="4"/>
      <c r="S307" s="4"/>
      <c r="T307" s="4">
        <v>99</v>
      </c>
      <c r="U307" s="2"/>
      <c r="V307" s="2"/>
      <c r="W307" s="2"/>
      <c r="X307" s="2"/>
      <c r="Y307" s="4"/>
      <c r="Z307" s="2"/>
      <c r="AA307" s="2"/>
      <c r="AB307" s="4"/>
      <c r="AC307" s="4"/>
      <c r="AD307" s="4"/>
      <c r="AE307" s="4"/>
      <c r="AF307" s="14"/>
    </row>
    <row r="308" spans="1:33" s="1" customFormat="1" ht="15.75" customHeight="1" x14ac:dyDescent="0.25">
      <c r="A308" s="33" t="str">
        <f>CONCATENATE(D308,".",F308,"-",G308,".",H308,"")</f>
        <v>1.4-1.1</v>
      </c>
      <c r="B308" s="33"/>
      <c r="C308" s="39" t="s">
        <v>335</v>
      </c>
      <c r="D308" s="33">
        <f>IF(C308="ID",1,(IF(C308="PR",2,(IF(C308="DE",3,(IF(C308="RS",4,(IF(C308="RC",5,0)))))))))</f>
        <v>1</v>
      </c>
      <c r="E308" s="33" t="s">
        <v>261</v>
      </c>
      <c r="F308" s="33">
        <f>IF(E308="AM",1,(IF(E308="BE",2,(IF(E308="GV",3,(IF(E308="RA",4,(IF(E308="RM",5,(IF(E308="AC",1,(IF(E308="AT",2,(IF(E308="DS",3,(IF(E308="IP",4,(IF(E308="MA",5,(IF(E308="PT",6,(IF(E308="AE",1,(IF(E308="CM",2,(IF(E308="DP",3,(IF(E308="AN",1,(IF(E308="CO",2,(IF(E308="IM",3,(IF(E308="MI",4,(IF(E308="RP",5,(IF(E308="SC",6,0)))))))))))))))))))))))))))))))))))))))</f>
        <v>4</v>
      </c>
      <c r="G308" s="170">
        <v>1</v>
      </c>
      <c r="H308" s="38" t="s">
        <v>511</v>
      </c>
      <c r="I308" s="105" t="s">
        <v>1449</v>
      </c>
      <c r="J308" s="157" t="s">
        <v>2593</v>
      </c>
      <c r="K308" s="34" t="s">
        <v>2594</v>
      </c>
      <c r="L308" s="5">
        <f>IF(O308="","",N308*O308*M308)</f>
        <v>99</v>
      </c>
      <c r="M308" s="8">
        <v>1</v>
      </c>
      <c r="N308" s="1">
        <v>1</v>
      </c>
      <c r="O308" s="15">
        <f>IF(SUM(Q308:AF308)&lt;1,"",SUM(Q308:AF308)/COUNTIF(Q308:AF308,"&gt;0"))</f>
        <v>99</v>
      </c>
      <c r="P308" s="16"/>
      <c r="Q308" s="13"/>
      <c r="R308" s="4"/>
      <c r="S308" s="4"/>
      <c r="T308" s="4">
        <v>99</v>
      </c>
      <c r="U308" s="2"/>
      <c r="V308" s="2"/>
      <c r="W308" s="2"/>
      <c r="X308" s="2"/>
      <c r="Y308" s="4"/>
      <c r="Z308" s="2"/>
      <c r="AA308" s="2"/>
      <c r="AB308" s="4"/>
      <c r="AC308" s="4"/>
      <c r="AD308" s="4"/>
      <c r="AE308" s="4"/>
      <c r="AF308" s="14"/>
    </row>
    <row r="309" spans="1:33" s="2" customFormat="1" ht="15.75" customHeight="1" x14ac:dyDescent="0.25">
      <c r="A309" s="33" t="str">
        <f>CONCATENATE(D309,".",F309,"-",G309,".",H309,"")</f>
        <v>1.4-1.1</v>
      </c>
      <c r="B309" s="33"/>
      <c r="C309" s="39" t="s">
        <v>335</v>
      </c>
      <c r="D309" s="33">
        <f>IF(C309="ID",1,(IF(C309="PR",2,(IF(C309="DE",3,(IF(C309="RS",4,(IF(C309="RC",5,0)))))))))</f>
        <v>1</v>
      </c>
      <c r="E309" s="33" t="s">
        <v>261</v>
      </c>
      <c r="F309" s="33">
        <f>IF(E309="AM",1,(IF(E309="BE",2,(IF(E309="GV",3,(IF(E309="RA",4,(IF(E309="RM",5,(IF(E309="AC",1,(IF(E309="AT",2,(IF(E309="DS",3,(IF(E309="IP",4,(IF(E309="MA",5,(IF(E309="PT",6,(IF(E309="AE",1,(IF(E309="CM",2,(IF(E309="DP",3,(IF(E309="AN",1,(IF(E309="CO",2,(IF(E309="IM",3,(IF(E309="MI",4,(IF(E309="RP",5,(IF(E309="SC",6,0)))))))))))))))))))))))))))))))))))))))</f>
        <v>4</v>
      </c>
      <c r="G309" s="170">
        <v>1</v>
      </c>
      <c r="H309" s="38" t="s">
        <v>511</v>
      </c>
      <c r="I309" s="105" t="s">
        <v>1449</v>
      </c>
      <c r="J309" s="157" t="s">
        <v>2595</v>
      </c>
      <c r="K309" s="34" t="s">
        <v>2596</v>
      </c>
      <c r="L309" s="5">
        <f>IF(O309="","",N309*O309*M309)</f>
        <v>99</v>
      </c>
      <c r="M309" s="8">
        <v>1</v>
      </c>
      <c r="N309" s="1">
        <v>1</v>
      </c>
      <c r="O309" s="15">
        <f>IF(SUM(Q309:AF309)&lt;1,"",SUM(Q309:AF309)/COUNTIF(Q309:AF309,"&gt;0"))</f>
        <v>99</v>
      </c>
      <c r="P309" s="16"/>
      <c r="Q309" s="13"/>
      <c r="R309" s="4"/>
      <c r="S309" s="4"/>
      <c r="T309" s="4">
        <v>99</v>
      </c>
      <c r="Y309" s="4"/>
      <c r="AB309" s="4"/>
      <c r="AC309" s="4"/>
      <c r="AD309" s="4"/>
      <c r="AE309" s="4"/>
      <c r="AF309" s="14"/>
    </row>
    <row r="310" spans="1:33" s="2" customFormat="1" ht="15.75" customHeight="1" x14ac:dyDescent="0.25">
      <c r="A310" s="33" t="str">
        <f>CONCATENATE(D310,".",F310,"-",G310,".",H310,"")</f>
        <v>1.4-1.1</v>
      </c>
      <c r="B310" s="33"/>
      <c r="C310" s="39" t="s">
        <v>335</v>
      </c>
      <c r="D310" s="33">
        <f>IF(C310="ID",1,(IF(C310="PR",2,(IF(C310="DE",3,(IF(C310="RS",4,(IF(C310="RC",5,0)))))))))</f>
        <v>1</v>
      </c>
      <c r="E310" s="33" t="s">
        <v>261</v>
      </c>
      <c r="F310" s="33">
        <f>IF(E310="AM",1,(IF(E310="BE",2,(IF(E310="GV",3,(IF(E310="RA",4,(IF(E310="RM",5,(IF(E310="AC",1,(IF(E310="AT",2,(IF(E310="DS",3,(IF(E310="IP",4,(IF(E310="MA",5,(IF(E310="PT",6,(IF(E310="AE",1,(IF(E310="CM",2,(IF(E310="DP",3,(IF(E310="AN",1,(IF(E310="CO",2,(IF(E310="IM",3,(IF(E310="MI",4,(IF(E310="RP",5,(IF(E310="SC",6,0)))))))))))))))))))))))))))))))))))))))</f>
        <v>4</v>
      </c>
      <c r="G310" s="170">
        <v>1</v>
      </c>
      <c r="H310" s="38" t="s">
        <v>511</v>
      </c>
      <c r="I310" s="105" t="s">
        <v>1449</v>
      </c>
      <c r="J310" s="157" t="s">
        <v>2597</v>
      </c>
      <c r="K310" s="34" t="s">
        <v>2598</v>
      </c>
      <c r="L310" s="5">
        <f>IF(O310="","",N310*O310*M310)</f>
        <v>99</v>
      </c>
      <c r="M310" s="8">
        <v>1</v>
      </c>
      <c r="N310" s="1">
        <v>1</v>
      </c>
      <c r="O310" s="15">
        <f>IF(SUM(Q310:AF310)&lt;1,"",SUM(Q310:AF310)/COUNTIF(Q310:AF310,"&gt;0"))</f>
        <v>99</v>
      </c>
      <c r="P310" s="16"/>
      <c r="Q310" s="13"/>
      <c r="R310" s="4"/>
      <c r="S310" s="4"/>
      <c r="T310" s="4">
        <v>99</v>
      </c>
      <c r="Y310" s="4"/>
      <c r="AB310" s="4"/>
      <c r="AC310" s="4"/>
      <c r="AD310" s="4"/>
      <c r="AE310" s="4"/>
      <c r="AF310" s="14"/>
    </row>
    <row r="311" spans="1:33" s="2" customFormat="1" ht="15.75" customHeight="1" x14ac:dyDescent="0.25">
      <c r="A311" s="33" t="str">
        <f>CONCATENATE(D311,".",F311,"-",G311,".",H311,"")</f>
        <v>1.4-1.1</v>
      </c>
      <c r="B311" s="33"/>
      <c r="C311" s="39" t="s">
        <v>335</v>
      </c>
      <c r="D311" s="33">
        <f>IF(C311="ID",1,(IF(C311="PR",2,(IF(C311="DE",3,(IF(C311="RS",4,(IF(C311="RC",5,0)))))))))</f>
        <v>1</v>
      </c>
      <c r="E311" s="33" t="s">
        <v>261</v>
      </c>
      <c r="F311" s="33">
        <f>IF(E311="AM",1,(IF(E311="BE",2,(IF(E311="GV",3,(IF(E311="RA",4,(IF(E311="RM",5,(IF(E311="AC",1,(IF(E311="AT",2,(IF(E311="DS",3,(IF(E311="IP",4,(IF(E311="MA",5,(IF(E311="PT",6,(IF(E311="AE",1,(IF(E311="CM",2,(IF(E311="DP",3,(IF(E311="AN",1,(IF(E311="CO",2,(IF(E311="IM",3,(IF(E311="MI",4,(IF(E311="RP",5,(IF(E311="SC",6,0)))))))))))))))))))))))))))))))))))))))</f>
        <v>4</v>
      </c>
      <c r="G311" s="170">
        <v>1</v>
      </c>
      <c r="H311" s="38" t="s">
        <v>511</v>
      </c>
      <c r="I311" s="105" t="s">
        <v>1449</v>
      </c>
      <c r="J311" s="157" t="s">
        <v>2599</v>
      </c>
      <c r="K311" s="34" t="s">
        <v>2600</v>
      </c>
      <c r="L311" s="5">
        <f>IF(O311="","",N311*O311*M311)</f>
        <v>99</v>
      </c>
      <c r="M311" s="8">
        <v>1</v>
      </c>
      <c r="N311" s="1">
        <v>1</v>
      </c>
      <c r="O311" s="15">
        <f>IF(SUM(Q311:AF311)&lt;1,"",SUM(Q311:AF311)/COUNTIF(Q311:AF311,"&gt;0"))</f>
        <v>99</v>
      </c>
      <c r="P311" s="16"/>
      <c r="Q311" s="13"/>
      <c r="R311" s="4"/>
      <c r="S311" s="4"/>
      <c r="T311" s="4">
        <v>99</v>
      </c>
      <c r="Y311" s="4"/>
      <c r="AB311" s="4"/>
      <c r="AC311" s="4"/>
      <c r="AD311" s="4"/>
      <c r="AE311" s="4"/>
      <c r="AF311" s="14"/>
    </row>
    <row r="312" spans="1:33" s="2" customFormat="1" ht="15.75" customHeight="1" x14ac:dyDescent="0.25">
      <c r="A312" s="33" t="str">
        <f>CONCATENATE(D312,".",F312,"-",G312,".",H312,"")</f>
        <v>1.4-1.1</v>
      </c>
      <c r="B312" s="33" t="s">
        <v>814</v>
      </c>
      <c r="C312" s="39" t="s">
        <v>335</v>
      </c>
      <c r="D312" s="33">
        <f>IF(C312="ID",1,(IF(C312="PR",2,(IF(C312="DE",3,(IF(C312="RS",4,(IF(C312="RC",5,0)))))))))</f>
        <v>1</v>
      </c>
      <c r="E312" s="33" t="s">
        <v>261</v>
      </c>
      <c r="F312" s="33">
        <f>IF(E312="AM",1,(IF(E312="BE",2,(IF(E312="GV",3,(IF(E312="RA",4,(IF(E312="RM",5,(IF(E312="AC",1,(IF(E312="AT",2,(IF(E312="DS",3,(IF(E312="IP",4,(IF(E312="MA",5,(IF(E312="PT",6,(IF(E312="AE",1,(IF(E312="CM",2,(IF(E312="DP",3,(IF(E312="AN",1,(IF(E312="CO",2,(IF(E312="IM",3,(IF(E312="MI",4,(IF(E312="RP",5,(IF(E312="SC",6,0)))))))))))))))))))))))))))))))))))))))</f>
        <v>4</v>
      </c>
      <c r="G312" s="170">
        <v>1</v>
      </c>
      <c r="H312" s="38" t="s">
        <v>511</v>
      </c>
      <c r="I312" s="105" t="s">
        <v>1449</v>
      </c>
      <c r="J312" s="157" t="s">
        <v>2623</v>
      </c>
      <c r="K312" s="34" t="s">
        <v>2624</v>
      </c>
      <c r="L312" s="5">
        <f>IF(O312="","",N312*O312*M312)</f>
        <v>99</v>
      </c>
      <c r="M312" s="8">
        <v>1</v>
      </c>
      <c r="N312" s="1">
        <v>1</v>
      </c>
      <c r="O312" s="15">
        <f>IF(SUM(Q312:AF312)&lt;1,"",SUM(Q312:AF312)/COUNTIF(Q312:AF312,"&gt;0"))</f>
        <v>99</v>
      </c>
      <c r="P312" s="16"/>
      <c r="Q312" s="13"/>
      <c r="R312" s="4"/>
      <c r="S312" s="4"/>
      <c r="T312" s="4">
        <v>99</v>
      </c>
      <c r="Y312" s="4"/>
      <c r="AB312" s="4"/>
      <c r="AC312" s="4"/>
      <c r="AD312" s="4"/>
      <c r="AE312" s="4"/>
      <c r="AF312" s="14"/>
    </row>
    <row r="313" spans="1:33" s="2" customFormat="1" ht="15.75" customHeight="1" x14ac:dyDescent="0.25">
      <c r="A313" s="33" t="str">
        <f>CONCATENATE(D313,".",F313,"-",G313,".",H313,"")</f>
        <v>1.4-1.1</v>
      </c>
      <c r="B313" s="33"/>
      <c r="C313" s="39" t="s">
        <v>335</v>
      </c>
      <c r="D313" s="33">
        <f>IF(C313="ID",1,(IF(C313="PR",2,(IF(C313="DE",3,(IF(C313="RS",4,(IF(C313="RC",5,0)))))))))</f>
        <v>1</v>
      </c>
      <c r="E313" s="33" t="s">
        <v>261</v>
      </c>
      <c r="F313" s="33">
        <f>IF(E313="AM",1,(IF(E313="BE",2,(IF(E313="GV",3,(IF(E313="RA",4,(IF(E313="RM",5,(IF(E313="AC",1,(IF(E313="AT",2,(IF(E313="DS",3,(IF(E313="IP",4,(IF(E313="MA",5,(IF(E313="PT",6,(IF(E313="AE",1,(IF(E313="CM",2,(IF(E313="DP",3,(IF(E313="AN",1,(IF(E313="CO",2,(IF(E313="IM",3,(IF(E313="MI",4,(IF(E313="RP",5,(IF(E313="SC",6,0)))))))))))))))))))))))))))))))))))))))</f>
        <v>4</v>
      </c>
      <c r="G313" s="170">
        <v>1</v>
      </c>
      <c r="H313" s="38" t="s">
        <v>511</v>
      </c>
      <c r="I313" s="105" t="s">
        <v>1449</v>
      </c>
      <c r="J313" s="157" t="s">
        <v>2725</v>
      </c>
      <c r="K313" s="34" t="s">
        <v>2726</v>
      </c>
      <c r="L313" s="5">
        <f>IF(O313="","",N313*O313*M313)</f>
        <v>99</v>
      </c>
      <c r="M313" s="8">
        <v>1</v>
      </c>
      <c r="N313" s="1">
        <v>1</v>
      </c>
      <c r="O313" s="15">
        <f>IF(SUM(Q313:AF313)&lt;1,"",SUM(Q313:AF313)/COUNTIF(Q313:AF313,"&gt;0"))</f>
        <v>99</v>
      </c>
      <c r="P313" s="16"/>
      <c r="Q313" s="13"/>
      <c r="R313" s="4"/>
      <c r="S313" s="4"/>
      <c r="T313" s="4">
        <v>99</v>
      </c>
      <c r="Y313" s="4"/>
      <c r="AB313" s="4"/>
      <c r="AC313" s="4"/>
      <c r="AD313" s="4"/>
      <c r="AE313" s="4"/>
      <c r="AF313" s="14"/>
    </row>
    <row r="314" spans="1:33" s="2" customFormat="1" ht="15.75" customHeight="1" x14ac:dyDescent="0.25">
      <c r="A314" s="33" t="str">
        <f>CONCATENATE(D314,".",F314,"-",G314,".",H314,"")</f>
        <v>1.4-1.1</v>
      </c>
      <c r="B314" s="33"/>
      <c r="C314" s="39" t="s">
        <v>335</v>
      </c>
      <c r="D314" s="33">
        <f>IF(C314="ID",1,(IF(C314="PR",2,(IF(C314="DE",3,(IF(C314="RS",4,(IF(C314="RC",5,0)))))))))</f>
        <v>1</v>
      </c>
      <c r="E314" s="33" t="s">
        <v>261</v>
      </c>
      <c r="F314" s="33">
        <f>IF(E314="AM",1,(IF(E314="BE",2,(IF(E314="GV",3,(IF(E314="RA",4,(IF(E314="RM",5,(IF(E314="AC",1,(IF(E314="AT",2,(IF(E314="DS",3,(IF(E314="IP",4,(IF(E314="MA",5,(IF(E314="PT",6,(IF(E314="AE",1,(IF(E314="CM",2,(IF(E314="DP",3,(IF(E314="AN",1,(IF(E314="CO",2,(IF(E314="IM",3,(IF(E314="MI",4,(IF(E314="RP",5,(IF(E314="SC",6,0)))))))))))))))))))))))))))))))))))))))</f>
        <v>4</v>
      </c>
      <c r="G314" s="170">
        <v>1</v>
      </c>
      <c r="H314" s="38" t="s">
        <v>511</v>
      </c>
      <c r="I314" s="105" t="s">
        <v>1449</v>
      </c>
      <c r="J314" s="157" t="s">
        <v>3021</v>
      </c>
      <c r="K314" s="34" t="s">
        <v>3022</v>
      </c>
      <c r="L314" s="5">
        <f>IF(O314="","",N314*O314*M314)</f>
        <v>99</v>
      </c>
      <c r="M314" s="8">
        <v>1</v>
      </c>
      <c r="N314" s="1">
        <v>1</v>
      </c>
      <c r="O314" s="15">
        <f>IF(SUM(Q314:AF314)&lt;1,"",SUM(Q314:AF314)/COUNTIF(Q314:AF314,"&gt;0"))</f>
        <v>99</v>
      </c>
      <c r="P314" s="16"/>
      <c r="Q314" s="13"/>
      <c r="R314" s="4"/>
      <c r="S314" s="4"/>
      <c r="T314" s="4">
        <v>99</v>
      </c>
      <c r="Y314" s="4"/>
      <c r="AB314" s="4"/>
      <c r="AC314" s="4"/>
      <c r="AD314" s="4"/>
      <c r="AE314" s="4"/>
      <c r="AF314" s="14"/>
    </row>
    <row r="315" spans="1:33" s="2" customFormat="1" ht="15.75" customHeight="1" x14ac:dyDescent="0.25">
      <c r="A315" s="33" t="str">
        <f>CONCATENATE(D315,".",F315,"-",G315,".",H315,"")</f>
        <v>1.4-1.1</v>
      </c>
      <c r="B315" s="33"/>
      <c r="C315" s="39" t="s">
        <v>335</v>
      </c>
      <c r="D315" s="33">
        <f>IF(C315="ID",1,(IF(C315="PR",2,(IF(C315="DE",3,(IF(C315="RS",4,(IF(C315="RC",5,0)))))))))</f>
        <v>1</v>
      </c>
      <c r="E315" s="33" t="s">
        <v>261</v>
      </c>
      <c r="F315" s="33">
        <f>IF(E315="AM",1,(IF(E315="BE",2,(IF(E315="GV",3,(IF(E315="RA",4,(IF(E315="RM",5,(IF(E315="AC",1,(IF(E315="AT",2,(IF(E315="DS",3,(IF(E315="IP",4,(IF(E315="MA",5,(IF(E315="PT",6,(IF(E315="AE",1,(IF(E315="CM",2,(IF(E315="DP",3,(IF(E315="AN",1,(IF(E315="CO",2,(IF(E315="IM",3,(IF(E315="MI",4,(IF(E315="RP",5,(IF(E315="SC",6,0)))))))))))))))))))))))))))))))))))))))</f>
        <v>4</v>
      </c>
      <c r="G315" s="170">
        <v>1</v>
      </c>
      <c r="H315" s="38" t="s">
        <v>511</v>
      </c>
      <c r="I315" s="105" t="s">
        <v>1449</v>
      </c>
      <c r="J315" s="157" t="s">
        <v>3023</v>
      </c>
      <c r="K315" s="34" t="s">
        <v>3024</v>
      </c>
      <c r="L315" s="5">
        <f>IF(O315="","",N315*O315*M315)</f>
        <v>99</v>
      </c>
      <c r="M315" s="8">
        <v>1</v>
      </c>
      <c r="N315" s="1">
        <v>1</v>
      </c>
      <c r="O315" s="15">
        <f>IF(SUM(Q315:AF315)&lt;1,"",SUM(Q315:AF315)/COUNTIF(Q315:AF315,"&gt;0"))</f>
        <v>99</v>
      </c>
      <c r="P315" s="16"/>
      <c r="Q315" s="13"/>
      <c r="R315" s="4"/>
      <c r="S315" s="4"/>
      <c r="T315" s="4">
        <v>99</v>
      </c>
      <c r="Y315" s="4"/>
      <c r="AB315" s="4"/>
      <c r="AC315" s="4"/>
      <c r="AD315" s="4"/>
      <c r="AE315" s="4"/>
      <c r="AF315" s="14"/>
    </row>
    <row r="316" spans="1:33" s="2" customFormat="1" ht="15.75" customHeight="1" x14ac:dyDescent="0.25">
      <c r="A316" s="33" t="str">
        <f>CONCATENATE(D316,".",F316,"-",G316,".",H316,"")</f>
        <v>1.4-1.1</v>
      </c>
      <c r="B316" s="33"/>
      <c r="C316" s="39" t="s">
        <v>335</v>
      </c>
      <c r="D316" s="33">
        <f>IF(C316="ID",1,(IF(C316="PR",2,(IF(C316="DE",3,(IF(C316="RS",4,(IF(C316="RC",5,0)))))))))</f>
        <v>1</v>
      </c>
      <c r="E316" s="33" t="s">
        <v>261</v>
      </c>
      <c r="F316" s="33">
        <f>IF(E316="AM",1,(IF(E316="BE",2,(IF(E316="GV",3,(IF(E316="RA",4,(IF(E316="RM",5,(IF(E316="AC",1,(IF(E316="AT",2,(IF(E316="DS",3,(IF(E316="IP",4,(IF(E316="MA",5,(IF(E316="PT",6,(IF(E316="AE",1,(IF(E316="CM",2,(IF(E316="DP",3,(IF(E316="AN",1,(IF(E316="CO",2,(IF(E316="IM",3,(IF(E316="MI",4,(IF(E316="RP",5,(IF(E316="SC",6,0)))))))))))))))))))))))))))))))))))))))</f>
        <v>4</v>
      </c>
      <c r="G316" s="170">
        <v>1</v>
      </c>
      <c r="H316" s="38" t="s">
        <v>511</v>
      </c>
      <c r="I316" s="105" t="s">
        <v>1449</v>
      </c>
      <c r="J316" s="157" t="s">
        <v>3025</v>
      </c>
      <c r="K316" s="34" t="s">
        <v>3026</v>
      </c>
      <c r="L316" s="5">
        <f>IF(O316="","",N316*O316*M316)</f>
        <v>99</v>
      </c>
      <c r="M316" s="8">
        <v>1</v>
      </c>
      <c r="N316" s="1">
        <v>1</v>
      </c>
      <c r="O316" s="15">
        <f>IF(SUM(Q316:AF316)&lt;1,"",SUM(Q316:AF316)/COUNTIF(Q316:AF316,"&gt;0"))</f>
        <v>99</v>
      </c>
      <c r="P316" s="16"/>
      <c r="Q316" s="13"/>
      <c r="R316" s="4"/>
      <c r="S316" s="4"/>
      <c r="T316" s="4">
        <v>99</v>
      </c>
      <c r="Y316" s="4"/>
      <c r="AB316" s="4"/>
      <c r="AC316" s="4"/>
      <c r="AD316" s="4"/>
      <c r="AE316" s="4"/>
      <c r="AF316" s="14"/>
    </row>
    <row r="317" spans="1:33" s="2" customFormat="1" ht="15.75" customHeight="1" x14ac:dyDescent="0.25">
      <c r="A317" s="33" t="str">
        <f>CONCATENATE(D317,".",F317,"-",G317,".",H317,"")</f>
        <v>1.4-1.1</v>
      </c>
      <c r="B317" s="33"/>
      <c r="C317" s="39" t="s">
        <v>335</v>
      </c>
      <c r="D317" s="33">
        <f>IF(C317="ID",1,(IF(C317="PR",2,(IF(C317="DE",3,(IF(C317="RS",4,(IF(C317="RC",5,0)))))))))</f>
        <v>1</v>
      </c>
      <c r="E317" s="33" t="s">
        <v>261</v>
      </c>
      <c r="F317" s="33">
        <f>IF(E317="AM",1,(IF(E317="BE",2,(IF(E317="GV",3,(IF(E317="RA",4,(IF(E317="RM",5,(IF(E317="AC",1,(IF(E317="AT",2,(IF(E317="DS",3,(IF(E317="IP",4,(IF(E317="MA",5,(IF(E317="PT",6,(IF(E317="AE",1,(IF(E317="CM",2,(IF(E317="DP",3,(IF(E317="AN",1,(IF(E317="CO",2,(IF(E317="IM",3,(IF(E317="MI",4,(IF(E317="RP",5,(IF(E317="SC",6,0)))))))))))))))))))))))))))))))))))))))</f>
        <v>4</v>
      </c>
      <c r="G317" s="170">
        <v>1</v>
      </c>
      <c r="H317" s="38" t="s">
        <v>511</v>
      </c>
      <c r="I317" s="105" t="s">
        <v>1449</v>
      </c>
      <c r="J317" s="157" t="s">
        <v>3027</v>
      </c>
      <c r="K317" s="34" t="s">
        <v>3028</v>
      </c>
      <c r="L317" s="5">
        <f>IF(O317="","",N317*O317*M317)</f>
        <v>99</v>
      </c>
      <c r="M317" s="8">
        <v>1</v>
      </c>
      <c r="N317" s="1">
        <v>1</v>
      </c>
      <c r="O317" s="15">
        <f>IF(SUM(Q317:AF317)&lt;1,"",SUM(Q317:AF317)/COUNTIF(Q317:AF317,"&gt;0"))</f>
        <v>99</v>
      </c>
      <c r="P317" s="16"/>
      <c r="Q317" s="13"/>
      <c r="R317" s="4"/>
      <c r="S317" s="4"/>
      <c r="T317" s="4">
        <v>99</v>
      </c>
      <c r="Y317" s="4"/>
      <c r="AB317" s="4"/>
      <c r="AC317" s="4"/>
      <c r="AD317" s="4"/>
      <c r="AE317" s="4"/>
      <c r="AF317" s="14"/>
    </row>
    <row r="318" spans="1:33" s="2" customFormat="1" ht="15.75" customHeight="1" x14ac:dyDescent="0.25">
      <c r="A318" s="33" t="str">
        <f>CONCATENATE(D318,".",F318,"-",G318,".",H318,"")</f>
        <v>1.4-1.1</v>
      </c>
      <c r="B318" s="33"/>
      <c r="C318" s="39" t="s">
        <v>335</v>
      </c>
      <c r="D318" s="33">
        <f>IF(C318="ID",1,(IF(C318="PR",2,(IF(C318="DE",3,(IF(C318="RS",4,(IF(C318="RC",5,0)))))))))</f>
        <v>1</v>
      </c>
      <c r="E318" s="33" t="s">
        <v>261</v>
      </c>
      <c r="F318" s="33">
        <f>IF(E318="AM",1,(IF(E318="BE",2,(IF(E318="GV",3,(IF(E318="RA",4,(IF(E318="RM",5,(IF(E318="AC",1,(IF(E318="AT",2,(IF(E318="DS",3,(IF(E318="IP",4,(IF(E318="MA",5,(IF(E318="PT",6,(IF(E318="AE",1,(IF(E318="CM",2,(IF(E318="DP",3,(IF(E318="AN",1,(IF(E318="CO",2,(IF(E318="IM",3,(IF(E318="MI",4,(IF(E318="RP",5,(IF(E318="SC",6,0)))))))))))))))))))))))))))))))))))))))</f>
        <v>4</v>
      </c>
      <c r="G318" s="170">
        <v>1</v>
      </c>
      <c r="H318" s="38" t="s">
        <v>511</v>
      </c>
      <c r="I318" s="105" t="s">
        <v>1449</v>
      </c>
      <c r="J318" s="157" t="s">
        <v>3029</v>
      </c>
      <c r="K318" s="34" t="s">
        <v>3030</v>
      </c>
      <c r="L318" s="5">
        <f>IF(O318="","",N318*O318*M318)</f>
        <v>99</v>
      </c>
      <c r="M318" s="8">
        <v>1</v>
      </c>
      <c r="N318" s="1">
        <v>1</v>
      </c>
      <c r="O318" s="15">
        <f>IF(SUM(Q318:AF318)&lt;1,"",SUM(Q318:AF318)/COUNTIF(Q318:AF318,"&gt;0"))</f>
        <v>99</v>
      </c>
      <c r="P318" s="16"/>
      <c r="Q318" s="13"/>
      <c r="R318" s="4"/>
      <c r="S318" s="4"/>
      <c r="T318" s="4">
        <v>99</v>
      </c>
      <c r="Y318" s="4"/>
      <c r="AB318" s="4"/>
      <c r="AC318" s="4"/>
      <c r="AD318" s="4"/>
      <c r="AE318" s="4"/>
      <c r="AF318" s="4"/>
      <c r="AG318" s="13"/>
    </row>
    <row r="319" spans="1:33" s="2" customFormat="1" ht="15.75" customHeight="1" x14ac:dyDescent="0.25">
      <c r="A319" s="33" t="str">
        <f>CONCATENATE(D319,".",F319,"-",G319,".",H319,"")</f>
        <v>1.4-1.1</v>
      </c>
      <c r="B319" s="33"/>
      <c r="C319" s="39" t="s">
        <v>335</v>
      </c>
      <c r="D319" s="33">
        <f>IF(C319="ID",1,(IF(C319="PR",2,(IF(C319="DE",3,(IF(C319="RS",4,(IF(C319="RC",5,0)))))))))</f>
        <v>1</v>
      </c>
      <c r="E319" s="33" t="s">
        <v>261</v>
      </c>
      <c r="F319" s="33">
        <f>IF(E319="AM",1,(IF(E319="BE",2,(IF(E319="GV",3,(IF(E319="RA",4,(IF(E319="RM",5,(IF(E319="AC",1,(IF(E319="AT",2,(IF(E319="DS",3,(IF(E319="IP",4,(IF(E319="MA",5,(IF(E319="PT",6,(IF(E319="AE",1,(IF(E319="CM",2,(IF(E319="DP",3,(IF(E319="AN",1,(IF(E319="CO",2,(IF(E319="IM",3,(IF(E319="MI",4,(IF(E319="RP",5,(IF(E319="SC",6,0)))))))))))))))))))))))))))))))))))))))</f>
        <v>4</v>
      </c>
      <c r="G319" s="170">
        <v>1</v>
      </c>
      <c r="H319" s="38" t="s">
        <v>511</v>
      </c>
      <c r="I319" s="105" t="s">
        <v>1449</v>
      </c>
      <c r="J319" s="157" t="s">
        <v>3031</v>
      </c>
      <c r="K319" s="34" t="s">
        <v>3032</v>
      </c>
      <c r="L319" s="5">
        <f>IF(O319="","",N319*O319*M319)</f>
        <v>99</v>
      </c>
      <c r="M319" s="8">
        <v>1</v>
      </c>
      <c r="N319" s="1">
        <v>1</v>
      </c>
      <c r="O319" s="15">
        <f>IF(SUM(Q319:AF319)&lt;1,"",SUM(Q319:AF319)/COUNTIF(Q319:AF319,"&gt;0"))</f>
        <v>99</v>
      </c>
      <c r="P319" s="16"/>
      <c r="Q319" s="13"/>
      <c r="R319" s="4"/>
      <c r="S319" s="4"/>
      <c r="T319" s="4">
        <v>99</v>
      </c>
      <c r="Y319" s="4"/>
      <c r="AB319" s="4"/>
      <c r="AC319" s="4"/>
      <c r="AD319" s="4"/>
      <c r="AE319" s="4"/>
      <c r="AF319" s="14"/>
    </row>
    <row r="320" spans="1:33" s="2" customFormat="1" ht="15.75" customHeight="1" x14ac:dyDescent="0.25">
      <c r="A320" s="33" t="str">
        <f>CONCATENATE(D320,".",F320,"-",G320,".",H320,"")</f>
        <v>1.4-1.1</v>
      </c>
      <c r="B320" s="33"/>
      <c r="C320" s="39" t="s">
        <v>335</v>
      </c>
      <c r="D320" s="33">
        <f>IF(C320="ID",1,(IF(C320="PR",2,(IF(C320="DE",3,(IF(C320="RS",4,(IF(C320="RC",5,0)))))))))</f>
        <v>1</v>
      </c>
      <c r="E320" s="33" t="s">
        <v>261</v>
      </c>
      <c r="F320" s="33">
        <f>IF(E320="AM",1,(IF(E320="BE",2,(IF(E320="GV",3,(IF(E320="RA",4,(IF(E320="RM",5,(IF(E320="AC",1,(IF(E320="AT",2,(IF(E320="DS",3,(IF(E320="IP",4,(IF(E320="MA",5,(IF(E320="PT",6,(IF(E320="AE",1,(IF(E320="CM",2,(IF(E320="DP",3,(IF(E320="AN",1,(IF(E320="CO",2,(IF(E320="IM",3,(IF(E320="MI",4,(IF(E320="RP",5,(IF(E320="SC",6,0)))))))))))))))))))))))))))))))))))))))</f>
        <v>4</v>
      </c>
      <c r="G320" s="170">
        <v>1</v>
      </c>
      <c r="H320" s="38" t="s">
        <v>511</v>
      </c>
      <c r="I320" s="105" t="s">
        <v>1449</v>
      </c>
      <c r="J320" s="157" t="s">
        <v>3051</v>
      </c>
      <c r="K320" s="34" t="s">
        <v>3052</v>
      </c>
      <c r="L320" s="5">
        <f>IF(O320="","",N320*O320*M320)</f>
        <v>99</v>
      </c>
      <c r="M320" s="8">
        <v>1</v>
      </c>
      <c r="N320" s="1">
        <v>1</v>
      </c>
      <c r="O320" s="15">
        <f>IF(SUM(Q320:AF320)&lt;1,"",SUM(Q320:AF320)/COUNTIF(Q320:AF320,"&gt;0"))</f>
        <v>99</v>
      </c>
      <c r="P320" s="16"/>
      <c r="Q320" s="13"/>
      <c r="R320" s="4"/>
      <c r="S320" s="4"/>
      <c r="T320" s="4">
        <v>99</v>
      </c>
      <c r="Y320" s="4"/>
      <c r="AB320" s="4"/>
      <c r="AC320" s="4"/>
      <c r="AD320" s="4"/>
      <c r="AE320" s="4"/>
      <c r="AF320" s="14"/>
    </row>
    <row r="321" spans="1:32" s="2" customFormat="1" ht="15.75" customHeight="1" x14ac:dyDescent="0.25">
      <c r="A321" s="33" t="str">
        <f>CONCATENATE(D321,".",F321,"-",G321,".",H321,"")</f>
        <v>1.4-1.1</v>
      </c>
      <c r="B321" s="33"/>
      <c r="C321" s="39" t="s">
        <v>335</v>
      </c>
      <c r="D321" s="33">
        <f>IF(C321="ID",1,(IF(C321="PR",2,(IF(C321="DE",3,(IF(C321="RS",4,(IF(C321="RC",5,0)))))))))</f>
        <v>1</v>
      </c>
      <c r="E321" s="33" t="s">
        <v>261</v>
      </c>
      <c r="F321" s="33">
        <f>IF(E321="AM",1,(IF(E321="BE",2,(IF(E321="GV",3,(IF(E321="RA",4,(IF(E321="RM",5,(IF(E321="AC",1,(IF(E321="AT",2,(IF(E321="DS",3,(IF(E321="IP",4,(IF(E321="MA",5,(IF(E321="PT",6,(IF(E321="AE",1,(IF(E321="CM",2,(IF(E321="DP",3,(IF(E321="AN",1,(IF(E321="CO",2,(IF(E321="IM",3,(IF(E321="MI",4,(IF(E321="RP",5,(IF(E321="SC",6,0)))))))))))))))))))))))))))))))))))))))</f>
        <v>4</v>
      </c>
      <c r="G321" s="170">
        <v>1</v>
      </c>
      <c r="H321" s="38" t="s">
        <v>511</v>
      </c>
      <c r="I321" s="105" t="s">
        <v>1449</v>
      </c>
      <c r="J321" s="157" t="s">
        <v>3053</v>
      </c>
      <c r="K321" s="34" t="s">
        <v>3054</v>
      </c>
      <c r="L321" s="5">
        <f>IF(O321="","",N321*O321*M321)</f>
        <v>99</v>
      </c>
      <c r="M321" s="8">
        <v>1</v>
      </c>
      <c r="N321" s="1">
        <v>1</v>
      </c>
      <c r="O321" s="15">
        <f>IF(SUM(Q321:AF321)&lt;1,"",SUM(Q321:AF321)/COUNTIF(Q321:AF321,"&gt;0"))</f>
        <v>99</v>
      </c>
      <c r="P321" s="16"/>
      <c r="Q321" s="13"/>
      <c r="R321" s="4"/>
      <c r="S321" s="4"/>
      <c r="T321" s="4">
        <v>99</v>
      </c>
      <c r="Y321" s="4"/>
      <c r="AB321" s="4"/>
      <c r="AC321" s="4"/>
      <c r="AD321" s="4"/>
      <c r="AE321" s="4"/>
      <c r="AF321" s="14"/>
    </row>
    <row r="322" spans="1:32" s="2" customFormat="1" ht="15.75" customHeight="1" x14ac:dyDescent="0.25">
      <c r="A322" s="33" t="str">
        <f>CONCATENATE(D322,".",F322,"-",G322,".",H322,"")</f>
        <v>1.4-1.1</v>
      </c>
      <c r="B322" s="33"/>
      <c r="C322" s="39" t="s">
        <v>335</v>
      </c>
      <c r="D322" s="33">
        <f>IF(C322="ID",1,(IF(C322="PR",2,(IF(C322="DE",3,(IF(C322="RS",4,(IF(C322="RC",5,0)))))))))</f>
        <v>1</v>
      </c>
      <c r="E322" s="33" t="s">
        <v>261</v>
      </c>
      <c r="F322" s="33">
        <f>IF(E322="AM",1,(IF(E322="BE",2,(IF(E322="GV",3,(IF(E322="RA",4,(IF(E322="RM",5,(IF(E322="AC",1,(IF(E322="AT",2,(IF(E322="DS",3,(IF(E322="IP",4,(IF(E322="MA",5,(IF(E322="PT",6,(IF(E322="AE",1,(IF(E322="CM",2,(IF(E322="DP",3,(IF(E322="AN",1,(IF(E322="CO",2,(IF(E322="IM",3,(IF(E322="MI",4,(IF(E322="RP",5,(IF(E322="SC",6,0)))))))))))))))))))))))))))))))))))))))</f>
        <v>4</v>
      </c>
      <c r="G322" s="170">
        <v>1</v>
      </c>
      <c r="H322" s="38" t="s">
        <v>511</v>
      </c>
      <c r="I322" s="105" t="s">
        <v>1449</v>
      </c>
      <c r="J322" s="157" t="s">
        <v>3055</v>
      </c>
      <c r="K322" s="34" t="s">
        <v>3056</v>
      </c>
      <c r="L322" s="5">
        <f>IF(O322="","",N322*O322*M322)</f>
        <v>99</v>
      </c>
      <c r="M322" s="8">
        <v>1</v>
      </c>
      <c r="N322" s="1">
        <v>1</v>
      </c>
      <c r="O322" s="15">
        <f>IF(SUM(Q322:AF322)&lt;1,"",SUM(Q322:AF322)/COUNTIF(Q322:AF322,"&gt;0"))</f>
        <v>99</v>
      </c>
      <c r="P322" s="16"/>
      <c r="Q322" s="13"/>
      <c r="R322" s="4"/>
      <c r="S322" s="4"/>
      <c r="T322" s="4">
        <v>99</v>
      </c>
      <c r="Y322" s="4"/>
      <c r="AB322" s="4"/>
      <c r="AC322" s="4"/>
      <c r="AD322" s="4"/>
      <c r="AE322" s="4"/>
      <c r="AF322" s="14"/>
    </row>
    <row r="323" spans="1:32" s="2" customFormat="1" ht="15.75" customHeight="1" x14ac:dyDescent="0.25">
      <c r="A323" s="33" t="str">
        <f>CONCATENATE(D323,".",F323,"-",G323,".",H323,"")</f>
        <v>1.4-1.1</v>
      </c>
      <c r="B323" s="33"/>
      <c r="C323" s="39" t="s">
        <v>335</v>
      </c>
      <c r="D323" s="33">
        <f>IF(C323="ID",1,(IF(C323="PR",2,(IF(C323="DE",3,(IF(C323="RS",4,(IF(C323="RC",5,0)))))))))</f>
        <v>1</v>
      </c>
      <c r="E323" s="33" t="s">
        <v>261</v>
      </c>
      <c r="F323" s="33">
        <f>IF(E323="AM",1,(IF(E323="BE",2,(IF(E323="GV",3,(IF(E323="RA",4,(IF(E323="RM",5,(IF(E323="AC",1,(IF(E323="AT",2,(IF(E323="DS",3,(IF(E323="IP",4,(IF(E323="MA",5,(IF(E323="PT",6,(IF(E323="AE",1,(IF(E323="CM",2,(IF(E323="DP",3,(IF(E323="AN",1,(IF(E323="CO",2,(IF(E323="IM",3,(IF(E323="MI",4,(IF(E323="RP",5,(IF(E323="SC",6,0)))))))))))))))))))))))))))))))))))))))</f>
        <v>4</v>
      </c>
      <c r="G323" s="170">
        <v>1</v>
      </c>
      <c r="H323" s="38" t="s">
        <v>511</v>
      </c>
      <c r="I323" s="105" t="s">
        <v>1449</v>
      </c>
      <c r="J323" s="157" t="s">
        <v>3057</v>
      </c>
      <c r="K323" s="34" t="s">
        <v>3058</v>
      </c>
      <c r="L323" s="5">
        <f>IF(O323="","",N323*O323*M323)</f>
        <v>99</v>
      </c>
      <c r="M323" s="8">
        <v>1</v>
      </c>
      <c r="N323" s="1">
        <v>1</v>
      </c>
      <c r="O323" s="15">
        <f>IF(SUM(Q323:AF323)&lt;1,"",SUM(Q323:AF323)/COUNTIF(Q323:AF323,"&gt;0"))</f>
        <v>99</v>
      </c>
      <c r="P323" s="16"/>
      <c r="Q323" s="13"/>
      <c r="R323" s="4"/>
      <c r="S323" s="4"/>
      <c r="T323" s="4">
        <v>99</v>
      </c>
      <c r="Y323" s="4"/>
      <c r="AB323" s="4"/>
      <c r="AC323" s="4"/>
      <c r="AD323" s="4"/>
      <c r="AE323" s="4"/>
      <c r="AF323" s="14"/>
    </row>
    <row r="324" spans="1:32" s="2" customFormat="1" ht="15.75" customHeight="1" x14ac:dyDescent="0.25">
      <c r="A324" s="33" t="str">
        <f>CONCATENATE(D324,".",F324,"-",G324,".",H324,"")</f>
        <v>1.4-1.1</v>
      </c>
      <c r="B324" s="33"/>
      <c r="C324" s="39" t="s">
        <v>335</v>
      </c>
      <c r="D324" s="33">
        <f>IF(C324="ID",1,(IF(C324="PR",2,(IF(C324="DE",3,(IF(C324="RS",4,(IF(C324="RC",5,0)))))))))</f>
        <v>1</v>
      </c>
      <c r="E324" s="33" t="s">
        <v>261</v>
      </c>
      <c r="F324" s="33">
        <f>IF(E324="AM",1,(IF(E324="BE",2,(IF(E324="GV",3,(IF(E324="RA",4,(IF(E324="RM",5,(IF(E324="AC",1,(IF(E324="AT",2,(IF(E324="DS",3,(IF(E324="IP",4,(IF(E324="MA",5,(IF(E324="PT",6,(IF(E324="AE",1,(IF(E324="CM",2,(IF(E324="DP",3,(IF(E324="AN",1,(IF(E324="CO",2,(IF(E324="IM",3,(IF(E324="MI",4,(IF(E324="RP",5,(IF(E324="SC",6,0)))))))))))))))))))))))))))))))))))))))</f>
        <v>4</v>
      </c>
      <c r="G324" s="170">
        <v>1</v>
      </c>
      <c r="H324" s="38" t="s">
        <v>511</v>
      </c>
      <c r="I324" s="105" t="s">
        <v>1449</v>
      </c>
      <c r="J324" s="157" t="s">
        <v>3059</v>
      </c>
      <c r="K324" s="34" t="s">
        <v>3060</v>
      </c>
      <c r="L324" s="5">
        <f>IF(O324="","",N324*O324*M324)</f>
        <v>99</v>
      </c>
      <c r="M324" s="8">
        <v>1</v>
      </c>
      <c r="N324" s="1">
        <v>1</v>
      </c>
      <c r="O324" s="15">
        <f>IF(SUM(Q324:AF324)&lt;1,"",SUM(Q324:AF324)/COUNTIF(Q324:AF324,"&gt;0"))</f>
        <v>99</v>
      </c>
      <c r="P324" s="16"/>
      <c r="Q324" s="13"/>
      <c r="R324" s="4"/>
      <c r="S324" s="4"/>
      <c r="T324" s="4">
        <v>99</v>
      </c>
      <c r="Y324" s="4"/>
      <c r="AB324" s="4"/>
      <c r="AC324" s="4"/>
      <c r="AD324" s="4"/>
      <c r="AE324" s="4"/>
      <c r="AF324" s="14"/>
    </row>
    <row r="325" spans="1:32" s="2" customFormat="1" ht="15.75" customHeight="1" x14ac:dyDescent="0.25">
      <c r="A325" s="33" t="str">
        <f>CONCATENATE(D325,".",F325,"-",G325,".",H325,"")</f>
        <v>1.4-1.1</v>
      </c>
      <c r="B325" s="33"/>
      <c r="C325" s="39" t="s">
        <v>335</v>
      </c>
      <c r="D325" s="33">
        <f>IF(C325="ID",1,(IF(C325="PR",2,(IF(C325="DE",3,(IF(C325="RS",4,(IF(C325="RC",5,0)))))))))</f>
        <v>1</v>
      </c>
      <c r="E325" s="33" t="s">
        <v>261</v>
      </c>
      <c r="F325" s="33">
        <f>IF(E325="AM",1,(IF(E325="BE",2,(IF(E325="GV",3,(IF(E325="RA",4,(IF(E325="RM",5,(IF(E325="AC",1,(IF(E325="AT",2,(IF(E325="DS",3,(IF(E325="IP",4,(IF(E325="MA",5,(IF(E325="PT",6,(IF(E325="AE",1,(IF(E325="CM",2,(IF(E325="DP",3,(IF(E325="AN",1,(IF(E325="CO",2,(IF(E325="IM",3,(IF(E325="MI",4,(IF(E325="RP",5,(IF(E325="SC",6,0)))))))))))))))))))))))))))))))))))))))</f>
        <v>4</v>
      </c>
      <c r="G325" s="170">
        <v>1</v>
      </c>
      <c r="H325" s="38" t="s">
        <v>511</v>
      </c>
      <c r="I325" s="105" t="s">
        <v>1449</v>
      </c>
      <c r="J325" s="157" t="s">
        <v>3061</v>
      </c>
      <c r="K325" s="34" t="s">
        <v>3062</v>
      </c>
      <c r="L325" s="5">
        <f>IF(O325="","",N325*O325*M325)</f>
        <v>99</v>
      </c>
      <c r="M325" s="8">
        <v>1</v>
      </c>
      <c r="N325" s="1">
        <v>1</v>
      </c>
      <c r="O325" s="15">
        <f>IF(SUM(Q325:AF325)&lt;1,"",SUM(Q325:AF325)/COUNTIF(Q325:AF325,"&gt;0"))</f>
        <v>99</v>
      </c>
      <c r="P325" s="16"/>
      <c r="Q325" s="13"/>
      <c r="R325" s="4"/>
      <c r="S325" s="4"/>
      <c r="T325" s="4">
        <v>99</v>
      </c>
      <c r="Y325" s="4"/>
      <c r="AB325" s="4"/>
      <c r="AC325" s="4"/>
      <c r="AD325" s="4"/>
      <c r="AE325" s="4"/>
      <c r="AF325" s="14"/>
    </row>
    <row r="326" spans="1:32" s="2" customFormat="1" ht="15.75" customHeight="1" x14ac:dyDescent="0.25">
      <c r="A326" s="33" t="str">
        <f>CONCATENATE(D326,".",F326,"-",G326,".",H326,"")</f>
        <v>1.4-1.1</v>
      </c>
      <c r="B326" s="33"/>
      <c r="C326" s="39" t="s">
        <v>335</v>
      </c>
      <c r="D326" s="33">
        <f>IF(C326="ID",1,(IF(C326="PR",2,(IF(C326="DE",3,(IF(C326="RS",4,(IF(C326="RC",5,0)))))))))</f>
        <v>1</v>
      </c>
      <c r="E326" s="33" t="s">
        <v>261</v>
      </c>
      <c r="F326" s="33">
        <f>IF(E326="AM",1,(IF(E326="BE",2,(IF(E326="GV",3,(IF(E326="RA",4,(IF(E326="RM",5,(IF(E326="AC",1,(IF(E326="AT",2,(IF(E326="DS",3,(IF(E326="IP",4,(IF(E326="MA",5,(IF(E326="PT",6,(IF(E326="AE",1,(IF(E326="CM",2,(IF(E326="DP",3,(IF(E326="AN",1,(IF(E326="CO",2,(IF(E326="IM",3,(IF(E326="MI",4,(IF(E326="RP",5,(IF(E326="SC",6,0)))))))))))))))))))))))))))))))))))))))</f>
        <v>4</v>
      </c>
      <c r="G326" s="170">
        <v>1</v>
      </c>
      <c r="H326" s="38" t="s">
        <v>511</v>
      </c>
      <c r="I326" s="105" t="s">
        <v>1449</v>
      </c>
      <c r="J326" s="157" t="s">
        <v>3063</v>
      </c>
      <c r="K326" s="34" t="s">
        <v>3064</v>
      </c>
      <c r="L326" s="5">
        <f>IF(O326="","",N326*O326*M326)</f>
        <v>99</v>
      </c>
      <c r="M326" s="8">
        <v>1</v>
      </c>
      <c r="N326" s="1">
        <v>1</v>
      </c>
      <c r="O326" s="15">
        <f>IF(SUM(Q326:AF326)&lt;1,"",SUM(Q326:AF326)/COUNTIF(Q326:AF326,"&gt;0"))</f>
        <v>99</v>
      </c>
      <c r="P326" s="16"/>
      <c r="Q326" s="13"/>
      <c r="R326" s="4"/>
      <c r="S326" s="4"/>
      <c r="T326" s="4">
        <v>99</v>
      </c>
      <c r="Y326" s="4"/>
      <c r="AB326" s="4"/>
      <c r="AC326" s="4"/>
      <c r="AD326" s="4"/>
      <c r="AE326" s="4"/>
      <c r="AF326" s="14"/>
    </row>
    <row r="327" spans="1:32" s="2" customFormat="1" ht="15.75" customHeight="1" x14ac:dyDescent="0.25">
      <c r="A327" s="33" t="str">
        <f>CONCATENATE(D327,".",F327,"-",G327,".",H327,"")</f>
        <v>1.4-1.1</v>
      </c>
      <c r="B327" s="33"/>
      <c r="C327" s="39" t="s">
        <v>335</v>
      </c>
      <c r="D327" s="33">
        <f>IF(C327="ID",1,(IF(C327="PR",2,(IF(C327="DE",3,(IF(C327="RS",4,(IF(C327="RC",5,0)))))))))</f>
        <v>1</v>
      </c>
      <c r="E327" s="33" t="s">
        <v>261</v>
      </c>
      <c r="F327" s="33">
        <f>IF(E327="AM",1,(IF(E327="BE",2,(IF(E327="GV",3,(IF(E327="RA",4,(IF(E327="RM",5,(IF(E327="AC",1,(IF(E327="AT",2,(IF(E327="DS",3,(IF(E327="IP",4,(IF(E327="MA",5,(IF(E327="PT",6,(IF(E327="AE",1,(IF(E327="CM",2,(IF(E327="DP",3,(IF(E327="AN",1,(IF(E327="CO",2,(IF(E327="IM",3,(IF(E327="MI",4,(IF(E327="RP",5,(IF(E327="SC",6,0)))))))))))))))))))))))))))))))))))))))</f>
        <v>4</v>
      </c>
      <c r="G327" s="170">
        <v>1</v>
      </c>
      <c r="H327" s="38" t="s">
        <v>511</v>
      </c>
      <c r="I327" s="105" t="s">
        <v>1449</v>
      </c>
      <c r="J327" s="157" t="s">
        <v>3065</v>
      </c>
      <c r="K327" s="34" t="s">
        <v>3066</v>
      </c>
      <c r="L327" s="5">
        <f>IF(O327="","",N327*O327*M327)</f>
        <v>99</v>
      </c>
      <c r="M327" s="8">
        <v>1</v>
      </c>
      <c r="N327" s="1">
        <v>1</v>
      </c>
      <c r="O327" s="15">
        <f>IF(SUM(Q327:AF327)&lt;1,"",SUM(Q327:AF327)/COUNTIF(Q327:AF327,"&gt;0"))</f>
        <v>99</v>
      </c>
      <c r="P327" s="16"/>
      <c r="Q327" s="13"/>
      <c r="R327" s="4"/>
      <c r="S327" s="4"/>
      <c r="T327" s="4">
        <v>99</v>
      </c>
      <c r="Y327" s="4"/>
      <c r="AB327" s="4"/>
      <c r="AC327" s="4"/>
      <c r="AD327" s="4"/>
      <c r="AE327" s="4"/>
      <c r="AF327" s="14"/>
    </row>
    <row r="328" spans="1:32" s="2" customFormat="1" ht="15.75" customHeight="1" x14ac:dyDescent="0.25">
      <c r="A328" s="33" t="str">
        <f>CONCATENATE(D328,".",F328,"-",G328,".",H328,"")</f>
        <v>1.4-1.1</v>
      </c>
      <c r="B328" s="33"/>
      <c r="C328" s="39" t="s">
        <v>335</v>
      </c>
      <c r="D328" s="33">
        <f>IF(C328="ID",1,(IF(C328="PR",2,(IF(C328="DE",3,(IF(C328="RS",4,(IF(C328="RC",5,0)))))))))</f>
        <v>1</v>
      </c>
      <c r="E328" s="33" t="s">
        <v>261</v>
      </c>
      <c r="F328" s="33">
        <f>IF(E328="AM",1,(IF(E328="BE",2,(IF(E328="GV",3,(IF(E328="RA",4,(IF(E328="RM",5,(IF(E328="AC",1,(IF(E328="AT",2,(IF(E328="DS",3,(IF(E328="IP",4,(IF(E328="MA",5,(IF(E328="PT",6,(IF(E328="AE",1,(IF(E328="CM",2,(IF(E328="DP",3,(IF(E328="AN",1,(IF(E328="CO",2,(IF(E328="IM",3,(IF(E328="MI",4,(IF(E328="RP",5,(IF(E328="SC",6,0)))))))))))))))))))))))))))))))))))))))</f>
        <v>4</v>
      </c>
      <c r="G328" s="170">
        <v>1</v>
      </c>
      <c r="H328" s="38" t="s">
        <v>511</v>
      </c>
      <c r="I328" s="105" t="s">
        <v>1449</v>
      </c>
      <c r="J328" s="157" t="s">
        <v>3067</v>
      </c>
      <c r="K328" s="34" t="s">
        <v>3068</v>
      </c>
      <c r="L328" s="5">
        <f>IF(O328="","",N328*O328*M328)</f>
        <v>99</v>
      </c>
      <c r="M328" s="8">
        <v>1</v>
      </c>
      <c r="N328" s="1">
        <v>1</v>
      </c>
      <c r="O328" s="15">
        <f>IF(SUM(Q328:AF328)&lt;1,"",SUM(Q328:AF328)/COUNTIF(Q328:AF328,"&gt;0"))</f>
        <v>99</v>
      </c>
      <c r="P328" s="16"/>
      <c r="Q328" s="13"/>
      <c r="R328" s="4"/>
      <c r="S328" s="4"/>
      <c r="T328" s="4">
        <v>99</v>
      </c>
      <c r="Y328" s="4"/>
      <c r="AB328" s="4"/>
      <c r="AC328" s="4"/>
      <c r="AD328" s="4"/>
      <c r="AE328" s="4"/>
      <c r="AF328" s="14"/>
    </row>
    <row r="329" spans="1:32" s="2" customFormat="1" ht="15.75" customHeight="1" x14ac:dyDescent="0.25">
      <c r="A329" s="33" t="str">
        <f>CONCATENATE(D329,".",F329,"-",G329,".",H329,"")</f>
        <v>1.4-1.1</v>
      </c>
      <c r="B329" s="33"/>
      <c r="C329" s="39" t="s">
        <v>335</v>
      </c>
      <c r="D329" s="33">
        <f>IF(C329="ID",1,(IF(C329="PR",2,(IF(C329="DE",3,(IF(C329="RS",4,(IF(C329="RC",5,0)))))))))</f>
        <v>1</v>
      </c>
      <c r="E329" s="33" t="s">
        <v>261</v>
      </c>
      <c r="F329" s="33">
        <f>IF(E329="AM",1,(IF(E329="BE",2,(IF(E329="GV",3,(IF(E329="RA",4,(IF(E329="RM",5,(IF(E329="AC",1,(IF(E329="AT",2,(IF(E329="DS",3,(IF(E329="IP",4,(IF(E329="MA",5,(IF(E329="PT",6,(IF(E329="AE",1,(IF(E329="CM",2,(IF(E329="DP",3,(IF(E329="AN",1,(IF(E329="CO",2,(IF(E329="IM",3,(IF(E329="MI",4,(IF(E329="RP",5,(IF(E329="SC",6,0)))))))))))))))))))))))))))))))))))))))</f>
        <v>4</v>
      </c>
      <c r="G329" s="170">
        <v>1</v>
      </c>
      <c r="H329" s="38" t="s">
        <v>511</v>
      </c>
      <c r="I329" s="105" t="s">
        <v>1449</v>
      </c>
      <c r="J329" s="157" t="s">
        <v>3069</v>
      </c>
      <c r="K329" s="34" t="s">
        <v>3070</v>
      </c>
      <c r="L329" s="5">
        <f>IF(O329="","",N329*O329*M329)</f>
        <v>99</v>
      </c>
      <c r="M329" s="8">
        <v>1</v>
      </c>
      <c r="N329" s="1">
        <v>1</v>
      </c>
      <c r="O329" s="15">
        <f>IF(SUM(Q329:AF329)&lt;1,"",SUM(Q329:AF329)/COUNTIF(Q329:AF329,"&gt;0"))</f>
        <v>99</v>
      </c>
      <c r="P329" s="16"/>
      <c r="Q329" s="13"/>
      <c r="R329" s="4"/>
      <c r="S329" s="4"/>
      <c r="T329" s="4">
        <v>99</v>
      </c>
      <c r="Y329" s="4"/>
      <c r="AB329" s="4"/>
      <c r="AC329" s="4"/>
      <c r="AD329" s="4"/>
      <c r="AE329" s="4"/>
      <c r="AF329" s="14"/>
    </row>
    <row r="330" spans="1:32" s="2" customFormat="1" ht="15.75" customHeight="1" x14ac:dyDescent="0.25">
      <c r="A330" s="33" t="str">
        <f>CONCATENATE(D330,".",F330,"-",G330,".",H330,"")</f>
        <v>1.4-1.1</v>
      </c>
      <c r="B330" s="33"/>
      <c r="C330" s="39" t="s">
        <v>335</v>
      </c>
      <c r="D330" s="33">
        <f>IF(C330="ID",1,(IF(C330="PR",2,(IF(C330="DE",3,(IF(C330="RS",4,(IF(C330="RC",5,0)))))))))</f>
        <v>1</v>
      </c>
      <c r="E330" s="33" t="s">
        <v>261</v>
      </c>
      <c r="F330" s="33">
        <f>IF(E330="AM",1,(IF(E330="BE",2,(IF(E330="GV",3,(IF(E330="RA",4,(IF(E330="RM",5,(IF(E330="AC",1,(IF(E330="AT",2,(IF(E330="DS",3,(IF(E330="IP",4,(IF(E330="MA",5,(IF(E330="PT",6,(IF(E330="AE",1,(IF(E330="CM",2,(IF(E330="DP",3,(IF(E330="AN",1,(IF(E330="CO",2,(IF(E330="IM",3,(IF(E330="MI",4,(IF(E330="RP",5,(IF(E330="SC",6,0)))))))))))))))))))))))))))))))))))))))</f>
        <v>4</v>
      </c>
      <c r="G330" s="170">
        <v>1</v>
      </c>
      <c r="H330" s="38" t="s">
        <v>511</v>
      </c>
      <c r="I330" s="105" t="s">
        <v>1449</v>
      </c>
      <c r="J330" s="157" t="s">
        <v>3071</v>
      </c>
      <c r="K330" s="34" t="s">
        <v>3072</v>
      </c>
      <c r="L330" s="5">
        <f>IF(O330="","",N330*O330*M330)</f>
        <v>99</v>
      </c>
      <c r="M330" s="8">
        <v>1</v>
      </c>
      <c r="N330" s="1">
        <v>1</v>
      </c>
      <c r="O330" s="15">
        <f>IF(SUM(Q330:AF330)&lt;1,"",SUM(Q330:AF330)/COUNTIF(Q330:AF330,"&gt;0"))</f>
        <v>99</v>
      </c>
      <c r="P330" s="16"/>
      <c r="Q330" s="13"/>
      <c r="R330" s="4"/>
      <c r="S330" s="4"/>
      <c r="T330" s="4">
        <v>99</v>
      </c>
      <c r="Y330" s="4"/>
      <c r="AB330" s="4"/>
      <c r="AC330" s="4"/>
      <c r="AD330" s="4"/>
      <c r="AE330" s="4"/>
      <c r="AF330" s="14"/>
    </row>
    <row r="331" spans="1:32" s="2" customFormat="1" ht="15.75" customHeight="1" x14ac:dyDescent="0.25">
      <c r="A331" s="33" t="str">
        <f>CONCATENATE(D331,".",F331,"-",G331,".",H331,"")</f>
        <v>1.4-1.1</v>
      </c>
      <c r="B331" s="33"/>
      <c r="C331" s="39" t="s">
        <v>335</v>
      </c>
      <c r="D331" s="33">
        <f>IF(C331="ID",1,(IF(C331="PR",2,(IF(C331="DE",3,(IF(C331="RS",4,(IF(C331="RC",5,0)))))))))</f>
        <v>1</v>
      </c>
      <c r="E331" s="33" t="s">
        <v>261</v>
      </c>
      <c r="F331" s="33">
        <f>IF(E331="AM",1,(IF(E331="BE",2,(IF(E331="GV",3,(IF(E331="RA",4,(IF(E331="RM",5,(IF(E331="AC",1,(IF(E331="AT",2,(IF(E331="DS",3,(IF(E331="IP",4,(IF(E331="MA",5,(IF(E331="PT",6,(IF(E331="AE",1,(IF(E331="CM",2,(IF(E331="DP",3,(IF(E331="AN",1,(IF(E331="CO",2,(IF(E331="IM",3,(IF(E331="MI",4,(IF(E331="RP",5,(IF(E331="SC",6,0)))))))))))))))))))))))))))))))))))))))</f>
        <v>4</v>
      </c>
      <c r="G331" s="170">
        <v>1</v>
      </c>
      <c r="H331" s="38" t="s">
        <v>511</v>
      </c>
      <c r="I331" s="105" t="s">
        <v>1449</v>
      </c>
      <c r="J331" s="157" t="s">
        <v>3077</v>
      </c>
      <c r="K331" s="34" t="s">
        <v>3078</v>
      </c>
      <c r="L331" s="5">
        <f>IF(O331="","",N331*O331*M331)</f>
        <v>99</v>
      </c>
      <c r="M331" s="8">
        <v>1</v>
      </c>
      <c r="N331" s="1">
        <v>1</v>
      </c>
      <c r="O331" s="15">
        <f>IF(SUM(Q331:AF331)&lt;1,"",SUM(Q331:AF331)/COUNTIF(Q331:AF331,"&gt;0"))</f>
        <v>99</v>
      </c>
      <c r="P331" s="16"/>
      <c r="Q331" s="13"/>
      <c r="R331" s="4"/>
      <c r="S331" s="4"/>
      <c r="T331" s="4">
        <v>99</v>
      </c>
      <c r="Y331" s="4"/>
      <c r="AB331" s="4"/>
      <c r="AC331" s="4"/>
      <c r="AD331" s="4"/>
      <c r="AE331" s="4"/>
      <c r="AF331" s="14"/>
    </row>
    <row r="332" spans="1:32" s="2" customFormat="1" ht="15.75" customHeight="1" x14ac:dyDescent="0.25">
      <c r="A332" s="33" t="str">
        <f>CONCATENATE(D332,".",F332,"-",G332,".",H332,"")</f>
        <v>1.4-1.1</v>
      </c>
      <c r="B332" s="33"/>
      <c r="C332" s="39" t="s">
        <v>335</v>
      </c>
      <c r="D332" s="33">
        <f>IF(C332="ID",1,(IF(C332="PR",2,(IF(C332="DE",3,(IF(C332="RS",4,(IF(C332="RC",5,0)))))))))</f>
        <v>1</v>
      </c>
      <c r="E332" s="33" t="s">
        <v>261</v>
      </c>
      <c r="F332" s="33">
        <f>IF(E332="AM",1,(IF(E332="BE",2,(IF(E332="GV",3,(IF(E332="RA",4,(IF(E332="RM",5,(IF(E332="AC",1,(IF(E332="AT",2,(IF(E332="DS",3,(IF(E332="IP",4,(IF(E332="MA",5,(IF(E332="PT",6,(IF(E332="AE",1,(IF(E332="CM",2,(IF(E332="DP",3,(IF(E332="AN",1,(IF(E332="CO",2,(IF(E332="IM",3,(IF(E332="MI",4,(IF(E332="RP",5,(IF(E332="SC",6,0)))))))))))))))))))))))))))))))))))))))</f>
        <v>4</v>
      </c>
      <c r="G332" s="170">
        <v>1</v>
      </c>
      <c r="H332" s="38" t="s">
        <v>511</v>
      </c>
      <c r="I332" s="105" t="s">
        <v>1449</v>
      </c>
      <c r="J332" s="157" t="s">
        <v>3087</v>
      </c>
      <c r="K332" s="34" t="s">
        <v>3088</v>
      </c>
      <c r="L332" s="5">
        <f>IF(O332="","",N332*O332*M332)</f>
        <v>99</v>
      </c>
      <c r="M332" s="8">
        <v>1</v>
      </c>
      <c r="N332" s="1">
        <v>1</v>
      </c>
      <c r="O332" s="15">
        <f>IF(SUM(Q332:AF332)&lt;1,"",SUM(Q332:AF332)/COUNTIF(Q332:AF332,"&gt;0"))</f>
        <v>99</v>
      </c>
      <c r="P332" s="16"/>
      <c r="Q332" s="13"/>
      <c r="R332" s="4"/>
      <c r="S332" s="4"/>
      <c r="T332" s="4">
        <v>99</v>
      </c>
      <c r="Y332" s="4"/>
      <c r="AB332" s="4"/>
      <c r="AC332" s="4"/>
      <c r="AD332" s="4"/>
      <c r="AE332" s="4"/>
      <c r="AF332" s="14"/>
    </row>
    <row r="333" spans="1:32" s="2" customFormat="1" ht="15.75" customHeight="1" x14ac:dyDescent="0.25">
      <c r="A333" s="33" t="str">
        <f>CONCATENATE(D333,".",F333,"-",G333,".",H333,"")</f>
        <v>1.4-1.1</v>
      </c>
      <c r="B333" s="33"/>
      <c r="C333" s="39" t="s">
        <v>335</v>
      </c>
      <c r="D333" s="33">
        <f>IF(C333="ID",1,(IF(C333="PR",2,(IF(C333="DE",3,(IF(C333="RS",4,(IF(C333="RC",5,0)))))))))</f>
        <v>1</v>
      </c>
      <c r="E333" s="33" t="s">
        <v>261</v>
      </c>
      <c r="F333" s="33">
        <f>IF(E333="AM",1,(IF(E333="BE",2,(IF(E333="GV",3,(IF(E333="RA",4,(IF(E333="RM",5,(IF(E333="AC",1,(IF(E333="AT",2,(IF(E333="DS",3,(IF(E333="IP",4,(IF(E333="MA",5,(IF(E333="PT",6,(IF(E333="AE",1,(IF(E333="CM",2,(IF(E333="DP",3,(IF(E333="AN",1,(IF(E333="CO",2,(IF(E333="IM",3,(IF(E333="MI",4,(IF(E333="RP",5,(IF(E333="SC",6,0)))))))))))))))))))))))))))))))))))))))</f>
        <v>4</v>
      </c>
      <c r="G333" s="170">
        <v>1</v>
      </c>
      <c r="H333" s="38" t="s">
        <v>511</v>
      </c>
      <c r="I333" s="105" t="s">
        <v>1449</v>
      </c>
      <c r="J333" s="157" t="s">
        <v>3089</v>
      </c>
      <c r="K333" s="34" t="s">
        <v>3090</v>
      </c>
      <c r="L333" s="5">
        <f>IF(O333="","",N333*O333*M333)</f>
        <v>99</v>
      </c>
      <c r="M333" s="8">
        <v>1</v>
      </c>
      <c r="N333" s="1">
        <v>1</v>
      </c>
      <c r="O333" s="15">
        <f>IF(SUM(Q333:AF333)&lt;1,"",SUM(Q333:AF333)/COUNTIF(Q333:AF333,"&gt;0"))</f>
        <v>99</v>
      </c>
      <c r="P333" s="16"/>
      <c r="Q333" s="13"/>
      <c r="R333" s="4"/>
      <c r="S333" s="4"/>
      <c r="T333" s="4">
        <v>99</v>
      </c>
      <c r="Y333" s="4"/>
      <c r="AB333" s="4"/>
      <c r="AC333" s="4"/>
      <c r="AD333" s="4"/>
      <c r="AE333" s="4"/>
      <c r="AF333" s="14"/>
    </row>
    <row r="334" spans="1:32" s="2" customFormat="1" ht="15.75" customHeight="1" x14ac:dyDescent="0.25">
      <c r="A334" s="33" t="str">
        <f>CONCATENATE(D334,".",F334,"-",G334,".",H334,"")</f>
        <v>1.4-1.1</v>
      </c>
      <c r="B334" s="33"/>
      <c r="C334" s="39" t="s">
        <v>335</v>
      </c>
      <c r="D334" s="33">
        <f>IF(C334="ID",1,(IF(C334="PR",2,(IF(C334="DE",3,(IF(C334="RS",4,(IF(C334="RC",5,0)))))))))</f>
        <v>1</v>
      </c>
      <c r="E334" s="33" t="s">
        <v>261</v>
      </c>
      <c r="F334" s="33">
        <f>IF(E334="AM",1,(IF(E334="BE",2,(IF(E334="GV",3,(IF(E334="RA",4,(IF(E334="RM",5,(IF(E334="AC",1,(IF(E334="AT",2,(IF(E334="DS",3,(IF(E334="IP",4,(IF(E334="MA",5,(IF(E334="PT",6,(IF(E334="AE",1,(IF(E334="CM",2,(IF(E334="DP",3,(IF(E334="AN",1,(IF(E334="CO",2,(IF(E334="IM",3,(IF(E334="MI",4,(IF(E334="RP",5,(IF(E334="SC",6,0)))))))))))))))))))))))))))))))))))))))</f>
        <v>4</v>
      </c>
      <c r="G334" s="170">
        <v>1</v>
      </c>
      <c r="H334" s="38" t="s">
        <v>511</v>
      </c>
      <c r="I334" s="105" t="s">
        <v>1449</v>
      </c>
      <c r="J334" s="157" t="s">
        <v>3091</v>
      </c>
      <c r="K334" s="34" t="s">
        <v>3092</v>
      </c>
      <c r="L334" s="5">
        <f>IF(O334="","",N334*O334*M334)</f>
        <v>99</v>
      </c>
      <c r="M334" s="8">
        <v>1</v>
      </c>
      <c r="N334" s="1">
        <v>1</v>
      </c>
      <c r="O334" s="15">
        <f>IF(SUM(Q334:AF334)&lt;1,"",SUM(Q334:AF334)/COUNTIF(Q334:AF334,"&gt;0"))</f>
        <v>99</v>
      </c>
      <c r="P334" s="16"/>
      <c r="Q334" s="13"/>
      <c r="R334" s="4"/>
      <c r="S334" s="4"/>
      <c r="T334" s="4">
        <v>99</v>
      </c>
      <c r="Y334" s="4"/>
      <c r="AB334" s="4"/>
      <c r="AC334" s="4"/>
      <c r="AD334" s="4"/>
      <c r="AE334" s="4"/>
      <c r="AF334" s="14"/>
    </row>
    <row r="335" spans="1:32" s="2" customFormat="1" ht="15.75" customHeight="1" x14ac:dyDescent="0.25">
      <c r="A335" s="33" t="str">
        <f>CONCATENATE(D335,".",F335,"-",G335,".",H335,"")</f>
        <v>1.4-2.0</v>
      </c>
      <c r="B335" s="33" t="s">
        <v>814</v>
      </c>
      <c r="C335" s="40" t="s">
        <v>335</v>
      </c>
      <c r="D335" s="33">
        <f>IF(C335="ID",1,(IF(C335="PR",2,(IF(C335="DE",3,(IF(C335="RS",4,(IF(C335="RC",5,0)))))))))</f>
        <v>1</v>
      </c>
      <c r="E335" s="33" t="s">
        <v>261</v>
      </c>
      <c r="F335" s="33">
        <f>IF(E335="AM",1,(IF(E335="BE",2,(IF(E335="GV",3,(IF(E335="RA",4,(IF(E335="RM",5,(IF(E335="AC",1,(IF(E335="AT",2,(IF(E335="DS",3,(IF(E335="IP",4,(IF(E335="MA",5,(IF(E335="PT",6,(IF(E335="AE",1,(IF(E335="CM",2,(IF(E335="DP",3,(IF(E335="AN",1,(IF(E335="CO",2,(IF(E335="IM",3,(IF(E335="MI",4,(IF(E335="RP",5,(IF(E335="SC",6,0)))))))))))))))))))))))))))))))))))))))</f>
        <v>4</v>
      </c>
      <c r="G335" s="170">
        <v>2</v>
      </c>
      <c r="H335" s="38" t="s">
        <v>597</v>
      </c>
      <c r="I335" s="27" t="s">
        <v>1200</v>
      </c>
      <c r="J335" s="149" t="s">
        <v>654</v>
      </c>
      <c r="K335" s="97" t="s">
        <v>1203</v>
      </c>
      <c r="L335" s="66">
        <f>IF(O335="","",N335*O335*M335)</f>
        <v>75</v>
      </c>
      <c r="M335" s="8">
        <v>1</v>
      </c>
      <c r="N335" s="1">
        <v>1</v>
      </c>
      <c r="O335" s="15">
        <f>IF(SUM(Q335:AF335)&lt;1,"",SUM(Q335:AF335)/COUNTIF(Q335:AF335,"&gt;0"))</f>
        <v>75</v>
      </c>
      <c r="P335" s="16"/>
      <c r="Q335" s="13"/>
      <c r="R335" s="4"/>
      <c r="S335" s="4"/>
      <c r="T335" s="4">
        <v>75</v>
      </c>
      <c r="Y335" s="4"/>
      <c r="AB335" s="4"/>
      <c r="AC335" s="4"/>
      <c r="AD335" s="4"/>
      <c r="AE335" s="4"/>
      <c r="AF335" s="14"/>
    </row>
    <row r="336" spans="1:32" s="2" customFormat="1" ht="15.75" customHeight="1" x14ac:dyDescent="0.25">
      <c r="A336" s="33" t="str">
        <f>CONCATENATE(D336,".",F336,"-",G336,".",H336,"")</f>
        <v>1.4-2.1</v>
      </c>
      <c r="B336" s="33" t="s">
        <v>814</v>
      </c>
      <c r="C336" s="39" t="s">
        <v>335</v>
      </c>
      <c r="D336" s="33">
        <f>IF(C336="ID",1,(IF(C336="PR",2,(IF(C336="DE",3,(IF(C336="RS",4,(IF(C336="RC",5,0)))))))))</f>
        <v>1</v>
      </c>
      <c r="E336" s="33" t="s">
        <v>261</v>
      </c>
      <c r="F336" s="33">
        <f>IF(E336="AM",1,(IF(E336="BE",2,(IF(E336="GV",3,(IF(E336="RA",4,(IF(E336="RM",5,(IF(E336="AC",1,(IF(E336="AT",2,(IF(E336="DS",3,(IF(E336="IP",4,(IF(E336="MA",5,(IF(E336="PT",6,(IF(E336="AE",1,(IF(E336="CM",2,(IF(E336="DP",3,(IF(E336="AN",1,(IF(E336="CO",2,(IF(E336="IM",3,(IF(E336="MI",4,(IF(E336="RP",5,(IF(E336="SC",6,0)))))))))))))))))))))))))))))))))))))))</f>
        <v>4</v>
      </c>
      <c r="G336" s="170">
        <v>2</v>
      </c>
      <c r="H336" s="33">
        <v>1</v>
      </c>
      <c r="I336" s="27" t="s">
        <v>266</v>
      </c>
      <c r="J336" s="150" t="s">
        <v>319</v>
      </c>
      <c r="K336" s="79" t="s">
        <v>1401</v>
      </c>
      <c r="L336" s="5">
        <f>IF(O336="","",N336*O336*M336)</f>
        <v>75</v>
      </c>
      <c r="M336" s="8">
        <v>1</v>
      </c>
      <c r="N336" s="1">
        <v>1</v>
      </c>
      <c r="O336" s="15">
        <f>IF(SUM(Q336:AF336)&lt;1,"",SUM(Q336:AF336)/COUNTIF(Q336:AF336,"&gt;0"))</f>
        <v>75</v>
      </c>
      <c r="P336" s="16"/>
      <c r="Q336" s="13"/>
      <c r="R336" s="3"/>
      <c r="S336" s="3"/>
      <c r="T336" s="4">
        <v>75</v>
      </c>
      <c r="U336" s="3"/>
      <c r="V336" s="3"/>
      <c r="W336" s="3"/>
      <c r="X336" s="3"/>
      <c r="Y336" s="3"/>
      <c r="Z336" s="3"/>
      <c r="AA336" s="3"/>
      <c r="AB336" s="3"/>
      <c r="AC336" s="3"/>
      <c r="AD336" s="3"/>
      <c r="AE336" s="3"/>
      <c r="AF336" s="104"/>
    </row>
    <row r="337" spans="1:32" s="2" customFormat="1" ht="15.75" customHeight="1" x14ac:dyDescent="0.25">
      <c r="A337" s="33" t="str">
        <f>CONCATENATE(D337,".",F337,"-",G337,".",H337,"")</f>
        <v>1.4-2.1</v>
      </c>
      <c r="B337" s="33" t="s">
        <v>814</v>
      </c>
      <c r="C337" s="40" t="s">
        <v>335</v>
      </c>
      <c r="D337" s="33">
        <f>IF(C337="ID",1,(IF(C337="PR",2,(IF(C337="DE",3,(IF(C337="RS",4,(IF(C337="RC",5,0)))))))))</f>
        <v>1</v>
      </c>
      <c r="E337" s="33" t="s">
        <v>261</v>
      </c>
      <c r="F337" s="33">
        <f>IF(E337="AM",1,(IF(E337="BE",2,(IF(E337="GV",3,(IF(E337="RA",4,(IF(E337="RM",5,(IF(E337="AC",1,(IF(E337="AT",2,(IF(E337="DS",3,(IF(E337="IP",4,(IF(E337="MA",5,(IF(E337="PT",6,(IF(E337="AE",1,(IF(E337="CM",2,(IF(E337="DP",3,(IF(E337="AN",1,(IF(E337="CO",2,(IF(E337="IM",3,(IF(E337="MI",4,(IF(E337="RP",5,(IF(E337="SC",6,0)))))))))))))))))))))))))))))))))))))))</f>
        <v>4</v>
      </c>
      <c r="G337" s="171">
        <v>2</v>
      </c>
      <c r="H337" s="38" t="s">
        <v>511</v>
      </c>
      <c r="I337" s="27" t="s">
        <v>936</v>
      </c>
      <c r="J337" s="296" t="s">
        <v>969</v>
      </c>
      <c r="K337" t="s">
        <v>890</v>
      </c>
      <c r="L337" s="66">
        <f>IF(O337="","",N337*O337*M337)</f>
        <v>75</v>
      </c>
      <c r="M337" s="8">
        <v>1</v>
      </c>
      <c r="N337" s="3">
        <v>1</v>
      </c>
      <c r="O337" s="15">
        <f>IF(SUM(Q337:AF337)&lt;1,"",SUM(Q337:AF337)/COUNTIF(Q337:AF337,"&gt;0"))</f>
        <v>75</v>
      </c>
      <c r="P337" s="16"/>
      <c r="Q337" s="13"/>
      <c r="R337" s="4"/>
      <c r="S337" s="4"/>
      <c r="T337" s="4">
        <v>75</v>
      </c>
      <c r="Y337" s="4"/>
      <c r="AB337" s="4"/>
      <c r="AC337" s="4"/>
      <c r="AD337" s="4"/>
      <c r="AE337" s="4"/>
      <c r="AF337" s="14"/>
    </row>
    <row r="338" spans="1:32" s="2" customFormat="1" ht="15.75" customHeight="1" x14ac:dyDescent="0.25">
      <c r="A338" s="33" t="str">
        <f>CONCATENATE(D338,".",F338,"-",G338,".",H338,"")</f>
        <v>1.4-2.1</v>
      </c>
      <c r="B338" s="33"/>
      <c r="C338" s="39" t="s">
        <v>335</v>
      </c>
      <c r="D338" s="33">
        <f>IF(C338="ID",1,(IF(C338="PR",2,(IF(C338="DE",3,(IF(C338="RS",4,(IF(C338="RC",5,0)))))))))</f>
        <v>1</v>
      </c>
      <c r="E338" s="33" t="s">
        <v>261</v>
      </c>
      <c r="F338" s="33">
        <f>IF(E338="AM",1,(IF(E338="BE",2,(IF(E338="GV",3,(IF(E338="RA",4,(IF(E338="RM",5,(IF(E338="AC",1,(IF(E338="AT",2,(IF(E338="DS",3,(IF(E338="IP",4,(IF(E338="MA",5,(IF(E338="PT",6,(IF(E338="AE",1,(IF(E338="CM",2,(IF(E338="DP",3,(IF(E338="AN",1,(IF(E338="CO",2,(IF(E338="IM",3,(IF(E338="MI",4,(IF(E338="RP",5,(IF(E338="SC",6,0)))))))))))))))))))))))))))))))))))))))</f>
        <v>4</v>
      </c>
      <c r="G338" s="170">
        <v>2</v>
      </c>
      <c r="H338" s="38" t="s">
        <v>511</v>
      </c>
      <c r="I338" s="105" t="s">
        <v>1449</v>
      </c>
      <c r="J338" s="38" t="s">
        <v>2493</v>
      </c>
      <c r="K338" s="34" t="s">
        <v>2494</v>
      </c>
      <c r="L338" s="5">
        <f>IF(O338="","",N338*O338*M338)</f>
        <v>99</v>
      </c>
      <c r="M338" s="8">
        <v>1</v>
      </c>
      <c r="N338" s="1">
        <v>1</v>
      </c>
      <c r="O338" s="15">
        <f>IF(SUM(Q338:AF338)&lt;1,"",SUM(Q338:AF338)/COUNTIF(Q338:AF338,"&gt;0"))</f>
        <v>99</v>
      </c>
      <c r="P338" s="16"/>
      <c r="Q338" s="13"/>
      <c r="R338" s="4"/>
      <c r="S338" s="4"/>
      <c r="T338" s="4">
        <v>99</v>
      </c>
      <c r="Y338" s="4"/>
      <c r="AB338" s="4"/>
      <c r="AC338" s="4"/>
      <c r="AD338" s="4"/>
      <c r="AE338" s="4"/>
      <c r="AF338" s="14"/>
    </row>
    <row r="339" spans="1:32" s="2" customFormat="1" ht="15.75" customHeight="1" x14ac:dyDescent="0.25">
      <c r="A339" s="33" t="str">
        <f>CONCATENATE(D339,".",F339,"-",G339,".",H339,"")</f>
        <v>1.4-2.1</v>
      </c>
      <c r="B339" s="33"/>
      <c r="C339" s="39" t="s">
        <v>335</v>
      </c>
      <c r="D339" s="33">
        <f>IF(C339="ID",1,(IF(C339="PR",2,(IF(C339="DE",3,(IF(C339="RS",4,(IF(C339="RC",5,0)))))))))</f>
        <v>1</v>
      </c>
      <c r="E339" s="33" t="s">
        <v>261</v>
      </c>
      <c r="F339" s="33">
        <f>IF(E339="AM",1,(IF(E339="BE",2,(IF(E339="GV",3,(IF(E339="RA",4,(IF(E339="RM",5,(IF(E339="AC",1,(IF(E339="AT",2,(IF(E339="DS",3,(IF(E339="IP",4,(IF(E339="MA",5,(IF(E339="PT",6,(IF(E339="AE",1,(IF(E339="CM",2,(IF(E339="DP",3,(IF(E339="AN",1,(IF(E339="CO",2,(IF(E339="IM",3,(IF(E339="MI",4,(IF(E339="RP",5,(IF(E339="SC",6,0)))))))))))))))))))))))))))))))))))))))</f>
        <v>4</v>
      </c>
      <c r="G339" s="170">
        <v>2</v>
      </c>
      <c r="H339" s="38" t="s">
        <v>511</v>
      </c>
      <c r="I339" s="105" t="s">
        <v>1449</v>
      </c>
      <c r="J339" s="157" t="s">
        <v>2495</v>
      </c>
      <c r="K339" s="34" t="s">
        <v>2496</v>
      </c>
      <c r="L339" s="5">
        <f>IF(O339="","",N339*O339*M339)</f>
        <v>99</v>
      </c>
      <c r="M339" s="8">
        <v>1</v>
      </c>
      <c r="N339" s="1">
        <v>1</v>
      </c>
      <c r="O339" s="15">
        <f>IF(SUM(Q339:AF339)&lt;1,"",SUM(Q339:AF339)/COUNTIF(Q339:AF339,"&gt;0"))</f>
        <v>99</v>
      </c>
      <c r="P339" s="16"/>
      <c r="Q339" s="13"/>
      <c r="R339" s="4"/>
      <c r="S339" s="4"/>
      <c r="T339" s="4">
        <v>99</v>
      </c>
      <c r="Y339" s="4"/>
      <c r="AB339" s="4"/>
      <c r="AC339" s="4"/>
      <c r="AD339" s="4"/>
      <c r="AE339" s="4"/>
      <c r="AF339" s="14"/>
    </row>
    <row r="340" spans="1:32" s="2" customFormat="1" ht="15.75" customHeight="1" x14ac:dyDescent="0.25">
      <c r="A340" s="33" t="str">
        <f>CONCATENATE(D340,".",F340,"-",G340,".",H340,"")</f>
        <v>1.4-3.0</v>
      </c>
      <c r="B340" s="33" t="s">
        <v>814</v>
      </c>
      <c r="C340" s="40" t="s">
        <v>335</v>
      </c>
      <c r="D340" s="33">
        <f>IF(C340="ID",1,(IF(C340="PR",2,(IF(C340="DE",3,(IF(C340="RS",4,(IF(C340="RC",5,0)))))))))</f>
        <v>1</v>
      </c>
      <c r="E340" s="33" t="s">
        <v>261</v>
      </c>
      <c r="F340" s="33">
        <f>IF(E340="AM",1,(IF(E340="BE",2,(IF(E340="GV",3,(IF(E340="RA",4,(IF(E340="RM",5,(IF(E340="AC",1,(IF(E340="AT",2,(IF(E340="DS",3,(IF(E340="IP",4,(IF(E340="MA",5,(IF(E340="PT",6,(IF(E340="AE",1,(IF(E340="CM",2,(IF(E340="DP",3,(IF(E340="AN",1,(IF(E340="CO",2,(IF(E340="IM",3,(IF(E340="MI",4,(IF(E340="RP",5,(IF(E340="SC",6,0)))))))))))))))))))))))))))))))))))))))</f>
        <v>4</v>
      </c>
      <c r="G340" s="170">
        <v>3</v>
      </c>
      <c r="H340" s="38" t="s">
        <v>597</v>
      </c>
      <c r="I340" s="27" t="s">
        <v>1200</v>
      </c>
      <c r="J340" s="149" t="s">
        <v>655</v>
      </c>
      <c r="K340" s="97" t="s">
        <v>366</v>
      </c>
      <c r="L340" s="66">
        <f>IF(O340="","",N340*O340*M340)</f>
        <v>75</v>
      </c>
      <c r="M340" s="8">
        <v>1</v>
      </c>
      <c r="N340" s="1">
        <v>1</v>
      </c>
      <c r="O340" s="15">
        <f>IF(SUM(Q340:AF340)&lt;1,"",SUM(Q340:AF340)/COUNTIF(Q340:AF340,"&gt;0"))</f>
        <v>75</v>
      </c>
      <c r="P340" s="16"/>
      <c r="Q340" s="13"/>
      <c r="R340" s="4"/>
      <c r="S340" s="4"/>
      <c r="T340" s="4">
        <v>75</v>
      </c>
      <c r="Y340" s="4"/>
      <c r="AB340" s="4"/>
      <c r="AC340" s="4"/>
      <c r="AD340" s="4"/>
      <c r="AE340" s="4"/>
      <c r="AF340" s="14"/>
    </row>
    <row r="341" spans="1:32" s="2" customFormat="1" ht="15.75" customHeight="1" x14ac:dyDescent="0.25">
      <c r="A341" s="33" t="str">
        <f>CONCATENATE(D341,".",F341,"-",G341,".",H341,"")</f>
        <v>1.4-3.1</v>
      </c>
      <c r="B341" s="33" t="s">
        <v>814</v>
      </c>
      <c r="C341" s="40" t="s">
        <v>335</v>
      </c>
      <c r="D341" s="33">
        <f>IF(C341="ID",1,(IF(C341="PR",2,(IF(C341="DE",3,(IF(C341="RS",4,(IF(C341="RC",5,0)))))))))</f>
        <v>1</v>
      </c>
      <c r="E341" s="33" t="s">
        <v>261</v>
      </c>
      <c r="F341" s="33">
        <f>IF(E341="AM",1,(IF(E341="BE",2,(IF(E341="GV",3,(IF(E341="RA",4,(IF(E341="RM",5,(IF(E341="AC",1,(IF(E341="AT",2,(IF(E341="DS",3,(IF(E341="IP",4,(IF(E341="MA",5,(IF(E341="PT",6,(IF(E341="AE",1,(IF(E341="CM",2,(IF(E341="DP",3,(IF(E341="AN",1,(IF(E341="CO",2,(IF(E341="IM",3,(IF(E341="MI",4,(IF(E341="RP",5,(IF(E341="SC",6,0)))))))))))))))))))))))))))))))))))))))</f>
        <v>4</v>
      </c>
      <c r="G341" s="171">
        <v>3</v>
      </c>
      <c r="H341" s="38" t="s">
        <v>511</v>
      </c>
      <c r="I341" s="27" t="s">
        <v>936</v>
      </c>
      <c r="J341" s="163">
        <v>164.31399999999999</v>
      </c>
      <c r="K341" s="34" t="s">
        <v>962</v>
      </c>
      <c r="L341" s="66">
        <f>IF(O341="","",N341*O341*M341)</f>
        <v>75</v>
      </c>
      <c r="M341" s="8">
        <v>1</v>
      </c>
      <c r="N341" s="3">
        <v>1</v>
      </c>
      <c r="O341" s="15">
        <f>IF(SUM(Q341:AF341)&lt;1,"",SUM(Q341:AF341)/COUNTIF(Q341:AF341,"&gt;0"))</f>
        <v>75</v>
      </c>
      <c r="P341" s="16"/>
      <c r="Q341" s="13"/>
      <c r="R341" s="4"/>
      <c r="S341" s="4"/>
      <c r="T341" s="4">
        <v>75</v>
      </c>
      <c r="Y341" s="4"/>
      <c r="AB341" s="4"/>
      <c r="AC341" s="4"/>
      <c r="AD341" s="4"/>
      <c r="AE341" s="4"/>
      <c r="AF341" s="14"/>
    </row>
    <row r="342" spans="1:32" s="2" customFormat="1" ht="15.75" customHeight="1" x14ac:dyDescent="0.25">
      <c r="A342" s="33" t="str">
        <f>CONCATENATE(D342,".",F342,"-",G342,".",H342,"")</f>
        <v>1.4-3.1</v>
      </c>
      <c r="B342" s="33"/>
      <c r="C342" s="39" t="s">
        <v>335</v>
      </c>
      <c r="D342" s="33">
        <f>IF(C342="ID",1,(IF(C342="PR",2,(IF(C342="DE",3,(IF(C342="RS",4,(IF(C342="RC",5,0)))))))))</f>
        <v>1</v>
      </c>
      <c r="E342" s="33" t="s">
        <v>261</v>
      </c>
      <c r="F342" s="33">
        <f>IF(E342="AM",1,(IF(E342="BE",2,(IF(E342="GV",3,(IF(E342="RA",4,(IF(E342="RM",5,(IF(E342="AC",1,(IF(E342="AT",2,(IF(E342="DS",3,(IF(E342="IP",4,(IF(E342="MA",5,(IF(E342="PT",6,(IF(E342="AE",1,(IF(E342="CM",2,(IF(E342="DP",3,(IF(E342="AN",1,(IF(E342="CO",2,(IF(E342="IM",3,(IF(E342="MI",4,(IF(E342="RP",5,(IF(E342="SC",6,0)))))))))))))))))))))))))))))))))))))))</f>
        <v>4</v>
      </c>
      <c r="G342" s="170">
        <v>3</v>
      </c>
      <c r="H342" s="38" t="s">
        <v>511</v>
      </c>
      <c r="I342" s="105" t="s">
        <v>1449</v>
      </c>
      <c r="J342" s="157" t="s">
        <v>2487</v>
      </c>
      <c r="K342" s="34" t="s">
        <v>2488</v>
      </c>
      <c r="L342" s="5">
        <f>IF(O342="","",N342*O342*M342)</f>
        <v>99</v>
      </c>
      <c r="M342" s="8">
        <v>1</v>
      </c>
      <c r="N342" s="1">
        <v>1</v>
      </c>
      <c r="O342" s="15">
        <f>IF(SUM(Q342:AF342)&lt;1,"",SUM(Q342:AF342)/COUNTIF(Q342:AF342,"&gt;0"))</f>
        <v>99</v>
      </c>
      <c r="P342" s="16"/>
      <c r="Q342" s="13"/>
      <c r="R342" s="4"/>
      <c r="S342" s="4"/>
      <c r="T342" s="4">
        <v>99</v>
      </c>
      <c r="Y342" s="4"/>
      <c r="AB342" s="4"/>
      <c r="AC342" s="4"/>
      <c r="AD342" s="4"/>
      <c r="AE342" s="4"/>
      <c r="AF342" s="14"/>
    </row>
    <row r="343" spans="1:32" s="2" customFormat="1" ht="15.75" customHeight="1" x14ac:dyDescent="0.25">
      <c r="A343" s="33" t="str">
        <f>CONCATENATE(D343,".",F343,"-",G343,".",H343,"")</f>
        <v>1.4-3.1</v>
      </c>
      <c r="B343" s="33"/>
      <c r="C343" s="39" t="s">
        <v>335</v>
      </c>
      <c r="D343" s="33">
        <f>IF(C343="ID",1,(IF(C343="PR",2,(IF(C343="DE",3,(IF(C343="RS",4,(IF(C343="RC",5,0)))))))))</f>
        <v>1</v>
      </c>
      <c r="E343" s="33" t="s">
        <v>261</v>
      </c>
      <c r="F343" s="33">
        <f>IF(E343="AM",1,(IF(E343="BE",2,(IF(E343="GV",3,(IF(E343="RA",4,(IF(E343="RM",5,(IF(E343="AC",1,(IF(E343="AT",2,(IF(E343="DS",3,(IF(E343="IP",4,(IF(E343="MA",5,(IF(E343="PT",6,(IF(E343="AE",1,(IF(E343="CM",2,(IF(E343="DP",3,(IF(E343="AN",1,(IF(E343="CO",2,(IF(E343="IM",3,(IF(E343="MI",4,(IF(E343="RP",5,(IF(E343="SC",6,0)))))))))))))))))))))))))))))))))))))))</f>
        <v>4</v>
      </c>
      <c r="G343" s="170">
        <v>3</v>
      </c>
      <c r="H343" s="38" t="s">
        <v>511</v>
      </c>
      <c r="I343" s="105" t="s">
        <v>1449</v>
      </c>
      <c r="J343" s="157" t="s">
        <v>3099</v>
      </c>
      <c r="K343" s="34" t="s">
        <v>3100</v>
      </c>
      <c r="L343" s="5">
        <f>IF(O343="","",N343*O343*M343)</f>
        <v>99</v>
      </c>
      <c r="M343" s="8">
        <v>1</v>
      </c>
      <c r="N343" s="1">
        <v>1</v>
      </c>
      <c r="O343" s="15">
        <f>IF(SUM(Q343:AF343)&lt;1,"",SUM(Q343:AF343)/COUNTIF(Q343:AF343,"&gt;0"))</f>
        <v>99</v>
      </c>
      <c r="P343" s="16"/>
      <c r="Q343" s="13"/>
      <c r="R343" s="4"/>
      <c r="S343" s="4"/>
      <c r="T343" s="4">
        <v>99</v>
      </c>
      <c r="Y343" s="4"/>
      <c r="AB343" s="4"/>
      <c r="AC343" s="4"/>
      <c r="AD343" s="4"/>
      <c r="AE343" s="4"/>
      <c r="AF343" s="14"/>
    </row>
    <row r="344" spans="1:32" s="2" customFormat="1" ht="15.75" customHeight="1" x14ac:dyDescent="0.25">
      <c r="A344" s="33" t="str">
        <f>CONCATENATE(D344,".",F344,"-",G344,".",H344,"")</f>
        <v>1.4-4.0</v>
      </c>
      <c r="B344" s="33" t="s">
        <v>814</v>
      </c>
      <c r="C344" s="40" t="s">
        <v>335</v>
      </c>
      <c r="D344" s="33">
        <f>IF(C344="ID",1,(IF(C344="PR",2,(IF(C344="DE",3,(IF(C344="RS",4,(IF(C344="RC",5,0)))))))))</f>
        <v>1</v>
      </c>
      <c r="E344" s="33" t="s">
        <v>261</v>
      </c>
      <c r="F344" s="33">
        <f>IF(E344="AM",1,(IF(E344="BE",2,(IF(E344="GV",3,(IF(E344="RA",4,(IF(E344="RM",5,(IF(E344="AC",1,(IF(E344="AT",2,(IF(E344="DS",3,(IF(E344="IP",4,(IF(E344="MA",5,(IF(E344="PT",6,(IF(E344="AE",1,(IF(E344="CM",2,(IF(E344="DP",3,(IF(E344="AN",1,(IF(E344="CO",2,(IF(E344="IM",3,(IF(E344="MI",4,(IF(E344="RP",5,(IF(E344="SC",6,0)))))))))))))))))))))))))))))))))))))))</f>
        <v>4</v>
      </c>
      <c r="G344" s="170">
        <v>4</v>
      </c>
      <c r="H344" s="38" t="s">
        <v>597</v>
      </c>
      <c r="I344" s="27" t="s">
        <v>1200</v>
      </c>
      <c r="J344" s="149" t="s">
        <v>612</v>
      </c>
      <c r="K344" s="97" t="s">
        <v>367</v>
      </c>
      <c r="L344" s="66">
        <f>IF(O344="","",N344*O344*M344)</f>
        <v>75</v>
      </c>
      <c r="M344" s="8">
        <v>1</v>
      </c>
      <c r="N344" s="1">
        <v>1</v>
      </c>
      <c r="O344" s="15">
        <f>IF(SUM(Q344:AF344)&lt;1,"",SUM(Q344:AF344)/COUNTIF(Q344:AF344,"&gt;0"))</f>
        <v>75</v>
      </c>
      <c r="P344" s="16"/>
      <c r="Q344" s="13"/>
      <c r="R344" s="4"/>
      <c r="S344" s="4"/>
      <c r="T344" s="4">
        <v>75</v>
      </c>
      <c r="X344" s="4"/>
      <c r="Y344" s="4"/>
      <c r="Z344" s="4"/>
      <c r="AA344" s="4"/>
      <c r="AB344" s="4"/>
      <c r="AC344" s="4"/>
      <c r="AD344" s="4"/>
      <c r="AE344" s="4"/>
      <c r="AF344" s="14"/>
    </row>
    <row r="345" spans="1:32" s="2" customFormat="1" ht="15.75" customHeight="1" x14ac:dyDescent="0.25">
      <c r="A345" s="33" t="str">
        <f>CONCATENATE(D345,".",F345,"-",G345,".",H345,"")</f>
        <v>1.4-4.1</v>
      </c>
      <c r="B345" s="33" t="s">
        <v>814</v>
      </c>
      <c r="C345" s="40" t="s">
        <v>335</v>
      </c>
      <c r="D345" s="33">
        <f>IF(C345="ID",1,(IF(C345="PR",2,(IF(C345="DE",3,(IF(C345="RS",4,(IF(C345="RC",5,0)))))))))</f>
        <v>1</v>
      </c>
      <c r="E345" s="33" t="s">
        <v>261</v>
      </c>
      <c r="F345" s="33">
        <f>IF(E345="AM",1,(IF(E345="BE",2,(IF(E345="GV",3,(IF(E345="RA",4,(IF(E345="RM",5,(IF(E345="AC",1,(IF(E345="AT",2,(IF(E345="DS",3,(IF(E345="IP",4,(IF(E345="MA",5,(IF(E345="PT",6,(IF(E345="AE",1,(IF(E345="CM",2,(IF(E345="DP",3,(IF(E345="AN",1,(IF(E345="CO",2,(IF(E345="IM",3,(IF(E345="MI",4,(IF(E345="RP",5,(IF(E345="SC",6,0)))))))))))))))))))))))))))))))))))))))</f>
        <v>4</v>
      </c>
      <c r="G345" s="171">
        <v>4</v>
      </c>
      <c r="H345" s="38" t="s">
        <v>511</v>
      </c>
      <c r="I345" s="27" t="s">
        <v>936</v>
      </c>
      <c r="J345" s="163" t="s">
        <v>867</v>
      </c>
      <c r="K345" s="34" t="s">
        <v>991</v>
      </c>
      <c r="L345" s="66">
        <f>IF(O345="","",N345*O345*M345)</f>
        <v>75</v>
      </c>
      <c r="M345" s="8">
        <v>1</v>
      </c>
      <c r="N345" s="3">
        <v>1</v>
      </c>
      <c r="O345" s="15">
        <f>IF(SUM(Q345:AF345)&lt;1,"",SUM(Q345:AF345)/COUNTIF(Q345:AF345,"&gt;0"))</f>
        <v>75</v>
      </c>
      <c r="P345" s="16"/>
      <c r="Q345" s="13"/>
      <c r="R345" s="4"/>
      <c r="S345" s="4"/>
      <c r="T345" s="4">
        <v>75</v>
      </c>
      <c r="Y345" s="4"/>
      <c r="AB345" s="4"/>
      <c r="AC345" s="4"/>
      <c r="AD345" s="4"/>
      <c r="AE345" s="4"/>
      <c r="AF345" s="14"/>
    </row>
    <row r="346" spans="1:32" s="4" customFormat="1" ht="15.75" customHeight="1" x14ac:dyDescent="0.25">
      <c r="A346" s="33" t="str">
        <f>CONCATENATE(D346,".",F346,"-",G346,".",H346,"")</f>
        <v>1.4-4.1</v>
      </c>
      <c r="B346" s="33" t="s">
        <v>814</v>
      </c>
      <c r="C346" s="40" t="s">
        <v>335</v>
      </c>
      <c r="D346" s="33">
        <f>IF(C346="ID",1,(IF(C346="PR",2,(IF(C346="DE",3,(IF(C346="RS",4,(IF(C346="RC",5,0)))))))))</f>
        <v>1</v>
      </c>
      <c r="E346" s="33" t="s">
        <v>261</v>
      </c>
      <c r="F346" s="33">
        <f>IF(E346="AM",1,(IF(E346="BE",2,(IF(E346="GV",3,(IF(E346="RA",4,(IF(E346="RM",5,(IF(E346="AC",1,(IF(E346="AT",2,(IF(E346="DS",3,(IF(E346="IP",4,(IF(E346="MA",5,(IF(E346="PT",6,(IF(E346="AE",1,(IF(E346="CM",2,(IF(E346="DP",3,(IF(E346="AN",1,(IF(E346="CO",2,(IF(E346="IM",3,(IF(E346="MI",4,(IF(E346="RP",5,(IF(E346="SC",6,0)))))))))))))))))))))))))))))))))))))))</f>
        <v>4</v>
      </c>
      <c r="G346" s="171">
        <v>4</v>
      </c>
      <c r="H346" s="38" t="s">
        <v>511</v>
      </c>
      <c r="I346" s="27" t="s">
        <v>936</v>
      </c>
      <c r="J346" s="163" t="s">
        <v>869</v>
      </c>
      <c r="K346" s="34" t="s">
        <v>992</v>
      </c>
      <c r="L346" s="66">
        <f>IF(O346="","",N346*O346*M346)</f>
        <v>75</v>
      </c>
      <c r="M346" s="8">
        <v>1</v>
      </c>
      <c r="N346" s="3">
        <v>1</v>
      </c>
      <c r="O346" s="15">
        <f>IF(SUM(Q346:AF346)&lt;1,"",SUM(Q346:AF346)/COUNTIF(Q346:AF346,"&gt;0"))</f>
        <v>75</v>
      </c>
      <c r="P346" s="16"/>
      <c r="Q346" s="13"/>
      <c r="T346" s="4">
        <v>75</v>
      </c>
      <c r="U346" s="2"/>
      <c r="V346" s="2"/>
      <c r="W346" s="2"/>
      <c r="X346" s="2"/>
      <c r="Z346" s="2"/>
      <c r="AA346" s="2"/>
      <c r="AF346" s="14"/>
    </row>
    <row r="347" spans="1:32" s="2" customFormat="1" ht="15.75" customHeight="1" x14ac:dyDescent="0.25">
      <c r="A347" s="33" t="str">
        <f>CONCATENATE(D347,".",F347,"-",G347,".",H347,"")</f>
        <v>1.4-4.1</v>
      </c>
      <c r="B347" s="33" t="s">
        <v>814</v>
      </c>
      <c r="C347" s="40" t="s">
        <v>335</v>
      </c>
      <c r="D347" s="33">
        <f>IF(C347="ID",1,(IF(C347="PR",2,(IF(C347="DE",3,(IF(C347="RS",4,(IF(C347="RC",5,0)))))))))</f>
        <v>1</v>
      </c>
      <c r="E347" s="33" t="s">
        <v>261</v>
      </c>
      <c r="F347" s="33">
        <f>IF(E347="AM",1,(IF(E347="BE",2,(IF(E347="GV",3,(IF(E347="RA",4,(IF(E347="RM",5,(IF(E347="AC",1,(IF(E347="AT",2,(IF(E347="DS",3,(IF(E347="IP",4,(IF(E347="MA",5,(IF(E347="PT",6,(IF(E347="AE",1,(IF(E347="CM",2,(IF(E347="DP",3,(IF(E347="AN",1,(IF(E347="CO",2,(IF(E347="IM",3,(IF(E347="MI",4,(IF(E347="RP",5,(IF(E347="SC",6,0)))))))))))))))))))))))))))))))))))))))</f>
        <v>4</v>
      </c>
      <c r="G347" s="171">
        <v>4</v>
      </c>
      <c r="H347" s="38" t="s">
        <v>511</v>
      </c>
      <c r="I347" s="105" t="s">
        <v>821</v>
      </c>
      <c r="J347" s="150" t="s">
        <v>150</v>
      </c>
      <c r="K347" s="79" t="s">
        <v>1283</v>
      </c>
      <c r="L347" s="66">
        <f>IF(O347="","",N347*O347*M347)</f>
        <v>75</v>
      </c>
      <c r="M347" s="8">
        <v>1</v>
      </c>
      <c r="N347" s="3">
        <v>1</v>
      </c>
      <c r="O347" s="15">
        <f>IF(SUM(Q347:AF347)&lt;1,"",SUM(Q347:AF347)/COUNTIF(Q347:AF347,"&gt;0"))</f>
        <v>75</v>
      </c>
      <c r="P347" s="16"/>
      <c r="Q347" s="13"/>
      <c r="R347" s="4"/>
      <c r="S347" s="4"/>
      <c r="T347" s="4">
        <v>75</v>
      </c>
      <c r="Y347" s="4"/>
      <c r="AB347" s="4"/>
      <c r="AC347" s="4"/>
      <c r="AD347" s="4"/>
      <c r="AE347" s="4"/>
      <c r="AF347" s="14"/>
    </row>
    <row r="348" spans="1:32" s="2" customFormat="1" ht="15.75" customHeight="1" x14ac:dyDescent="0.25">
      <c r="A348" s="33" t="str">
        <f>CONCATENATE(D348,".",F348,"-",G348,".",H348,"")</f>
        <v>1.4-4.1</v>
      </c>
      <c r="B348" s="33" t="s">
        <v>814</v>
      </c>
      <c r="C348" s="39" t="s">
        <v>335</v>
      </c>
      <c r="D348" s="33">
        <f>IF(C348="ID",1,(IF(C348="PR",2,(IF(C348="DE",3,(IF(C348="RS",4,(IF(C348="RC",5,0)))))))))</f>
        <v>1</v>
      </c>
      <c r="E348" s="33" t="s">
        <v>261</v>
      </c>
      <c r="F348" s="33">
        <f>IF(E348="AM",1,(IF(E348="BE",2,(IF(E348="GV",3,(IF(E348="RA",4,(IF(E348="RM",5,(IF(E348="AC",1,(IF(E348="AT",2,(IF(E348="DS",3,(IF(E348="IP",4,(IF(E348="MA",5,(IF(E348="PT",6,(IF(E348="AE",1,(IF(E348="CM",2,(IF(E348="DP",3,(IF(E348="AN",1,(IF(E348="CO",2,(IF(E348="IM",3,(IF(E348="MI",4,(IF(E348="RP",5,(IF(E348="SC",6,0)))))))))))))))))))))))))))))))))))))))</f>
        <v>4</v>
      </c>
      <c r="G348" s="170">
        <v>4</v>
      </c>
      <c r="H348" s="33">
        <v>1</v>
      </c>
      <c r="I348" s="27" t="s">
        <v>266</v>
      </c>
      <c r="J348" s="150" t="s">
        <v>79</v>
      </c>
      <c r="K348" s="79" t="s">
        <v>1394</v>
      </c>
      <c r="L348" s="5">
        <f>IF(O348="","",N348*O348*M348)</f>
        <v>75</v>
      </c>
      <c r="M348" s="8">
        <v>1</v>
      </c>
      <c r="N348" s="1">
        <v>1</v>
      </c>
      <c r="O348" s="15">
        <f>IF(SUM(Q348:AF348)&lt;1,"",SUM(Q348:AF348)/COUNTIF(Q348:AF348,"&gt;0"))</f>
        <v>75</v>
      </c>
      <c r="P348" s="16"/>
      <c r="Q348" s="13"/>
      <c r="R348" s="3"/>
      <c r="S348" s="3"/>
      <c r="T348" s="4">
        <v>75</v>
      </c>
      <c r="U348" s="3"/>
      <c r="V348" s="3"/>
      <c r="W348" s="3"/>
      <c r="X348" s="3"/>
      <c r="Y348" s="3"/>
      <c r="Z348" s="3"/>
      <c r="AA348" s="3"/>
      <c r="AB348" s="3"/>
      <c r="AC348" s="3"/>
      <c r="AD348" s="3"/>
      <c r="AE348" s="3"/>
      <c r="AF348" s="104"/>
    </row>
    <row r="349" spans="1:32" s="2" customFormat="1" ht="15.75" customHeight="1" x14ac:dyDescent="0.25">
      <c r="A349" s="33" t="str">
        <f>CONCATENATE(D349,".",F349,"-",G349,".",H349,"")</f>
        <v>1.4-4.1</v>
      </c>
      <c r="B349" s="33"/>
      <c r="C349" s="39" t="s">
        <v>335</v>
      </c>
      <c r="D349" s="33">
        <f>IF(C349="ID",1,(IF(C349="PR",2,(IF(C349="DE",3,(IF(C349="RS",4,(IF(C349="RC",5,0)))))))))</f>
        <v>1</v>
      </c>
      <c r="E349" s="33" t="s">
        <v>261</v>
      </c>
      <c r="F349" s="33">
        <f>IF(E349="AM",1,(IF(E349="BE",2,(IF(E349="GV",3,(IF(E349="RA",4,(IF(E349="RM",5,(IF(E349="AC",1,(IF(E349="AT",2,(IF(E349="DS",3,(IF(E349="IP",4,(IF(E349="MA",5,(IF(E349="PT",6,(IF(E349="AE",1,(IF(E349="CM",2,(IF(E349="DP",3,(IF(E349="AN",1,(IF(E349="CO",2,(IF(E349="IM",3,(IF(E349="MI",4,(IF(E349="RP",5,(IF(E349="SC",6,0)))))))))))))))))))))))))))))))))))))))</f>
        <v>4</v>
      </c>
      <c r="G349" s="170">
        <v>4</v>
      </c>
      <c r="H349" s="38" t="s">
        <v>511</v>
      </c>
      <c r="I349" s="105" t="s">
        <v>1449</v>
      </c>
      <c r="J349" s="157" t="s">
        <v>2545</v>
      </c>
      <c r="K349" s="34" t="s">
        <v>2546</v>
      </c>
      <c r="L349" s="5">
        <f>IF(O349="","",N349*O349*M349)</f>
        <v>99</v>
      </c>
      <c r="M349" s="8">
        <v>1</v>
      </c>
      <c r="N349" s="1">
        <v>1</v>
      </c>
      <c r="O349" s="15">
        <f>IF(SUM(Q349:AF349)&lt;1,"",SUM(Q349:AF349)/COUNTIF(Q349:AF349,"&gt;0"))</f>
        <v>99</v>
      </c>
      <c r="P349" s="16"/>
      <c r="Q349" s="13"/>
      <c r="R349" s="4"/>
      <c r="S349" s="4"/>
      <c r="T349" s="4">
        <v>99</v>
      </c>
      <c r="Y349" s="4"/>
      <c r="AB349" s="4"/>
      <c r="AC349" s="4"/>
      <c r="AD349" s="4"/>
      <c r="AE349" s="4"/>
      <c r="AF349" s="14"/>
    </row>
    <row r="350" spans="1:32" s="2" customFormat="1" ht="15.75" customHeight="1" x14ac:dyDescent="0.25">
      <c r="A350" s="33" t="str">
        <f>CONCATENATE(D350,".",F350,"-",G350,".",H350,"")</f>
        <v>1.4-4.1</v>
      </c>
      <c r="B350" s="33"/>
      <c r="C350" s="39" t="s">
        <v>335</v>
      </c>
      <c r="D350" s="33">
        <f>IF(C350="ID",1,(IF(C350="PR",2,(IF(C350="DE",3,(IF(C350="RS",4,(IF(C350="RC",5,0)))))))))</f>
        <v>1</v>
      </c>
      <c r="E350" s="33" t="s">
        <v>261</v>
      </c>
      <c r="F350" s="33">
        <f>IF(E350="AM",1,(IF(E350="BE",2,(IF(E350="GV",3,(IF(E350="RA",4,(IF(E350="RM",5,(IF(E350="AC",1,(IF(E350="AT",2,(IF(E350="DS",3,(IF(E350="IP",4,(IF(E350="MA",5,(IF(E350="PT",6,(IF(E350="AE",1,(IF(E350="CM",2,(IF(E350="DP",3,(IF(E350="AN",1,(IF(E350="CO",2,(IF(E350="IM",3,(IF(E350="MI",4,(IF(E350="RP",5,(IF(E350="SC",6,0)))))))))))))))))))))))))))))))))))))))</f>
        <v>4</v>
      </c>
      <c r="G350" s="170">
        <v>4</v>
      </c>
      <c r="H350" s="38" t="s">
        <v>511</v>
      </c>
      <c r="I350" s="105" t="s">
        <v>1449</v>
      </c>
      <c r="J350" s="157" t="s">
        <v>2731</v>
      </c>
      <c r="K350" s="34" t="s">
        <v>2732</v>
      </c>
      <c r="L350" s="5">
        <f>IF(O350="","",N350*O350*M350)</f>
        <v>99</v>
      </c>
      <c r="M350" s="8">
        <v>1</v>
      </c>
      <c r="N350" s="1">
        <v>1</v>
      </c>
      <c r="O350" s="15">
        <f>IF(SUM(Q350:AF350)&lt;1,"",SUM(Q350:AF350)/COUNTIF(Q350:AF350,"&gt;0"))</f>
        <v>99</v>
      </c>
      <c r="P350" s="16"/>
      <c r="Q350" s="13"/>
      <c r="R350" s="4"/>
      <c r="S350" s="4"/>
      <c r="T350" s="4">
        <v>99</v>
      </c>
      <c r="Y350" s="4"/>
      <c r="AB350" s="4"/>
      <c r="AC350" s="4"/>
      <c r="AD350" s="4"/>
      <c r="AE350" s="4"/>
      <c r="AF350" s="14"/>
    </row>
    <row r="351" spans="1:32" s="2" customFormat="1" ht="15.75" customHeight="1" x14ac:dyDescent="0.25">
      <c r="A351" s="33" t="str">
        <f>CONCATENATE(D351,".",F351,"-",G351,".",H351,"")</f>
        <v>1.4-4.9</v>
      </c>
      <c r="B351" s="33"/>
      <c r="C351" s="39" t="s">
        <v>335</v>
      </c>
      <c r="D351" s="33">
        <f>IF(C351="ID",1,(IF(C351="PR",2,(IF(C351="DE",3,(IF(C351="RS",4,(IF(C351="RC",5,0)))))))))</f>
        <v>1</v>
      </c>
      <c r="E351" s="33" t="s">
        <v>261</v>
      </c>
      <c r="F351" s="33">
        <f>IF(E351="AM",1,(IF(E351="BE",2,(IF(E351="GV",3,(IF(E351="RA",4,(IF(E351="RM",5,(IF(E351="AC",1,(IF(E351="AT",2,(IF(E351="DS",3,(IF(E351="IP",4,(IF(E351="MA",5,(IF(E351="PT",6,(IF(E351="AE",1,(IF(E351="CM",2,(IF(E351="DP",3,(IF(E351="AN",1,(IF(E351="CO",2,(IF(E351="IM",3,(IF(E351="MI",4,(IF(E351="RP",5,(IF(E351="SC",6,0)))))))))))))))))))))))))))))))))))))))</f>
        <v>4</v>
      </c>
      <c r="G351" s="170">
        <v>4</v>
      </c>
      <c r="H351" s="38" t="s">
        <v>596</v>
      </c>
      <c r="I351" s="105" t="s">
        <v>1449</v>
      </c>
      <c r="J351" s="157" t="s">
        <v>2507</v>
      </c>
      <c r="K351" s="34" t="s">
        <v>2508</v>
      </c>
      <c r="L351" s="5">
        <f>IF(O351="","",N351*O351*M351)</f>
        <v>99</v>
      </c>
      <c r="M351" s="8">
        <v>1</v>
      </c>
      <c r="N351" s="1">
        <v>1</v>
      </c>
      <c r="O351" s="15">
        <f>IF(SUM(Q351:AF351)&lt;1,"",SUM(Q351:AF351)/COUNTIF(Q351:AF351,"&gt;0"))</f>
        <v>99</v>
      </c>
      <c r="P351" s="16"/>
      <c r="Q351" s="13"/>
      <c r="R351" s="4"/>
      <c r="S351" s="4"/>
      <c r="T351" s="4">
        <v>99</v>
      </c>
      <c r="Y351" s="4"/>
      <c r="AB351" s="4"/>
      <c r="AC351" s="4"/>
      <c r="AD351" s="4"/>
      <c r="AE351" s="4"/>
      <c r="AF351" s="14"/>
    </row>
    <row r="352" spans="1:32" s="1" customFormat="1" ht="15.75" customHeight="1" x14ac:dyDescent="0.25">
      <c r="A352" s="33" t="str">
        <f>CONCATENATE(D352,".",F352,"-",G352,".",H352,"")</f>
        <v>1.4-5.0</v>
      </c>
      <c r="B352" s="33" t="s">
        <v>814</v>
      </c>
      <c r="C352" s="40" t="s">
        <v>335</v>
      </c>
      <c r="D352" s="33">
        <f>IF(C352="ID",1,(IF(C352="PR",2,(IF(C352="DE",3,(IF(C352="RS",4,(IF(C352="RC",5,0)))))))))</f>
        <v>1</v>
      </c>
      <c r="E352" s="33" t="s">
        <v>261</v>
      </c>
      <c r="F352" s="33">
        <f>IF(E352="AM",1,(IF(E352="BE",2,(IF(E352="GV",3,(IF(E352="RA",4,(IF(E352="RM",5,(IF(E352="AC",1,(IF(E352="AT",2,(IF(E352="DS",3,(IF(E352="IP",4,(IF(E352="MA",5,(IF(E352="PT",6,(IF(E352="AE",1,(IF(E352="CM",2,(IF(E352="DP",3,(IF(E352="AN",1,(IF(E352="CO",2,(IF(E352="IM",3,(IF(E352="MI",4,(IF(E352="RP",5,(IF(E352="SC",6,0)))))))))))))))))))))))))))))))))))))))</f>
        <v>4</v>
      </c>
      <c r="G352" s="170">
        <v>5</v>
      </c>
      <c r="H352" s="38" t="s">
        <v>597</v>
      </c>
      <c r="I352" s="27" t="s">
        <v>1200</v>
      </c>
      <c r="J352" s="149" t="s">
        <v>656</v>
      </c>
      <c r="K352" s="97" t="s">
        <v>368</v>
      </c>
      <c r="L352" s="66">
        <f>IF(O352="","",N352*O352*M352)</f>
        <v>75</v>
      </c>
      <c r="M352" s="8">
        <v>1</v>
      </c>
      <c r="N352" s="1">
        <v>1</v>
      </c>
      <c r="O352" s="15">
        <f>IF(SUM(Q352:AF352)&lt;1,"",SUM(Q352:AF352)/COUNTIF(Q352:AF352,"&gt;0"))</f>
        <v>75</v>
      </c>
      <c r="P352" s="16"/>
      <c r="Q352" s="13"/>
      <c r="R352" s="4"/>
      <c r="S352" s="4"/>
      <c r="T352" s="4">
        <v>75</v>
      </c>
      <c r="U352" s="2"/>
      <c r="V352" s="2"/>
      <c r="W352" s="2"/>
      <c r="X352" s="2"/>
      <c r="Y352" s="4"/>
      <c r="Z352" s="2"/>
      <c r="AA352" s="2"/>
      <c r="AB352" s="4"/>
      <c r="AC352" s="4"/>
      <c r="AD352" s="4"/>
      <c r="AE352" s="4"/>
      <c r="AF352" s="14"/>
    </row>
    <row r="353" spans="1:32" s="1" customFormat="1" ht="15.75" customHeight="1" x14ac:dyDescent="0.25">
      <c r="A353" s="33" t="str">
        <f>CONCATENATE(D353,".",F353,"-",G353,".",H353,"")</f>
        <v>1.4-5.0</v>
      </c>
      <c r="B353" s="33" t="s">
        <v>814</v>
      </c>
      <c r="C353" s="41" t="s">
        <v>335</v>
      </c>
      <c r="D353" s="33">
        <f>IF(C353="ID",1,(IF(C353="PR",2,(IF(C353="DE",3,(IF(C353="RS",4,(IF(C353="RC",5,0)))))))))</f>
        <v>1</v>
      </c>
      <c r="E353" s="33" t="s">
        <v>261</v>
      </c>
      <c r="F353" s="33">
        <f>IF(E353="AM",1,(IF(E353="BE",2,(IF(E353="GV",3,(IF(E353="RA",4,(IF(E353="RM",5,(IF(E353="AC",1,(IF(E353="AT",2,(IF(E353="DS",3,(IF(E353="IP",4,(IF(E353="MA",5,(IF(E353="PT",6,(IF(E353="AE",1,(IF(E353="CM",2,(IF(E353="DP",3,(IF(E353="AN",1,(IF(E353="CO",2,(IF(E353="IM",3,(IF(E353="MI",4,(IF(E353="RP",5,(IF(E353="SC",6,0)))))))))))))))))))))))))))))))))))))))</f>
        <v>4</v>
      </c>
      <c r="G353" s="170">
        <v>5</v>
      </c>
      <c r="H353" s="38">
        <v>0</v>
      </c>
      <c r="I353" s="27" t="s">
        <v>266</v>
      </c>
      <c r="J353" s="149" t="s">
        <v>272</v>
      </c>
      <c r="K353" s="79" t="s">
        <v>1325</v>
      </c>
      <c r="L353" s="5">
        <f>IF(O353="","",N353*O353*M353)</f>
        <v>75</v>
      </c>
      <c r="M353" s="8">
        <v>1</v>
      </c>
      <c r="N353" s="1">
        <v>1</v>
      </c>
      <c r="O353" s="15">
        <f>IF(SUM(Q353:AF353)&lt;1,"",SUM(Q353:AF353)/COUNTIF(Q353:AF353,"&gt;0"))</f>
        <v>75</v>
      </c>
      <c r="P353" s="16"/>
      <c r="Q353" s="13"/>
      <c r="R353" s="4"/>
      <c r="S353" s="4"/>
      <c r="T353" s="4">
        <v>75</v>
      </c>
      <c r="U353" s="2"/>
      <c r="V353" s="2"/>
      <c r="W353" s="2"/>
      <c r="X353" s="2"/>
      <c r="Y353" s="4"/>
      <c r="Z353" s="2"/>
      <c r="AA353" s="2"/>
      <c r="AB353" s="4"/>
      <c r="AC353" s="4"/>
      <c r="AD353" s="4"/>
      <c r="AE353" s="4"/>
      <c r="AF353" s="14"/>
    </row>
    <row r="354" spans="1:32" s="1" customFormat="1" ht="15.75" customHeight="1" x14ac:dyDescent="0.25">
      <c r="A354" s="33" t="str">
        <f>CONCATENATE(D354,".",F354,"-",G354,".",H354,"")</f>
        <v>1.4-5.1</v>
      </c>
      <c r="B354" s="33" t="s">
        <v>814</v>
      </c>
      <c r="C354" s="39" t="s">
        <v>335</v>
      </c>
      <c r="D354" s="33">
        <f>IF(C354="ID",1,(IF(C354="PR",2,(IF(C354="DE",3,(IF(C354="RS",4,(IF(C354="RC",5,0)))))))))</f>
        <v>1</v>
      </c>
      <c r="E354" s="33" t="s">
        <v>261</v>
      </c>
      <c r="F354" s="33">
        <f>IF(E354="AM",1,(IF(E354="BE",2,(IF(E354="GV",3,(IF(E354="RA",4,(IF(E354="RM",5,(IF(E354="AC",1,(IF(E354="AT",2,(IF(E354="DS",3,(IF(E354="IP",4,(IF(E354="MA",5,(IF(E354="PT",6,(IF(E354="AE",1,(IF(E354="CM",2,(IF(E354="DP",3,(IF(E354="AN",1,(IF(E354="CO",2,(IF(E354="IM",3,(IF(E354="MI",4,(IF(E354="RP",5,(IF(E354="SC",6,0)))))))))))))))))))))))))))))))))))))))</f>
        <v>4</v>
      </c>
      <c r="G354" s="170">
        <v>5</v>
      </c>
      <c r="H354" s="38" t="s">
        <v>511</v>
      </c>
      <c r="I354" s="35" t="s">
        <v>1176</v>
      </c>
      <c r="J354" s="162">
        <v>4.8</v>
      </c>
      <c r="K354" t="s">
        <v>1061</v>
      </c>
      <c r="L354" s="66">
        <f>IF(O354="","",N354*O354*M354)</f>
        <v>75</v>
      </c>
      <c r="M354" s="8">
        <v>1</v>
      </c>
      <c r="N354" s="3">
        <v>1</v>
      </c>
      <c r="O354" s="15">
        <f>IF(SUM(Q354:AF354)&lt;1,"",SUM(Q354:AF354)/COUNTIF(Q354:AF354,"&gt;0"))</f>
        <v>75</v>
      </c>
      <c r="P354" s="16"/>
      <c r="Q354" s="13"/>
      <c r="R354" s="4"/>
      <c r="S354" s="4"/>
      <c r="T354" s="4">
        <v>75</v>
      </c>
      <c r="U354" s="2"/>
      <c r="V354" s="2"/>
      <c r="W354" s="2"/>
      <c r="X354" s="2"/>
      <c r="Y354" s="4"/>
      <c r="Z354" s="2"/>
      <c r="AA354" s="2"/>
      <c r="AB354" s="4"/>
      <c r="AC354" s="4"/>
      <c r="AD354" s="4"/>
      <c r="AE354" s="4"/>
      <c r="AF354" s="14"/>
    </row>
    <row r="355" spans="1:32" s="1" customFormat="1" ht="15.75" customHeight="1" x14ac:dyDescent="0.25">
      <c r="A355" s="33" t="str">
        <f>CONCATENATE(D355,".",F355,"-",G355,".",H355,"")</f>
        <v>1.4-5.1</v>
      </c>
      <c r="B355" s="33" t="s">
        <v>814</v>
      </c>
      <c r="C355" s="39" t="s">
        <v>335</v>
      </c>
      <c r="D355" s="33">
        <f>IF(C355="ID",1,(IF(C355="PR",2,(IF(C355="DE",3,(IF(C355="RS",4,(IF(C355="RC",5,0)))))))))</f>
        <v>1</v>
      </c>
      <c r="E355" s="33" t="s">
        <v>261</v>
      </c>
      <c r="F355" s="33">
        <f>IF(E355="AM",1,(IF(E355="BE",2,(IF(E355="GV",3,(IF(E355="RA",4,(IF(E355="RM",5,(IF(E355="AC",1,(IF(E355="AT",2,(IF(E355="DS",3,(IF(E355="IP",4,(IF(E355="MA",5,(IF(E355="PT",6,(IF(E355="AE",1,(IF(E355="CM",2,(IF(E355="DP",3,(IF(E355="AN",1,(IF(E355="CO",2,(IF(E355="IM",3,(IF(E355="MI",4,(IF(E355="RP",5,(IF(E355="SC",6,0)))))))))))))))))))))))))))))))))))))))</f>
        <v>4</v>
      </c>
      <c r="G355" s="170">
        <v>5</v>
      </c>
      <c r="H355" s="38" t="s">
        <v>511</v>
      </c>
      <c r="I355" s="105" t="s">
        <v>821</v>
      </c>
      <c r="J355" s="150">
        <v>11.3</v>
      </c>
      <c r="K355" s="79" t="s">
        <v>1283</v>
      </c>
      <c r="L355" s="66">
        <f>IF(O355="","",N355*O355*M355)</f>
        <v>75</v>
      </c>
      <c r="M355" s="8">
        <v>1</v>
      </c>
      <c r="N355" s="3">
        <v>1</v>
      </c>
      <c r="O355" s="15">
        <f>IF(SUM(Q355:AF355)&lt;1,"",SUM(Q355:AF355)/COUNTIF(Q355:AF355,"&gt;0"))</f>
        <v>75</v>
      </c>
      <c r="P355" s="16"/>
      <c r="Q355" s="13"/>
      <c r="R355" s="4"/>
      <c r="S355" s="4"/>
      <c r="T355" s="4">
        <v>75</v>
      </c>
      <c r="U355" s="2"/>
      <c r="V355" s="2"/>
      <c r="W355" s="2"/>
      <c r="X355" s="2"/>
      <c r="Y355" s="4"/>
      <c r="Z355" s="2"/>
      <c r="AA355" s="2"/>
      <c r="AB355" s="4"/>
      <c r="AC355" s="4"/>
      <c r="AD355" s="4"/>
      <c r="AE355" s="4"/>
      <c r="AF355" s="14"/>
    </row>
    <row r="356" spans="1:32" s="1" customFormat="1" ht="15.75" customHeight="1" x14ac:dyDescent="0.25">
      <c r="A356" s="33" t="str">
        <f>CONCATENATE(D356,".",F356,"-",G356,".",H356,"")</f>
        <v>1.4-5.1</v>
      </c>
      <c r="B356" s="33" t="s">
        <v>814</v>
      </c>
      <c r="C356" s="40" t="s">
        <v>335</v>
      </c>
      <c r="D356" s="33">
        <f>IF(C356="ID",1,(IF(C356="PR",2,(IF(C356="DE",3,(IF(C356="RS",4,(IF(C356="RC",5,0)))))))))</f>
        <v>1</v>
      </c>
      <c r="E356" s="33" t="s">
        <v>261</v>
      </c>
      <c r="F356" s="33">
        <f>IF(E356="AM",1,(IF(E356="BE",2,(IF(E356="GV",3,(IF(E356="RA",4,(IF(E356="RM",5,(IF(E356="AC",1,(IF(E356="AT",2,(IF(E356="DS",3,(IF(E356="IP",4,(IF(E356="MA",5,(IF(E356="PT",6,(IF(E356="AE",1,(IF(E356="CM",2,(IF(E356="DP",3,(IF(E356="AN",1,(IF(E356="CO",2,(IF(E356="IM",3,(IF(E356="MI",4,(IF(E356="RP",5,(IF(E356="SC",6,0)))))))))))))))))))))))))))))))))))))))</f>
        <v>4</v>
      </c>
      <c r="G356" s="171">
        <v>5</v>
      </c>
      <c r="H356" s="38" t="s">
        <v>511</v>
      </c>
      <c r="I356" s="105" t="s">
        <v>821</v>
      </c>
      <c r="J356" s="149">
        <v>12.2</v>
      </c>
      <c r="K356" s="79" t="s">
        <v>1283</v>
      </c>
      <c r="L356" s="66">
        <f>IF(O356="","",N356*O356*M356)</f>
        <v>75</v>
      </c>
      <c r="M356" s="8">
        <v>1</v>
      </c>
      <c r="N356" s="1">
        <v>1</v>
      </c>
      <c r="O356" s="15">
        <f>IF(SUM(Q356:AF356)&lt;1,"",SUM(Q356:AF356)/COUNTIF(Q356:AF356,"&gt;0"))</f>
        <v>75</v>
      </c>
      <c r="P356" s="16"/>
      <c r="Q356" s="13"/>
      <c r="R356" s="4"/>
      <c r="S356" s="4"/>
      <c r="T356" s="4">
        <v>75</v>
      </c>
      <c r="U356" s="2"/>
      <c r="V356" s="2"/>
      <c r="W356" s="2"/>
      <c r="X356" s="2"/>
      <c r="Y356" s="4"/>
      <c r="Z356" s="2"/>
      <c r="AA356" s="2"/>
      <c r="AB356" s="4"/>
      <c r="AC356" s="4"/>
      <c r="AD356" s="4"/>
      <c r="AE356" s="4"/>
      <c r="AF356" s="14"/>
    </row>
    <row r="357" spans="1:32" s="1" customFormat="1" ht="15.75" customHeight="1" x14ac:dyDescent="0.25">
      <c r="A357" s="33" t="str">
        <f>CONCATENATE(D357,".",F357,"-",G357,".",H357,"")</f>
        <v>1.4-5.1</v>
      </c>
      <c r="B357" s="33" t="s">
        <v>814</v>
      </c>
      <c r="C357" s="40" t="s">
        <v>335</v>
      </c>
      <c r="D357" s="33">
        <f>IF(C357="ID",1,(IF(C357="PR",2,(IF(C357="DE",3,(IF(C357="RS",4,(IF(C357="RC",5,0)))))))))</f>
        <v>1</v>
      </c>
      <c r="E357" s="33" t="s">
        <v>261</v>
      </c>
      <c r="F357" s="33">
        <f>IF(E357="AM",1,(IF(E357="BE",2,(IF(E357="GV",3,(IF(E357="RA",4,(IF(E357="RM",5,(IF(E357="AC",1,(IF(E357="AT",2,(IF(E357="DS",3,(IF(E357="IP",4,(IF(E357="MA",5,(IF(E357="PT",6,(IF(E357="AE",1,(IF(E357="CM",2,(IF(E357="DP",3,(IF(E357="AN",1,(IF(E357="CO",2,(IF(E357="IM",3,(IF(E357="MI",4,(IF(E357="RP",5,(IF(E357="SC",6,0)))))))))))))))))))))))))))))))))))))))</f>
        <v>4</v>
      </c>
      <c r="G357" s="171">
        <v>5</v>
      </c>
      <c r="H357" s="38" t="s">
        <v>511</v>
      </c>
      <c r="I357" s="27" t="s">
        <v>936</v>
      </c>
      <c r="J357" s="163" t="s">
        <v>880</v>
      </c>
      <c r="K357" s="34" t="s">
        <v>990</v>
      </c>
      <c r="L357" s="66">
        <f>IF(O357="","",N357*O357*M357)</f>
        <v>75</v>
      </c>
      <c r="M357" s="8">
        <v>1</v>
      </c>
      <c r="N357" s="3">
        <v>1</v>
      </c>
      <c r="O357" s="15">
        <f>IF(SUM(Q357:AF357)&lt;1,"",SUM(Q357:AF357)/COUNTIF(Q357:AF357,"&gt;0"))</f>
        <v>75</v>
      </c>
      <c r="P357" s="16"/>
      <c r="Q357" s="13"/>
      <c r="R357" s="4"/>
      <c r="S357" s="4"/>
      <c r="T357" s="4">
        <v>75</v>
      </c>
      <c r="U357" s="2"/>
      <c r="V357" s="2"/>
      <c r="W357" s="2"/>
      <c r="X357" s="2"/>
      <c r="Y357" s="4"/>
      <c r="Z357" s="2"/>
      <c r="AA357" s="2"/>
      <c r="AB357" s="4"/>
      <c r="AC357" s="4"/>
      <c r="AD357" s="4"/>
      <c r="AE357" s="4"/>
      <c r="AF357" s="14"/>
    </row>
    <row r="358" spans="1:32" s="1" customFormat="1" ht="15.75" customHeight="1" x14ac:dyDescent="0.25">
      <c r="A358" s="33" t="str">
        <f>CONCATENATE(D358,".",F358,"-",G358,".",H358,"")</f>
        <v>1.4-5.1</v>
      </c>
      <c r="B358" s="33" t="s">
        <v>814</v>
      </c>
      <c r="C358" s="40" t="s">
        <v>335</v>
      </c>
      <c r="D358" s="33">
        <f>IF(C358="ID",1,(IF(C358="PR",2,(IF(C358="DE",3,(IF(C358="RS",4,(IF(C358="RC",5,0)))))))))</f>
        <v>1</v>
      </c>
      <c r="E358" s="33" t="s">
        <v>261</v>
      </c>
      <c r="F358" s="33">
        <f>IF(E358="AM",1,(IF(E358="BE",2,(IF(E358="GV",3,(IF(E358="RA",4,(IF(E358="RM",5,(IF(E358="AC",1,(IF(E358="AT",2,(IF(E358="DS",3,(IF(E358="IP",4,(IF(E358="MA",5,(IF(E358="PT",6,(IF(E358="AE",1,(IF(E358="CM",2,(IF(E358="DP",3,(IF(E358="AN",1,(IF(E358="CO",2,(IF(E358="IM",3,(IF(E358="MI",4,(IF(E358="RP",5,(IF(E358="SC",6,0)))))))))))))))))))))))))))))))))))))))</f>
        <v>4</v>
      </c>
      <c r="G358" s="171">
        <v>5</v>
      </c>
      <c r="H358" s="38" t="s">
        <v>511</v>
      </c>
      <c r="I358" s="27" t="s">
        <v>936</v>
      </c>
      <c r="J358" s="163" t="s">
        <v>867</v>
      </c>
      <c r="K358" s="34" t="s">
        <v>991</v>
      </c>
      <c r="L358" s="66">
        <f>IF(O358="","",N358*O358*M358)</f>
        <v>75</v>
      </c>
      <c r="M358" s="8">
        <v>1</v>
      </c>
      <c r="N358" s="3">
        <v>1</v>
      </c>
      <c r="O358" s="15">
        <f>IF(SUM(Q358:AF358)&lt;1,"",SUM(Q358:AF358)/COUNTIF(Q358:AF358,"&gt;0"))</f>
        <v>75</v>
      </c>
      <c r="P358" s="16"/>
      <c r="Q358" s="13"/>
      <c r="R358" s="4"/>
      <c r="S358" s="4"/>
      <c r="T358" s="4">
        <v>75</v>
      </c>
      <c r="U358" s="2"/>
      <c r="V358" s="2"/>
      <c r="W358" s="2"/>
      <c r="X358" s="2"/>
      <c r="Y358" s="4"/>
      <c r="Z358" s="2"/>
      <c r="AA358" s="2"/>
      <c r="AB358" s="4"/>
      <c r="AC358" s="4"/>
      <c r="AD358" s="4"/>
      <c r="AE358" s="4"/>
      <c r="AF358" s="14"/>
    </row>
    <row r="359" spans="1:32" s="1" customFormat="1" ht="15.75" customHeight="1" x14ac:dyDescent="0.25">
      <c r="A359" s="33" t="str">
        <f>CONCATENATE(D359,".",F359,"-",G359,".",H359,"")</f>
        <v>1.4-5.1</v>
      </c>
      <c r="B359" s="33" t="s">
        <v>814</v>
      </c>
      <c r="C359" s="39" t="s">
        <v>335</v>
      </c>
      <c r="D359" s="33">
        <f>IF(C359="ID",1,(IF(C359="PR",2,(IF(C359="DE",3,(IF(C359="RS",4,(IF(C359="RC",5,0)))))))))</f>
        <v>1</v>
      </c>
      <c r="E359" s="33" t="s">
        <v>261</v>
      </c>
      <c r="F359" s="33">
        <f>IF(E359="AM",1,(IF(E359="BE",2,(IF(E359="GV",3,(IF(E359="RA",4,(IF(E359="RM",5,(IF(E359="AC",1,(IF(E359="AT",2,(IF(E359="DS",3,(IF(E359="IP",4,(IF(E359="MA",5,(IF(E359="PT",6,(IF(E359="AE",1,(IF(E359="CM",2,(IF(E359="DP",3,(IF(E359="AN",1,(IF(E359="CO",2,(IF(E359="IM",3,(IF(E359="MI",4,(IF(E359="RP",5,(IF(E359="SC",6,0)))))))))))))))))))))))))))))))))))))))</f>
        <v>4</v>
      </c>
      <c r="G359" s="170">
        <v>5</v>
      </c>
      <c r="H359" s="38" t="s">
        <v>511</v>
      </c>
      <c r="I359" s="105" t="s">
        <v>821</v>
      </c>
      <c r="J359" s="150" t="s">
        <v>156</v>
      </c>
      <c r="K359" s="79" t="s">
        <v>1283</v>
      </c>
      <c r="L359" s="66">
        <f>IF(O359="","",N359*O359*M359)</f>
        <v>75</v>
      </c>
      <c r="M359" s="8">
        <v>1</v>
      </c>
      <c r="N359" s="3">
        <v>1</v>
      </c>
      <c r="O359" s="15">
        <f>IF(SUM(Q359:AF359)&lt;1,"",SUM(Q359:AF359)/COUNTIF(Q359:AF359,"&gt;0"))</f>
        <v>75</v>
      </c>
      <c r="P359" s="16"/>
      <c r="Q359" s="13"/>
      <c r="R359" s="4"/>
      <c r="S359" s="4"/>
      <c r="T359" s="4">
        <v>75</v>
      </c>
      <c r="U359" s="2"/>
      <c r="V359" s="2"/>
      <c r="W359" s="2"/>
      <c r="X359" s="2"/>
      <c r="Y359" s="4"/>
      <c r="Z359" s="2"/>
      <c r="AA359" s="2"/>
      <c r="AB359" s="4"/>
      <c r="AC359" s="4"/>
      <c r="AD359" s="4"/>
      <c r="AE359" s="4"/>
      <c r="AF359" s="14"/>
    </row>
    <row r="360" spans="1:32" s="1" customFormat="1" ht="15.75" customHeight="1" x14ac:dyDescent="0.25">
      <c r="A360" s="33" t="str">
        <f>CONCATENATE(D360,".",F360,"-",G360,".",H360,"")</f>
        <v>1.4-5.1</v>
      </c>
      <c r="B360" s="33" t="s">
        <v>814</v>
      </c>
      <c r="C360" s="39" t="s">
        <v>335</v>
      </c>
      <c r="D360" s="33">
        <f>IF(C360="ID",1,(IF(C360="PR",2,(IF(C360="DE",3,(IF(C360="RS",4,(IF(C360="RC",5,0)))))))))</f>
        <v>1</v>
      </c>
      <c r="E360" s="33" t="s">
        <v>261</v>
      </c>
      <c r="F360" s="33">
        <f>IF(E360="AM",1,(IF(E360="BE",2,(IF(E360="GV",3,(IF(E360="RA",4,(IF(E360="RM",5,(IF(E360="AC",1,(IF(E360="AT",2,(IF(E360="DS",3,(IF(E360="IP",4,(IF(E360="MA",5,(IF(E360="PT",6,(IF(E360="AE",1,(IF(E360="CM",2,(IF(E360="DP",3,(IF(E360="AN",1,(IF(E360="CO",2,(IF(E360="IM",3,(IF(E360="MI",4,(IF(E360="RP",5,(IF(E360="SC",6,0)))))))))))))))))))))))))))))))))))))))</f>
        <v>4</v>
      </c>
      <c r="G360" s="170">
        <v>5</v>
      </c>
      <c r="H360" s="33">
        <v>1</v>
      </c>
      <c r="I360" s="27" t="s">
        <v>266</v>
      </c>
      <c r="J360" s="150" t="s">
        <v>327</v>
      </c>
      <c r="K360" s="79" t="s">
        <v>1369</v>
      </c>
      <c r="L360" s="5">
        <f>IF(O360="","",N360*O360*M360)</f>
        <v>75</v>
      </c>
      <c r="M360" s="8">
        <v>1</v>
      </c>
      <c r="N360" s="1">
        <v>1</v>
      </c>
      <c r="O360" s="15">
        <f>IF(SUM(Q360:AF360)&lt;1,"",SUM(Q360:AF360)/COUNTIF(Q360:AF360,"&gt;0"))</f>
        <v>75</v>
      </c>
      <c r="P360" s="16"/>
      <c r="Q360" s="13"/>
      <c r="R360" s="3"/>
      <c r="S360" s="3"/>
      <c r="T360" s="4">
        <v>75</v>
      </c>
      <c r="U360" s="3"/>
      <c r="V360" s="3"/>
      <c r="W360" s="3"/>
      <c r="X360" s="3"/>
      <c r="Y360" s="3"/>
      <c r="Z360" s="3"/>
      <c r="AA360" s="3"/>
      <c r="AB360" s="3"/>
      <c r="AC360" s="3"/>
      <c r="AD360" s="3"/>
      <c r="AE360" s="3"/>
      <c r="AF360" s="104"/>
    </row>
    <row r="361" spans="1:32" s="1" customFormat="1" ht="15.75" customHeight="1" x14ac:dyDescent="0.25">
      <c r="A361" s="33" t="str">
        <f>CONCATENATE(D361,".",F361,"-",G361,".",H361,"")</f>
        <v>1.4-6.0</v>
      </c>
      <c r="B361" s="33" t="s">
        <v>814</v>
      </c>
      <c r="C361" s="40" t="s">
        <v>335</v>
      </c>
      <c r="D361" s="33">
        <f>IF(C361="ID",1,(IF(C361="PR",2,(IF(C361="DE",3,(IF(C361="RS",4,(IF(C361="RC",5,0)))))))))</f>
        <v>1</v>
      </c>
      <c r="E361" s="33" t="s">
        <v>261</v>
      </c>
      <c r="F361" s="33">
        <f>IF(E361="AM",1,(IF(E361="BE",2,(IF(E361="GV",3,(IF(E361="RA",4,(IF(E361="RM",5,(IF(E361="AC",1,(IF(E361="AT",2,(IF(E361="DS",3,(IF(E361="IP",4,(IF(E361="MA",5,(IF(E361="PT",6,(IF(E361="AE",1,(IF(E361="CM",2,(IF(E361="DP",3,(IF(E361="AN",1,(IF(E361="CO",2,(IF(E361="IM",3,(IF(E361="MI",4,(IF(E361="RP",5,(IF(E361="SC",6,0)))))))))))))))))))))))))))))))))))))))</f>
        <v>4</v>
      </c>
      <c r="G361" s="170">
        <v>6</v>
      </c>
      <c r="H361" s="38" t="s">
        <v>597</v>
      </c>
      <c r="I361" s="27" t="s">
        <v>1200</v>
      </c>
      <c r="J361" s="149" t="s">
        <v>657</v>
      </c>
      <c r="K361" s="97" t="s">
        <v>369</v>
      </c>
      <c r="L361" s="66">
        <f>IF(O361="","",N361*O361*M361)</f>
        <v>75</v>
      </c>
      <c r="M361" s="8">
        <v>1</v>
      </c>
      <c r="N361" s="1">
        <v>1</v>
      </c>
      <c r="O361" s="15">
        <f>IF(SUM(Q361:AF361)&lt;1,"",SUM(Q361:AF361)/COUNTIF(Q361:AF361,"&gt;0"))</f>
        <v>75</v>
      </c>
      <c r="P361" s="16"/>
      <c r="Q361" s="13"/>
      <c r="R361" s="4"/>
      <c r="S361" s="4"/>
      <c r="T361" s="4">
        <v>75</v>
      </c>
      <c r="U361" s="2"/>
      <c r="V361" s="2"/>
      <c r="W361" s="2"/>
      <c r="X361" s="2"/>
      <c r="Y361" s="4"/>
      <c r="Z361" s="2"/>
      <c r="AA361" s="2"/>
      <c r="AB361" s="4"/>
      <c r="AC361" s="4"/>
      <c r="AD361" s="4"/>
      <c r="AE361" s="4"/>
      <c r="AF361" s="14"/>
    </row>
    <row r="362" spans="1:32" s="1" customFormat="1" ht="15.75" customHeight="1" x14ac:dyDescent="0.25">
      <c r="A362" s="33" t="str">
        <f>CONCATENATE(D362,".",F362,"-",G362,".",H362,"")</f>
        <v>1.4-6.1</v>
      </c>
      <c r="B362" s="33" t="s">
        <v>814</v>
      </c>
      <c r="C362" s="39" t="s">
        <v>335</v>
      </c>
      <c r="D362" s="33">
        <f>IF(C362="ID",1,(IF(C362="PR",2,(IF(C362="DE",3,(IF(C362="RS",4,(IF(C362="RC",5,0)))))))))</f>
        <v>1</v>
      </c>
      <c r="E362" s="33" t="s">
        <v>261</v>
      </c>
      <c r="F362" s="33">
        <f>IF(E362="AM",1,(IF(E362="BE",2,(IF(E362="GV",3,(IF(E362="RA",4,(IF(E362="RM",5,(IF(E362="AC",1,(IF(E362="AT",2,(IF(E362="DS",3,(IF(E362="IP",4,(IF(E362="MA",5,(IF(E362="PT",6,(IF(E362="AE",1,(IF(E362="CM",2,(IF(E362="DP",3,(IF(E362="AN",1,(IF(E362="CO",2,(IF(E362="IM",3,(IF(E362="MI",4,(IF(E362="RP",5,(IF(E362="SC",6,0)))))))))))))))))))))))))))))))))))))))</f>
        <v>4</v>
      </c>
      <c r="G362" s="170">
        <v>6</v>
      </c>
      <c r="H362" s="38" t="s">
        <v>511</v>
      </c>
      <c r="I362" s="35" t="s">
        <v>1176</v>
      </c>
      <c r="J362" s="162">
        <v>19.399999999999999</v>
      </c>
      <c r="K362" s="80" t="s">
        <v>1238</v>
      </c>
      <c r="L362" s="66">
        <f>IF(O362="","",N362*O362*M362)</f>
        <v>75</v>
      </c>
      <c r="M362" s="8">
        <v>1</v>
      </c>
      <c r="N362" s="3">
        <v>1</v>
      </c>
      <c r="O362" s="15">
        <f>IF(SUM(Q362:AF362)&lt;1,"",SUM(Q362:AF362)/COUNTIF(Q362:AF362,"&gt;0"))</f>
        <v>75</v>
      </c>
      <c r="P362" s="16"/>
      <c r="Q362" s="13"/>
      <c r="R362" s="4"/>
      <c r="S362" s="4"/>
      <c r="T362" s="4">
        <v>75</v>
      </c>
      <c r="U362" s="2"/>
      <c r="V362" s="2"/>
      <c r="W362" s="2"/>
      <c r="X362" s="2"/>
      <c r="Y362" s="4"/>
      <c r="Z362" s="2"/>
      <c r="AA362" s="2"/>
      <c r="AB362" s="4"/>
      <c r="AC362" s="4"/>
      <c r="AD362" s="4"/>
      <c r="AE362" s="4"/>
      <c r="AF362" s="14"/>
    </row>
    <row r="363" spans="1:32" s="2" customFormat="1" ht="15.75" customHeight="1" x14ac:dyDescent="0.25">
      <c r="A363" s="33" t="str">
        <f>CONCATENATE(D363,".",F363,"-",G363,".",H363,"")</f>
        <v>1.4-6.1</v>
      </c>
      <c r="B363" s="33" t="s">
        <v>814</v>
      </c>
      <c r="C363" s="40" t="s">
        <v>335</v>
      </c>
      <c r="D363" s="33">
        <f>IF(C363="ID",1,(IF(C363="PR",2,(IF(C363="DE",3,(IF(C363="RS",4,(IF(C363="RC",5,0)))))))))</f>
        <v>1</v>
      </c>
      <c r="E363" s="33" t="s">
        <v>261</v>
      </c>
      <c r="F363" s="33">
        <f>IF(E363="AM",1,(IF(E363="BE",2,(IF(E363="GV",3,(IF(E363="RA",4,(IF(E363="RM",5,(IF(E363="AC",1,(IF(E363="AT",2,(IF(E363="DS",3,(IF(E363="IP",4,(IF(E363="MA",5,(IF(E363="PT",6,(IF(E363="AE",1,(IF(E363="CM",2,(IF(E363="DP",3,(IF(E363="AN",1,(IF(E363="CO",2,(IF(E363="IM",3,(IF(E363="MI",4,(IF(E363="RP",5,(IF(E363="SC",6,0)))))))))))))))))))))))))))))))))))))))</f>
        <v>4</v>
      </c>
      <c r="G363" s="171">
        <v>6</v>
      </c>
      <c r="H363" s="38" t="s">
        <v>511</v>
      </c>
      <c r="I363" s="27" t="s">
        <v>936</v>
      </c>
      <c r="J363" s="163" t="s">
        <v>895</v>
      </c>
      <c r="K363" s="34" t="s">
        <v>1008</v>
      </c>
      <c r="L363" s="66">
        <f>IF(O363="","",N363*O363*M363)</f>
        <v>75</v>
      </c>
      <c r="M363" s="8">
        <v>1</v>
      </c>
      <c r="N363" s="3">
        <v>1</v>
      </c>
      <c r="O363" s="15">
        <f>IF(SUM(Q363:AF363)&lt;1,"",SUM(Q363:AF363)/COUNTIF(Q363:AF363,"&gt;0"))</f>
        <v>75</v>
      </c>
      <c r="P363" s="16"/>
      <c r="Q363" s="13"/>
      <c r="R363" s="4"/>
      <c r="S363" s="4"/>
      <c r="T363" s="4">
        <v>75</v>
      </c>
      <c r="Y363" s="4"/>
      <c r="AB363" s="4"/>
      <c r="AC363" s="4"/>
      <c r="AD363" s="4"/>
      <c r="AE363" s="4"/>
      <c r="AF363" s="14"/>
    </row>
    <row r="364" spans="1:32" s="2" customFormat="1" ht="15.75" customHeight="1" x14ac:dyDescent="0.25">
      <c r="A364" s="33" t="str">
        <f>CONCATENATE(D364,".",F364,"-",G364,".",H364,"")</f>
        <v>1.4-6.1</v>
      </c>
      <c r="B364" s="33" t="s">
        <v>814</v>
      </c>
      <c r="C364" s="39" t="s">
        <v>335</v>
      </c>
      <c r="D364" s="33">
        <f>IF(C364="ID",1,(IF(C364="PR",2,(IF(C364="DE",3,(IF(C364="RS",4,(IF(C364="RC",5,0)))))))))</f>
        <v>1</v>
      </c>
      <c r="E364" s="33" t="s">
        <v>261</v>
      </c>
      <c r="F364" s="33">
        <f>IF(E364="AM",1,(IF(E364="BE",2,(IF(E364="GV",3,(IF(E364="RA",4,(IF(E364="RM",5,(IF(E364="AC",1,(IF(E364="AT",2,(IF(E364="DS",3,(IF(E364="IP",4,(IF(E364="MA",5,(IF(E364="PT",6,(IF(E364="AE",1,(IF(E364="CM",2,(IF(E364="DP",3,(IF(E364="AN",1,(IF(E364="CO",2,(IF(E364="IM",3,(IF(E364="MI",4,(IF(E364="RP",5,(IF(E364="SC",6,0)))))))))))))))))))))))))))))))))))))))</f>
        <v>4</v>
      </c>
      <c r="G364" s="170">
        <v>6</v>
      </c>
      <c r="H364" s="38" t="s">
        <v>511</v>
      </c>
      <c r="I364" s="27" t="s">
        <v>266</v>
      </c>
      <c r="J364" s="149" t="s">
        <v>325</v>
      </c>
      <c r="K364" s="79" t="s">
        <v>1341</v>
      </c>
      <c r="L364" s="66">
        <f>IF(O364="","",N364*O364*M364)</f>
        <v>75</v>
      </c>
      <c r="M364" s="8">
        <v>1</v>
      </c>
      <c r="N364" s="1">
        <v>1</v>
      </c>
      <c r="O364" s="15">
        <f>IF(SUM(Q364:AF364)&lt;1,"",SUM(Q364:AF364)/COUNTIF(Q364:AF364,"&gt;0"))</f>
        <v>75</v>
      </c>
      <c r="P364" s="16"/>
      <c r="Q364" s="13"/>
      <c r="R364" s="4"/>
      <c r="S364" s="4"/>
      <c r="T364" s="4">
        <v>75</v>
      </c>
      <c r="Y364" s="4"/>
      <c r="AB364" s="4"/>
      <c r="AC364" s="4"/>
      <c r="AD364" s="4"/>
      <c r="AE364" s="4"/>
      <c r="AF364" s="14"/>
    </row>
    <row r="365" spans="1:32" s="2" customFormat="1" ht="15.75" customHeight="1" x14ac:dyDescent="0.25">
      <c r="A365" s="33" t="str">
        <f>CONCATENATE(D365,".",F365,"-",G365,".",H365,"")</f>
        <v>1.4-6.1</v>
      </c>
      <c r="B365" s="33"/>
      <c r="C365" s="39" t="s">
        <v>335</v>
      </c>
      <c r="D365" s="33">
        <f>IF(C365="ID",1,(IF(C365="PR",2,(IF(C365="DE",3,(IF(C365="RS",4,(IF(C365="RC",5,0)))))))))</f>
        <v>1</v>
      </c>
      <c r="E365" s="33" t="s">
        <v>261</v>
      </c>
      <c r="F365" s="33">
        <f>IF(E365="AM",1,(IF(E365="BE",2,(IF(E365="GV",3,(IF(E365="RA",4,(IF(E365="RM",5,(IF(E365="AC",1,(IF(E365="AT",2,(IF(E365="DS",3,(IF(E365="IP",4,(IF(E365="MA",5,(IF(E365="PT",6,(IF(E365="AE",1,(IF(E365="CM",2,(IF(E365="DP",3,(IF(E365="AN",1,(IF(E365="CO",2,(IF(E365="IM",3,(IF(E365="MI",4,(IF(E365="RP",5,(IF(E365="SC",6,0)))))))))))))))))))))))))))))))))))))))</f>
        <v>4</v>
      </c>
      <c r="G365" s="170">
        <v>6</v>
      </c>
      <c r="H365" s="38" t="s">
        <v>511</v>
      </c>
      <c r="I365" s="105" t="s">
        <v>1449</v>
      </c>
      <c r="J365" s="157" t="s">
        <v>2501</v>
      </c>
      <c r="K365" s="34" t="s">
        <v>2502</v>
      </c>
      <c r="L365" s="5">
        <f>IF(O365="","",N365*O365*M365)</f>
        <v>99</v>
      </c>
      <c r="M365" s="8">
        <v>1</v>
      </c>
      <c r="N365" s="1">
        <v>1</v>
      </c>
      <c r="O365" s="15">
        <f>IF(SUM(Q365:AF365)&lt;1,"",SUM(Q365:AF365)/COUNTIF(Q365:AF365,"&gt;0"))</f>
        <v>99</v>
      </c>
      <c r="P365" s="16"/>
      <c r="Q365" s="13"/>
      <c r="R365" s="4"/>
      <c r="S365" s="4"/>
      <c r="T365" s="4">
        <v>99</v>
      </c>
      <c r="Y365" s="4"/>
      <c r="AB365" s="4"/>
      <c r="AC365" s="4"/>
      <c r="AD365" s="4"/>
      <c r="AE365" s="4"/>
      <c r="AF365" s="14"/>
    </row>
    <row r="366" spans="1:32" s="2" customFormat="1" ht="15.75" customHeight="1" x14ac:dyDescent="0.25">
      <c r="A366" s="33" t="str">
        <f>CONCATENATE(D366,".",F366,"-",G366,".",H366,"")</f>
        <v>1.5-0.0</v>
      </c>
      <c r="B366" s="33" t="s">
        <v>1229</v>
      </c>
      <c r="C366" s="40" t="s">
        <v>335</v>
      </c>
      <c r="D366" s="33">
        <f>IF(C366="ID",1,(IF(C366="PR",2,(IF(C366="DE",3,(IF(C366="RS",4,(IF(C366="RC",5,0)))))))))</f>
        <v>1</v>
      </c>
      <c r="E366" s="33" t="s">
        <v>342</v>
      </c>
      <c r="F366" s="33">
        <f>IF(E366="AM",1,(IF(E366="BE",2,(IF(E366="GV",3,(IF(E366="RA",4,(IF(E366="RM",5,(IF(E366="AC",1,(IF(E366="AT",2,(IF(E366="DS",3,(IF(E366="IP",4,(IF(E366="MA",5,(IF(E366="PT",6,(IF(E366="AE",1,(IF(E366="CM",2,(IF(E366="DP",3,(IF(E366="AN",1,(IF(E366="CO",2,(IF(E366="IM",3,(IF(E366="MI",4,(IF(E366="RP",5,(IF(E366="SC",6,0)))))))))))))))))))))))))))))))))))))))</f>
        <v>5</v>
      </c>
      <c r="G366" s="170">
        <v>0</v>
      </c>
      <c r="H366" s="38" t="s">
        <v>597</v>
      </c>
      <c r="I366" s="27" t="s">
        <v>1200</v>
      </c>
      <c r="J366" s="164" t="s">
        <v>658</v>
      </c>
      <c r="K366" s="97" t="s">
        <v>732</v>
      </c>
      <c r="L366" s="66" t="str">
        <f>IF(O366="","",N366*O366*M366)</f>
        <v/>
      </c>
      <c r="M366" s="8">
        <v>1</v>
      </c>
      <c r="N366" s="1">
        <v>1</v>
      </c>
      <c r="O366" s="15" t="str">
        <f>IF(SUM(Q366:AF366)&lt;1,"",SUM(Q366:AF366)/COUNTIF(Q366:AF366,"&gt;0"))</f>
        <v/>
      </c>
      <c r="P366" s="16"/>
      <c r="Q366" s="13"/>
      <c r="R366" s="4"/>
      <c r="S366" s="4"/>
      <c r="T366" s="3"/>
      <c r="Y366" s="4"/>
      <c r="AB366" s="4"/>
      <c r="AC366" s="4"/>
      <c r="AD366" s="4"/>
      <c r="AE366" s="4"/>
      <c r="AF366" s="14"/>
    </row>
    <row r="367" spans="1:32" s="2" customFormat="1" ht="15.75" customHeight="1" x14ac:dyDescent="0.25">
      <c r="A367" s="33" t="str">
        <f>CONCATENATE(D367,".",F367,"-",G367,".",H367,"")</f>
        <v>1.5-0.1</v>
      </c>
      <c r="B367" s="33" t="s">
        <v>1229</v>
      </c>
      <c r="C367" s="40" t="s">
        <v>335</v>
      </c>
      <c r="D367" s="33">
        <f>IF(C367="ID",1,(IF(C367="PR",2,(IF(C367="DE",3,(IF(C367="RS",4,(IF(C367="RC",5,0)))))))))</f>
        <v>1</v>
      </c>
      <c r="E367" s="33" t="s">
        <v>342</v>
      </c>
      <c r="F367" s="33">
        <f>IF(E367="AM",1,(IF(E367="BE",2,(IF(E367="GV",3,(IF(E367="RA",4,(IF(E367="RM",5,(IF(E367="AC",1,(IF(E367="AT",2,(IF(E367="DS",3,(IF(E367="IP",4,(IF(E367="MA",5,(IF(E367="PT",6,(IF(E367="AE",1,(IF(E367="CM",2,(IF(E367="DP",3,(IF(E367="AN",1,(IF(E367="CO",2,(IF(E367="IM",3,(IF(E367="MI",4,(IF(E367="RP",5,(IF(E367="SC",6,0)))))))))))))))))))))))))))))))))))))))</f>
        <v>5</v>
      </c>
      <c r="G367" s="170">
        <v>0</v>
      </c>
      <c r="H367" s="38" t="s">
        <v>511</v>
      </c>
      <c r="I367" s="27" t="s">
        <v>1200</v>
      </c>
      <c r="J367" s="164" t="s">
        <v>658</v>
      </c>
      <c r="K367" s="97" t="s">
        <v>749</v>
      </c>
      <c r="L367" s="5" t="str">
        <f>IF(O367="","",N367*O367*M367)</f>
        <v/>
      </c>
      <c r="M367" s="8">
        <v>1</v>
      </c>
      <c r="N367" s="1">
        <v>1</v>
      </c>
      <c r="O367" s="15" t="str">
        <f>IF(SUM(Q367:AF367)&lt;1,"",SUM(Q367:AF367)/COUNTIF(Q367:AF367,"&gt;0"))</f>
        <v/>
      </c>
      <c r="P367" s="16"/>
      <c r="Q367" s="13"/>
      <c r="R367" s="4"/>
      <c r="S367" s="4"/>
      <c r="Y367" s="4"/>
      <c r="AB367" s="4"/>
      <c r="AC367" s="4"/>
      <c r="AD367" s="4"/>
      <c r="AE367" s="4"/>
      <c r="AF367" s="14"/>
    </row>
    <row r="368" spans="1:32" s="2" customFormat="1" ht="15.75" customHeight="1" x14ac:dyDescent="0.25">
      <c r="A368" s="33" t="str">
        <f>CONCATENATE(D368,".",F368,"-",G368,".",H368,"")</f>
        <v>1.5-1.0</v>
      </c>
      <c r="B368" s="33" t="s">
        <v>814</v>
      </c>
      <c r="C368" s="40" t="s">
        <v>335</v>
      </c>
      <c r="D368" s="33">
        <f>IF(C368="ID",1,(IF(C368="PR",2,(IF(C368="DE",3,(IF(C368="RS",4,(IF(C368="RC",5,0)))))))))</f>
        <v>1</v>
      </c>
      <c r="E368" s="33" t="s">
        <v>342</v>
      </c>
      <c r="F368" s="33">
        <f>IF(E368="AM",1,(IF(E368="BE",2,(IF(E368="GV",3,(IF(E368="RA",4,(IF(E368="RM",5,(IF(E368="AC",1,(IF(E368="AT",2,(IF(E368="DS",3,(IF(E368="IP",4,(IF(E368="MA",5,(IF(E368="PT",6,(IF(E368="AE",1,(IF(E368="CM",2,(IF(E368="DP",3,(IF(E368="AN",1,(IF(E368="CO",2,(IF(E368="IM",3,(IF(E368="MI",4,(IF(E368="RP",5,(IF(E368="SC",6,0)))))))))))))))))))))))))))))))))))))))</f>
        <v>5</v>
      </c>
      <c r="G368" s="170">
        <v>1</v>
      </c>
      <c r="H368" s="38" t="s">
        <v>597</v>
      </c>
      <c r="I368" s="27" t="s">
        <v>1200</v>
      </c>
      <c r="J368" s="149" t="s">
        <v>659</v>
      </c>
      <c r="K368" s="97" t="s">
        <v>370</v>
      </c>
      <c r="L368" s="66">
        <f>IF(O368="","",N368*O368*M368)</f>
        <v>75</v>
      </c>
      <c r="M368" s="8">
        <v>1</v>
      </c>
      <c r="N368" s="1">
        <v>1</v>
      </c>
      <c r="O368" s="15">
        <f>IF(SUM(Q368:AF368)&lt;1,"",SUM(Q368:AF368)/COUNTIF(Q368:AF368,"&gt;0"))</f>
        <v>75</v>
      </c>
      <c r="P368" s="16"/>
      <c r="Q368" s="13"/>
      <c r="R368" s="4"/>
      <c r="S368" s="4"/>
      <c r="T368" s="4">
        <v>75</v>
      </c>
      <c r="Y368" s="4"/>
      <c r="AB368" s="4"/>
      <c r="AC368" s="4"/>
      <c r="AD368" s="4"/>
      <c r="AE368" s="4"/>
      <c r="AF368" s="14"/>
    </row>
    <row r="369" spans="1:32" s="2" customFormat="1" ht="15.75" customHeight="1" x14ac:dyDescent="0.25">
      <c r="A369" s="33" t="str">
        <f>CONCATENATE(D369,".",F369,"-",G369,".",H369,"")</f>
        <v>1.5-1.0</v>
      </c>
      <c r="B369" s="33" t="s">
        <v>814</v>
      </c>
      <c r="C369" s="40" t="s">
        <v>335</v>
      </c>
      <c r="D369" s="33">
        <f>IF(C369="ID",1,(IF(C369="PR",2,(IF(C369="DE",3,(IF(C369="RS",4,(IF(C369="RC",5,0)))))))))</f>
        <v>1</v>
      </c>
      <c r="E369" s="33" t="s">
        <v>342</v>
      </c>
      <c r="F369" s="33">
        <f>IF(E369="AM",1,(IF(E369="BE",2,(IF(E369="GV",3,(IF(E369="RA",4,(IF(E369="RM",5,(IF(E369="AC",1,(IF(E369="AT",2,(IF(E369="DS",3,(IF(E369="IP",4,(IF(E369="MA",5,(IF(E369="PT",6,(IF(E369="AE",1,(IF(E369="CM",2,(IF(E369="DP",3,(IF(E369="AN",1,(IF(E369="CO",2,(IF(E369="IM",3,(IF(E369="MI",4,(IF(E369="RP",5,(IF(E369="SC",6,0)))))))))))))))))))))))))))))))))))))))</f>
        <v>5</v>
      </c>
      <c r="G369" s="171">
        <v>1</v>
      </c>
      <c r="H369" s="38" t="s">
        <v>597</v>
      </c>
      <c r="I369" s="27" t="s">
        <v>936</v>
      </c>
      <c r="J369" s="163" t="s">
        <v>884</v>
      </c>
      <c r="K369" s="34" t="s">
        <v>973</v>
      </c>
      <c r="L369" s="66">
        <f>IF(O369="","",N369*O369*M369)</f>
        <v>75</v>
      </c>
      <c r="M369" s="8">
        <v>1</v>
      </c>
      <c r="N369" s="3">
        <v>1</v>
      </c>
      <c r="O369" s="15">
        <f>IF(SUM(Q369:AF369)&lt;1,"",SUM(Q369:AF369)/COUNTIF(Q369:AF369,"&gt;0"))</f>
        <v>75</v>
      </c>
      <c r="P369" s="16"/>
      <c r="Q369" s="13"/>
      <c r="R369" s="4"/>
      <c r="S369" s="4"/>
      <c r="T369" s="4">
        <v>75</v>
      </c>
      <c r="Y369" s="4"/>
      <c r="AB369" s="4"/>
      <c r="AC369" s="4"/>
      <c r="AD369" s="4"/>
      <c r="AE369" s="4"/>
      <c r="AF369" s="14"/>
    </row>
    <row r="370" spans="1:32" s="2" customFormat="1" ht="15.75" customHeight="1" x14ac:dyDescent="0.25">
      <c r="A370" s="33" t="str">
        <f>CONCATENATE(D370,".",F370,"-",G370,".",H370,"")</f>
        <v>1.5-1.1</v>
      </c>
      <c r="B370" s="33" t="s">
        <v>814</v>
      </c>
      <c r="C370" s="39" t="s">
        <v>335</v>
      </c>
      <c r="D370" s="33">
        <f>IF(C370="ID",1,(IF(C370="PR",2,(IF(C370="DE",3,(IF(C370="RS",4,(IF(C370="RC",5,0)))))))))</f>
        <v>1</v>
      </c>
      <c r="E370" s="33" t="s">
        <v>342</v>
      </c>
      <c r="F370" s="33">
        <f>IF(E370="AM",1,(IF(E370="BE",2,(IF(E370="GV",3,(IF(E370="RA",4,(IF(E370="RM",5,(IF(E370="AC",1,(IF(E370="AT",2,(IF(E370="DS",3,(IF(E370="IP",4,(IF(E370="MA",5,(IF(E370="PT",6,(IF(E370="AE",1,(IF(E370="CM",2,(IF(E370="DP",3,(IF(E370="AN",1,(IF(E370="CO",2,(IF(E370="IM",3,(IF(E370="MI",4,(IF(E370="RP",5,(IF(E370="SC",6,0)))))))))))))))))))))))))))))))))))))))</f>
        <v>5</v>
      </c>
      <c r="G370" s="170">
        <v>1</v>
      </c>
      <c r="H370" s="38" t="s">
        <v>511</v>
      </c>
      <c r="I370" s="105" t="s">
        <v>821</v>
      </c>
      <c r="J370" s="150" t="s">
        <v>70</v>
      </c>
      <c r="K370" s="79" t="s">
        <v>1283</v>
      </c>
      <c r="L370" s="66">
        <f>IF(O370="","",N370*O370*M370)</f>
        <v>75</v>
      </c>
      <c r="M370" s="8">
        <v>1</v>
      </c>
      <c r="N370" s="3">
        <v>1</v>
      </c>
      <c r="O370" s="15">
        <f>IF(SUM(Q370:AF370)&lt;1,"",SUM(Q370:AF370)/COUNTIF(Q370:AF370,"&gt;0"))</f>
        <v>75</v>
      </c>
      <c r="P370" s="16"/>
      <c r="Q370" s="13"/>
      <c r="R370" s="4"/>
      <c r="S370" s="4"/>
      <c r="T370" s="4">
        <v>75</v>
      </c>
      <c r="Y370" s="4"/>
      <c r="AB370" s="4"/>
      <c r="AC370" s="4"/>
      <c r="AD370" s="4"/>
      <c r="AE370" s="4"/>
      <c r="AF370" s="14"/>
    </row>
    <row r="371" spans="1:32" s="2" customFormat="1" ht="15.75" customHeight="1" x14ac:dyDescent="0.25">
      <c r="A371" s="33" t="str">
        <f>CONCATENATE(D371,".",F371,"-",G371,".",H371,"")</f>
        <v>1.5-1.1</v>
      </c>
      <c r="B371" s="33" t="s">
        <v>814</v>
      </c>
      <c r="C371" s="39" t="s">
        <v>335</v>
      </c>
      <c r="D371" s="33">
        <f>IF(C371="ID",1,(IF(C371="PR",2,(IF(C371="DE",3,(IF(C371="RS",4,(IF(C371="RC",5,0)))))))))</f>
        <v>1</v>
      </c>
      <c r="E371" s="33" t="s">
        <v>342</v>
      </c>
      <c r="F371" s="33">
        <f>IF(E371="AM",1,(IF(E371="BE",2,(IF(E371="GV",3,(IF(E371="RA",4,(IF(E371="RM",5,(IF(E371="AC",1,(IF(E371="AT",2,(IF(E371="DS",3,(IF(E371="IP",4,(IF(E371="MA",5,(IF(E371="PT",6,(IF(E371="AE",1,(IF(E371="CM",2,(IF(E371="DP",3,(IF(E371="AN",1,(IF(E371="CO",2,(IF(E371="IM",3,(IF(E371="MI",4,(IF(E371="RP",5,(IF(E371="SC",6,0)))))))))))))))))))))))))))))))))))))))</f>
        <v>5</v>
      </c>
      <c r="G371" s="170">
        <v>1</v>
      </c>
      <c r="H371" s="33">
        <v>1</v>
      </c>
      <c r="I371" s="27" t="s">
        <v>266</v>
      </c>
      <c r="J371" s="150" t="s">
        <v>12</v>
      </c>
      <c r="K371" s="79" t="s">
        <v>1389</v>
      </c>
      <c r="L371" s="5">
        <f>IF(O371="","",N371*O371*M371)</f>
        <v>75</v>
      </c>
      <c r="M371" s="8">
        <v>1</v>
      </c>
      <c r="N371" s="1">
        <v>1</v>
      </c>
      <c r="O371" s="15">
        <f>IF(SUM(Q371:AF371)&lt;1,"",SUM(Q371:AF371)/COUNTIF(Q371:AF371,"&gt;0"))</f>
        <v>75</v>
      </c>
      <c r="P371" s="16"/>
      <c r="Q371" s="13"/>
      <c r="R371" s="3"/>
      <c r="S371" s="3"/>
      <c r="T371" s="4">
        <v>75</v>
      </c>
      <c r="U371" s="3"/>
      <c r="V371" s="3"/>
      <c r="W371" s="3"/>
      <c r="X371" s="3"/>
      <c r="Y371" s="3"/>
      <c r="Z371" s="3"/>
      <c r="AA371" s="3"/>
      <c r="AB371" s="3"/>
      <c r="AC371" s="3"/>
      <c r="AD371" s="3"/>
      <c r="AE371" s="3"/>
      <c r="AF371" s="104"/>
    </row>
    <row r="372" spans="1:32" s="2" customFormat="1" ht="15.75" customHeight="1" x14ac:dyDescent="0.25">
      <c r="A372" s="33" t="str">
        <f>CONCATENATE(D372,".",F372,"-",G372,".",H372,"")</f>
        <v>1.5-1.1</v>
      </c>
      <c r="B372" s="33" t="s">
        <v>814</v>
      </c>
      <c r="C372" s="39" t="s">
        <v>335</v>
      </c>
      <c r="D372" s="33">
        <f>IF(C372="ID",1,(IF(C372="PR",2,(IF(C372="DE",3,(IF(C372="RS",4,(IF(C372="RC",5,0)))))))))</f>
        <v>1</v>
      </c>
      <c r="E372" s="33" t="s">
        <v>342</v>
      </c>
      <c r="F372" s="33">
        <f>IF(E372="AM",1,(IF(E372="BE",2,(IF(E372="GV",3,(IF(E372="RA",4,(IF(E372="RM",5,(IF(E372="AC",1,(IF(E372="AT",2,(IF(E372="DS",3,(IF(E372="IP",4,(IF(E372="MA",5,(IF(E372="PT",6,(IF(E372="AE",1,(IF(E372="CM",2,(IF(E372="DP",3,(IF(E372="AN",1,(IF(E372="CO",2,(IF(E372="IM",3,(IF(E372="MI",4,(IF(E372="RP",5,(IF(E372="SC",6,0)))))))))))))))))))))))))))))))))))))))</f>
        <v>5</v>
      </c>
      <c r="G372" s="170">
        <v>1</v>
      </c>
      <c r="H372" s="38" t="s">
        <v>511</v>
      </c>
      <c r="I372" s="27" t="s">
        <v>266</v>
      </c>
      <c r="J372" s="149" t="s">
        <v>79</v>
      </c>
      <c r="K372" s="79" t="s">
        <v>1395</v>
      </c>
      <c r="L372" s="5">
        <f>IF(O372="","",N372*O372*M372)</f>
        <v>75</v>
      </c>
      <c r="M372" s="8">
        <v>1</v>
      </c>
      <c r="N372" s="1">
        <v>1</v>
      </c>
      <c r="O372" s="15">
        <f>IF(SUM(Q372:AF372)&lt;1,"",SUM(Q372:AF372)/COUNTIF(Q372:AF372,"&gt;0"))</f>
        <v>75</v>
      </c>
      <c r="P372" s="16"/>
      <c r="Q372" s="13"/>
      <c r="R372" s="4"/>
      <c r="S372" s="4"/>
      <c r="T372" s="4">
        <v>75</v>
      </c>
      <c r="Y372" s="4"/>
      <c r="AB372" s="4"/>
      <c r="AC372" s="4"/>
      <c r="AD372" s="4"/>
      <c r="AE372" s="4"/>
      <c r="AF372" s="14"/>
    </row>
    <row r="373" spans="1:32" s="2" customFormat="1" ht="15.75" customHeight="1" x14ac:dyDescent="0.25">
      <c r="A373" s="33" t="str">
        <f>CONCATENATE(D373,".",F373,"-",G373,".",H373,"")</f>
        <v>1.5-1.1</v>
      </c>
      <c r="B373" s="33" t="s">
        <v>1232</v>
      </c>
      <c r="C373" s="40" t="s">
        <v>335</v>
      </c>
      <c r="D373" s="33">
        <f>IF(C373="ID",1,(IF(C373="PR",2,(IF(C373="DE",3,(IF(C373="RS",4,(IF(C373="RC",5,0)))))))))</f>
        <v>1</v>
      </c>
      <c r="E373" s="33" t="s">
        <v>342</v>
      </c>
      <c r="F373" s="33">
        <f>IF(E373="AM",1,(IF(E373="BE",2,(IF(E373="GV",3,(IF(E373="RA",4,(IF(E373="RM",5,(IF(E373="AC",1,(IF(E373="AT",2,(IF(E373="DS",3,(IF(E373="IP",4,(IF(E373="MA",5,(IF(E373="PT",6,(IF(E373="AE",1,(IF(E373="CM",2,(IF(E373="DP",3,(IF(E373="AN",1,(IF(E373="CO",2,(IF(E373="IM",3,(IF(E373="MI",4,(IF(E373="RP",5,(IF(E373="SC",6,0)))))))))))))))))))))))))))))))))))))))</f>
        <v>5</v>
      </c>
      <c r="G373" s="170">
        <v>1</v>
      </c>
      <c r="H373" s="38" t="s">
        <v>511</v>
      </c>
      <c r="I373" s="105" t="s">
        <v>821</v>
      </c>
      <c r="J373" s="150" t="s">
        <v>837</v>
      </c>
      <c r="K373" s="79" t="s">
        <v>1283</v>
      </c>
      <c r="L373" s="66">
        <f>IF(O373="","",N373*O373*M373)</f>
        <v>75</v>
      </c>
      <c r="M373" s="8">
        <v>1</v>
      </c>
      <c r="N373" s="3">
        <v>1</v>
      </c>
      <c r="O373" s="15">
        <f>IF(SUM(Q373:AF373)&lt;1,"",SUM(Q373:AF373)/COUNTIF(Q373:AF373,"&gt;0"))</f>
        <v>75</v>
      </c>
      <c r="P373" s="16"/>
      <c r="Q373" s="13"/>
      <c r="R373" s="4"/>
      <c r="S373" s="4"/>
      <c r="T373" s="4">
        <v>75</v>
      </c>
      <c r="Y373" s="4"/>
      <c r="AB373" s="4"/>
      <c r="AC373" s="4"/>
      <c r="AD373" s="4"/>
      <c r="AE373" s="4"/>
      <c r="AF373" s="14"/>
    </row>
    <row r="374" spans="1:32" s="2" customFormat="1" ht="15.75" customHeight="1" x14ac:dyDescent="0.25">
      <c r="A374" s="33" t="str">
        <f>CONCATENATE(D374,".",F374,"-",G374,".",H374,"")</f>
        <v>1.5-1.1</v>
      </c>
      <c r="B374" s="33" t="s">
        <v>1232</v>
      </c>
      <c r="C374" s="40" t="s">
        <v>335</v>
      </c>
      <c r="D374" s="33">
        <f>IF(C374="ID",1,(IF(C374="PR",2,(IF(C374="DE",3,(IF(C374="RS",4,(IF(C374="RC",5,0)))))))))</f>
        <v>1</v>
      </c>
      <c r="E374" s="33" t="s">
        <v>342</v>
      </c>
      <c r="F374" s="33">
        <f>IF(E374="AM",1,(IF(E374="BE",2,(IF(E374="GV",3,(IF(E374="RA",4,(IF(E374="RM",5,(IF(E374="AC",1,(IF(E374="AT",2,(IF(E374="DS",3,(IF(E374="IP",4,(IF(E374="MA",5,(IF(E374="PT",6,(IF(E374="AE",1,(IF(E374="CM",2,(IF(E374="DP",3,(IF(E374="AN",1,(IF(E374="CO",2,(IF(E374="IM",3,(IF(E374="MI",4,(IF(E374="RP",5,(IF(E374="SC",6,0)))))))))))))))))))))))))))))))))))))))</f>
        <v>5</v>
      </c>
      <c r="G374" s="170">
        <v>1</v>
      </c>
      <c r="H374" s="38" t="s">
        <v>511</v>
      </c>
      <c r="I374" s="105" t="s">
        <v>821</v>
      </c>
      <c r="J374" s="150" t="s">
        <v>840</v>
      </c>
      <c r="K374" s="79" t="s">
        <v>1283</v>
      </c>
      <c r="L374" s="66">
        <f>IF(O374="","",N374*O374*M374)</f>
        <v>75</v>
      </c>
      <c r="M374" s="8">
        <v>1</v>
      </c>
      <c r="N374" s="3">
        <v>1</v>
      </c>
      <c r="O374" s="15">
        <f>IF(SUM(Q374:AF374)&lt;1,"",SUM(Q374:AF374)/COUNTIF(Q374:AF374,"&gt;0"))</f>
        <v>75</v>
      </c>
      <c r="P374" s="16"/>
      <c r="Q374" s="13"/>
      <c r="R374" s="4"/>
      <c r="S374" s="4"/>
      <c r="T374" s="4">
        <v>75</v>
      </c>
      <c r="Y374" s="4"/>
      <c r="AB374" s="4"/>
      <c r="AC374" s="4"/>
      <c r="AD374" s="4"/>
      <c r="AE374" s="4"/>
      <c r="AF374" s="14"/>
    </row>
    <row r="375" spans="1:32" s="2" customFormat="1" ht="15.75" customHeight="1" x14ac:dyDescent="0.25">
      <c r="A375" s="33" t="str">
        <f>CONCATENATE(D375,".",F375,"-",G375,".",H375,"")</f>
        <v>1.5-2.0</v>
      </c>
      <c r="B375" s="33" t="s">
        <v>814</v>
      </c>
      <c r="C375" s="40" t="s">
        <v>335</v>
      </c>
      <c r="D375" s="33">
        <f>IF(C375="ID",1,(IF(C375="PR",2,(IF(C375="DE",3,(IF(C375="RS",4,(IF(C375="RC",5,0)))))))))</f>
        <v>1</v>
      </c>
      <c r="E375" s="33" t="s">
        <v>342</v>
      </c>
      <c r="F375" s="33">
        <f>IF(E375="AM",1,(IF(E375="BE",2,(IF(E375="GV",3,(IF(E375="RA",4,(IF(E375="RM",5,(IF(E375="AC",1,(IF(E375="AT",2,(IF(E375="DS",3,(IF(E375="IP",4,(IF(E375="MA",5,(IF(E375="PT",6,(IF(E375="AE",1,(IF(E375="CM",2,(IF(E375="DP",3,(IF(E375="AN",1,(IF(E375="CO",2,(IF(E375="IM",3,(IF(E375="MI",4,(IF(E375="RP",5,(IF(E375="SC",6,0)))))))))))))))))))))))))))))))))))))))</f>
        <v>5</v>
      </c>
      <c r="G375" s="170">
        <v>2</v>
      </c>
      <c r="H375" s="38" t="s">
        <v>597</v>
      </c>
      <c r="I375" s="27" t="s">
        <v>1200</v>
      </c>
      <c r="J375" s="149" t="s">
        <v>660</v>
      </c>
      <c r="K375" s="97" t="s">
        <v>371</v>
      </c>
      <c r="L375" s="66">
        <f>IF(O375="","",N375*O375*M375)</f>
        <v>75</v>
      </c>
      <c r="M375" s="8">
        <v>1</v>
      </c>
      <c r="N375" s="1">
        <v>1</v>
      </c>
      <c r="O375" s="15">
        <f>IF(SUM(Q375:AF375)&lt;1,"",SUM(Q375:AF375)/COUNTIF(Q375:AF375,"&gt;0"))</f>
        <v>75</v>
      </c>
      <c r="P375" s="16"/>
      <c r="Q375" s="13"/>
      <c r="R375" s="4"/>
      <c r="S375" s="4"/>
      <c r="T375" s="4">
        <v>75</v>
      </c>
      <c r="Y375" s="4"/>
      <c r="AB375" s="4"/>
      <c r="AC375" s="4"/>
      <c r="AD375" s="4"/>
      <c r="AE375" s="4"/>
      <c r="AF375" s="14"/>
    </row>
    <row r="376" spans="1:32" s="4" customFormat="1" ht="15.75" customHeight="1" x14ac:dyDescent="0.25">
      <c r="A376" s="33" t="str">
        <f>CONCATENATE(D376,".",F376,"-",G376,".",H376,"")</f>
        <v>1.5-2.1</v>
      </c>
      <c r="B376" s="33" t="s">
        <v>814</v>
      </c>
      <c r="C376" s="39" t="s">
        <v>335</v>
      </c>
      <c r="D376" s="33">
        <f>IF(C376="ID",1,(IF(C376="PR",2,(IF(C376="DE",3,(IF(C376="RS",4,(IF(C376="RC",5,0)))))))))</f>
        <v>1</v>
      </c>
      <c r="E376" s="33" t="s">
        <v>342</v>
      </c>
      <c r="F376" s="33">
        <f>IF(E376="AM",1,(IF(E376="BE",2,(IF(E376="GV",3,(IF(E376="RA",4,(IF(E376="RM",5,(IF(E376="AC",1,(IF(E376="AT",2,(IF(E376="DS",3,(IF(E376="IP",4,(IF(E376="MA",5,(IF(E376="PT",6,(IF(E376="AE",1,(IF(E376="CM",2,(IF(E376="DP",3,(IF(E376="AN",1,(IF(E376="CO",2,(IF(E376="IM",3,(IF(E376="MI",4,(IF(E376="RP",5,(IF(E376="SC",6,0)))))))))))))))))))))))))))))))))))))))</f>
        <v>5</v>
      </c>
      <c r="G376" s="170">
        <v>2</v>
      </c>
      <c r="H376" s="33">
        <v>1</v>
      </c>
      <c r="I376" s="27" t="s">
        <v>266</v>
      </c>
      <c r="J376" s="150" t="s">
        <v>12</v>
      </c>
      <c r="K376" s="79" t="s">
        <v>1389</v>
      </c>
      <c r="L376" s="5">
        <f>IF(O376="","",N376*O376*M376)</f>
        <v>75</v>
      </c>
      <c r="M376" s="8">
        <v>1</v>
      </c>
      <c r="N376" s="1">
        <v>1</v>
      </c>
      <c r="O376" s="15">
        <f>IF(SUM(Q376:AF376)&lt;1,"",SUM(Q376:AF376)/COUNTIF(Q376:AF376,"&gt;0"))</f>
        <v>75</v>
      </c>
      <c r="P376" s="16"/>
      <c r="Q376" s="13"/>
      <c r="R376" s="3"/>
      <c r="S376" s="3"/>
      <c r="T376" s="4">
        <v>75</v>
      </c>
      <c r="U376" s="3"/>
      <c r="V376" s="3"/>
      <c r="W376" s="3"/>
      <c r="X376" s="3"/>
      <c r="Y376" s="3"/>
      <c r="Z376" s="3"/>
      <c r="AA376" s="3"/>
      <c r="AB376" s="3"/>
      <c r="AC376" s="3"/>
      <c r="AD376" s="3"/>
      <c r="AE376" s="3"/>
      <c r="AF376" s="104"/>
    </row>
    <row r="377" spans="1:32" s="4" customFormat="1" ht="15.75" customHeight="1" x14ac:dyDescent="0.25">
      <c r="A377" s="33" t="str">
        <f>CONCATENATE(D377,".",F377,"-",G377,".",H377,"")</f>
        <v>1.5-3.0</v>
      </c>
      <c r="B377" s="33" t="s">
        <v>814</v>
      </c>
      <c r="C377" s="40" t="s">
        <v>335</v>
      </c>
      <c r="D377" s="33">
        <f>IF(C377="ID",1,(IF(C377="PR",2,(IF(C377="DE",3,(IF(C377="RS",4,(IF(C377="RC",5,0)))))))))</f>
        <v>1</v>
      </c>
      <c r="E377" s="33" t="s">
        <v>342</v>
      </c>
      <c r="F377" s="33">
        <f>IF(E377="AM",1,(IF(E377="BE",2,(IF(E377="GV",3,(IF(E377="RA",4,(IF(E377="RM",5,(IF(E377="AC",1,(IF(E377="AT",2,(IF(E377="DS",3,(IF(E377="IP",4,(IF(E377="MA",5,(IF(E377="PT",6,(IF(E377="AE",1,(IF(E377="CM",2,(IF(E377="DP",3,(IF(E377="AN",1,(IF(E377="CO",2,(IF(E377="IM",3,(IF(E377="MI",4,(IF(E377="RP",5,(IF(E377="SC",6,0)))))))))))))))))))))))))))))))))))))))</f>
        <v>5</v>
      </c>
      <c r="G377" s="170">
        <v>3</v>
      </c>
      <c r="H377" s="38" t="s">
        <v>597</v>
      </c>
      <c r="I377" s="27" t="s">
        <v>1200</v>
      </c>
      <c r="J377" s="149" t="s">
        <v>661</v>
      </c>
      <c r="K377" s="97" t="s">
        <v>372</v>
      </c>
      <c r="L377" s="66">
        <f>IF(O377="","",N377*O377*M377)</f>
        <v>75</v>
      </c>
      <c r="M377" s="8">
        <v>1</v>
      </c>
      <c r="N377" s="1">
        <v>1</v>
      </c>
      <c r="O377" s="15">
        <f>IF(SUM(Q377:AF377)&lt;1,"",SUM(Q377:AF377)/COUNTIF(Q377:AF377,"&gt;0"))</f>
        <v>75</v>
      </c>
      <c r="P377" s="16"/>
      <c r="Q377" s="13"/>
      <c r="T377" s="4">
        <v>75</v>
      </c>
      <c r="U377" s="2"/>
      <c r="V377" s="2"/>
      <c r="W377" s="2"/>
      <c r="X377" s="2"/>
      <c r="Z377" s="2"/>
      <c r="AA377" s="2"/>
      <c r="AF377" s="14"/>
    </row>
    <row r="378" spans="1:32" s="4" customFormat="1" ht="15.75" customHeight="1" x14ac:dyDescent="0.25">
      <c r="A378" s="33" t="str">
        <f>CONCATENATE(D378,".",F378,"-",G378,".",H378,"")</f>
        <v>1.5-3.1</v>
      </c>
      <c r="B378" s="33" t="s">
        <v>814</v>
      </c>
      <c r="C378" s="40" t="s">
        <v>335</v>
      </c>
      <c r="D378" s="33">
        <f>IF(C378="ID",1,(IF(C378="PR",2,(IF(C378="DE",3,(IF(C378="RS",4,(IF(C378="RC",5,0)))))))))</f>
        <v>1</v>
      </c>
      <c r="E378" s="33" t="s">
        <v>342</v>
      </c>
      <c r="F378" s="33">
        <f>IF(E378="AM",1,(IF(E378="BE",2,(IF(E378="GV",3,(IF(E378="RA",4,(IF(E378="RM",5,(IF(E378="AC",1,(IF(E378="AT",2,(IF(E378="DS",3,(IF(E378="IP",4,(IF(E378="MA",5,(IF(E378="PT",6,(IF(E378="AE",1,(IF(E378="CM",2,(IF(E378="DP",3,(IF(E378="AN",1,(IF(E378="CO",2,(IF(E378="IM",3,(IF(E378="MI",4,(IF(E378="RP",5,(IF(E378="SC",6,0)))))))))))))))))))))))))))))))))))))))</f>
        <v>5</v>
      </c>
      <c r="G378" s="171">
        <v>3</v>
      </c>
      <c r="H378" s="38" t="s">
        <v>511</v>
      </c>
      <c r="I378" s="27" t="s">
        <v>936</v>
      </c>
      <c r="J378" s="163" t="s">
        <v>885</v>
      </c>
      <c r="K378" s="34" t="s">
        <v>985</v>
      </c>
      <c r="L378" s="66">
        <f>IF(O378="","",N378*O378*M378)</f>
        <v>75</v>
      </c>
      <c r="M378" s="8">
        <v>1</v>
      </c>
      <c r="N378" s="3">
        <v>1</v>
      </c>
      <c r="O378" s="15">
        <f>IF(SUM(Q378:AF378)&lt;1,"",SUM(Q378:AF378)/COUNTIF(Q378:AF378,"&gt;0"))</f>
        <v>75</v>
      </c>
      <c r="P378" s="16"/>
      <c r="Q378" s="13"/>
      <c r="T378" s="4">
        <v>75</v>
      </c>
      <c r="U378" s="2"/>
      <c r="V378" s="2"/>
      <c r="W378" s="2"/>
      <c r="X378" s="2"/>
      <c r="Z378" s="2"/>
      <c r="AA378" s="2"/>
      <c r="AF378" s="14"/>
    </row>
    <row r="379" spans="1:32" s="4" customFormat="1" ht="15.75" customHeight="1" x14ac:dyDescent="0.25">
      <c r="A379" s="33" t="str">
        <f>CONCATENATE(D379,".",F379,"-",G379,".",H379,"")</f>
        <v>1.5-3.1</v>
      </c>
      <c r="B379" s="33" t="s">
        <v>814</v>
      </c>
      <c r="C379" s="40" t="s">
        <v>335</v>
      </c>
      <c r="D379" s="33">
        <f>IF(C379="ID",1,(IF(C379="PR",2,(IF(C379="DE",3,(IF(C379="RS",4,(IF(C379="RC",5,0)))))))))</f>
        <v>1</v>
      </c>
      <c r="E379" s="33" t="s">
        <v>342</v>
      </c>
      <c r="F379" s="33">
        <f>IF(E379="AM",1,(IF(E379="BE",2,(IF(E379="GV",3,(IF(E379="RA",4,(IF(E379="RM",5,(IF(E379="AC",1,(IF(E379="AT",2,(IF(E379="DS",3,(IF(E379="IP",4,(IF(E379="MA",5,(IF(E379="PT",6,(IF(E379="AE",1,(IF(E379="CM",2,(IF(E379="DP",3,(IF(E379="AN",1,(IF(E379="CO",2,(IF(E379="IM",3,(IF(E379="MI",4,(IF(E379="RP",5,(IF(E379="SC",6,0)))))))))))))))))))))))))))))))))))))))</f>
        <v>5</v>
      </c>
      <c r="G379" s="171">
        <v>3</v>
      </c>
      <c r="H379" s="38" t="s">
        <v>511</v>
      </c>
      <c r="I379" s="27" t="s">
        <v>936</v>
      </c>
      <c r="J379" s="163" t="s">
        <v>881</v>
      </c>
      <c r="K379" s="34" t="s">
        <v>986</v>
      </c>
      <c r="L379" s="66">
        <f>IF(O379="","",N379*O379*M379)</f>
        <v>75</v>
      </c>
      <c r="M379" s="8">
        <v>1</v>
      </c>
      <c r="N379" s="3">
        <v>1</v>
      </c>
      <c r="O379" s="15">
        <f>IF(SUM(Q379:AF379)&lt;1,"",SUM(Q379:AF379)/COUNTIF(Q379:AF379,"&gt;0"))</f>
        <v>75</v>
      </c>
      <c r="P379" s="16"/>
      <c r="Q379" s="13"/>
      <c r="T379" s="4">
        <v>75</v>
      </c>
      <c r="U379" s="2"/>
      <c r="V379" s="2"/>
      <c r="W379" s="2"/>
      <c r="X379" s="2"/>
      <c r="Z379" s="2"/>
      <c r="AA379" s="2"/>
      <c r="AF379" s="14"/>
    </row>
    <row r="380" spans="1:32" s="4" customFormat="1" ht="15.75" customHeight="1" x14ac:dyDescent="0.25">
      <c r="A380" s="33" t="str">
        <f>CONCATENATE(D380,".",F380,"-",G380,".",H380,"")</f>
        <v>1.5-3.1</v>
      </c>
      <c r="B380" s="33" t="s">
        <v>814</v>
      </c>
      <c r="C380" s="40" t="s">
        <v>335</v>
      </c>
      <c r="D380" s="33">
        <f>IF(C380="ID",1,(IF(C380="PR",2,(IF(C380="DE",3,(IF(C380="RS",4,(IF(C380="RC",5,0)))))))))</f>
        <v>1</v>
      </c>
      <c r="E380" s="33" t="s">
        <v>342</v>
      </c>
      <c r="F380" s="33">
        <f>IF(E380="AM",1,(IF(E380="BE",2,(IF(E380="GV",3,(IF(E380="RA",4,(IF(E380="RM",5,(IF(E380="AC",1,(IF(E380="AT",2,(IF(E380="DS",3,(IF(E380="IP",4,(IF(E380="MA",5,(IF(E380="PT",6,(IF(E380="AE",1,(IF(E380="CM",2,(IF(E380="DP",3,(IF(E380="AN",1,(IF(E380="CO",2,(IF(E380="IM",3,(IF(E380="MI",4,(IF(E380="RP",5,(IF(E380="SC",6,0)))))))))))))))))))))))))))))))))))))))</f>
        <v>5</v>
      </c>
      <c r="G380" s="171">
        <v>3</v>
      </c>
      <c r="H380" s="38" t="s">
        <v>511</v>
      </c>
      <c r="I380" s="27" t="s">
        <v>936</v>
      </c>
      <c r="J380" s="163" t="s">
        <v>877</v>
      </c>
      <c r="K380" s="34" t="s">
        <v>989</v>
      </c>
      <c r="L380" s="66">
        <f>IF(O380="","",N380*O380*M380)</f>
        <v>75</v>
      </c>
      <c r="M380" s="8">
        <v>1</v>
      </c>
      <c r="N380" s="3">
        <v>1</v>
      </c>
      <c r="O380" s="15">
        <f>IF(SUM(Q380:AF380)&lt;1,"",SUM(Q380:AF380)/COUNTIF(Q380:AF380,"&gt;0"))</f>
        <v>75</v>
      </c>
      <c r="P380" s="16"/>
      <c r="Q380" s="13"/>
      <c r="T380" s="4">
        <v>75</v>
      </c>
      <c r="U380" s="2"/>
      <c r="V380" s="2"/>
      <c r="W380" s="2"/>
      <c r="X380" s="2"/>
      <c r="Z380" s="2"/>
      <c r="AA380" s="2"/>
      <c r="AF380" s="14"/>
    </row>
    <row r="381" spans="1:32" s="4" customFormat="1" ht="15.75" customHeight="1" x14ac:dyDescent="0.25">
      <c r="A381" s="33" t="str">
        <f>CONCATENATE(D381,".",F381,"-",G381,".",H381,"")</f>
        <v>1.5-3.1</v>
      </c>
      <c r="B381" s="33" t="s">
        <v>814</v>
      </c>
      <c r="C381" s="40" t="s">
        <v>335</v>
      </c>
      <c r="D381" s="33">
        <f>IF(C381="ID",1,(IF(C381="PR",2,(IF(C381="DE",3,(IF(C381="RS",4,(IF(C381="RC",5,0)))))))))</f>
        <v>1</v>
      </c>
      <c r="E381" s="33" t="s">
        <v>342</v>
      </c>
      <c r="F381" s="33">
        <f>IF(E381="AM",1,(IF(E381="BE",2,(IF(E381="GV",3,(IF(E381="RA",4,(IF(E381="RM",5,(IF(E381="AC",1,(IF(E381="AT",2,(IF(E381="DS",3,(IF(E381="IP",4,(IF(E381="MA",5,(IF(E381="PT",6,(IF(E381="AE",1,(IF(E381="CM",2,(IF(E381="DP",3,(IF(E381="AN",1,(IF(E381="CO",2,(IF(E381="IM",3,(IF(E381="MI",4,(IF(E381="RP",5,(IF(E381="SC",6,0)))))))))))))))))))))))))))))))))))))))</f>
        <v>5</v>
      </c>
      <c r="G381" s="171">
        <v>3</v>
      </c>
      <c r="H381" s="38" t="s">
        <v>511</v>
      </c>
      <c r="I381" s="27" t="s">
        <v>936</v>
      </c>
      <c r="J381" s="163" t="s">
        <v>867</v>
      </c>
      <c r="K381" s="34" t="s">
        <v>991</v>
      </c>
      <c r="L381" s="66">
        <f>IF(O381="","",N381*O381*M381)</f>
        <v>75</v>
      </c>
      <c r="M381" s="8">
        <v>1</v>
      </c>
      <c r="N381" s="3">
        <v>1</v>
      </c>
      <c r="O381" s="15">
        <f>IF(SUM(Q381:AF381)&lt;1,"",SUM(Q381:AF381)/COUNTIF(Q381:AF381,"&gt;0"))</f>
        <v>75</v>
      </c>
      <c r="P381" s="16"/>
      <c r="Q381" s="13"/>
      <c r="T381" s="4">
        <v>75</v>
      </c>
      <c r="U381" s="2"/>
      <c r="V381" s="2"/>
      <c r="W381" s="2"/>
      <c r="X381" s="2"/>
      <c r="Z381" s="2"/>
      <c r="AA381" s="2"/>
      <c r="AF381" s="14"/>
    </row>
    <row r="382" spans="1:32" s="2" customFormat="1" ht="15.75" customHeight="1" x14ac:dyDescent="0.25">
      <c r="A382" s="33" t="str">
        <f>CONCATENATE(D382,".",F382,"-",G382,".",H382,"")</f>
        <v>1.5-3.1</v>
      </c>
      <c r="B382" s="33" t="s">
        <v>814</v>
      </c>
      <c r="C382" s="40" t="s">
        <v>335</v>
      </c>
      <c r="D382" s="33">
        <f>IF(C382="ID",1,(IF(C382="PR",2,(IF(C382="DE",3,(IF(C382="RS",4,(IF(C382="RC",5,0)))))))))</f>
        <v>1</v>
      </c>
      <c r="E382" s="33" t="s">
        <v>342</v>
      </c>
      <c r="F382" s="33">
        <f>IF(E382="AM",1,(IF(E382="BE",2,(IF(E382="GV",3,(IF(E382="RA",4,(IF(E382="RM",5,(IF(E382="AC",1,(IF(E382="AT",2,(IF(E382="DS",3,(IF(E382="IP",4,(IF(E382="MA",5,(IF(E382="PT",6,(IF(E382="AE",1,(IF(E382="CM",2,(IF(E382="DP",3,(IF(E382="AN",1,(IF(E382="CO",2,(IF(E382="IM",3,(IF(E382="MI",4,(IF(E382="RP",5,(IF(E382="SC",6,0)))))))))))))))))))))))))))))))))))))))</f>
        <v>5</v>
      </c>
      <c r="G382" s="171">
        <v>3</v>
      </c>
      <c r="H382" s="38" t="s">
        <v>511</v>
      </c>
      <c r="I382" s="27" t="s">
        <v>936</v>
      </c>
      <c r="J382" s="163" t="s">
        <v>878</v>
      </c>
      <c r="K382" s="34" t="s">
        <v>938</v>
      </c>
      <c r="L382" s="66">
        <f>IF(O382="","",N382*O382*M382)</f>
        <v>75</v>
      </c>
      <c r="M382" s="8">
        <v>1</v>
      </c>
      <c r="N382" s="3">
        <v>1</v>
      </c>
      <c r="O382" s="15">
        <f>IF(SUM(Q382:AF382)&lt;1,"",SUM(Q382:AF382)/COUNTIF(Q382:AF382,"&gt;0"))</f>
        <v>75</v>
      </c>
      <c r="P382" s="16"/>
      <c r="Q382" s="13"/>
      <c r="R382" s="4"/>
      <c r="S382" s="4"/>
      <c r="T382" s="4">
        <v>75</v>
      </c>
      <c r="Y382" s="4"/>
      <c r="AB382" s="4"/>
      <c r="AC382" s="4"/>
      <c r="AD382" s="4"/>
      <c r="AE382" s="4"/>
      <c r="AF382" s="14"/>
    </row>
    <row r="383" spans="1:32" s="4" customFormat="1" ht="15.75" customHeight="1" x14ac:dyDescent="0.25">
      <c r="A383" s="33" t="str">
        <f>CONCATENATE(D383,".",F383,"-",G383,".",H383,"")</f>
        <v>1.5-3.1</v>
      </c>
      <c r="B383" s="33" t="s">
        <v>814</v>
      </c>
      <c r="C383" s="39" t="s">
        <v>335</v>
      </c>
      <c r="D383" s="33">
        <f>IF(C383="ID",1,(IF(C383="PR",2,(IF(C383="DE",3,(IF(C383="RS",4,(IF(C383="RC",5,0)))))))))</f>
        <v>1</v>
      </c>
      <c r="E383" s="33" t="s">
        <v>342</v>
      </c>
      <c r="F383" s="33">
        <f>IF(E383="AM",1,(IF(E383="BE",2,(IF(E383="GV",3,(IF(E383="RA",4,(IF(E383="RM",5,(IF(E383="AC",1,(IF(E383="AT",2,(IF(E383="DS",3,(IF(E383="IP",4,(IF(E383="MA",5,(IF(E383="PT",6,(IF(E383="AE",1,(IF(E383="CM",2,(IF(E383="DP",3,(IF(E383="AN",1,(IF(E383="CO",2,(IF(E383="IM",3,(IF(E383="MI",4,(IF(E383="RP",5,(IF(E383="SC",6,0)))))))))))))))))))))))))))))))))))))))</f>
        <v>5</v>
      </c>
      <c r="G383" s="170">
        <v>3</v>
      </c>
      <c r="H383" s="38" t="s">
        <v>511</v>
      </c>
      <c r="I383" s="105" t="s">
        <v>1449</v>
      </c>
      <c r="J383" s="157" t="s">
        <v>1550</v>
      </c>
      <c r="K383" s="34" t="s">
        <v>1551</v>
      </c>
      <c r="L383" s="5">
        <f>IF(O383="","",N383*O383*M383)</f>
        <v>99</v>
      </c>
      <c r="M383" s="8">
        <v>1</v>
      </c>
      <c r="N383" s="1">
        <v>1</v>
      </c>
      <c r="O383" s="15">
        <f>IF(SUM(Q383:AF383)&lt;1,"",SUM(Q383:AF383)/COUNTIF(Q383:AF383,"&gt;0"))</f>
        <v>99</v>
      </c>
      <c r="P383" s="16"/>
      <c r="Q383" s="13"/>
      <c r="T383" s="4">
        <v>99</v>
      </c>
      <c r="U383" s="2"/>
      <c r="V383" s="2"/>
      <c r="W383" s="2"/>
      <c r="X383" s="2"/>
      <c r="Z383" s="2"/>
      <c r="AA383" s="2"/>
      <c r="AF383" s="14"/>
    </row>
    <row r="384" spans="1:32" s="4" customFormat="1" ht="15.75" customHeight="1" x14ac:dyDescent="0.25">
      <c r="A384" s="33" t="str">
        <f>CONCATENATE(D384,".",F384,"-",G384,".",H384,"")</f>
        <v>1.6-1.0</v>
      </c>
      <c r="B384" s="33" t="s">
        <v>1229</v>
      </c>
      <c r="C384" s="40" t="s">
        <v>335</v>
      </c>
      <c r="D384" s="33">
        <f>IF(C384="ID",1,(IF(C384="PR",2,(IF(C384="DE",3,(IF(C384="RS",4,(IF(C384="RC",5,0)))))))))</f>
        <v>1</v>
      </c>
      <c r="E384" s="33" t="s">
        <v>1199</v>
      </c>
      <c r="F384" s="33">
        <f>IF(E384="AM",1,(IF(E384="BE",2,(IF(E384="GV",3,(IF(E384="RA",4,(IF(E384="RM",5,(IF(E384="AC",1,(IF(E384="AT",2,(IF(E384="DS",3,(IF(E384="IP",4,(IF(E384="MA",5,(IF(E384="PT",6,(IF(E384="AE",1,(IF(E384="CM",2,(IF(E384="DP",3,(IF(E384="AN",1,(IF(E384="CO",2,(IF(E384="IM",3,(IF(E384="MI",4,(IF(E384="RP",5,(IF(E384="SC",6,0)))))))))))))))))))))))))))))))))))))))</f>
        <v>6</v>
      </c>
      <c r="G384" s="170">
        <v>1</v>
      </c>
      <c r="H384" s="38" t="s">
        <v>597</v>
      </c>
      <c r="I384" s="27" t="s">
        <v>1200</v>
      </c>
      <c r="J384" s="164" t="s">
        <v>1198</v>
      </c>
      <c r="K384" s="97" t="s">
        <v>1179</v>
      </c>
      <c r="L384" s="5" t="str">
        <f>IF(O384="","",N384*O384*M384)</f>
        <v/>
      </c>
      <c r="M384" s="8">
        <v>1</v>
      </c>
      <c r="N384" s="1">
        <v>1</v>
      </c>
      <c r="O384" s="15" t="str">
        <f>IF(SUM(Q384:AF384)&lt;1,"",SUM(Q384:AF384)/COUNTIF(Q384:AF384,"&gt;0"))</f>
        <v/>
      </c>
      <c r="P384" s="16"/>
      <c r="Q384" s="13"/>
      <c r="T384" s="2"/>
      <c r="U384" s="2"/>
      <c r="V384" s="2"/>
      <c r="W384" s="2"/>
      <c r="X384" s="2"/>
      <c r="Z384" s="2"/>
      <c r="AA384" s="2"/>
      <c r="AF384" s="14"/>
    </row>
    <row r="385" spans="1:33" s="4" customFormat="1" ht="15.75" customHeight="1" x14ac:dyDescent="0.25">
      <c r="A385" s="33" t="str">
        <f>CONCATENATE(D385,".",F385,"-",G385,".",H385,"")</f>
        <v>1.6-1.0</v>
      </c>
      <c r="B385" s="33" t="s">
        <v>1229</v>
      </c>
      <c r="C385" s="40" t="s">
        <v>335</v>
      </c>
      <c r="D385" s="33">
        <f>IF(C385="ID",1,(IF(C385="PR",2,(IF(C385="DE",3,(IF(C385="RS",4,(IF(C385="RC",5,0)))))))))</f>
        <v>1</v>
      </c>
      <c r="E385" s="33" t="s">
        <v>1199</v>
      </c>
      <c r="F385" s="33">
        <f>IF(E385="AM",1,(IF(E385="BE",2,(IF(E385="GV",3,(IF(E385="RA",4,(IF(E385="RM",5,(IF(E385="AC",1,(IF(E385="AT",2,(IF(E385="DS",3,(IF(E385="IP",4,(IF(E385="MA",5,(IF(E385="PT",6,(IF(E385="AE",1,(IF(E385="CM",2,(IF(E385="DP",3,(IF(E385="AN",1,(IF(E385="CO",2,(IF(E385="IM",3,(IF(E385="MI",4,(IF(E385="RP",5,(IF(E385="SC",6,0)))))))))))))))))))))))))))))))))))))))</f>
        <v>6</v>
      </c>
      <c r="G385" s="170">
        <v>1</v>
      </c>
      <c r="H385" s="38" t="s">
        <v>597</v>
      </c>
      <c r="I385" s="27" t="s">
        <v>1200</v>
      </c>
      <c r="J385" s="164" t="s">
        <v>1198</v>
      </c>
      <c r="K385" s="97" t="s">
        <v>1180</v>
      </c>
      <c r="L385" s="5" t="str">
        <f>IF(O385="","",N385*O385*M385)</f>
        <v/>
      </c>
      <c r="M385" s="8">
        <v>1</v>
      </c>
      <c r="N385" s="1">
        <v>1</v>
      </c>
      <c r="O385" s="15" t="str">
        <f>IF(SUM(Q385:AF385)&lt;1,"",SUM(Q385:AF385)/COUNTIF(Q385:AF385,"&gt;0"))</f>
        <v/>
      </c>
      <c r="P385" s="16"/>
      <c r="Q385" s="13"/>
      <c r="T385" s="2"/>
      <c r="U385" s="2"/>
      <c r="V385" s="2"/>
      <c r="W385" s="2"/>
      <c r="X385" s="2"/>
      <c r="Z385" s="2"/>
      <c r="AA385" s="2"/>
      <c r="AF385" s="14"/>
    </row>
    <row r="386" spans="1:33" s="4" customFormat="1" ht="15.75" customHeight="1" x14ac:dyDescent="0.25">
      <c r="A386" s="33" t="str">
        <f>CONCATENATE(D386,".",F386,"-",G386,".",H386,"")</f>
        <v>1.6-1.0</v>
      </c>
      <c r="B386" s="33" t="s">
        <v>814</v>
      </c>
      <c r="C386" s="40" t="s">
        <v>335</v>
      </c>
      <c r="D386" s="33">
        <f>IF(C386="ID",1,(IF(C386="PR",2,(IF(C386="DE",3,(IF(C386="RS",4,(IF(C386="RC",5,0)))))))))</f>
        <v>1</v>
      </c>
      <c r="E386" s="33" t="s">
        <v>1199</v>
      </c>
      <c r="F386" s="33">
        <f>IF(E386="AM",1,(IF(E386="BE",2,(IF(E386="GV",3,(IF(E386="RA",4,(IF(E386="RM",5,(IF(E386="AC",1,(IF(E386="AT",2,(IF(E386="DS",3,(IF(E386="IP",4,(IF(E386="MA",5,(IF(E386="PT",6,(IF(E386="AE",1,(IF(E386="CM",2,(IF(E386="DP",3,(IF(E386="AN",1,(IF(E386="CO",2,(IF(E386="IM",3,(IF(E386="MI",4,(IF(E386="RP",5,(IF(E386="SC",6,0)))))))))))))))))))))))))))))))))))))))</f>
        <v>6</v>
      </c>
      <c r="G386" s="170">
        <v>1</v>
      </c>
      <c r="H386" s="38" t="s">
        <v>597</v>
      </c>
      <c r="I386" s="27" t="s">
        <v>1200</v>
      </c>
      <c r="J386" s="157" t="s">
        <v>1181</v>
      </c>
      <c r="K386" s="97" t="s">
        <v>1182</v>
      </c>
      <c r="L386" s="5">
        <f>IF(O386="","",N386*O386*M386)</f>
        <v>75</v>
      </c>
      <c r="M386" s="8">
        <v>1</v>
      </c>
      <c r="N386" s="1">
        <v>1</v>
      </c>
      <c r="O386" s="15">
        <f>IF(SUM(Q386:AF386)&lt;1,"",SUM(Q386:AF386)/COUNTIF(Q386:AF386,"&gt;0"))</f>
        <v>75</v>
      </c>
      <c r="P386" s="16"/>
      <c r="Q386" s="13"/>
      <c r="T386" s="4">
        <v>75</v>
      </c>
      <c r="U386" s="2"/>
      <c r="V386" s="2"/>
      <c r="W386" s="2"/>
      <c r="X386" s="2"/>
      <c r="Z386" s="2"/>
      <c r="AA386" s="2"/>
      <c r="AF386" s="14"/>
    </row>
    <row r="387" spans="1:33" s="4" customFormat="1" ht="15.75" customHeight="1" x14ac:dyDescent="0.25">
      <c r="A387" s="33" t="str">
        <f>CONCATENATE(D387,".",F387,"-",G387,".",H387,"")</f>
        <v>1.6-1.1</v>
      </c>
      <c r="B387" s="33" t="s">
        <v>814</v>
      </c>
      <c r="C387" s="39" t="s">
        <v>335</v>
      </c>
      <c r="D387" s="33">
        <f>IF(C387="ID",1,(IF(C387="PR",2,(IF(C387="DE",3,(IF(C387="RS",4,(IF(C387="RC",5,0)))))))))</f>
        <v>1</v>
      </c>
      <c r="E387" s="33" t="s">
        <v>1199</v>
      </c>
      <c r="F387" s="33">
        <f>IF(E387="AM",1,(IF(E387="BE",2,(IF(E387="GV",3,(IF(E387="RA",4,(IF(E387="RM",5,(IF(E387="AC",1,(IF(E387="AT",2,(IF(E387="DS",3,(IF(E387="IP",4,(IF(E387="MA",5,(IF(E387="PT",6,(IF(E387="AE",1,(IF(E387="CM",2,(IF(E387="DP",3,(IF(E387="AN",1,(IF(E387="CO",2,(IF(E387="IM",3,(IF(E387="MI",4,(IF(E387="RP",5,(IF(E387="SC",6,0)))))))))))))))))))))))))))))))))))))))</f>
        <v>6</v>
      </c>
      <c r="G387" s="170">
        <v>1</v>
      </c>
      <c r="H387" s="38" t="s">
        <v>511</v>
      </c>
      <c r="I387" s="105" t="s">
        <v>821</v>
      </c>
      <c r="J387" s="150" t="s">
        <v>244</v>
      </c>
      <c r="K387" s="79" t="s">
        <v>1283</v>
      </c>
      <c r="L387" s="66">
        <f>IF(O387="","",N387*O387*M387)</f>
        <v>75</v>
      </c>
      <c r="M387" s="8">
        <v>1</v>
      </c>
      <c r="N387" s="3">
        <v>1</v>
      </c>
      <c r="O387" s="15">
        <f>IF(SUM(Q387:AF387)&lt;1,"",SUM(Q387:AF387)/COUNTIF(Q387:AF387,"&gt;0"))</f>
        <v>75</v>
      </c>
      <c r="P387" s="16"/>
      <c r="Q387" s="13"/>
      <c r="T387" s="4">
        <v>75</v>
      </c>
      <c r="U387" s="2"/>
      <c r="V387" s="2"/>
      <c r="W387" s="2"/>
      <c r="X387" s="2"/>
      <c r="Z387" s="2"/>
      <c r="AA387" s="2"/>
      <c r="AF387" s="14"/>
    </row>
    <row r="388" spans="1:33" s="4" customFormat="1" ht="15.75" customHeight="1" x14ac:dyDescent="0.25">
      <c r="A388" s="33" t="str">
        <f>CONCATENATE(D388,".",F388,"-",G388,".",H388,"")</f>
        <v>1.6-1.1</v>
      </c>
      <c r="B388" s="33" t="s">
        <v>814</v>
      </c>
      <c r="C388" s="39" t="s">
        <v>335</v>
      </c>
      <c r="D388" s="33">
        <f>IF(C388="ID",1,(IF(C388="PR",2,(IF(C388="DE",3,(IF(C388="RS",4,(IF(C388="RC",5,0)))))))))</f>
        <v>1</v>
      </c>
      <c r="E388" s="33" t="s">
        <v>1199</v>
      </c>
      <c r="F388" s="33">
        <f>IF(E388="AM",1,(IF(E388="BE",2,(IF(E388="GV",3,(IF(E388="RA",4,(IF(E388="RM",5,(IF(E388="AC",1,(IF(E388="AT",2,(IF(E388="DS",3,(IF(E388="IP",4,(IF(E388="MA",5,(IF(E388="PT",6,(IF(E388="AE",1,(IF(E388="CM",2,(IF(E388="DP",3,(IF(E388="AN",1,(IF(E388="CO",2,(IF(E388="IM",3,(IF(E388="MI",4,(IF(E388="RP",5,(IF(E388="SC",6,0)))))))))))))))))))))))))))))))))))))))</f>
        <v>6</v>
      </c>
      <c r="G388" s="170">
        <v>1</v>
      </c>
      <c r="H388" s="38" t="s">
        <v>511</v>
      </c>
      <c r="I388" s="27" t="s">
        <v>266</v>
      </c>
      <c r="J388" s="149" t="s">
        <v>476</v>
      </c>
      <c r="K388" s="79" t="s">
        <v>1356</v>
      </c>
      <c r="L388" s="66">
        <f>IF(O388="","",N388*O388*M388)</f>
        <v>75</v>
      </c>
      <c r="M388" s="8">
        <v>1</v>
      </c>
      <c r="N388" s="1">
        <v>1</v>
      </c>
      <c r="O388" s="15">
        <f>IF(SUM(Q388:AF388)&lt;1,"",SUM(Q388:AF388)/COUNTIF(Q388:AF388,"&gt;0"))</f>
        <v>75</v>
      </c>
      <c r="P388" s="16"/>
      <c r="Q388" s="13"/>
      <c r="T388" s="4">
        <v>75</v>
      </c>
      <c r="U388" s="2"/>
      <c r="V388" s="2"/>
      <c r="W388" s="2"/>
      <c r="X388" s="2"/>
      <c r="Z388" s="2"/>
      <c r="AA388" s="2"/>
      <c r="AF388" s="14"/>
    </row>
    <row r="389" spans="1:33" s="4" customFormat="1" ht="15.75" customHeight="1" x14ac:dyDescent="0.25">
      <c r="A389" s="33" t="str">
        <f>CONCATENATE(D389,".",F389,"-",G389,".",H389,"")</f>
        <v>1.6-1.1</v>
      </c>
      <c r="B389" s="33" t="s">
        <v>814</v>
      </c>
      <c r="C389" s="39" t="s">
        <v>335</v>
      </c>
      <c r="D389" s="33">
        <f>IF(C389="ID",1,(IF(C389="PR",2,(IF(C389="DE",3,(IF(C389="RS",4,(IF(C389="RC",5,0)))))))))</f>
        <v>1</v>
      </c>
      <c r="E389" s="33" t="s">
        <v>1199</v>
      </c>
      <c r="F389" s="33">
        <f>IF(E389="AM",1,(IF(E389="BE",2,(IF(E389="GV",3,(IF(E389="RA",4,(IF(E389="RM",5,(IF(E389="AC",1,(IF(E389="AT",2,(IF(E389="DS",3,(IF(E389="IP",4,(IF(E389="MA",5,(IF(E389="PT",6,(IF(E389="AE",1,(IF(E389="CM",2,(IF(E389="DP",3,(IF(E389="AN",1,(IF(E389="CO",2,(IF(E389="IM",3,(IF(E389="MI",4,(IF(E389="RP",5,(IF(E389="SC",6,0)))))))))))))))))))))))))))))))))))))))</f>
        <v>6</v>
      </c>
      <c r="G389" s="170">
        <v>1</v>
      </c>
      <c r="H389" s="38" t="s">
        <v>511</v>
      </c>
      <c r="I389" s="27" t="s">
        <v>266</v>
      </c>
      <c r="J389" s="149" t="s">
        <v>478</v>
      </c>
      <c r="K389" s="79" t="s">
        <v>1359</v>
      </c>
      <c r="L389" s="66">
        <f>IF(O389="","",N389*O389*M389)</f>
        <v>75</v>
      </c>
      <c r="M389" s="8">
        <v>1</v>
      </c>
      <c r="N389" s="1">
        <v>1</v>
      </c>
      <c r="O389" s="15">
        <f>IF(SUM(Q389:AF389)&lt;1,"",SUM(Q389:AF389)/COUNTIF(Q389:AF389,"&gt;0"))</f>
        <v>75</v>
      </c>
      <c r="P389" s="16"/>
      <c r="Q389" s="13"/>
      <c r="T389" s="4">
        <v>75</v>
      </c>
      <c r="U389" s="2"/>
      <c r="V389" s="2"/>
      <c r="W389" s="2"/>
      <c r="X389" s="2"/>
      <c r="Z389" s="2"/>
      <c r="AA389" s="2"/>
      <c r="AF389" s="14"/>
    </row>
    <row r="390" spans="1:33" s="4" customFormat="1" ht="15.75" customHeight="1" x14ac:dyDescent="0.25">
      <c r="A390" s="33" t="str">
        <f>CONCATENATE(D390,".",F390,"-",G390,".",H390,"")</f>
        <v>1.6-1.1</v>
      </c>
      <c r="B390" s="33" t="s">
        <v>814</v>
      </c>
      <c r="C390" s="39" t="s">
        <v>335</v>
      </c>
      <c r="D390" s="33">
        <f>IF(C390="ID",1,(IF(C390="PR",2,(IF(C390="DE",3,(IF(C390="RS",4,(IF(C390="RC",5,0)))))))))</f>
        <v>1</v>
      </c>
      <c r="E390" s="33" t="s">
        <v>1199</v>
      </c>
      <c r="F390" s="33">
        <f>IF(E390="AM",1,(IF(E390="BE",2,(IF(E390="GV",3,(IF(E390="RA",4,(IF(E390="RM",5,(IF(E390="AC",1,(IF(E390="AT",2,(IF(E390="DS",3,(IF(E390="IP",4,(IF(E390="MA",5,(IF(E390="PT",6,(IF(E390="AE",1,(IF(E390="CM",2,(IF(E390="DP",3,(IF(E390="AN",1,(IF(E390="CO",2,(IF(E390="IM",3,(IF(E390="MI",4,(IF(E390="RP",5,(IF(E390="SC",6,0)))))))))))))))))))))))))))))))))))))))</f>
        <v>6</v>
      </c>
      <c r="G390" s="170">
        <v>1</v>
      </c>
      <c r="H390" s="38" t="s">
        <v>511</v>
      </c>
      <c r="I390" s="105" t="s">
        <v>1449</v>
      </c>
      <c r="J390" s="157" t="s">
        <v>1540</v>
      </c>
      <c r="K390" s="34" t="s">
        <v>1541</v>
      </c>
      <c r="L390" s="5">
        <f>IF(O390="","",N390*O390*M390)</f>
        <v>99</v>
      </c>
      <c r="M390" s="8">
        <v>1</v>
      </c>
      <c r="N390" s="1">
        <v>1</v>
      </c>
      <c r="O390" s="15">
        <f>IF(SUM(Q390:AF390)&lt;1,"",SUM(Q390:AF390)/COUNTIF(Q390:AF390,"&gt;0"))</f>
        <v>99</v>
      </c>
      <c r="P390" s="16"/>
      <c r="Q390" s="13"/>
      <c r="T390" s="4">
        <v>99</v>
      </c>
      <c r="U390" s="2"/>
      <c r="V390" s="2"/>
      <c r="W390" s="2"/>
      <c r="X390" s="2"/>
      <c r="Z390" s="2"/>
      <c r="AA390" s="2"/>
      <c r="AF390" s="14"/>
    </row>
    <row r="391" spans="1:33" s="4" customFormat="1" ht="15.75" customHeight="1" x14ac:dyDescent="0.25">
      <c r="A391" s="33" t="str">
        <f>CONCATENATE(D391,".",F391,"-",G391,".",H391,"")</f>
        <v>1.6-1.1</v>
      </c>
      <c r="B391" s="33" t="s">
        <v>814</v>
      </c>
      <c r="C391" s="39" t="s">
        <v>335</v>
      </c>
      <c r="D391" s="33">
        <f>IF(C391="ID",1,(IF(C391="PR",2,(IF(C391="DE",3,(IF(C391="RS",4,(IF(C391="RC",5,0)))))))))</f>
        <v>1</v>
      </c>
      <c r="E391" s="33" t="s">
        <v>1199</v>
      </c>
      <c r="F391" s="33">
        <f>IF(E391="AM",1,(IF(E391="BE",2,(IF(E391="GV",3,(IF(E391="RA",4,(IF(E391="RM",5,(IF(E391="AC",1,(IF(E391="AT",2,(IF(E391="DS",3,(IF(E391="IP",4,(IF(E391="MA",5,(IF(E391="PT",6,(IF(E391="AE",1,(IF(E391="CM",2,(IF(E391="DP",3,(IF(E391="AN",1,(IF(E391="CO",2,(IF(E391="IM",3,(IF(E391="MI",4,(IF(E391="RP",5,(IF(E391="SC",6,0)))))))))))))))))))))))))))))))))))))))</f>
        <v>6</v>
      </c>
      <c r="G391" s="170">
        <v>1</v>
      </c>
      <c r="H391" s="38" t="s">
        <v>511</v>
      </c>
      <c r="I391" s="105" t="s">
        <v>1449</v>
      </c>
      <c r="J391" s="157" t="s">
        <v>2603</v>
      </c>
      <c r="K391" s="34" t="s">
        <v>2604</v>
      </c>
      <c r="L391" s="5">
        <f>IF(O391="","",N391*O391*M391)</f>
        <v>99</v>
      </c>
      <c r="M391" s="8">
        <v>1</v>
      </c>
      <c r="N391" s="1">
        <v>1</v>
      </c>
      <c r="O391" s="15">
        <f>IF(SUM(Q391:AF391)&lt;1,"",SUM(Q391:AF391)/COUNTIF(Q391:AF391,"&gt;0"))</f>
        <v>99</v>
      </c>
      <c r="P391" s="16"/>
      <c r="Q391" s="13"/>
      <c r="T391" s="4">
        <v>99</v>
      </c>
      <c r="U391" s="2"/>
      <c r="V391" s="2"/>
      <c r="W391" s="2"/>
      <c r="X391" s="2"/>
      <c r="Z391" s="2"/>
      <c r="AA391" s="2"/>
      <c r="AF391" s="14"/>
    </row>
    <row r="392" spans="1:33" s="4" customFormat="1" ht="15.75" customHeight="1" x14ac:dyDescent="0.25">
      <c r="A392" s="33" t="str">
        <f>CONCATENATE(D392,".",F392,"-",G392,".",H392,"")</f>
        <v>1.6-2.0</v>
      </c>
      <c r="B392" s="33" t="s">
        <v>814</v>
      </c>
      <c r="C392" s="40" t="s">
        <v>335</v>
      </c>
      <c r="D392" s="33">
        <f>IF(C392="ID",1,(IF(C392="PR",2,(IF(C392="DE",3,(IF(C392="RS",4,(IF(C392="RC",5,0)))))))))</f>
        <v>1</v>
      </c>
      <c r="E392" s="33" t="s">
        <v>1199</v>
      </c>
      <c r="F392" s="33">
        <f>IF(E392="AM",1,(IF(E392="BE",2,(IF(E392="GV",3,(IF(E392="RA",4,(IF(E392="RM",5,(IF(E392="AC",1,(IF(E392="AT",2,(IF(E392="DS",3,(IF(E392="IP",4,(IF(E392="MA",5,(IF(E392="PT",6,(IF(E392="AE",1,(IF(E392="CM",2,(IF(E392="DP",3,(IF(E392="AN",1,(IF(E392="CO",2,(IF(E392="IM",3,(IF(E392="MI",4,(IF(E392="RP",5,(IF(E392="SC",6,0)))))))))))))))))))))))))))))))))))))))</f>
        <v>6</v>
      </c>
      <c r="G392" s="170">
        <v>2</v>
      </c>
      <c r="H392" s="38" t="s">
        <v>597</v>
      </c>
      <c r="I392" s="27" t="s">
        <v>1200</v>
      </c>
      <c r="J392" s="157" t="s">
        <v>1183</v>
      </c>
      <c r="K392" s="97" t="s">
        <v>1184</v>
      </c>
      <c r="L392" s="5">
        <f>IF(O392="","",N392*O392*M392)</f>
        <v>75</v>
      </c>
      <c r="M392" s="8">
        <v>1</v>
      </c>
      <c r="N392" s="1">
        <v>1</v>
      </c>
      <c r="O392" s="15">
        <f>IF(SUM(Q392:AF392)&lt;1,"",SUM(Q392:AF392)/COUNTIF(Q392:AF392,"&gt;0"))</f>
        <v>75</v>
      </c>
      <c r="P392" s="16"/>
      <c r="Q392" s="13"/>
      <c r="T392" s="4">
        <v>75</v>
      </c>
      <c r="U392" s="2"/>
      <c r="V392" s="2"/>
      <c r="W392" s="2"/>
      <c r="X392" s="2"/>
      <c r="Z392" s="2"/>
      <c r="AA392" s="2"/>
      <c r="AF392" s="14"/>
    </row>
    <row r="393" spans="1:33" s="4" customFormat="1" ht="15.75" customHeight="1" x14ac:dyDescent="0.25">
      <c r="A393" s="33" t="str">
        <f>CONCATENATE(D393,".",F393,"-",G393,".",H393,"")</f>
        <v>1.6-2.1</v>
      </c>
      <c r="B393" s="33" t="s">
        <v>814</v>
      </c>
      <c r="C393" s="39" t="s">
        <v>335</v>
      </c>
      <c r="D393" s="33">
        <f>IF(C393="ID",1,(IF(C393="PR",2,(IF(C393="DE",3,(IF(C393="RS",4,(IF(C393="RC",5,0)))))))))</f>
        <v>1</v>
      </c>
      <c r="E393" s="33" t="s">
        <v>1199</v>
      </c>
      <c r="F393" s="33">
        <f>IF(E393="AM",1,(IF(E393="BE",2,(IF(E393="GV",3,(IF(E393="RA",4,(IF(E393="RM",5,(IF(E393="AC",1,(IF(E393="AT",2,(IF(E393="DS",3,(IF(E393="IP",4,(IF(E393="MA",5,(IF(E393="PT",6,(IF(E393="AE",1,(IF(E393="CM",2,(IF(E393="DP",3,(IF(E393="AN",1,(IF(E393="CO",2,(IF(E393="IM",3,(IF(E393="MI",4,(IF(E393="RP",5,(IF(E393="SC",6,0)))))))))))))))))))))))))))))))))))))))</f>
        <v>6</v>
      </c>
      <c r="G393" s="170">
        <v>2</v>
      </c>
      <c r="H393" s="38" t="s">
        <v>511</v>
      </c>
      <c r="I393" s="105" t="s">
        <v>821</v>
      </c>
      <c r="J393" s="150" t="s">
        <v>242</v>
      </c>
      <c r="K393" s="79" t="s">
        <v>1283</v>
      </c>
      <c r="L393" s="66">
        <f>IF(O393="","",N393*O393*M393)</f>
        <v>75</v>
      </c>
      <c r="M393" s="8">
        <v>1</v>
      </c>
      <c r="N393" s="3">
        <v>1</v>
      </c>
      <c r="O393" s="15">
        <f>IF(SUM(Q393:AF393)&lt;1,"",SUM(Q393:AF393)/COUNTIF(Q393:AF393,"&gt;0"))</f>
        <v>75</v>
      </c>
      <c r="P393" s="16"/>
      <c r="Q393" s="13"/>
      <c r="T393" s="4">
        <v>75</v>
      </c>
      <c r="U393" s="2"/>
      <c r="V393" s="2"/>
      <c r="W393" s="2"/>
      <c r="X393" s="2"/>
      <c r="Z393" s="2"/>
      <c r="AA393" s="2"/>
      <c r="AF393" s="14"/>
    </row>
    <row r="394" spans="1:33" s="4" customFormat="1" ht="15.75" customHeight="1" x14ac:dyDescent="0.25">
      <c r="A394" s="33" t="str">
        <f>CONCATENATE(D394,".",F394,"-",G394,".",H394,"")</f>
        <v>1.6-2.1</v>
      </c>
      <c r="B394" s="33" t="s">
        <v>814</v>
      </c>
      <c r="C394" s="39" t="s">
        <v>335</v>
      </c>
      <c r="D394" s="33">
        <f>IF(C394="ID",1,(IF(C394="PR",2,(IF(C394="DE",3,(IF(C394="RS",4,(IF(C394="RC",5,0)))))))))</f>
        <v>1</v>
      </c>
      <c r="E394" s="33" t="s">
        <v>1199</v>
      </c>
      <c r="F394" s="33">
        <f>IF(E394="AM",1,(IF(E394="BE",2,(IF(E394="GV",3,(IF(E394="RA",4,(IF(E394="RM",5,(IF(E394="AC",1,(IF(E394="AT",2,(IF(E394="DS",3,(IF(E394="IP",4,(IF(E394="MA",5,(IF(E394="PT",6,(IF(E394="AE",1,(IF(E394="CM",2,(IF(E394="DP",3,(IF(E394="AN",1,(IF(E394="CO",2,(IF(E394="IM",3,(IF(E394="MI",4,(IF(E394="RP",5,(IF(E394="SC",6,0)))))))))))))))))))))))))))))))))))))))</f>
        <v>6</v>
      </c>
      <c r="G394" s="170">
        <v>2</v>
      </c>
      <c r="H394" s="38" t="s">
        <v>511</v>
      </c>
      <c r="I394" s="27" t="s">
        <v>266</v>
      </c>
      <c r="J394" s="149" t="s">
        <v>477</v>
      </c>
      <c r="K394" s="79" t="s">
        <v>1357</v>
      </c>
      <c r="L394" s="66">
        <f>IF(O394="","",N394*O394*M394)</f>
        <v>75</v>
      </c>
      <c r="M394" s="8">
        <v>1</v>
      </c>
      <c r="N394" s="1">
        <v>1</v>
      </c>
      <c r="O394" s="15">
        <f>IF(SUM(Q394:AF394)&lt;1,"",SUM(Q394:AF394)/COUNTIF(Q394:AF394,"&gt;0"))</f>
        <v>75</v>
      </c>
      <c r="P394" s="16"/>
      <c r="Q394" s="13"/>
      <c r="T394" s="4">
        <v>75</v>
      </c>
      <c r="U394" s="2"/>
      <c r="V394" s="2"/>
      <c r="W394" s="2"/>
      <c r="X394" s="2"/>
      <c r="Z394" s="2"/>
      <c r="AA394" s="2"/>
      <c r="AF394" s="14"/>
    </row>
    <row r="395" spans="1:33" s="4" customFormat="1" ht="15.75" customHeight="1" x14ac:dyDescent="0.25">
      <c r="A395" s="33" t="str">
        <f>CONCATENATE(D395,".",F395,"-",G395,".",H395,"")</f>
        <v>1.6-2.1</v>
      </c>
      <c r="B395" s="33" t="s">
        <v>814</v>
      </c>
      <c r="C395" s="39" t="s">
        <v>335</v>
      </c>
      <c r="D395" s="33">
        <f>IF(C395="ID",1,(IF(C395="PR",2,(IF(C395="DE",3,(IF(C395="RS",4,(IF(C395="RC",5,0)))))))))</f>
        <v>1</v>
      </c>
      <c r="E395" s="33" t="s">
        <v>1199</v>
      </c>
      <c r="F395" s="33">
        <f>IF(E395="AM",1,(IF(E395="BE",2,(IF(E395="GV",3,(IF(E395="RA",4,(IF(E395="RM",5,(IF(E395="AC",1,(IF(E395="AT",2,(IF(E395="DS",3,(IF(E395="IP",4,(IF(E395="MA",5,(IF(E395="PT",6,(IF(E395="AE",1,(IF(E395="CM",2,(IF(E395="DP",3,(IF(E395="AN",1,(IF(E395="CO",2,(IF(E395="IM",3,(IF(E395="MI",4,(IF(E395="RP",5,(IF(E395="SC",6,0)))))))))))))))))))))))))))))))))))))))</f>
        <v>6</v>
      </c>
      <c r="G395" s="170">
        <v>2</v>
      </c>
      <c r="H395" s="38" t="s">
        <v>511</v>
      </c>
      <c r="I395" s="105" t="s">
        <v>1449</v>
      </c>
      <c r="J395" s="157" t="s">
        <v>2613</v>
      </c>
      <c r="K395" s="34" t="s">
        <v>2614</v>
      </c>
      <c r="L395" s="5">
        <f>IF(O395="","",N395*O395*M395)</f>
        <v>99</v>
      </c>
      <c r="M395" s="8">
        <v>1</v>
      </c>
      <c r="N395" s="1">
        <v>1</v>
      </c>
      <c r="O395" s="15">
        <f>IF(SUM(Q395:AF395)&lt;1,"",SUM(Q395:AF395)/COUNTIF(Q395:AF395,"&gt;0"))</f>
        <v>99</v>
      </c>
      <c r="P395" s="16"/>
      <c r="Q395" s="13"/>
      <c r="T395" s="4">
        <v>99</v>
      </c>
      <c r="U395" s="2"/>
      <c r="V395" s="2"/>
      <c r="W395" s="2"/>
      <c r="X395" s="2"/>
      <c r="Z395" s="2"/>
      <c r="AA395" s="2"/>
      <c r="AF395" s="14"/>
    </row>
    <row r="396" spans="1:33" s="4" customFormat="1" ht="15.75" customHeight="1" x14ac:dyDescent="0.25">
      <c r="A396" s="33" t="str">
        <f>CONCATENATE(D396,".",F396,"-",G396,".",H396,"")</f>
        <v>1.6-2.1</v>
      </c>
      <c r="B396" s="33" t="s">
        <v>814</v>
      </c>
      <c r="C396" s="39" t="s">
        <v>335</v>
      </c>
      <c r="D396" s="33">
        <f>IF(C396="ID",1,(IF(C396="PR",2,(IF(C396="DE",3,(IF(C396="RS",4,(IF(C396="RC",5,0)))))))))</f>
        <v>1</v>
      </c>
      <c r="E396" s="33" t="s">
        <v>1199</v>
      </c>
      <c r="F396" s="33">
        <f>IF(E396="AM",1,(IF(E396="BE",2,(IF(E396="GV",3,(IF(E396="RA",4,(IF(E396="RM",5,(IF(E396="AC",1,(IF(E396="AT",2,(IF(E396="DS",3,(IF(E396="IP",4,(IF(E396="MA",5,(IF(E396="PT",6,(IF(E396="AE",1,(IF(E396="CM",2,(IF(E396="DP",3,(IF(E396="AN",1,(IF(E396="CO",2,(IF(E396="IM",3,(IF(E396="MI",4,(IF(E396="RP",5,(IF(E396="SC",6,0)))))))))))))))))))))))))))))))))))))))</f>
        <v>6</v>
      </c>
      <c r="G396" s="170">
        <v>2</v>
      </c>
      <c r="H396" s="38" t="s">
        <v>511</v>
      </c>
      <c r="I396" s="105" t="s">
        <v>1449</v>
      </c>
      <c r="J396" s="157" t="s">
        <v>2615</v>
      </c>
      <c r="K396" s="34" t="s">
        <v>2616</v>
      </c>
      <c r="L396" s="5">
        <f>IF(O396="","",N396*O396*M396)</f>
        <v>99</v>
      </c>
      <c r="M396" s="8">
        <v>1</v>
      </c>
      <c r="N396" s="1">
        <v>1</v>
      </c>
      <c r="O396" s="15">
        <f>IF(SUM(Q396:AF396)&lt;1,"",SUM(Q396:AF396)/COUNTIF(Q396:AF396,"&gt;0"))</f>
        <v>99</v>
      </c>
      <c r="P396" s="16"/>
      <c r="Q396" s="13"/>
      <c r="T396" s="4">
        <v>99</v>
      </c>
      <c r="U396" s="2"/>
      <c r="V396" s="2"/>
      <c r="W396" s="2"/>
      <c r="X396" s="2"/>
      <c r="Z396" s="2"/>
      <c r="AA396" s="2"/>
      <c r="AF396" s="14"/>
    </row>
    <row r="397" spans="1:33" s="4" customFormat="1" ht="15.75" customHeight="1" x14ac:dyDescent="0.25">
      <c r="A397" s="33" t="str">
        <f>CONCATENATE(D397,".",F397,"-",G397,".",H397,"")</f>
        <v>1.6-2.1</v>
      </c>
      <c r="B397" s="33" t="s">
        <v>814</v>
      </c>
      <c r="C397" s="39" t="s">
        <v>335</v>
      </c>
      <c r="D397" s="33">
        <f>IF(C397="ID",1,(IF(C397="PR",2,(IF(C397="DE",3,(IF(C397="RS",4,(IF(C397="RC",5,0)))))))))</f>
        <v>1</v>
      </c>
      <c r="E397" s="33" t="s">
        <v>1199</v>
      </c>
      <c r="F397" s="33">
        <f>IF(E397="AM",1,(IF(E397="BE",2,(IF(E397="GV",3,(IF(E397="RA",4,(IF(E397="RM",5,(IF(E397="AC",1,(IF(E397="AT",2,(IF(E397="DS",3,(IF(E397="IP",4,(IF(E397="MA",5,(IF(E397="PT",6,(IF(E397="AE",1,(IF(E397="CM",2,(IF(E397="DP",3,(IF(E397="AN",1,(IF(E397="CO",2,(IF(E397="IM",3,(IF(E397="MI",4,(IF(E397="RP",5,(IF(E397="SC",6,0)))))))))))))))))))))))))))))))))))))))</f>
        <v>6</v>
      </c>
      <c r="G397" s="170">
        <v>2</v>
      </c>
      <c r="H397" s="38" t="s">
        <v>511</v>
      </c>
      <c r="I397" s="105" t="s">
        <v>1449</v>
      </c>
      <c r="J397" s="157" t="s">
        <v>2619</v>
      </c>
      <c r="K397" s="34" t="s">
        <v>2620</v>
      </c>
      <c r="L397" s="5">
        <f>IF(O397="","",N397*O397*M397)</f>
        <v>99</v>
      </c>
      <c r="M397" s="8">
        <v>1</v>
      </c>
      <c r="N397" s="1">
        <v>1</v>
      </c>
      <c r="O397" s="15">
        <f>IF(SUM(Q397:AF397)&lt;1,"",SUM(Q397:AF397)/COUNTIF(Q397:AF397,"&gt;0"))</f>
        <v>99</v>
      </c>
      <c r="P397" s="16"/>
      <c r="Q397" s="13"/>
      <c r="T397" s="4">
        <v>99</v>
      </c>
      <c r="U397" s="2"/>
      <c r="V397" s="2"/>
      <c r="W397" s="2"/>
      <c r="X397" s="2"/>
      <c r="Z397" s="2"/>
      <c r="AA397" s="2"/>
      <c r="AF397" s="14"/>
    </row>
    <row r="398" spans="1:33" s="4" customFormat="1" ht="15.75" customHeight="1" x14ac:dyDescent="0.25">
      <c r="A398" s="33" t="str">
        <f>CONCATENATE(D398,".",F398,"-",G398,".",H398,"")</f>
        <v>1.6-3.0</v>
      </c>
      <c r="B398" s="33" t="s">
        <v>814</v>
      </c>
      <c r="C398" s="40" t="s">
        <v>335</v>
      </c>
      <c r="D398" s="33">
        <f>IF(C398="ID",1,(IF(C398="PR",2,(IF(C398="DE",3,(IF(C398="RS",4,(IF(C398="RC",5,0)))))))))</f>
        <v>1</v>
      </c>
      <c r="E398" s="33" t="s">
        <v>1199</v>
      </c>
      <c r="F398" s="33">
        <f>IF(E398="AM",1,(IF(E398="BE",2,(IF(E398="GV",3,(IF(E398="RA",4,(IF(E398="RM",5,(IF(E398="AC",1,(IF(E398="AT",2,(IF(E398="DS",3,(IF(E398="IP",4,(IF(E398="MA",5,(IF(E398="PT",6,(IF(E398="AE",1,(IF(E398="CM",2,(IF(E398="DP",3,(IF(E398="AN",1,(IF(E398="CO",2,(IF(E398="IM",3,(IF(E398="MI",4,(IF(E398="RP",5,(IF(E398="SC",6,0)))))))))))))))))))))))))))))))))))))))</f>
        <v>6</v>
      </c>
      <c r="G398" s="170">
        <v>3</v>
      </c>
      <c r="H398" s="38" t="s">
        <v>597</v>
      </c>
      <c r="I398" s="27" t="s">
        <v>1200</v>
      </c>
      <c r="J398" s="157" t="s">
        <v>1185</v>
      </c>
      <c r="K398" s="97" t="s">
        <v>1186</v>
      </c>
      <c r="L398" s="5">
        <f>IF(O398="","",N398*O398*M398)</f>
        <v>75</v>
      </c>
      <c r="M398" s="8">
        <v>1</v>
      </c>
      <c r="N398" s="1">
        <v>1</v>
      </c>
      <c r="O398" s="15">
        <f>IF(SUM(Q398:AF398)&lt;1,"",SUM(Q398:AF398)/COUNTIF(Q398:AF398,"&gt;0"))</f>
        <v>75</v>
      </c>
      <c r="P398" s="16"/>
      <c r="Q398" s="13"/>
      <c r="T398" s="4">
        <v>75</v>
      </c>
      <c r="U398" s="2"/>
      <c r="V398" s="2"/>
      <c r="W398" s="2"/>
      <c r="X398" s="2"/>
      <c r="Z398" s="2"/>
      <c r="AA398" s="2"/>
      <c r="AF398" s="14"/>
    </row>
    <row r="399" spans="1:33" s="4" customFormat="1" ht="15.75" customHeight="1" x14ac:dyDescent="0.25">
      <c r="A399" s="33" t="str">
        <f>CONCATENATE(D399,".",F399,"-",G399,".",H399,"")</f>
        <v>1.6-3.1</v>
      </c>
      <c r="B399" s="33" t="s">
        <v>814</v>
      </c>
      <c r="C399" s="40" t="s">
        <v>335</v>
      </c>
      <c r="D399" s="33">
        <f>IF(C399="ID",1,(IF(C399="PR",2,(IF(C399="DE",3,(IF(C399="RS",4,(IF(C399="RC",5,0)))))))))</f>
        <v>1</v>
      </c>
      <c r="E399" s="33" t="s">
        <v>1199</v>
      </c>
      <c r="F399" s="33">
        <f>IF(E399="AM",1,(IF(E399="BE",2,(IF(E399="GV",3,(IF(E399="RA",4,(IF(E399="RM",5,(IF(E399="AC",1,(IF(E399="AT",2,(IF(E399="DS",3,(IF(E399="IP",4,(IF(E399="MA",5,(IF(E399="PT",6,(IF(E399="AE",1,(IF(E399="CM",2,(IF(E399="DP",3,(IF(E399="AN",1,(IF(E399="CO",2,(IF(E399="IM",3,(IF(E399="MI",4,(IF(E399="RP",5,(IF(E399="SC",6,0)))))))))))))))))))))))))))))))))))))))</f>
        <v>6</v>
      </c>
      <c r="G399" s="171">
        <v>3</v>
      </c>
      <c r="H399" s="38" t="s">
        <v>511</v>
      </c>
      <c r="I399" s="105" t="s">
        <v>821</v>
      </c>
      <c r="J399" s="149">
        <v>12.9</v>
      </c>
      <c r="K399" s="79" t="s">
        <v>1283</v>
      </c>
      <c r="L399" s="66">
        <f>IF(O399="","",N399*O399*M399)</f>
        <v>75</v>
      </c>
      <c r="M399" s="8">
        <v>1</v>
      </c>
      <c r="N399" s="1">
        <v>1</v>
      </c>
      <c r="O399" s="15">
        <f>IF(SUM(Q399:AF399)&lt;1,"",SUM(Q399:AF399)/COUNTIF(Q399:AF399,"&gt;0"))</f>
        <v>75</v>
      </c>
      <c r="P399" s="16"/>
      <c r="Q399" s="13"/>
      <c r="T399" s="4">
        <v>75</v>
      </c>
      <c r="U399" s="2"/>
      <c r="V399" s="2"/>
      <c r="W399" s="2"/>
      <c r="X399" s="2"/>
      <c r="Z399" s="2"/>
      <c r="AA399" s="2"/>
      <c r="AG399" s="147"/>
    </row>
    <row r="400" spans="1:33" s="4" customFormat="1" ht="15.75" customHeight="1" x14ac:dyDescent="0.25">
      <c r="A400" s="33" t="str">
        <f>CONCATENATE(D400,".",F400,"-",G400,".",H400,"")</f>
        <v>1.6-3.1</v>
      </c>
      <c r="B400" s="33" t="s">
        <v>814</v>
      </c>
      <c r="C400" s="40" t="s">
        <v>335</v>
      </c>
      <c r="D400" s="33">
        <f>IF(C400="ID",1,(IF(C400="PR",2,(IF(C400="DE",3,(IF(C400="RS",4,(IF(C400="RC",5,0)))))))))</f>
        <v>1</v>
      </c>
      <c r="E400" s="33" t="s">
        <v>1199</v>
      </c>
      <c r="F400" s="33">
        <f>IF(E400="AM",1,(IF(E400="BE",2,(IF(E400="GV",3,(IF(E400="RA",4,(IF(E400="RM",5,(IF(E400="AC",1,(IF(E400="AT",2,(IF(E400="DS",3,(IF(E400="IP",4,(IF(E400="MA",5,(IF(E400="PT",6,(IF(E400="AE",1,(IF(E400="CM",2,(IF(E400="DP",3,(IF(E400="AN",1,(IF(E400="CO",2,(IF(E400="IM",3,(IF(E400="MI",4,(IF(E400="RP",5,(IF(E400="SC",6,0)))))))))))))))))))))))))))))))))))))))</f>
        <v>6</v>
      </c>
      <c r="G400" s="171">
        <v>3</v>
      </c>
      <c r="H400" s="38" t="s">
        <v>511</v>
      </c>
      <c r="I400" s="105" t="s">
        <v>821</v>
      </c>
      <c r="J400" s="150" t="s">
        <v>243</v>
      </c>
      <c r="K400" s="79" t="s">
        <v>1283</v>
      </c>
      <c r="L400" s="66">
        <f>IF(O400="","",N400*O400*M400)</f>
        <v>75</v>
      </c>
      <c r="M400" s="8">
        <v>1</v>
      </c>
      <c r="N400" s="3">
        <v>1</v>
      </c>
      <c r="O400" s="15">
        <f>IF(SUM(Q400:AF400)&lt;1,"",SUM(Q400:AF400)/COUNTIF(Q400:AF400,"&gt;0"))</f>
        <v>75</v>
      </c>
      <c r="P400" s="16"/>
      <c r="Q400" s="13"/>
      <c r="T400" s="4">
        <v>75</v>
      </c>
      <c r="U400" s="2"/>
      <c r="V400" s="2"/>
      <c r="W400" s="2"/>
      <c r="X400" s="2"/>
      <c r="Z400" s="2"/>
      <c r="AA400" s="2"/>
      <c r="AG400" s="147"/>
    </row>
    <row r="401" spans="1:32" s="4" customFormat="1" ht="15.75" customHeight="1" x14ac:dyDescent="0.25">
      <c r="A401" s="33" t="str">
        <f>CONCATENATE(D401,".",F401,"-",G401,".",H401,"")</f>
        <v>1.6-3.1</v>
      </c>
      <c r="B401" s="33" t="s">
        <v>814</v>
      </c>
      <c r="C401" s="40" t="s">
        <v>335</v>
      </c>
      <c r="D401" s="33">
        <f>IF(C401="ID",1,(IF(C401="PR",2,(IF(C401="DE",3,(IF(C401="RS",4,(IF(C401="RC",5,0)))))))))</f>
        <v>1</v>
      </c>
      <c r="E401" s="33" t="s">
        <v>1199</v>
      </c>
      <c r="F401" s="33">
        <f>IF(E401="AM",1,(IF(E401="BE",2,(IF(E401="GV",3,(IF(E401="RA",4,(IF(E401="RM",5,(IF(E401="AC",1,(IF(E401="AT",2,(IF(E401="DS",3,(IF(E401="IP",4,(IF(E401="MA",5,(IF(E401="PT",6,(IF(E401="AE",1,(IF(E401="CM",2,(IF(E401="DP",3,(IF(E401="AN",1,(IF(E401="CO",2,(IF(E401="IM",3,(IF(E401="MI",4,(IF(E401="RP",5,(IF(E401="SC",6,0)))))))))))))))))))))))))))))))))))))))</f>
        <v>6</v>
      </c>
      <c r="G401" s="171">
        <v>3</v>
      </c>
      <c r="H401" s="38" t="s">
        <v>511</v>
      </c>
      <c r="I401" s="27" t="s">
        <v>936</v>
      </c>
      <c r="J401" s="163" t="s">
        <v>876</v>
      </c>
      <c r="K401" s="34" t="s">
        <v>993</v>
      </c>
      <c r="L401" s="66">
        <f>IF(O401="","",N401*O401*M401)</f>
        <v>75</v>
      </c>
      <c r="M401" s="8">
        <v>1</v>
      </c>
      <c r="N401" s="3">
        <v>1</v>
      </c>
      <c r="O401" s="15">
        <f>IF(SUM(Q401:AF401)&lt;1,"",SUM(Q401:AF401)/COUNTIF(Q401:AF401,"&gt;0"))</f>
        <v>75</v>
      </c>
      <c r="P401" s="16"/>
      <c r="Q401" s="13"/>
      <c r="T401" s="4">
        <v>75</v>
      </c>
      <c r="U401" s="2"/>
      <c r="V401" s="2"/>
      <c r="W401" s="2"/>
      <c r="X401" s="2"/>
      <c r="Z401" s="2"/>
      <c r="AA401" s="2"/>
      <c r="AF401" s="14"/>
    </row>
    <row r="402" spans="1:32" s="4" customFormat="1" ht="15.75" customHeight="1" x14ac:dyDescent="0.25">
      <c r="A402" s="33" t="str">
        <f>CONCATENATE(D402,".",F402,"-",G402,".",H402,"")</f>
        <v>1.6-3.1</v>
      </c>
      <c r="B402" s="33" t="s">
        <v>814</v>
      </c>
      <c r="C402" s="40" t="s">
        <v>335</v>
      </c>
      <c r="D402" s="33">
        <f>IF(C402="ID",1,(IF(C402="PR",2,(IF(C402="DE",3,(IF(C402="RS",4,(IF(C402="RC",5,0)))))))))</f>
        <v>1</v>
      </c>
      <c r="E402" s="33" t="s">
        <v>1199</v>
      </c>
      <c r="F402" s="33">
        <f>IF(E402="AM",1,(IF(E402="BE",2,(IF(E402="GV",3,(IF(E402="RA",4,(IF(E402="RM",5,(IF(E402="AC",1,(IF(E402="AT",2,(IF(E402="DS",3,(IF(E402="IP",4,(IF(E402="MA",5,(IF(E402="PT",6,(IF(E402="AE",1,(IF(E402="CM",2,(IF(E402="DP",3,(IF(E402="AN",1,(IF(E402="CO",2,(IF(E402="IM",3,(IF(E402="MI",4,(IF(E402="RP",5,(IF(E402="SC",6,0)))))))))))))))))))))))))))))))))))))))</f>
        <v>6</v>
      </c>
      <c r="G402" s="171">
        <v>3</v>
      </c>
      <c r="H402" s="38" t="s">
        <v>511</v>
      </c>
      <c r="I402" s="27" t="s">
        <v>936</v>
      </c>
      <c r="J402" s="163" t="s">
        <v>910</v>
      </c>
      <c r="K402" s="34" t="s">
        <v>995</v>
      </c>
      <c r="L402" s="66">
        <f>IF(O402="","",N402*O402*M402)</f>
        <v>75</v>
      </c>
      <c r="M402" s="8">
        <v>1</v>
      </c>
      <c r="N402" s="3">
        <v>1</v>
      </c>
      <c r="O402" s="15">
        <f>IF(SUM(Q402:AF402)&lt;1,"",SUM(Q402:AF402)/COUNTIF(Q402:AF402,"&gt;0"))</f>
        <v>75</v>
      </c>
      <c r="P402" s="16"/>
      <c r="Q402" s="13"/>
      <c r="T402" s="4">
        <v>75</v>
      </c>
      <c r="U402" s="2"/>
      <c r="V402" s="2"/>
      <c r="W402" s="2"/>
      <c r="X402" s="2"/>
      <c r="Z402" s="2"/>
      <c r="AA402" s="2"/>
      <c r="AF402" s="14"/>
    </row>
    <row r="403" spans="1:32" s="4" customFormat="1" ht="15.75" customHeight="1" x14ac:dyDescent="0.25">
      <c r="A403" s="33" t="str">
        <f>CONCATENATE(D403,".",F403,"-",G403,".",H403,"")</f>
        <v>1.6-3.1</v>
      </c>
      <c r="B403" s="33" t="s">
        <v>814</v>
      </c>
      <c r="C403" s="40" t="s">
        <v>335</v>
      </c>
      <c r="D403" s="33">
        <f>IF(C403="ID",1,(IF(C403="PR",2,(IF(C403="DE",3,(IF(C403="RS",4,(IF(C403="RC",5,0)))))))))</f>
        <v>1</v>
      </c>
      <c r="E403" s="33" t="s">
        <v>1199</v>
      </c>
      <c r="F403" s="33">
        <f>IF(E403="AM",1,(IF(E403="BE",2,(IF(E403="GV",3,(IF(E403="RA",4,(IF(E403="RM",5,(IF(E403="AC",1,(IF(E403="AT",2,(IF(E403="DS",3,(IF(E403="IP",4,(IF(E403="MA",5,(IF(E403="PT",6,(IF(E403="AE",1,(IF(E403="CM",2,(IF(E403="DP",3,(IF(E403="AN",1,(IF(E403="CO",2,(IF(E403="IM",3,(IF(E403="MI",4,(IF(E403="RP",5,(IF(E403="SC",6,0)))))))))))))))))))))))))))))))))))))))</f>
        <v>6</v>
      </c>
      <c r="G403" s="171">
        <v>3</v>
      </c>
      <c r="H403" s="38" t="s">
        <v>511</v>
      </c>
      <c r="I403" s="27" t="s">
        <v>936</v>
      </c>
      <c r="J403" s="163" t="s">
        <v>1003</v>
      </c>
      <c r="K403" s="4" t="s">
        <v>1004</v>
      </c>
      <c r="L403" s="66">
        <f>IF(O403="","",N403*O403*M403)</f>
        <v>75</v>
      </c>
      <c r="M403" s="8">
        <v>1</v>
      </c>
      <c r="N403" s="3">
        <v>1</v>
      </c>
      <c r="O403" s="15">
        <f>IF(SUM(Q403:AF403)&lt;1,"",SUM(Q403:AF403)/COUNTIF(Q403:AF403,"&gt;0"))</f>
        <v>75</v>
      </c>
      <c r="P403" s="16"/>
      <c r="Q403" s="13"/>
      <c r="T403" s="4">
        <v>75</v>
      </c>
      <c r="U403" s="2"/>
      <c r="V403" s="2"/>
      <c r="W403" s="2"/>
      <c r="X403" s="2"/>
      <c r="Z403" s="2"/>
      <c r="AA403" s="2"/>
      <c r="AF403" s="14"/>
    </row>
    <row r="404" spans="1:32" s="4" customFormat="1" ht="15.75" customHeight="1" x14ac:dyDescent="0.25">
      <c r="A404" s="33" t="str">
        <f>CONCATENATE(D404,".",F404,"-",G404,".",H404,"")</f>
        <v>1.6-3.1</v>
      </c>
      <c r="B404" s="33" t="s">
        <v>814</v>
      </c>
      <c r="C404" s="40" t="s">
        <v>335</v>
      </c>
      <c r="D404" s="33">
        <f>IF(C404="ID",1,(IF(C404="PR",2,(IF(C404="DE",3,(IF(C404="RS",4,(IF(C404="RC",5,0)))))))))</f>
        <v>1</v>
      </c>
      <c r="E404" s="33" t="s">
        <v>1199</v>
      </c>
      <c r="F404" s="33">
        <f>IF(E404="AM",1,(IF(E404="BE",2,(IF(E404="GV",3,(IF(E404="RA",4,(IF(E404="RM",5,(IF(E404="AC",1,(IF(E404="AT",2,(IF(E404="DS",3,(IF(E404="IP",4,(IF(E404="MA",5,(IF(E404="PT",6,(IF(E404="AE",1,(IF(E404="CM",2,(IF(E404="DP",3,(IF(E404="AN",1,(IF(E404="CO",2,(IF(E404="IM",3,(IF(E404="MI",4,(IF(E404="RP",5,(IF(E404="SC",6,0)))))))))))))))))))))))))))))))))))))))</f>
        <v>6</v>
      </c>
      <c r="G404" s="171">
        <v>3</v>
      </c>
      <c r="H404" s="38" t="s">
        <v>511</v>
      </c>
      <c r="I404" s="27" t="s">
        <v>936</v>
      </c>
      <c r="J404" s="163" t="s">
        <v>919</v>
      </c>
      <c r="K404" s="4" t="s">
        <v>1005</v>
      </c>
      <c r="L404" s="66">
        <f>IF(O404="","",N404*O404*M404)</f>
        <v>75</v>
      </c>
      <c r="M404" s="8">
        <v>1</v>
      </c>
      <c r="N404" s="3">
        <v>1</v>
      </c>
      <c r="O404" s="15">
        <f>IF(SUM(Q404:AF404)&lt;1,"",SUM(Q404:AF404)/COUNTIF(Q404:AF404,"&gt;0"))</f>
        <v>75</v>
      </c>
      <c r="P404" s="16"/>
      <c r="Q404" s="13"/>
      <c r="T404" s="4">
        <v>75</v>
      </c>
      <c r="U404" s="2"/>
      <c r="V404" s="2"/>
      <c r="W404" s="2"/>
      <c r="X404" s="2"/>
      <c r="Z404" s="2"/>
      <c r="AA404" s="2"/>
      <c r="AF404" s="14"/>
    </row>
    <row r="405" spans="1:32" s="4" customFormat="1" ht="15.75" customHeight="1" x14ac:dyDescent="0.25">
      <c r="A405" s="33" t="str">
        <f>CONCATENATE(D405,".",F405,"-",G405,".",H405,"")</f>
        <v>1.6-3.1</v>
      </c>
      <c r="B405" s="33" t="s">
        <v>814</v>
      </c>
      <c r="C405" s="40" t="s">
        <v>335</v>
      </c>
      <c r="D405" s="33">
        <f>IF(C405="ID",1,(IF(C405="PR",2,(IF(C405="DE",3,(IF(C405="RS",4,(IF(C405="RC",5,0)))))))))</f>
        <v>1</v>
      </c>
      <c r="E405" s="33" t="s">
        <v>1199</v>
      </c>
      <c r="F405" s="33">
        <f>IF(E405="AM",1,(IF(E405="BE",2,(IF(E405="GV",3,(IF(E405="RA",4,(IF(E405="RM",5,(IF(E405="AC",1,(IF(E405="AT",2,(IF(E405="DS",3,(IF(E405="IP",4,(IF(E405="MA",5,(IF(E405="PT",6,(IF(E405="AE",1,(IF(E405="CM",2,(IF(E405="DP",3,(IF(E405="AN",1,(IF(E405="CO",2,(IF(E405="IM",3,(IF(E405="MI",4,(IF(E405="RP",5,(IF(E405="SC",6,0)))))))))))))))))))))))))))))))))))))))</f>
        <v>6</v>
      </c>
      <c r="G405" s="171">
        <v>3</v>
      </c>
      <c r="H405" s="38" t="s">
        <v>511</v>
      </c>
      <c r="I405" s="27" t="s">
        <v>936</v>
      </c>
      <c r="J405" s="163" t="s">
        <v>1002</v>
      </c>
      <c r="K405" s="34" t="s">
        <v>1006</v>
      </c>
      <c r="L405" s="66">
        <f>IF(O405="","",N405*O405*M405)</f>
        <v>75</v>
      </c>
      <c r="M405" s="8">
        <v>1</v>
      </c>
      <c r="N405" s="3">
        <v>1</v>
      </c>
      <c r="O405" s="15">
        <f>IF(SUM(Q405:AF405)&lt;1,"",SUM(Q405:AF405)/COUNTIF(Q405:AF405,"&gt;0"))</f>
        <v>75</v>
      </c>
      <c r="P405" s="16"/>
      <c r="Q405" s="13"/>
      <c r="T405" s="4">
        <v>75</v>
      </c>
      <c r="U405" s="2"/>
      <c r="V405" s="2"/>
      <c r="W405" s="2"/>
      <c r="X405" s="2"/>
      <c r="Z405" s="2"/>
      <c r="AA405" s="2"/>
      <c r="AF405" s="14"/>
    </row>
    <row r="406" spans="1:32" s="4" customFormat="1" ht="15.75" customHeight="1" x14ac:dyDescent="0.25">
      <c r="A406" s="33" t="str">
        <f>CONCATENATE(D406,".",F406,"-",G406,".",H406,"")</f>
        <v>1.6-3.1</v>
      </c>
      <c r="B406" s="33" t="s">
        <v>814</v>
      </c>
      <c r="C406" s="40" t="s">
        <v>335</v>
      </c>
      <c r="D406" s="33">
        <f>IF(C406="ID",1,(IF(C406="PR",2,(IF(C406="DE",3,(IF(C406="RS",4,(IF(C406="RC",5,0)))))))))</f>
        <v>1</v>
      </c>
      <c r="E406" s="33" t="s">
        <v>1199</v>
      </c>
      <c r="F406" s="33">
        <f>IF(E406="AM",1,(IF(E406="BE",2,(IF(E406="GV",3,(IF(E406="RA",4,(IF(E406="RM",5,(IF(E406="AC",1,(IF(E406="AT",2,(IF(E406="DS",3,(IF(E406="IP",4,(IF(E406="MA",5,(IF(E406="PT",6,(IF(E406="AE",1,(IF(E406="CM",2,(IF(E406="DP",3,(IF(E406="AN",1,(IF(E406="CO",2,(IF(E406="IM",3,(IF(E406="MI",4,(IF(E406="RP",5,(IF(E406="SC",6,0)))))))))))))))))))))))))))))))))))))))</f>
        <v>6</v>
      </c>
      <c r="G406" s="171">
        <v>3</v>
      </c>
      <c r="H406" s="38" t="s">
        <v>511</v>
      </c>
      <c r="I406" s="27" t="s">
        <v>936</v>
      </c>
      <c r="J406" s="163" t="s">
        <v>872</v>
      </c>
      <c r="K406" s="34" t="s">
        <v>1007</v>
      </c>
      <c r="L406" s="66">
        <f>IF(O406="","",N406*O406*M406)</f>
        <v>75</v>
      </c>
      <c r="M406" s="8">
        <v>1</v>
      </c>
      <c r="N406" s="3">
        <v>1</v>
      </c>
      <c r="O406" s="15">
        <f>IF(SUM(Q406:AF406)&lt;1,"",SUM(Q406:AF406)/COUNTIF(Q406:AF406,"&gt;0"))</f>
        <v>75</v>
      </c>
      <c r="P406" s="16"/>
      <c r="Q406" s="13"/>
      <c r="T406" s="4">
        <v>75</v>
      </c>
      <c r="U406" s="2"/>
      <c r="V406" s="2"/>
      <c r="W406" s="2"/>
      <c r="X406" s="2"/>
      <c r="Z406" s="2"/>
      <c r="AA406" s="2"/>
      <c r="AF406" s="14"/>
    </row>
    <row r="407" spans="1:32" s="4" customFormat="1" ht="15.75" customHeight="1" x14ac:dyDescent="0.25">
      <c r="A407" s="33" t="str">
        <f>CONCATENATE(D407,".",F407,"-",G407,".",H407,"")</f>
        <v>1.6-3.1</v>
      </c>
      <c r="B407" s="33" t="s">
        <v>814</v>
      </c>
      <c r="C407" s="40" t="s">
        <v>335</v>
      </c>
      <c r="D407" s="33">
        <f>IF(C407="ID",1,(IF(C407="PR",2,(IF(C407="DE",3,(IF(C407="RS",4,(IF(C407="RC",5,0)))))))))</f>
        <v>1</v>
      </c>
      <c r="E407" s="33" t="s">
        <v>1199</v>
      </c>
      <c r="F407" s="33">
        <f>IF(E407="AM",1,(IF(E407="BE",2,(IF(E407="GV",3,(IF(E407="RA",4,(IF(E407="RM",5,(IF(E407="AC",1,(IF(E407="AT",2,(IF(E407="DS",3,(IF(E407="IP",4,(IF(E407="MA",5,(IF(E407="PT",6,(IF(E407="AE",1,(IF(E407="CM",2,(IF(E407="DP",3,(IF(E407="AN",1,(IF(E407="CO",2,(IF(E407="IM",3,(IF(E407="MI",4,(IF(E407="RP",5,(IF(E407="SC",6,0)))))))))))))))))))))))))))))))))))))))</f>
        <v>6</v>
      </c>
      <c r="G407" s="171">
        <v>3</v>
      </c>
      <c r="H407" s="38" t="s">
        <v>511</v>
      </c>
      <c r="I407" s="27" t="s">
        <v>936</v>
      </c>
      <c r="J407" s="163" t="s">
        <v>1011</v>
      </c>
      <c r="K407" s="34" t="s">
        <v>1012</v>
      </c>
      <c r="L407" s="66">
        <f>IF(O407="","",N407*O407*M407)</f>
        <v>75</v>
      </c>
      <c r="M407" s="8">
        <v>1</v>
      </c>
      <c r="N407" s="3">
        <v>1</v>
      </c>
      <c r="O407" s="15">
        <f>IF(SUM(Q407:AF407)&lt;1,"",SUM(Q407:AF407)/COUNTIF(Q407:AF407,"&gt;0"))</f>
        <v>75</v>
      </c>
      <c r="P407" s="16"/>
      <c r="Q407" s="13"/>
      <c r="T407" s="4">
        <v>75</v>
      </c>
      <c r="U407" s="2"/>
      <c r="V407" s="2"/>
      <c r="W407" s="2"/>
      <c r="X407" s="2"/>
      <c r="Z407" s="2"/>
      <c r="AA407" s="2"/>
      <c r="AF407" s="14"/>
    </row>
    <row r="408" spans="1:32" s="4" customFormat="1" ht="15.75" customHeight="1" x14ac:dyDescent="0.25">
      <c r="A408" s="33" t="str">
        <f>CONCATENATE(D408,".",F408,"-",G408,".",H408,"")</f>
        <v>1.6-3.1</v>
      </c>
      <c r="B408" s="33" t="s">
        <v>814</v>
      </c>
      <c r="C408" s="40" t="s">
        <v>335</v>
      </c>
      <c r="D408" s="33">
        <f>IF(C408="ID",1,(IF(C408="PR",2,(IF(C408="DE",3,(IF(C408="RS",4,(IF(C408="RC",5,0)))))))))</f>
        <v>1</v>
      </c>
      <c r="E408" s="33" t="s">
        <v>1199</v>
      </c>
      <c r="F408" s="33">
        <f>IF(E408="AM",1,(IF(E408="BE",2,(IF(E408="GV",3,(IF(E408="RA",4,(IF(E408="RM",5,(IF(E408="AC",1,(IF(E408="AT",2,(IF(E408="DS",3,(IF(E408="IP",4,(IF(E408="MA",5,(IF(E408="PT",6,(IF(E408="AE",1,(IF(E408="CM",2,(IF(E408="DP",3,(IF(E408="AN",1,(IF(E408="CO",2,(IF(E408="IM",3,(IF(E408="MI",4,(IF(E408="RP",5,(IF(E408="SC",6,0)))))))))))))))))))))))))))))))))))))))</f>
        <v>6</v>
      </c>
      <c r="G408" s="171">
        <v>3</v>
      </c>
      <c r="H408" s="38" t="s">
        <v>511</v>
      </c>
      <c r="I408" s="27" t="s">
        <v>936</v>
      </c>
      <c r="J408" s="163" t="s">
        <v>1013</v>
      </c>
      <c r="K408" s="34" t="s">
        <v>1014</v>
      </c>
      <c r="L408" s="66">
        <f>IF(O408="","",N408*O408*M408)</f>
        <v>75</v>
      </c>
      <c r="M408" s="8">
        <v>1</v>
      </c>
      <c r="N408" s="3">
        <v>1</v>
      </c>
      <c r="O408" s="15">
        <f>IF(SUM(Q408:AF408)&lt;1,"",SUM(Q408:AF408)/COUNTIF(Q408:AF408,"&gt;0"))</f>
        <v>75</v>
      </c>
      <c r="P408" s="16"/>
      <c r="Q408" s="13"/>
      <c r="T408" s="4">
        <v>75</v>
      </c>
      <c r="U408" s="2"/>
      <c r="V408" s="2"/>
      <c r="W408" s="2"/>
      <c r="X408" s="2"/>
      <c r="Z408" s="2"/>
      <c r="AA408" s="2"/>
      <c r="AF408" s="14"/>
    </row>
    <row r="409" spans="1:32" s="4" customFormat="1" ht="15.75" customHeight="1" x14ac:dyDescent="0.25">
      <c r="A409" s="33" t="str">
        <f>CONCATENATE(D409,".",F409,"-",G409,".",H409,"")</f>
        <v>1.6-3.1</v>
      </c>
      <c r="B409" s="33" t="s">
        <v>814</v>
      </c>
      <c r="C409" s="40" t="s">
        <v>335</v>
      </c>
      <c r="D409" s="33">
        <f>IF(C409="ID",1,(IF(C409="PR",2,(IF(C409="DE",3,(IF(C409="RS",4,(IF(C409="RC",5,0)))))))))</f>
        <v>1</v>
      </c>
      <c r="E409" s="33" t="s">
        <v>1199</v>
      </c>
      <c r="F409" s="33">
        <f>IF(E409="AM",1,(IF(E409="BE",2,(IF(E409="GV",3,(IF(E409="RA",4,(IF(E409="RM",5,(IF(E409="AC",1,(IF(E409="AT",2,(IF(E409="DS",3,(IF(E409="IP",4,(IF(E409="MA",5,(IF(E409="PT",6,(IF(E409="AE",1,(IF(E409="CM",2,(IF(E409="DP",3,(IF(E409="AN",1,(IF(E409="CO",2,(IF(E409="IM",3,(IF(E409="MI",4,(IF(E409="RP",5,(IF(E409="SC",6,0)))))))))))))))))))))))))))))))))))))))</f>
        <v>6</v>
      </c>
      <c r="G409" s="171">
        <v>3</v>
      </c>
      <c r="H409" s="38" t="s">
        <v>511</v>
      </c>
      <c r="I409" s="27" t="s">
        <v>936</v>
      </c>
      <c r="J409" s="163" t="s">
        <v>883</v>
      </c>
      <c r="K409" s="34" t="s">
        <v>1015</v>
      </c>
      <c r="L409" s="66">
        <f>IF(O409="","",N409*O409*M409)</f>
        <v>75</v>
      </c>
      <c r="M409" s="8">
        <v>1</v>
      </c>
      <c r="N409" s="3">
        <v>1</v>
      </c>
      <c r="O409" s="15">
        <f>IF(SUM(Q409:AF409)&lt;1,"",SUM(Q409:AF409)/COUNTIF(Q409:AF409,"&gt;0"))</f>
        <v>75</v>
      </c>
      <c r="P409" s="16"/>
      <c r="Q409" s="13"/>
      <c r="T409" s="4">
        <v>75</v>
      </c>
      <c r="U409" s="2"/>
      <c r="V409" s="2"/>
      <c r="W409" s="2"/>
      <c r="X409" s="2"/>
      <c r="Z409" s="2"/>
      <c r="AA409" s="2"/>
      <c r="AF409" s="14"/>
    </row>
    <row r="410" spans="1:32" s="4" customFormat="1" ht="15.75" customHeight="1" x14ac:dyDescent="0.25">
      <c r="A410" s="33" t="str">
        <f>CONCATENATE(D410,".",F410,"-",G410,".",H410,"")</f>
        <v>1.6-3.1</v>
      </c>
      <c r="B410" s="33" t="s">
        <v>814</v>
      </c>
      <c r="C410" s="40" t="s">
        <v>335</v>
      </c>
      <c r="D410" s="33">
        <f>IF(C410="ID",1,(IF(C410="PR",2,(IF(C410="DE",3,(IF(C410="RS",4,(IF(C410="RC",5,0)))))))))</f>
        <v>1</v>
      </c>
      <c r="E410" s="33" t="s">
        <v>1199</v>
      </c>
      <c r="F410" s="33">
        <f>IF(E410="AM",1,(IF(E410="BE",2,(IF(E410="GV",3,(IF(E410="RA",4,(IF(E410="RM",5,(IF(E410="AC",1,(IF(E410="AT",2,(IF(E410="DS",3,(IF(E410="IP",4,(IF(E410="MA",5,(IF(E410="PT",6,(IF(E410="AE",1,(IF(E410="CM",2,(IF(E410="DP",3,(IF(E410="AN",1,(IF(E410="CO",2,(IF(E410="IM",3,(IF(E410="MI",4,(IF(E410="RP",5,(IF(E410="SC",6,0)))))))))))))))))))))))))))))))))))))))</f>
        <v>6</v>
      </c>
      <c r="G410" s="171">
        <v>3</v>
      </c>
      <c r="H410" s="38" t="s">
        <v>511</v>
      </c>
      <c r="I410" s="27" t="s">
        <v>936</v>
      </c>
      <c r="J410" s="163" t="s">
        <v>1017</v>
      </c>
      <c r="K410" s="34" t="s">
        <v>1019</v>
      </c>
      <c r="L410" s="66">
        <f>IF(O410="","",N410*O410*M410)</f>
        <v>75</v>
      </c>
      <c r="M410" s="8">
        <v>1</v>
      </c>
      <c r="N410" s="3">
        <v>1</v>
      </c>
      <c r="O410" s="15">
        <f>IF(SUM(Q410:AF410)&lt;1,"",SUM(Q410:AF410)/COUNTIF(Q410:AF410,"&gt;0"))</f>
        <v>75</v>
      </c>
      <c r="P410" s="16"/>
      <c r="Q410" s="13"/>
      <c r="T410" s="4">
        <v>75</v>
      </c>
      <c r="U410" s="2"/>
      <c r="V410" s="2"/>
      <c r="W410" s="2"/>
      <c r="X410" s="2"/>
      <c r="Z410" s="2"/>
      <c r="AA410" s="2"/>
      <c r="AF410" s="14"/>
    </row>
    <row r="411" spans="1:32" s="4" customFormat="1" ht="15.75" customHeight="1" x14ac:dyDescent="0.25">
      <c r="A411" s="33" t="str">
        <f>CONCATENATE(D411,".",F411,"-",G411,".",H411,"")</f>
        <v>1.6-3.1</v>
      </c>
      <c r="B411" s="33" t="s">
        <v>814</v>
      </c>
      <c r="C411" s="41" t="s">
        <v>335</v>
      </c>
      <c r="D411" s="33">
        <f>IF(C411="ID",1,(IF(C411="PR",2,(IF(C411="DE",3,(IF(C411="RS",4,(IF(C411="RC",5,0)))))))))</f>
        <v>1</v>
      </c>
      <c r="E411" s="33" t="s">
        <v>1199</v>
      </c>
      <c r="F411" s="33">
        <f>IF(E411="AM",1,(IF(E411="BE",2,(IF(E411="GV",3,(IF(E411="RA",4,(IF(E411="RM",5,(IF(E411="AC",1,(IF(E411="AT",2,(IF(E411="DS",3,(IF(E411="IP",4,(IF(E411="MA",5,(IF(E411="PT",6,(IF(E411="AE",1,(IF(E411="CM",2,(IF(E411="DP",3,(IF(E411="AN",1,(IF(E411="CO",2,(IF(E411="IM",3,(IF(E411="MI",4,(IF(E411="RP",5,(IF(E411="SC",6,0)))))))))))))))))))))))))))))))))))))))</f>
        <v>6</v>
      </c>
      <c r="G411" s="170">
        <v>3</v>
      </c>
      <c r="H411" s="38" t="s">
        <v>511</v>
      </c>
      <c r="I411" s="27" t="s">
        <v>266</v>
      </c>
      <c r="J411" s="149" t="s">
        <v>296</v>
      </c>
      <c r="K411" s="79" t="s">
        <v>1360</v>
      </c>
      <c r="L411" s="5">
        <f>IF(O411="","",N411*O411*M411)</f>
        <v>75</v>
      </c>
      <c r="M411" s="8">
        <v>1</v>
      </c>
      <c r="N411" s="1">
        <v>1</v>
      </c>
      <c r="O411" s="15">
        <f>IF(SUM(Q411:AF411)&lt;1,"",SUM(Q411:AF411)/COUNTIF(Q411:AF411,"&gt;0"))</f>
        <v>75</v>
      </c>
      <c r="P411" s="16"/>
      <c r="Q411" s="13"/>
      <c r="T411" s="4">
        <v>75</v>
      </c>
      <c r="U411" s="2"/>
      <c r="V411" s="2"/>
      <c r="W411" s="2"/>
      <c r="X411" s="2"/>
      <c r="Z411" s="2"/>
      <c r="AA411" s="2"/>
      <c r="AF411" s="14"/>
    </row>
    <row r="412" spans="1:32" s="4" customFormat="1" ht="15.75" customHeight="1" x14ac:dyDescent="0.25">
      <c r="A412" s="33" t="str">
        <f>CONCATENATE(D412,".",F412,"-",G412,".",H412,"")</f>
        <v>1.6-3.1</v>
      </c>
      <c r="B412" s="33" t="s">
        <v>814</v>
      </c>
      <c r="C412" s="39" t="s">
        <v>335</v>
      </c>
      <c r="D412" s="33">
        <f>IF(C412="ID",1,(IF(C412="PR",2,(IF(C412="DE",3,(IF(C412="RS",4,(IF(C412="RC",5,0)))))))))</f>
        <v>1</v>
      </c>
      <c r="E412" s="33" t="s">
        <v>1199</v>
      </c>
      <c r="F412" s="33">
        <f>IF(E412="AM",1,(IF(E412="BE",2,(IF(E412="GV",3,(IF(E412="RA",4,(IF(E412="RM",5,(IF(E412="AC",1,(IF(E412="AT",2,(IF(E412="DS",3,(IF(E412="IP",4,(IF(E412="MA",5,(IF(E412="PT",6,(IF(E412="AE",1,(IF(E412="CM",2,(IF(E412="DP",3,(IF(E412="AN",1,(IF(E412="CO",2,(IF(E412="IM",3,(IF(E412="MI",4,(IF(E412="RP",5,(IF(E412="SC",6,0)))))))))))))))))))))))))))))))))))))))</f>
        <v>6</v>
      </c>
      <c r="G412" s="170">
        <v>3</v>
      </c>
      <c r="H412" s="33">
        <v>1</v>
      </c>
      <c r="I412" s="27" t="s">
        <v>266</v>
      </c>
      <c r="J412" s="150" t="s">
        <v>77</v>
      </c>
      <c r="K412" s="79" t="s">
        <v>1382</v>
      </c>
      <c r="L412" s="5">
        <f>IF(O412="","",N412*O412*M412)</f>
        <v>75</v>
      </c>
      <c r="M412" s="8">
        <v>1</v>
      </c>
      <c r="N412" s="1">
        <v>1</v>
      </c>
      <c r="O412" s="15">
        <f>IF(SUM(Q412:AF412)&lt;1,"",SUM(Q412:AF412)/COUNTIF(Q412:AF412,"&gt;0"))</f>
        <v>75</v>
      </c>
      <c r="P412" s="16"/>
      <c r="Q412" s="13"/>
      <c r="R412" s="3"/>
      <c r="S412" s="3"/>
      <c r="T412" s="4">
        <v>75</v>
      </c>
      <c r="U412" s="3"/>
      <c r="V412" s="3"/>
      <c r="W412" s="3"/>
      <c r="X412" s="3"/>
      <c r="Y412" s="3"/>
      <c r="Z412" s="3"/>
      <c r="AA412" s="3"/>
      <c r="AB412" s="3"/>
      <c r="AC412" s="3"/>
      <c r="AD412" s="3"/>
      <c r="AE412" s="3"/>
      <c r="AF412" s="104"/>
    </row>
    <row r="413" spans="1:32" s="4" customFormat="1" ht="15.75" customHeight="1" x14ac:dyDescent="0.25">
      <c r="A413" s="33" t="str">
        <f>CONCATENATE(D413,".",F413,"-",G413,".",H413,"")</f>
        <v>1.6-3.1</v>
      </c>
      <c r="B413" s="33" t="s">
        <v>814</v>
      </c>
      <c r="C413" s="39" t="s">
        <v>335</v>
      </c>
      <c r="D413" s="33">
        <f>IF(C413="ID",1,(IF(C413="PR",2,(IF(C413="DE",3,(IF(C413="RS",4,(IF(C413="RC",5,0)))))))))</f>
        <v>1</v>
      </c>
      <c r="E413" s="33" t="s">
        <v>1199</v>
      </c>
      <c r="F413" s="33">
        <f>IF(E413="AM",1,(IF(E413="BE",2,(IF(E413="GV",3,(IF(E413="RA",4,(IF(E413="RM",5,(IF(E413="AC",1,(IF(E413="AT",2,(IF(E413="DS",3,(IF(E413="IP",4,(IF(E413="MA",5,(IF(E413="PT",6,(IF(E413="AE",1,(IF(E413="CM",2,(IF(E413="DP",3,(IF(E413="AN",1,(IF(E413="CO",2,(IF(E413="IM",3,(IF(E413="MI",4,(IF(E413="RP",5,(IF(E413="SC",6,0)))))))))))))))))))))))))))))))))))))))</f>
        <v>6</v>
      </c>
      <c r="G413" s="170">
        <v>3</v>
      </c>
      <c r="H413" s="38" t="s">
        <v>511</v>
      </c>
      <c r="I413" s="105" t="s">
        <v>1449</v>
      </c>
      <c r="J413" s="157" t="s">
        <v>1542</v>
      </c>
      <c r="K413" s="34" t="s">
        <v>1543</v>
      </c>
      <c r="L413" s="5">
        <f>IF(O413="","",N413*O413*M413)</f>
        <v>99</v>
      </c>
      <c r="M413" s="8">
        <v>1</v>
      </c>
      <c r="N413" s="1">
        <v>1</v>
      </c>
      <c r="O413" s="15">
        <f>IF(SUM(Q413:AF413)&lt;1,"",SUM(Q413:AF413)/COUNTIF(Q413:AF413,"&gt;0"))</f>
        <v>99</v>
      </c>
      <c r="P413" s="16"/>
      <c r="Q413" s="13"/>
      <c r="T413" s="4">
        <v>99</v>
      </c>
      <c r="U413" s="2"/>
      <c r="V413" s="2"/>
      <c r="W413" s="2"/>
      <c r="X413" s="2"/>
      <c r="Z413" s="2"/>
      <c r="AA413" s="2"/>
      <c r="AF413" s="14"/>
    </row>
    <row r="414" spans="1:32" s="4" customFormat="1" ht="15.75" customHeight="1" x14ac:dyDescent="0.25">
      <c r="A414" s="33" t="str">
        <f>CONCATENATE(D414,".",F414,"-",G414,".",H414,"")</f>
        <v>1.6-3.1</v>
      </c>
      <c r="B414" s="33" t="s">
        <v>814</v>
      </c>
      <c r="C414" s="39" t="s">
        <v>335</v>
      </c>
      <c r="D414" s="33">
        <f>IF(C414="ID",1,(IF(C414="PR",2,(IF(C414="DE",3,(IF(C414="RS",4,(IF(C414="RC",5,0)))))))))</f>
        <v>1</v>
      </c>
      <c r="E414" s="33" t="s">
        <v>1199</v>
      </c>
      <c r="F414" s="33">
        <f>IF(E414="AM",1,(IF(E414="BE",2,(IF(E414="GV",3,(IF(E414="RA",4,(IF(E414="RM",5,(IF(E414="AC",1,(IF(E414="AT",2,(IF(E414="DS",3,(IF(E414="IP",4,(IF(E414="MA",5,(IF(E414="PT",6,(IF(E414="AE",1,(IF(E414="CM",2,(IF(E414="DP",3,(IF(E414="AN",1,(IF(E414="CO",2,(IF(E414="IM",3,(IF(E414="MI",4,(IF(E414="RP",5,(IF(E414="SC",6,0)))))))))))))))))))))))))))))))))))))))</f>
        <v>6</v>
      </c>
      <c r="G414" s="170">
        <v>3</v>
      </c>
      <c r="H414" s="38" t="s">
        <v>511</v>
      </c>
      <c r="I414" s="105" t="s">
        <v>1449</v>
      </c>
      <c r="J414" s="157" t="s">
        <v>2611</v>
      </c>
      <c r="K414" s="34" t="s">
        <v>2612</v>
      </c>
      <c r="L414" s="5">
        <f>IF(O414="","",N414*O414*M414)</f>
        <v>99</v>
      </c>
      <c r="M414" s="8">
        <v>1</v>
      </c>
      <c r="N414" s="1">
        <v>1</v>
      </c>
      <c r="O414" s="15">
        <f>IF(SUM(Q414:AF414)&lt;1,"",SUM(Q414:AF414)/COUNTIF(Q414:AF414,"&gt;0"))</f>
        <v>99</v>
      </c>
      <c r="P414" s="16"/>
      <c r="Q414" s="13"/>
      <c r="T414" s="4">
        <v>99</v>
      </c>
      <c r="U414" s="2"/>
      <c r="V414" s="2"/>
      <c r="W414" s="2"/>
      <c r="X414" s="2"/>
      <c r="Z414" s="2"/>
      <c r="AA414" s="2"/>
      <c r="AF414" s="14"/>
    </row>
    <row r="415" spans="1:32" s="4" customFormat="1" ht="15.75" customHeight="1" x14ac:dyDescent="0.25">
      <c r="A415" s="33" t="str">
        <f>CONCATENATE(D415,".",F415,"-",G415,".",H415,"")</f>
        <v>1.6-3.1</v>
      </c>
      <c r="B415" s="33" t="s">
        <v>814</v>
      </c>
      <c r="C415" s="39" t="s">
        <v>335</v>
      </c>
      <c r="D415" s="33">
        <f>IF(C415="ID",1,(IF(C415="PR",2,(IF(C415="DE",3,(IF(C415="RS",4,(IF(C415="RC",5,0)))))))))</f>
        <v>1</v>
      </c>
      <c r="E415" s="33" t="s">
        <v>1199</v>
      </c>
      <c r="F415" s="33">
        <f>IF(E415="AM",1,(IF(E415="BE",2,(IF(E415="GV",3,(IF(E415="RA",4,(IF(E415="RM",5,(IF(E415="AC",1,(IF(E415="AT",2,(IF(E415="DS",3,(IF(E415="IP",4,(IF(E415="MA",5,(IF(E415="PT",6,(IF(E415="AE",1,(IF(E415="CM",2,(IF(E415="DP",3,(IF(E415="AN",1,(IF(E415="CO",2,(IF(E415="IM",3,(IF(E415="MI",4,(IF(E415="RP",5,(IF(E415="SC",6,0)))))))))))))))))))))))))))))))))))))))</f>
        <v>6</v>
      </c>
      <c r="G415" s="170">
        <v>3</v>
      </c>
      <c r="H415" s="38" t="s">
        <v>511</v>
      </c>
      <c r="I415" s="105" t="s">
        <v>1449</v>
      </c>
      <c r="J415" s="157" t="s">
        <v>2621</v>
      </c>
      <c r="K415" s="34" t="s">
        <v>2622</v>
      </c>
      <c r="L415" s="5">
        <f>IF(O415="","",N415*O415*M415)</f>
        <v>99</v>
      </c>
      <c r="M415" s="8">
        <v>1</v>
      </c>
      <c r="N415" s="1">
        <v>1</v>
      </c>
      <c r="O415" s="15">
        <f>IF(SUM(Q415:AF415)&lt;1,"",SUM(Q415:AF415)/COUNTIF(Q415:AF415,"&gt;0"))</f>
        <v>99</v>
      </c>
      <c r="P415" s="16"/>
      <c r="Q415" s="13"/>
      <c r="T415" s="4">
        <v>99</v>
      </c>
      <c r="U415" s="2"/>
      <c r="V415" s="2"/>
      <c r="W415" s="2"/>
      <c r="X415" s="2"/>
      <c r="Z415" s="2"/>
      <c r="AA415" s="2"/>
      <c r="AF415" s="14"/>
    </row>
    <row r="416" spans="1:32" s="4" customFormat="1" ht="15.75" customHeight="1" x14ac:dyDescent="0.25">
      <c r="A416" s="33" t="str">
        <f>CONCATENATE(D416,".",F416,"-",G416,".",H416,"")</f>
        <v>1.6-3.1</v>
      </c>
      <c r="B416" s="33" t="s">
        <v>814</v>
      </c>
      <c r="C416" s="39" t="s">
        <v>335</v>
      </c>
      <c r="D416" s="33">
        <f>IF(C416="ID",1,(IF(C416="PR",2,(IF(C416="DE",3,(IF(C416="RS",4,(IF(C416="RC",5,0)))))))))</f>
        <v>1</v>
      </c>
      <c r="E416" s="33" t="s">
        <v>1199</v>
      </c>
      <c r="F416" s="33">
        <f>IF(E416="AM",1,(IF(E416="BE",2,(IF(E416="GV",3,(IF(E416="RA",4,(IF(E416="RM",5,(IF(E416="AC",1,(IF(E416="AT",2,(IF(E416="DS",3,(IF(E416="IP",4,(IF(E416="MA",5,(IF(E416="PT",6,(IF(E416="AE",1,(IF(E416="CM",2,(IF(E416="DP",3,(IF(E416="AN",1,(IF(E416="CO",2,(IF(E416="IM",3,(IF(E416="MI",4,(IF(E416="RP",5,(IF(E416="SC",6,0)))))))))))))))))))))))))))))))))))))))</f>
        <v>6</v>
      </c>
      <c r="G416" s="170">
        <v>3</v>
      </c>
      <c r="H416" s="38" t="s">
        <v>511</v>
      </c>
      <c r="I416" s="105" t="s">
        <v>1449</v>
      </c>
      <c r="J416" s="157" t="s">
        <v>2625</v>
      </c>
      <c r="K416" s="34" t="s">
        <v>2626</v>
      </c>
      <c r="L416" s="5">
        <f>IF(O416="","",N416*O416*M416)</f>
        <v>99</v>
      </c>
      <c r="M416" s="8">
        <v>1</v>
      </c>
      <c r="N416" s="1">
        <v>1</v>
      </c>
      <c r="O416" s="15">
        <f>IF(SUM(Q416:AF416)&lt;1,"",SUM(Q416:AF416)/COUNTIF(Q416:AF416,"&gt;0"))</f>
        <v>99</v>
      </c>
      <c r="P416" s="16"/>
      <c r="Q416" s="13"/>
      <c r="T416" s="4">
        <v>99</v>
      </c>
      <c r="U416" s="2"/>
      <c r="V416" s="2"/>
      <c r="W416" s="2"/>
      <c r="X416" s="2"/>
      <c r="Z416" s="2"/>
      <c r="AA416" s="2"/>
      <c r="AF416" s="14"/>
    </row>
    <row r="417" spans="1:33" s="4" customFormat="1" ht="15.75" customHeight="1" x14ac:dyDescent="0.25">
      <c r="A417" s="33" t="str">
        <f>CONCATENATE(D417,".",F417,"-",G417,".",H417,"")</f>
        <v>1.6-3.2</v>
      </c>
      <c r="B417" s="33" t="s">
        <v>814</v>
      </c>
      <c r="C417" s="39" t="s">
        <v>335</v>
      </c>
      <c r="D417" s="33">
        <f>IF(C417="ID",1,(IF(C417="PR",2,(IF(C417="DE",3,(IF(C417="RS",4,(IF(C417="RC",5,0)))))))))</f>
        <v>1</v>
      </c>
      <c r="E417" s="33" t="s">
        <v>1199</v>
      </c>
      <c r="F417" s="33">
        <f>IF(E417="AM",1,(IF(E417="BE",2,(IF(E417="GV",3,(IF(E417="RA",4,(IF(E417="RM",5,(IF(E417="AC",1,(IF(E417="AT",2,(IF(E417="DS",3,(IF(E417="IP",4,(IF(E417="MA",5,(IF(E417="PT",6,(IF(E417="AE",1,(IF(E417="CM",2,(IF(E417="DP",3,(IF(E417="AN",1,(IF(E417="CO",2,(IF(E417="IM",3,(IF(E417="MI",4,(IF(E417="RP",5,(IF(E417="SC",6,0)))))))))))))))))))))))))))))))))))))))</f>
        <v>6</v>
      </c>
      <c r="G417" s="170">
        <v>3</v>
      </c>
      <c r="H417" s="38" t="s">
        <v>512</v>
      </c>
      <c r="I417" s="27" t="s">
        <v>266</v>
      </c>
      <c r="J417" s="149" t="s">
        <v>468</v>
      </c>
      <c r="K417" s="79" t="s">
        <v>1336</v>
      </c>
      <c r="L417" s="66">
        <f>IF(O417="","",N417*O417*M417)</f>
        <v>75</v>
      </c>
      <c r="M417" s="8">
        <v>1</v>
      </c>
      <c r="N417" s="1">
        <v>1</v>
      </c>
      <c r="O417" s="15">
        <f>IF(SUM(Q417:AF417)&lt;1,"",SUM(Q417:AF417)/COUNTIF(Q417:AF417,"&gt;0"))</f>
        <v>75</v>
      </c>
      <c r="P417" s="16"/>
      <c r="Q417" s="13"/>
      <c r="T417" s="4">
        <v>75</v>
      </c>
      <c r="U417" s="2"/>
      <c r="V417" s="2"/>
      <c r="W417" s="2"/>
      <c r="X417" s="2"/>
      <c r="Z417" s="2"/>
      <c r="AA417" s="2"/>
      <c r="AF417" s="14"/>
    </row>
    <row r="418" spans="1:33" s="4" customFormat="1" ht="15.75" customHeight="1" x14ac:dyDescent="0.25">
      <c r="A418" s="33" t="str">
        <f>CONCATENATE(D418,".",F418,"-",G418,".",H418,"")</f>
        <v>1.6-3.4</v>
      </c>
      <c r="B418" s="33" t="s">
        <v>814</v>
      </c>
      <c r="C418" s="39" t="s">
        <v>335</v>
      </c>
      <c r="D418" s="33">
        <f>IF(C418="ID",1,(IF(C418="PR",2,(IF(C418="DE",3,(IF(C418="RS",4,(IF(C418="RC",5,0)))))))))</f>
        <v>1</v>
      </c>
      <c r="E418" s="33" t="s">
        <v>1199</v>
      </c>
      <c r="F418" s="33">
        <f>IF(E418="AM",1,(IF(E418="BE",2,(IF(E418="GV",3,(IF(E418="RA",4,(IF(E418="RM",5,(IF(E418="AC",1,(IF(E418="AT",2,(IF(E418="DS",3,(IF(E418="IP",4,(IF(E418="MA",5,(IF(E418="PT",6,(IF(E418="AE",1,(IF(E418="CM",2,(IF(E418="DP",3,(IF(E418="AN",1,(IF(E418="CO",2,(IF(E418="IM",3,(IF(E418="MI",4,(IF(E418="RP",5,(IF(E418="SC",6,0)))))))))))))))))))))))))))))))))))))))</f>
        <v>6</v>
      </c>
      <c r="G418" s="170">
        <v>3</v>
      </c>
      <c r="H418" s="38" t="s">
        <v>514</v>
      </c>
      <c r="I418" s="105" t="s">
        <v>821</v>
      </c>
      <c r="J418" s="150">
        <v>2.6</v>
      </c>
      <c r="K418" s="79" t="s">
        <v>1283</v>
      </c>
      <c r="L418" s="66">
        <f>IF(O418="","",N418*O418*M418)</f>
        <v>75</v>
      </c>
      <c r="M418" s="8">
        <v>1</v>
      </c>
      <c r="N418" s="3">
        <v>1</v>
      </c>
      <c r="O418" s="15">
        <f>IF(SUM(Q418:AF418)&lt;1,"",SUM(Q418:AF418)/COUNTIF(Q418:AF418,"&gt;0"))</f>
        <v>75</v>
      </c>
      <c r="P418" s="16"/>
      <c r="Q418" s="13"/>
      <c r="T418" s="4">
        <v>75</v>
      </c>
      <c r="U418" s="2"/>
      <c r="V418" s="2"/>
      <c r="W418" s="2"/>
      <c r="X418" s="2"/>
      <c r="Z418" s="2"/>
      <c r="AA418" s="2"/>
      <c r="AF418" s="14"/>
    </row>
    <row r="419" spans="1:33" s="4" customFormat="1" ht="15.75" customHeight="1" x14ac:dyDescent="0.25">
      <c r="A419" s="33" t="str">
        <f>CONCATENATE(D419,".",F419,"-",G419,".",H419,"")</f>
        <v>1.6-4.0</v>
      </c>
      <c r="B419" s="33" t="s">
        <v>814</v>
      </c>
      <c r="C419" s="40" t="s">
        <v>335</v>
      </c>
      <c r="D419" s="33">
        <f>IF(C419="ID",1,(IF(C419="PR",2,(IF(C419="DE",3,(IF(C419="RS",4,(IF(C419="RC",5,0)))))))))</f>
        <v>1</v>
      </c>
      <c r="E419" s="33" t="s">
        <v>1199</v>
      </c>
      <c r="F419" s="33">
        <f>IF(E419="AM",1,(IF(E419="BE",2,(IF(E419="GV",3,(IF(E419="RA",4,(IF(E419="RM",5,(IF(E419="AC",1,(IF(E419="AT",2,(IF(E419="DS",3,(IF(E419="IP",4,(IF(E419="MA",5,(IF(E419="PT",6,(IF(E419="AE",1,(IF(E419="CM",2,(IF(E419="DP",3,(IF(E419="AN",1,(IF(E419="CO",2,(IF(E419="IM",3,(IF(E419="MI",4,(IF(E419="RP",5,(IF(E419="SC",6,0)))))))))))))))))))))))))))))))))))))))</f>
        <v>6</v>
      </c>
      <c r="G419" s="170">
        <v>4</v>
      </c>
      <c r="H419" s="38" t="s">
        <v>597</v>
      </c>
      <c r="I419" s="27" t="s">
        <v>1200</v>
      </c>
      <c r="J419" s="157" t="s">
        <v>1187</v>
      </c>
      <c r="K419" s="97" t="s">
        <v>1188</v>
      </c>
      <c r="L419" s="5">
        <f>IF(O419="","",N419*O419*M419)</f>
        <v>75</v>
      </c>
      <c r="M419" s="8">
        <v>1</v>
      </c>
      <c r="N419" s="1">
        <v>1</v>
      </c>
      <c r="O419" s="15">
        <f>IF(SUM(Q419:AF419)&lt;1,"",SUM(Q419:AF419)/COUNTIF(Q419:AF419,"&gt;0"))</f>
        <v>75</v>
      </c>
      <c r="P419" s="16"/>
      <c r="Q419" s="13"/>
      <c r="T419" s="4">
        <v>75</v>
      </c>
      <c r="U419" s="2"/>
      <c r="V419" s="2"/>
      <c r="W419" s="2"/>
      <c r="X419" s="2"/>
      <c r="Z419" s="2"/>
      <c r="AA419" s="2"/>
      <c r="AF419" s="14"/>
    </row>
    <row r="420" spans="1:33" s="4" customFormat="1" ht="15.75" customHeight="1" x14ac:dyDescent="0.25">
      <c r="A420" s="33" t="str">
        <f>CONCATENATE(D420,".",F420,"-",G420,".",H420,"")</f>
        <v>1.6-4.1</v>
      </c>
      <c r="B420" s="33" t="s">
        <v>814</v>
      </c>
      <c r="C420" s="40" t="s">
        <v>335</v>
      </c>
      <c r="D420" s="33">
        <f>IF(C420="ID",1,(IF(C420="PR",2,(IF(C420="DE",3,(IF(C420="RS",4,(IF(C420="RC",5,0)))))))))</f>
        <v>1</v>
      </c>
      <c r="E420" s="33" t="s">
        <v>1199</v>
      </c>
      <c r="F420" s="33">
        <f>IF(E420="AM",1,(IF(E420="BE",2,(IF(E420="GV",3,(IF(E420="RA",4,(IF(E420="RM",5,(IF(E420="AC",1,(IF(E420="AT",2,(IF(E420="DS",3,(IF(E420="IP",4,(IF(E420="MA",5,(IF(E420="PT",6,(IF(E420="AE",1,(IF(E420="CM",2,(IF(E420="DP",3,(IF(E420="AN",1,(IF(E420="CO",2,(IF(E420="IM",3,(IF(E420="MI",4,(IF(E420="RP",5,(IF(E420="SC",6,0)))))))))))))))))))))))))))))))))))))))</f>
        <v>6</v>
      </c>
      <c r="G420" s="171">
        <v>4</v>
      </c>
      <c r="H420" s="38" t="s">
        <v>511</v>
      </c>
      <c r="I420" s="27" t="s">
        <v>936</v>
      </c>
      <c r="J420" s="163" t="s">
        <v>922</v>
      </c>
      <c r="K420" s="34" t="s">
        <v>994</v>
      </c>
      <c r="L420" s="66">
        <f>IF(O420="","",N420*O420*M420)</f>
        <v>75</v>
      </c>
      <c r="M420" s="8">
        <v>1</v>
      </c>
      <c r="N420" s="3">
        <v>1</v>
      </c>
      <c r="O420" s="15">
        <f>IF(SUM(Q420:AF420)&lt;1,"",SUM(Q420:AF420)/COUNTIF(Q420:AF420,"&gt;0"))</f>
        <v>75</v>
      </c>
      <c r="P420" s="16"/>
      <c r="Q420" s="13"/>
      <c r="T420" s="4">
        <v>75</v>
      </c>
      <c r="U420" s="2"/>
      <c r="V420" s="2"/>
      <c r="W420" s="2"/>
      <c r="X420" s="2"/>
      <c r="Z420" s="2"/>
      <c r="AA420" s="2"/>
      <c r="AF420" s="14"/>
    </row>
    <row r="421" spans="1:33" s="4" customFormat="1" ht="15.75" customHeight="1" x14ac:dyDescent="0.25">
      <c r="A421" s="33" t="str">
        <f>CONCATENATE(D421,".",F421,"-",G421,".",H421,"")</f>
        <v>1.6-4.1</v>
      </c>
      <c r="B421" s="33" t="s">
        <v>814</v>
      </c>
      <c r="C421" s="40" t="s">
        <v>335</v>
      </c>
      <c r="D421" s="33">
        <f>IF(C421="ID",1,(IF(C421="PR",2,(IF(C421="DE",3,(IF(C421="RS",4,(IF(C421="RC",5,0)))))))))</f>
        <v>1</v>
      </c>
      <c r="E421" s="33" t="s">
        <v>1199</v>
      </c>
      <c r="F421" s="33">
        <f>IF(E421="AM",1,(IF(E421="BE",2,(IF(E421="GV",3,(IF(E421="RA",4,(IF(E421="RM",5,(IF(E421="AC",1,(IF(E421="AT",2,(IF(E421="DS",3,(IF(E421="IP",4,(IF(E421="MA",5,(IF(E421="PT",6,(IF(E421="AE",1,(IF(E421="CM",2,(IF(E421="DP",3,(IF(E421="AN",1,(IF(E421="CO",2,(IF(E421="IM",3,(IF(E421="MI",4,(IF(E421="RP",5,(IF(E421="SC",6,0)))))))))))))))))))))))))))))))))))))))</f>
        <v>6</v>
      </c>
      <c r="G421" s="171">
        <v>4</v>
      </c>
      <c r="H421" s="38" t="s">
        <v>511</v>
      </c>
      <c r="I421" s="27" t="s">
        <v>936</v>
      </c>
      <c r="J421" s="163" t="s">
        <v>873</v>
      </c>
      <c r="K421" s="34" t="s">
        <v>1009</v>
      </c>
      <c r="L421" s="66">
        <f>IF(O421="","",N421*O421*M421)</f>
        <v>75</v>
      </c>
      <c r="M421" s="8">
        <v>1</v>
      </c>
      <c r="N421" s="3">
        <v>1</v>
      </c>
      <c r="O421" s="15">
        <f>IF(SUM(Q421:AF421)&lt;1,"",SUM(Q421:AF421)/COUNTIF(Q421:AF421,"&gt;0"))</f>
        <v>75</v>
      </c>
      <c r="P421" s="16"/>
      <c r="Q421" s="13"/>
      <c r="T421" s="4">
        <v>75</v>
      </c>
      <c r="U421" s="2"/>
      <c r="V421" s="2"/>
      <c r="W421" s="2"/>
      <c r="X421" s="2"/>
      <c r="Z421" s="2"/>
      <c r="AA421" s="2"/>
      <c r="AF421" s="14"/>
    </row>
    <row r="422" spans="1:33" s="4" customFormat="1" ht="15.75" customHeight="1" x14ac:dyDescent="0.25">
      <c r="A422" s="33" t="str">
        <f>CONCATENATE(D422,".",F422,"-",G422,".",H422,"")</f>
        <v>1.6-4.1</v>
      </c>
      <c r="B422" s="33" t="s">
        <v>814</v>
      </c>
      <c r="C422" s="40" t="s">
        <v>335</v>
      </c>
      <c r="D422" s="33">
        <f>IF(C422="ID",1,(IF(C422="PR",2,(IF(C422="DE",3,(IF(C422="RS",4,(IF(C422="RC",5,0)))))))))</f>
        <v>1</v>
      </c>
      <c r="E422" s="33" t="s">
        <v>1199</v>
      </c>
      <c r="F422" s="33">
        <f>IF(E422="AM",1,(IF(E422="BE",2,(IF(E422="GV",3,(IF(E422="RA",4,(IF(E422="RM",5,(IF(E422="AC",1,(IF(E422="AT",2,(IF(E422="DS",3,(IF(E422="IP",4,(IF(E422="MA",5,(IF(E422="PT",6,(IF(E422="AE",1,(IF(E422="CM",2,(IF(E422="DP",3,(IF(E422="AN",1,(IF(E422="CO",2,(IF(E422="IM",3,(IF(E422="MI",4,(IF(E422="RP",5,(IF(E422="SC",6,0)))))))))))))))))))))))))))))))))))))))</f>
        <v>6</v>
      </c>
      <c r="G422" s="171">
        <v>4</v>
      </c>
      <c r="H422" s="38" t="s">
        <v>511</v>
      </c>
      <c r="I422" s="27" t="s">
        <v>936</v>
      </c>
      <c r="J422" s="163" t="s">
        <v>933</v>
      </c>
      <c r="K422" s="34" t="s">
        <v>1010</v>
      </c>
      <c r="L422" s="66">
        <f>IF(O422="","",N422*O422*M422)</f>
        <v>75</v>
      </c>
      <c r="M422" s="8">
        <v>1</v>
      </c>
      <c r="N422" s="3">
        <v>1</v>
      </c>
      <c r="O422" s="15">
        <f>IF(SUM(Q422:AF422)&lt;1,"",SUM(Q422:AF422)/COUNTIF(Q422:AF422,"&gt;0"))</f>
        <v>75</v>
      </c>
      <c r="P422" s="16"/>
      <c r="Q422" s="13"/>
      <c r="T422" s="4">
        <v>75</v>
      </c>
      <c r="U422" s="2"/>
      <c r="V422" s="2"/>
      <c r="W422" s="2"/>
      <c r="X422" s="2"/>
      <c r="Z422" s="2"/>
      <c r="AA422" s="2"/>
      <c r="AF422" s="14"/>
    </row>
    <row r="423" spans="1:33" s="4" customFormat="1" ht="15.75" customHeight="1" x14ac:dyDescent="0.25">
      <c r="A423" s="33" t="str">
        <f>CONCATENATE(D423,".",F423,"-",G423,".",H423,"")</f>
        <v>1.6-4.1</v>
      </c>
      <c r="B423" s="33" t="s">
        <v>814</v>
      </c>
      <c r="C423" s="39" t="s">
        <v>335</v>
      </c>
      <c r="D423" s="33">
        <f>IF(C423="ID",1,(IF(C423="PR",2,(IF(C423="DE",3,(IF(C423="RS",4,(IF(C423="RC",5,0)))))))))</f>
        <v>1</v>
      </c>
      <c r="E423" s="33" t="s">
        <v>1199</v>
      </c>
      <c r="F423" s="33">
        <f>IF(E423="AM",1,(IF(E423="BE",2,(IF(E423="GV",3,(IF(E423="RA",4,(IF(E423="RM",5,(IF(E423="AC",1,(IF(E423="AT",2,(IF(E423="DS",3,(IF(E423="IP",4,(IF(E423="MA",5,(IF(E423="PT",6,(IF(E423="AE",1,(IF(E423="CM",2,(IF(E423="DP",3,(IF(E423="AN",1,(IF(E423="CO",2,(IF(E423="IM",3,(IF(E423="MI",4,(IF(E423="RP",5,(IF(E423="SC",6,0)))))))))))))))))))))))))))))))))))))))</f>
        <v>6</v>
      </c>
      <c r="G423" s="170">
        <v>4</v>
      </c>
      <c r="H423" s="38" t="s">
        <v>511</v>
      </c>
      <c r="I423" s="27" t="s">
        <v>266</v>
      </c>
      <c r="J423" s="149" t="s">
        <v>479</v>
      </c>
      <c r="K423" s="79" t="s">
        <v>1361</v>
      </c>
      <c r="L423" s="66">
        <f>IF(O423="","",N423*O423*M423)</f>
        <v>75</v>
      </c>
      <c r="M423" s="8">
        <v>1</v>
      </c>
      <c r="N423" s="1">
        <v>1</v>
      </c>
      <c r="O423" s="15">
        <f>IF(SUM(Q423:AF423)&lt;1,"",SUM(Q423:AF423)/COUNTIF(Q423:AF423,"&gt;0"))</f>
        <v>75</v>
      </c>
      <c r="P423" s="16"/>
      <c r="Q423" s="13"/>
      <c r="T423" s="4">
        <v>75</v>
      </c>
      <c r="U423" s="2"/>
      <c r="V423" s="2"/>
      <c r="W423" s="2"/>
      <c r="X423" s="2"/>
      <c r="Z423" s="2"/>
      <c r="AA423" s="2"/>
      <c r="AG423" s="147"/>
    </row>
    <row r="424" spans="1:33" s="4" customFormat="1" ht="15.75" customHeight="1" x14ac:dyDescent="0.25">
      <c r="A424" s="33" t="str">
        <f>CONCATENATE(D424,".",F424,"-",G424,".",H424,"")</f>
        <v>1.6-4.1</v>
      </c>
      <c r="B424" s="33" t="s">
        <v>814</v>
      </c>
      <c r="C424" s="41" t="s">
        <v>335</v>
      </c>
      <c r="D424" s="33">
        <f>IF(C424="ID",1,(IF(C424="PR",2,(IF(C424="DE",3,(IF(C424="RS",4,(IF(C424="RC",5,0)))))))))</f>
        <v>1</v>
      </c>
      <c r="E424" s="33" t="s">
        <v>1199</v>
      </c>
      <c r="F424" s="33">
        <f>IF(E424="AM",1,(IF(E424="BE",2,(IF(E424="GV",3,(IF(E424="RA",4,(IF(E424="RM",5,(IF(E424="AC",1,(IF(E424="AT",2,(IF(E424="DS",3,(IF(E424="IP",4,(IF(E424="MA",5,(IF(E424="PT",6,(IF(E424="AE",1,(IF(E424="CM",2,(IF(E424="DP",3,(IF(E424="AN",1,(IF(E424="CO",2,(IF(E424="IM",3,(IF(E424="MI",4,(IF(E424="RP",5,(IF(E424="SC",6,0)))))))))))))))))))))))))))))))))))))))</f>
        <v>6</v>
      </c>
      <c r="G424" s="170">
        <v>4</v>
      </c>
      <c r="H424" s="38" t="s">
        <v>511</v>
      </c>
      <c r="I424" s="27" t="s">
        <v>266</v>
      </c>
      <c r="J424" s="149" t="s">
        <v>444</v>
      </c>
      <c r="K424" s="79" t="s">
        <v>1363</v>
      </c>
      <c r="L424" s="5">
        <f>IF(O424="","",N424*O424*M424)</f>
        <v>75</v>
      </c>
      <c r="M424" s="8">
        <v>1</v>
      </c>
      <c r="N424" s="1">
        <v>1</v>
      </c>
      <c r="O424" s="15">
        <f>IF(SUM(Q424:AF424)&lt;1,"",SUM(Q424:AF424)/COUNTIF(Q424:AF424,"&gt;0"))</f>
        <v>75</v>
      </c>
      <c r="P424" s="16"/>
      <c r="Q424" s="13"/>
      <c r="T424" s="4">
        <v>75</v>
      </c>
      <c r="U424" s="2"/>
      <c r="V424" s="2"/>
      <c r="W424" s="2"/>
      <c r="X424" s="2"/>
      <c r="Z424" s="2"/>
      <c r="AA424" s="2"/>
      <c r="AF424" s="14"/>
    </row>
    <row r="425" spans="1:33" s="4" customFormat="1" ht="15.75" customHeight="1" x14ac:dyDescent="0.25">
      <c r="A425" s="33" t="str">
        <f>CONCATENATE(D425,".",F425,"-",G425,".",H425,"")</f>
        <v>1.6-4.1</v>
      </c>
      <c r="B425" s="33" t="s">
        <v>814</v>
      </c>
      <c r="C425" s="39" t="s">
        <v>335</v>
      </c>
      <c r="D425" s="33">
        <f>IF(C425="ID",1,(IF(C425="PR",2,(IF(C425="DE",3,(IF(C425="RS",4,(IF(C425="RC",5,0)))))))))</f>
        <v>1</v>
      </c>
      <c r="E425" s="33" t="s">
        <v>1199</v>
      </c>
      <c r="F425" s="33">
        <f>IF(E425="AM",1,(IF(E425="BE",2,(IF(E425="GV",3,(IF(E425="RA",4,(IF(E425="RM",5,(IF(E425="AC",1,(IF(E425="AT",2,(IF(E425="DS",3,(IF(E425="IP",4,(IF(E425="MA",5,(IF(E425="PT",6,(IF(E425="AE",1,(IF(E425="CM",2,(IF(E425="DP",3,(IF(E425="AN",1,(IF(E425="CO",2,(IF(E425="IM",3,(IF(E425="MI",4,(IF(E425="RP",5,(IF(E425="SC",6,0)))))))))))))))))))))))))))))))))))))))</f>
        <v>6</v>
      </c>
      <c r="G425" s="170">
        <v>4</v>
      </c>
      <c r="H425" s="38" t="s">
        <v>511</v>
      </c>
      <c r="I425" s="105" t="s">
        <v>1449</v>
      </c>
      <c r="J425" s="157" t="s">
        <v>1542</v>
      </c>
      <c r="K425" s="34" t="s">
        <v>1543</v>
      </c>
      <c r="L425" s="5">
        <f>IF(O425="","",N425*O425*M425)</f>
        <v>99</v>
      </c>
      <c r="M425" s="8">
        <v>1</v>
      </c>
      <c r="N425" s="1">
        <v>1</v>
      </c>
      <c r="O425" s="15">
        <f>IF(SUM(Q425:AF425)&lt;1,"",SUM(Q425:AF425)/COUNTIF(Q425:AF425,"&gt;0"))</f>
        <v>99</v>
      </c>
      <c r="P425" s="16"/>
      <c r="Q425" s="13"/>
      <c r="T425" s="4">
        <v>99</v>
      </c>
      <c r="U425" s="2"/>
      <c r="V425" s="2"/>
      <c r="W425" s="2"/>
      <c r="X425" s="2"/>
      <c r="Z425" s="2"/>
      <c r="AA425" s="2"/>
      <c r="AF425" s="14"/>
    </row>
    <row r="426" spans="1:33" s="4" customFormat="1" ht="15.75" customHeight="1" x14ac:dyDescent="0.25">
      <c r="A426" s="33" t="str">
        <f>CONCATENATE(D426,".",F426,"-",G426,".",H426,"")</f>
        <v>1.6-4.1</v>
      </c>
      <c r="B426" s="33" t="s">
        <v>814</v>
      </c>
      <c r="C426" s="39" t="s">
        <v>335</v>
      </c>
      <c r="D426" s="33">
        <f>IF(C426="ID",1,(IF(C426="PR",2,(IF(C426="DE",3,(IF(C426="RS",4,(IF(C426="RC",5,0)))))))))</f>
        <v>1</v>
      </c>
      <c r="E426" s="33" t="s">
        <v>1199</v>
      </c>
      <c r="F426" s="33">
        <f>IF(E426="AM",1,(IF(E426="BE",2,(IF(E426="GV",3,(IF(E426="RA",4,(IF(E426="RM",5,(IF(E426="AC",1,(IF(E426="AT",2,(IF(E426="DS",3,(IF(E426="IP",4,(IF(E426="MA",5,(IF(E426="PT",6,(IF(E426="AE",1,(IF(E426="CM",2,(IF(E426="DP",3,(IF(E426="AN",1,(IF(E426="CO",2,(IF(E426="IM",3,(IF(E426="MI",4,(IF(E426="RP",5,(IF(E426="SC",6,0)))))))))))))))))))))))))))))))))))))))</f>
        <v>6</v>
      </c>
      <c r="G426" s="170">
        <v>4</v>
      </c>
      <c r="H426" s="38" t="s">
        <v>511</v>
      </c>
      <c r="I426" s="105" t="s">
        <v>1449</v>
      </c>
      <c r="J426" s="157" t="s">
        <v>2611</v>
      </c>
      <c r="K426" s="34" t="s">
        <v>2612</v>
      </c>
      <c r="L426" s="5">
        <f>IF(O426="","",N426*O426*M426)</f>
        <v>99</v>
      </c>
      <c r="M426" s="8">
        <v>1</v>
      </c>
      <c r="N426" s="1">
        <v>1</v>
      </c>
      <c r="O426" s="15">
        <f>IF(SUM(Q426:AF426)&lt;1,"",SUM(Q426:AF426)/COUNTIF(Q426:AF426,"&gt;0"))</f>
        <v>99</v>
      </c>
      <c r="P426" s="16"/>
      <c r="Q426" s="13"/>
      <c r="T426" s="4">
        <v>99</v>
      </c>
      <c r="U426" s="2"/>
      <c r="V426" s="2"/>
      <c r="W426" s="2"/>
      <c r="X426" s="2"/>
      <c r="Z426" s="2"/>
      <c r="AA426" s="2"/>
      <c r="AF426" s="14"/>
    </row>
    <row r="427" spans="1:33" s="4" customFormat="1" ht="15.75" customHeight="1" x14ac:dyDescent="0.25">
      <c r="A427" s="33" t="str">
        <f>CONCATENATE(D427,".",F427,"-",G427,".",H427,"")</f>
        <v>1.6-4.1</v>
      </c>
      <c r="B427" s="33" t="s">
        <v>814</v>
      </c>
      <c r="C427" s="39" t="s">
        <v>335</v>
      </c>
      <c r="D427" s="33">
        <f>IF(C427="ID",1,(IF(C427="PR",2,(IF(C427="DE",3,(IF(C427="RS",4,(IF(C427="RC",5,0)))))))))</f>
        <v>1</v>
      </c>
      <c r="E427" s="33" t="s">
        <v>1199</v>
      </c>
      <c r="F427" s="33">
        <f>IF(E427="AM",1,(IF(E427="BE",2,(IF(E427="GV",3,(IF(E427="RA",4,(IF(E427="RM",5,(IF(E427="AC",1,(IF(E427="AT",2,(IF(E427="DS",3,(IF(E427="IP",4,(IF(E427="MA",5,(IF(E427="PT",6,(IF(E427="AE",1,(IF(E427="CM",2,(IF(E427="DP",3,(IF(E427="AN",1,(IF(E427="CO",2,(IF(E427="IM",3,(IF(E427="MI",4,(IF(E427="RP",5,(IF(E427="SC",6,0)))))))))))))))))))))))))))))))))))))))</f>
        <v>6</v>
      </c>
      <c r="G427" s="170">
        <v>4</v>
      </c>
      <c r="H427" s="38" t="s">
        <v>511</v>
      </c>
      <c r="I427" s="105" t="s">
        <v>1449</v>
      </c>
      <c r="J427" s="157" t="s">
        <v>2627</v>
      </c>
      <c r="K427" s="34" t="s">
        <v>2628</v>
      </c>
      <c r="L427" s="5">
        <f>IF(O427="","",N427*O427*M427)</f>
        <v>99</v>
      </c>
      <c r="M427" s="8">
        <v>1</v>
      </c>
      <c r="N427" s="1">
        <v>1</v>
      </c>
      <c r="O427" s="15">
        <f>IF(SUM(Q427:AF427)&lt;1,"",SUM(Q427:AF427)/COUNTIF(Q427:AF427,"&gt;0"))</f>
        <v>99</v>
      </c>
      <c r="P427" s="16"/>
      <c r="Q427" s="13"/>
      <c r="T427" s="4">
        <v>99</v>
      </c>
      <c r="U427" s="2"/>
      <c r="V427" s="2"/>
      <c r="W427" s="2"/>
      <c r="X427" s="2"/>
      <c r="Z427" s="2"/>
      <c r="AA427" s="2"/>
      <c r="AF427" s="14"/>
    </row>
    <row r="428" spans="1:33" s="4" customFormat="1" ht="15.75" customHeight="1" x14ac:dyDescent="0.25">
      <c r="A428" s="33" t="str">
        <f>CONCATENATE(D428,".",F428,"-",G428,".",H428,"")</f>
        <v>1.6-5.0</v>
      </c>
      <c r="B428" s="33" t="s">
        <v>814</v>
      </c>
      <c r="C428" s="40" t="s">
        <v>335</v>
      </c>
      <c r="D428" s="33">
        <f>IF(C428="ID",1,(IF(C428="PR",2,(IF(C428="DE",3,(IF(C428="RS",4,(IF(C428="RC",5,0)))))))))</f>
        <v>1</v>
      </c>
      <c r="E428" s="33" t="s">
        <v>1199</v>
      </c>
      <c r="F428" s="33">
        <f>IF(E428="AM",1,(IF(E428="BE",2,(IF(E428="GV",3,(IF(E428="RA",4,(IF(E428="RM",5,(IF(E428="AC",1,(IF(E428="AT",2,(IF(E428="DS",3,(IF(E428="IP",4,(IF(E428="MA",5,(IF(E428="PT",6,(IF(E428="AE",1,(IF(E428="CM",2,(IF(E428="DP",3,(IF(E428="AN",1,(IF(E428="CO",2,(IF(E428="IM",3,(IF(E428="MI",4,(IF(E428="RP",5,(IF(E428="SC",6,0)))))))))))))))))))))))))))))))))))))))</f>
        <v>6</v>
      </c>
      <c r="G428" s="170">
        <v>5</v>
      </c>
      <c r="H428" s="38" t="s">
        <v>597</v>
      </c>
      <c r="I428" s="27" t="s">
        <v>1200</v>
      </c>
      <c r="J428" s="157" t="s">
        <v>1189</v>
      </c>
      <c r="K428" s="97" t="s">
        <v>1190</v>
      </c>
      <c r="L428" s="5">
        <f>IF(O428="","",N428*O428*M428)</f>
        <v>75</v>
      </c>
      <c r="M428" s="8">
        <v>1</v>
      </c>
      <c r="N428" s="1">
        <v>1</v>
      </c>
      <c r="O428" s="15">
        <f>IF(SUM(Q428:AF428)&lt;1,"",SUM(Q428:AF428)/COUNTIF(Q428:AF428,"&gt;0"))</f>
        <v>75</v>
      </c>
      <c r="P428" s="16"/>
      <c r="Q428" s="13"/>
      <c r="T428" s="4">
        <v>75</v>
      </c>
      <c r="U428" s="2"/>
      <c r="V428" s="2"/>
      <c r="W428" s="2"/>
      <c r="X428" s="2"/>
      <c r="Z428" s="2"/>
      <c r="AA428" s="2"/>
      <c r="AF428" s="14"/>
    </row>
    <row r="429" spans="1:33" s="4" customFormat="1" ht="15.75" customHeight="1" x14ac:dyDescent="0.25">
      <c r="A429" s="33" t="str">
        <f>CONCATENATE(D429,".",F429,"-",G429,".",H429,"")</f>
        <v>1.6-5.1</v>
      </c>
      <c r="B429" s="33" t="s">
        <v>814</v>
      </c>
      <c r="C429" s="39" t="s">
        <v>335</v>
      </c>
      <c r="D429" s="33">
        <f>IF(C429="ID",1,(IF(C429="PR",2,(IF(C429="DE",3,(IF(C429="RS",4,(IF(C429="RC",5,0)))))))))</f>
        <v>1</v>
      </c>
      <c r="E429" s="33" t="s">
        <v>1199</v>
      </c>
      <c r="F429" s="33">
        <f>IF(E429="AM",1,(IF(E429="BE",2,(IF(E429="GV",3,(IF(E429="RA",4,(IF(E429="RM",5,(IF(E429="AC",1,(IF(E429="AT",2,(IF(E429="DS",3,(IF(E429="IP",4,(IF(E429="MA",5,(IF(E429="PT",6,(IF(E429="AE",1,(IF(E429="CM",2,(IF(E429="DP",3,(IF(E429="AN",1,(IF(E429="CO",2,(IF(E429="IM",3,(IF(E429="MI",4,(IF(E429="RP",5,(IF(E429="SC",6,0)))))))))))))))))))))))))))))))))))))))</f>
        <v>6</v>
      </c>
      <c r="G429" s="170">
        <v>5</v>
      </c>
      <c r="H429" s="38" t="s">
        <v>511</v>
      </c>
      <c r="I429" s="35" t="s">
        <v>1176</v>
      </c>
      <c r="J429" s="162">
        <v>19.5</v>
      </c>
      <c r="K429" t="s">
        <v>1165</v>
      </c>
      <c r="L429" s="66">
        <f>IF(O429="","",N429*O429*M429)</f>
        <v>75</v>
      </c>
      <c r="M429" s="8">
        <v>1</v>
      </c>
      <c r="N429" s="3">
        <v>1</v>
      </c>
      <c r="O429" s="15">
        <f>IF(SUM(Q429:AF429)&lt;1,"",SUM(Q429:AF429)/COUNTIF(Q429:AF429,"&gt;0"))</f>
        <v>75</v>
      </c>
      <c r="P429" s="16"/>
      <c r="Q429" s="13"/>
      <c r="T429" s="4">
        <v>75</v>
      </c>
      <c r="U429" s="2"/>
      <c r="V429" s="2"/>
      <c r="W429" s="2"/>
      <c r="X429" s="2"/>
      <c r="Z429" s="2"/>
      <c r="AA429" s="2"/>
      <c r="AF429" s="14"/>
    </row>
    <row r="430" spans="1:33" s="4" customFormat="1" ht="15.75" customHeight="1" x14ac:dyDescent="0.25">
      <c r="A430" s="33" t="str">
        <f>CONCATENATE(D430,".",F430,"-",G430,".",H430,"")</f>
        <v>1.6-5.1</v>
      </c>
      <c r="B430" s="33" t="s">
        <v>814</v>
      </c>
      <c r="C430" s="39" t="s">
        <v>335</v>
      </c>
      <c r="D430" s="33">
        <f>IF(C430="ID",1,(IF(C430="PR",2,(IF(C430="DE",3,(IF(C430="RS",4,(IF(C430="RC",5,0)))))))))</f>
        <v>1</v>
      </c>
      <c r="E430" s="33" t="s">
        <v>1199</v>
      </c>
      <c r="F430" s="33">
        <f>IF(E430="AM",1,(IF(E430="BE",2,(IF(E430="GV",3,(IF(E430="RA",4,(IF(E430="RM",5,(IF(E430="AC",1,(IF(E430="AT",2,(IF(E430="DS",3,(IF(E430="IP",4,(IF(E430="MA",5,(IF(E430="PT",6,(IF(E430="AE",1,(IF(E430="CM",2,(IF(E430="DP",3,(IF(E430="AN",1,(IF(E430="CO",2,(IF(E430="IM",3,(IF(E430="MI",4,(IF(E430="RP",5,(IF(E430="SC",6,0)))))))))))))))))))))))))))))))))))))))</f>
        <v>6</v>
      </c>
      <c r="G430" s="170">
        <v>5</v>
      </c>
      <c r="H430" s="33">
        <v>1</v>
      </c>
      <c r="I430" s="27" t="s">
        <v>266</v>
      </c>
      <c r="J430" s="149" t="s">
        <v>466</v>
      </c>
      <c r="K430" s="79" t="s">
        <v>1332</v>
      </c>
      <c r="L430" s="66">
        <f>IF(O430="","",N430*O430*M430)</f>
        <v>75</v>
      </c>
      <c r="M430" s="8">
        <v>1</v>
      </c>
      <c r="N430" s="1">
        <v>1</v>
      </c>
      <c r="O430" s="15">
        <f>IF(SUM(Q430:AF430)&lt;1,"",SUM(Q430:AF430)/COUNTIF(Q430:AF430,"&gt;0"))</f>
        <v>75</v>
      </c>
      <c r="P430" s="16"/>
      <c r="Q430" s="13"/>
      <c r="T430" s="4">
        <v>75</v>
      </c>
      <c r="U430" s="2"/>
      <c r="V430" s="2"/>
      <c r="W430" s="2"/>
      <c r="X430" s="2"/>
      <c r="Z430" s="2"/>
      <c r="AA430" s="2"/>
      <c r="AF430" s="14"/>
    </row>
    <row r="431" spans="1:33" s="4" customFormat="1" ht="15.75" customHeight="1" x14ac:dyDescent="0.25">
      <c r="A431" s="33" t="str">
        <f>CONCATENATE(D431,".",F431,"-",G431,".",H431,"")</f>
        <v>1.6-5.1</v>
      </c>
      <c r="B431" s="33" t="s">
        <v>814</v>
      </c>
      <c r="C431" s="41" t="s">
        <v>335</v>
      </c>
      <c r="D431" s="33">
        <f>IF(C431="ID",1,(IF(C431="PR",2,(IF(C431="DE",3,(IF(C431="RS",4,(IF(C431="RC",5,0)))))))))</f>
        <v>1</v>
      </c>
      <c r="E431" s="33" t="s">
        <v>1199</v>
      </c>
      <c r="F431" s="33">
        <f>IF(E431="AM",1,(IF(E431="BE",2,(IF(E431="GV",3,(IF(E431="RA",4,(IF(E431="RM",5,(IF(E431="AC",1,(IF(E431="AT",2,(IF(E431="DS",3,(IF(E431="IP",4,(IF(E431="MA",5,(IF(E431="PT",6,(IF(E431="AE",1,(IF(E431="CM",2,(IF(E431="DP",3,(IF(E431="AN",1,(IF(E431="CO",2,(IF(E431="IM",3,(IF(E431="MI",4,(IF(E431="RP",5,(IF(E431="SC",6,0)))))))))))))))))))))))))))))))))))))))</f>
        <v>6</v>
      </c>
      <c r="G431" s="170">
        <v>5</v>
      </c>
      <c r="H431" s="38" t="s">
        <v>511</v>
      </c>
      <c r="I431" s="27" t="s">
        <v>266</v>
      </c>
      <c r="J431" s="149" t="s">
        <v>283</v>
      </c>
      <c r="K431" s="79" t="s">
        <v>1351</v>
      </c>
      <c r="L431" s="5">
        <f>IF(O431="","",N431*O431*M431)</f>
        <v>75</v>
      </c>
      <c r="M431" s="8">
        <v>1</v>
      </c>
      <c r="N431" s="1">
        <v>1</v>
      </c>
      <c r="O431" s="15">
        <f>IF(SUM(Q431:AF431)&lt;1,"",SUM(Q431:AF431)/COUNTIF(Q431:AF431,"&gt;0"))</f>
        <v>75</v>
      </c>
      <c r="P431" s="16"/>
      <c r="Q431" s="13"/>
      <c r="T431" s="4">
        <v>75</v>
      </c>
      <c r="U431" s="2"/>
      <c r="V431" s="2"/>
      <c r="W431" s="2"/>
      <c r="X431" s="2"/>
      <c r="Z431" s="2"/>
      <c r="AA431" s="2"/>
      <c r="AF431" s="14"/>
    </row>
    <row r="432" spans="1:33" s="4" customFormat="1" ht="15.75" customHeight="1" x14ac:dyDescent="0.25">
      <c r="A432" s="33" t="str">
        <f>CONCATENATE(D432,".",F432,"-",G432,".",H432,"")</f>
        <v>1.6-5.1</v>
      </c>
      <c r="B432" s="33" t="s">
        <v>814</v>
      </c>
      <c r="C432" s="41" t="s">
        <v>335</v>
      </c>
      <c r="D432" s="33">
        <f>IF(C432="ID",1,(IF(C432="PR",2,(IF(C432="DE",3,(IF(C432="RS",4,(IF(C432="RC",5,0)))))))))</f>
        <v>1</v>
      </c>
      <c r="E432" s="33" t="s">
        <v>1199</v>
      </c>
      <c r="F432" s="33">
        <f>IF(E432="AM",1,(IF(E432="BE",2,(IF(E432="GV",3,(IF(E432="RA",4,(IF(E432="RM",5,(IF(E432="AC",1,(IF(E432="AT",2,(IF(E432="DS",3,(IF(E432="IP",4,(IF(E432="MA",5,(IF(E432="PT",6,(IF(E432="AE",1,(IF(E432="CM",2,(IF(E432="DP",3,(IF(E432="AN",1,(IF(E432="CO",2,(IF(E432="IM",3,(IF(E432="MI",4,(IF(E432="RP",5,(IF(E432="SC",6,0)))))))))))))))))))))))))))))))))))))))</f>
        <v>6</v>
      </c>
      <c r="G432" s="170">
        <v>5</v>
      </c>
      <c r="H432" s="38" t="s">
        <v>511</v>
      </c>
      <c r="I432" s="27" t="s">
        <v>266</v>
      </c>
      <c r="J432" s="149" t="s">
        <v>321</v>
      </c>
      <c r="K432" s="79" t="s">
        <v>1362</v>
      </c>
      <c r="L432" s="5">
        <f>IF(O432="","",N432*O432*M432)</f>
        <v>75</v>
      </c>
      <c r="M432" s="8">
        <v>1</v>
      </c>
      <c r="N432" s="1">
        <v>1</v>
      </c>
      <c r="O432" s="15">
        <f>IF(SUM(Q432:AF432)&lt;1,"",SUM(Q432:AF432)/COUNTIF(Q432:AF432,"&gt;0"))</f>
        <v>75</v>
      </c>
      <c r="P432" s="16"/>
      <c r="Q432" s="13"/>
      <c r="T432" s="4">
        <v>75</v>
      </c>
      <c r="U432" s="2"/>
      <c r="V432" s="2"/>
      <c r="W432" s="2"/>
      <c r="X432" s="2"/>
      <c r="Z432" s="2"/>
      <c r="AA432" s="2"/>
      <c r="AF432" s="14"/>
    </row>
    <row r="433" spans="1:33" s="4" customFormat="1" ht="15.75" customHeight="1" x14ac:dyDescent="0.25">
      <c r="A433" s="33" t="str">
        <f>CONCATENATE(D433,".",F433,"-",G433,".",H433,"")</f>
        <v>2.1-0.0</v>
      </c>
      <c r="B433" s="33" t="s">
        <v>1229</v>
      </c>
      <c r="C433" s="39" t="s">
        <v>262</v>
      </c>
      <c r="D433" s="33">
        <f>IF(C433="ID",1,(IF(C433="PR",2,(IF(C433="DE",3,(IF(C433="RS",4,(IF(C433="RC",5,0)))))))))</f>
        <v>2</v>
      </c>
      <c r="E433" s="33" t="s">
        <v>257</v>
      </c>
      <c r="F433" s="33">
        <f>IF(E433="AM",1,(IF(E433="BE",2,(IF(E433="GV",3,(IF(E433="RA",4,(IF(E433="RM",5,(IF(E433="AC",1,(IF(E433="AT",2,(IF(E433="DS",3,(IF(E433="IP",4,(IF(E433="MA",5,(IF(E433="PT",6,(IF(E433="AE",1,(IF(E433="CM",2,(IF(E433="DP",3,(IF(E433="AN",1,(IF(E433="CO",2,(IF(E433="IM",3,(IF(E433="MI",4,(IF(E433="RP",5,(IF(E433="SC",6,0)))))))))))))))))))))))))))))))))))))))</f>
        <v>1</v>
      </c>
      <c r="G433" s="170">
        <v>0</v>
      </c>
      <c r="H433" s="38" t="s">
        <v>597</v>
      </c>
      <c r="I433" s="27" t="s">
        <v>1200</v>
      </c>
      <c r="J433" s="165" t="s">
        <v>662</v>
      </c>
      <c r="K433" s="98" t="s">
        <v>1207</v>
      </c>
      <c r="L433" s="66" t="str">
        <f>IF(O433="","",N433*O433*M433)</f>
        <v/>
      </c>
      <c r="M433" s="8">
        <v>1</v>
      </c>
      <c r="N433" s="1">
        <v>1</v>
      </c>
      <c r="O433" s="15" t="str">
        <f>IF(SUM(Q433:AF433)&lt;1,"",SUM(Q433:AF433)/COUNTIF(Q433:AF433,"&gt;0"))</f>
        <v/>
      </c>
      <c r="P433" s="16"/>
      <c r="Q433" s="13"/>
      <c r="T433" s="2"/>
      <c r="U433" s="2"/>
      <c r="V433" s="2"/>
      <c r="W433" s="2"/>
      <c r="X433" s="2"/>
      <c r="Z433" s="2"/>
      <c r="AA433" s="2"/>
      <c r="AF433" s="14"/>
    </row>
    <row r="434" spans="1:33" s="4" customFormat="1" ht="15.75" customHeight="1" x14ac:dyDescent="0.25">
      <c r="A434" s="33" t="str">
        <f>CONCATENATE(D434,".",F434,"-",G434,".",H434,"")</f>
        <v>2.1-0.1</v>
      </c>
      <c r="B434" s="33" t="s">
        <v>1229</v>
      </c>
      <c r="C434" s="39" t="s">
        <v>262</v>
      </c>
      <c r="D434" s="33">
        <f>IF(C434="ID",1,(IF(C434="PR",2,(IF(C434="DE",3,(IF(C434="RS",4,(IF(C434="RC",5,0)))))))))</f>
        <v>2</v>
      </c>
      <c r="E434" s="33" t="s">
        <v>257</v>
      </c>
      <c r="F434" s="33">
        <f>IF(E434="AM",1,(IF(E434="BE",2,(IF(E434="GV",3,(IF(E434="RA",4,(IF(E434="RM",5,(IF(E434="AC",1,(IF(E434="AT",2,(IF(E434="DS",3,(IF(E434="IP",4,(IF(E434="MA",5,(IF(E434="PT",6,(IF(E434="AE",1,(IF(E434="CM",2,(IF(E434="DP",3,(IF(E434="AN",1,(IF(E434="CO",2,(IF(E434="IM",3,(IF(E434="MI",4,(IF(E434="RP",5,(IF(E434="SC",6,0)))))))))))))))))))))))))))))))))))))))</f>
        <v>1</v>
      </c>
      <c r="G434" s="170">
        <v>0</v>
      </c>
      <c r="H434" s="38" t="s">
        <v>511</v>
      </c>
      <c r="I434" s="27" t="s">
        <v>1200</v>
      </c>
      <c r="J434" s="165" t="s">
        <v>662</v>
      </c>
      <c r="K434" s="98" t="s">
        <v>1206</v>
      </c>
      <c r="L434" s="5" t="str">
        <f>IF(O434="","",N434*O434*M434)</f>
        <v/>
      </c>
      <c r="M434" s="8">
        <v>1</v>
      </c>
      <c r="N434" s="1">
        <v>1</v>
      </c>
      <c r="O434" s="15" t="str">
        <f>IF(SUM(Q434:AF434)&lt;1,"",SUM(Q434:AF434)/COUNTIF(Q434:AF434,"&gt;0"))</f>
        <v/>
      </c>
      <c r="P434" s="16"/>
      <c r="Q434" s="13"/>
      <c r="T434" s="2"/>
      <c r="U434" s="2"/>
      <c r="V434" s="2"/>
      <c r="W434" s="2"/>
      <c r="X434" s="2"/>
      <c r="Z434" s="2"/>
      <c r="AA434" s="2"/>
      <c r="AF434" s="14"/>
    </row>
    <row r="435" spans="1:33" s="4" customFormat="1" ht="15.75" customHeight="1" x14ac:dyDescent="0.25">
      <c r="A435" s="33" t="str">
        <f>CONCATENATE(D435,".",F435,"-",G435,".",H435,"")</f>
        <v>2.1-1.0</v>
      </c>
      <c r="B435" s="33" t="s">
        <v>814</v>
      </c>
      <c r="C435" s="39" t="s">
        <v>262</v>
      </c>
      <c r="D435" s="33">
        <f>IF(C435="ID",1,(IF(C435="PR",2,(IF(C435="DE",3,(IF(C435="RS",4,(IF(C435="RC",5,0)))))))))</f>
        <v>2</v>
      </c>
      <c r="E435" s="33" t="s">
        <v>257</v>
      </c>
      <c r="F435" s="33">
        <f>IF(E435="AM",1,(IF(E435="BE",2,(IF(E435="GV",3,(IF(E435="RA",4,(IF(E435="RM",5,(IF(E435="AC",1,(IF(E435="AT",2,(IF(E435="DS",3,(IF(E435="IP",4,(IF(E435="MA",5,(IF(E435="PT",6,(IF(E435="AE",1,(IF(E435="CM",2,(IF(E435="DP",3,(IF(E435="AN",1,(IF(E435="CO",2,(IF(E435="IM",3,(IF(E435="MI",4,(IF(E435="RP",5,(IF(E435="SC",6,0)))))))))))))))))))))))))))))))))))))))</f>
        <v>1</v>
      </c>
      <c r="G435" s="170">
        <v>1</v>
      </c>
      <c r="H435" s="38" t="s">
        <v>597</v>
      </c>
      <c r="I435" s="27" t="s">
        <v>1200</v>
      </c>
      <c r="J435" s="149" t="s">
        <v>613</v>
      </c>
      <c r="K435" s="98" t="s">
        <v>1204</v>
      </c>
      <c r="L435" s="66">
        <f>IF(O435="","",N435*O435*M435)</f>
        <v>75</v>
      </c>
      <c r="M435" s="8">
        <v>1</v>
      </c>
      <c r="N435" s="1">
        <v>1</v>
      </c>
      <c r="O435" s="15">
        <f>IF(SUM(Q435:AF435)&lt;1,"",SUM(Q435:AF435)/COUNTIF(Q435:AF435,"&gt;0"))</f>
        <v>75</v>
      </c>
      <c r="P435" s="16"/>
      <c r="Q435" s="13"/>
      <c r="T435" s="4">
        <v>75</v>
      </c>
      <c r="U435" s="2"/>
      <c r="V435" s="2"/>
      <c r="W435" s="2"/>
      <c r="X435" s="2"/>
      <c r="Z435" s="2"/>
      <c r="AA435" s="2"/>
      <c r="AF435" s="14"/>
    </row>
    <row r="436" spans="1:33" s="4" customFormat="1" ht="15.75" customHeight="1" x14ac:dyDescent="0.25">
      <c r="A436" s="33" t="str">
        <f>CONCATENATE(D436,".",F436,"-",G436,".",H436,"")</f>
        <v>2.1-1.1</v>
      </c>
      <c r="B436" s="33" t="s">
        <v>814</v>
      </c>
      <c r="C436" s="39" t="s">
        <v>262</v>
      </c>
      <c r="D436" s="33">
        <f>IF(C436="ID",1,(IF(C436="PR",2,(IF(C436="DE",3,(IF(C436="RS",4,(IF(C436="RC",5,0)))))))))</f>
        <v>2</v>
      </c>
      <c r="E436" s="33" t="s">
        <v>257</v>
      </c>
      <c r="F436" s="33">
        <f>IF(E436="AM",1,(IF(E436="BE",2,(IF(E436="GV",3,(IF(E436="RA",4,(IF(E436="RM",5,(IF(E436="AC",1,(IF(E436="AT",2,(IF(E436="DS",3,(IF(E436="IP",4,(IF(E436="MA",5,(IF(E436="PT",6,(IF(E436="AE",1,(IF(E436="CM",2,(IF(E436="DP",3,(IF(E436="AN",1,(IF(E436="CO",2,(IF(E436="IM",3,(IF(E436="MI",4,(IF(E436="RP",5,(IF(E436="SC",6,0)))))))))))))))))))))))))))))))))))))))</f>
        <v>1</v>
      </c>
      <c r="G436" s="170">
        <v>1</v>
      </c>
      <c r="H436" s="38" t="s">
        <v>511</v>
      </c>
      <c r="I436" s="105" t="s">
        <v>821</v>
      </c>
      <c r="J436" s="150">
        <v>2.1</v>
      </c>
      <c r="K436" s="79" t="s">
        <v>1283</v>
      </c>
      <c r="L436" s="66">
        <f>IF(O436="","",N436*O436*M436)</f>
        <v>75</v>
      </c>
      <c r="M436" s="8">
        <v>1</v>
      </c>
      <c r="N436" s="3">
        <v>1</v>
      </c>
      <c r="O436" s="15">
        <f>IF(SUM(Q436:AF436)&lt;1,"",SUM(Q436:AF436)/COUNTIF(Q436:AF436,"&gt;0"))</f>
        <v>75</v>
      </c>
      <c r="P436" s="16"/>
      <c r="Q436" s="13"/>
      <c r="T436" s="4">
        <v>75</v>
      </c>
      <c r="U436" s="2"/>
      <c r="V436" s="2"/>
      <c r="W436" s="2"/>
      <c r="X436" s="2"/>
      <c r="Z436" s="2"/>
      <c r="AA436" s="2"/>
      <c r="AF436" s="14"/>
    </row>
    <row r="437" spans="1:33" s="4" customFormat="1" ht="15.75" customHeight="1" x14ac:dyDescent="0.25">
      <c r="A437" s="33" t="str">
        <f>CONCATENATE(D437,".",F437,"-",G437,".",H437,"")</f>
        <v>2.1-1.1</v>
      </c>
      <c r="B437" s="33" t="s">
        <v>814</v>
      </c>
      <c r="C437" s="39" t="s">
        <v>262</v>
      </c>
      <c r="D437" s="33">
        <f>IF(C437="ID",1,(IF(C437="PR",2,(IF(C437="DE",3,(IF(C437="RS",4,(IF(C437="RC",5,0)))))))))</f>
        <v>2</v>
      </c>
      <c r="E437" s="33" t="s">
        <v>257</v>
      </c>
      <c r="F437" s="33">
        <f>IF(E437="AM",1,(IF(E437="BE",2,(IF(E437="GV",3,(IF(E437="RA",4,(IF(E437="RM",5,(IF(E437="AC",1,(IF(E437="AT",2,(IF(E437="DS",3,(IF(E437="IP",4,(IF(E437="MA",5,(IF(E437="PT",6,(IF(E437="AE",1,(IF(E437="CM",2,(IF(E437="DP",3,(IF(E437="AN",1,(IF(E437="CO",2,(IF(E437="IM",3,(IF(E437="MI",4,(IF(E437="RP",5,(IF(E437="SC",6,0)))))))))))))))))))))))))))))))))))))))</f>
        <v>1</v>
      </c>
      <c r="G437" s="170">
        <v>1</v>
      </c>
      <c r="H437" s="38" t="s">
        <v>511</v>
      </c>
      <c r="I437" s="35" t="s">
        <v>1176</v>
      </c>
      <c r="J437" s="162">
        <v>5.2</v>
      </c>
      <c r="K437" s="80" t="s">
        <v>797</v>
      </c>
      <c r="L437" s="66">
        <f>IF(O437="","",N437*O437*M437)</f>
        <v>75</v>
      </c>
      <c r="M437" s="8">
        <v>1</v>
      </c>
      <c r="N437" s="3">
        <v>1</v>
      </c>
      <c r="O437" s="15">
        <f>IF(SUM(Q437:AF437)&lt;1,"",SUM(Q437:AF437)/COUNTIF(Q437:AF437,"&gt;0"))</f>
        <v>75</v>
      </c>
      <c r="P437" s="16"/>
      <c r="Q437" s="13"/>
      <c r="T437" s="4">
        <v>75</v>
      </c>
      <c r="U437" s="2"/>
      <c r="V437" s="2"/>
      <c r="W437" s="2"/>
      <c r="X437" s="2"/>
      <c r="Z437" s="2"/>
      <c r="AA437" s="2"/>
      <c r="AF437" s="14"/>
    </row>
    <row r="438" spans="1:33" s="4" customFormat="1" ht="15.75" customHeight="1" x14ac:dyDescent="0.25">
      <c r="A438" s="33" t="str">
        <f>CONCATENATE(D438,".",F438,"-",G438,".",H438,"")</f>
        <v>2.1-1.1</v>
      </c>
      <c r="B438" s="33" t="s">
        <v>814</v>
      </c>
      <c r="C438" s="39" t="s">
        <v>262</v>
      </c>
      <c r="D438" s="33">
        <f>IF(C438="ID",1,(IF(C438="PR",2,(IF(C438="DE",3,(IF(C438="RS",4,(IF(C438="RC",5,0)))))))))</f>
        <v>2</v>
      </c>
      <c r="E438" s="33" t="s">
        <v>257</v>
      </c>
      <c r="F438" s="33">
        <f>IF(E438="AM",1,(IF(E438="BE",2,(IF(E438="GV",3,(IF(E438="RA",4,(IF(E438="RM",5,(IF(E438="AC",1,(IF(E438="AT",2,(IF(E438="DS",3,(IF(E438="IP",4,(IF(E438="MA",5,(IF(E438="PT",6,(IF(E438="AE",1,(IF(E438="CM",2,(IF(E438="DP",3,(IF(E438="AN",1,(IF(E438="CO",2,(IF(E438="IM",3,(IF(E438="MI",4,(IF(E438="RP",5,(IF(E438="SC",6,0)))))))))))))))))))))))))))))))))))))))</f>
        <v>1</v>
      </c>
      <c r="G438" s="170">
        <v>1</v>
      </c>
      <c r="H438" s="38" t="s">
        <v>511</v>
      </c>
      <c r="I438" s="105" t="s">
        <v>821</v>
      </c>
      <c r="J438" s="150">
        <v>8</v>
      </c>
      <c r="K438" s="79" t="s">
        <v>1283</v>
      </c>
      <c r="L438" s="66">
        <f>IF(O438="","",N438*O438*M438)</f>
        <v>75</v>
      </c>
      <c r="M438" s="8">
        <v>1</v>
      </c>
      <c r="N438" s="3">
        <v>1</v>
      </c>
      <c r="O438" s="15">
        <f>IF(SUM(Q438:AF438)&lt;1,"",SUM(Q438:AF438)/COUNTIF(Q438:AF438,"&gt;0"))</f>
        <v>75</v>
      </c>
      <c r="P438" s="16"/>
      <c r="Q438" s="13"/>
      <c r="T438" s="4">
        <v>75</v>
      </c>
      <c r="U438" s="2"/>
      <c r="V438" s="2"/>
      <c r="W438" s="2"/>
      <c r="X438" s="2"/>
      <c r="Z438" s="2"/>
      <c r="AA438" s="2"/>
      <c r="AF438" s="14"/>
    </row>
    <row r="439" spans="1:33" s="4" customFormat="1" ht="15.75" customHeight="1" x14ac:dyDescent="0.25">
      <c r="A439" s="33" t="str">
        <f>CONCATENATE(D439,".",F439,"-",G439,".",H439,"")</f>
        <v>2.1-1.1</v>
      </c>
      <c r="B439" s="33" t="s">
        <v>814</v>
      </c>
      <c r="C439" s="39" t="s">
        <v>262</v>
      </c>
      <c r="D439" s="33">
        <f>IF(C439="ID",1,(IF(C439="PR",2,(IF(C439="DE",3,(IF(C439="RS",4,(IF(C439="RC",5,0)))))))))</f>
        <v>2</v>
      </c>
      <c r="E439" s="33" t="s">
        <v>257</v>
      </c>
      <c r="F439" s="33">
        <f>IF(E439="AM",1,(IF(E439="BE",2,(IF(E439="GV",3,(IF(E439="RA",4,(IF(E439="RM",5,(IF(E439="AC",1,(IF(E439="AT",2,(IF(E439="DS",3,(IF(E439="IP",4,(IF(E439="MA",5,(IF(E439="PT",6,(IF(E439="AE",1,(IF(E439="CM",2,(IF(E439="DP",3,(IF(E439="AN",1,(IF(E439="CO",2,(IF(E439="IM",3,(IF(E439="MI",4,(IF(E439="RP",5,(IF(E439="SC",6,0)))))))))))))))))))))))))))))))))))))))</f>
        <v>1</v>
      </c>
      <c r="G439" s="170">
        <v>1</v>
      </c>
      <c r="H439" s="38" t="s">
        <v>511</v>
      </c>
      <c r="I439" s="35" t="s">
        <v>1176</v>
      </c>
      <c r="J439" s="162">
        <v>5.8</v>
      </c>
      <c r="K439" s="80" t="s">
        <v>1068</v>
      </c>
      <c r="L439" s="66">
        <f>IF(O439="","",N439*O439*M439)</f>
        <v>75</v>
      </c>
      <c r="M439" s="8">
        <v>1</v>
      </c>
      <c r="N439" s="3">
        <v>1</v>
      </c>
      <c r="O439" s="15">
        <f>IF(SUM(Q439:AF439)&lt;1,"",SUM(Q439:AF439)/COUNTIF(Q439:AF439,"&gt;0"))</f>
        <v>75</v>
      </c>
      <c r="P439" s="16"/>
      <c r="Q439" s="13"/>
      <c r="T439" s="4">
        <v>75</v>
      </c>
      <c r="U439" s="2"/>
      <c r="V439" s="2"/>
      <c r="W439" s="2"/>
      <c r="X439" s="2"/>
      <c r="Z439" s="2"/>
      <c r="AA439" s="2"/>
      <c r="AF439" s="14"/>
    </row>
    <row r="440" spans="1:33" s="4" customFormat="1" ht="15.75" customHeight="1" x14ac:dyDescent="0.25">
      <c r="A440" s="33" t="str">
        <f>CONCATENATE(D440,".",F440,"-",G440,".",H440,"")</f>
        <v>2.1-1.1</v>
      </c>
      <c r="B440" s="33" t="s">
        <v>814</v>
      </c>
      <c r="C440" s="40" t="s">
        <v>262</v>
      </c>
      <c r="D440" s="33">
        <f>IF(C440="ID",1,(IF(C440="PR",2,(IF(C440="DE",3,(IF(C440="RS",4,(IF(C440="RC",5,0)))))))))</f>
        <v>2</v>
      </c>
      <c r="E440" s="37" t="s">
        <v>257</v>
      </c>
      <c r="F440" s="33">
        <f>IF(E440="AM",1,(IF(E440="BE",2,(IF(E440="GV",3,(IF(E440="RA",4,(IF(E440="RM",5,(IF(E440="AC",1,(IF(E440="AT",2,(IF(E440="DS",3,(IF(E440="IP",4,(IF(E440="MA",5,(IF(E440="PT",6,(IF(E440="AE",1,(IF(E440="CM",2,(IF(E440="DP",3,(IF(E440="AN",1,(IF(E440="CO",2,(IF(E440="IM",3,(IF(E440="MI",4,(IF(E440="RP",5,(IF(E440="SC",6,0)))))))))))))))))))))))))))))))))))))))</f>
        <v>1</v>
      </c>
      <c r="G440" s="171">
        <v>1</v>
      </c>
      <c r="H440" s="38" t="s">
        <v>511</v>
      </c>
      <c r="I440" s="35" t="s">
        <v>1176</v>
      </c>
      <c r="J440" s="162">
        <v>14</v>
      </c>
      <c r="K440" s="80" t="s">
        <v>1119</v>
      </c>
      <c r="L440" s="66">
        <f>IF(O440="","",N440*O440*M440)</f>
        <v>75</v>
      </c>
      <c r="M440" s="8">
        <v>1</v>
      </c>
      <c r="N440" s="3">
        <v>1</v>
      </c>
      <c r="O440" s="15">
        <f>IF(SUM(Q440:AF440)&lt;1,"",SUM(Q440:AF440)/COUNTIF(Q440:AF440,"&gt;0"))</f>
        <v>75</v>
      </c>
      <c r="P440" s="16"/>
      <c r="Q440" s="13"/>
      <c r="T440" s="4">
        <v>75</v>
      </c>
      <c r="U440" s="2"/>
      <c r="V440" s="2"/>
      <c r="W440" s="2"/>
      <c r="X440" s="2"/>
      <c r="Z440" s="2"/>
      <c r="AA440" s="2"/>
      <c r="AF440" s="14"/>
    </row>
    <row r="441" spans="1:33" s="4" customFormat="1" ht="15.75" customHeight="1" x14ac:dyDescent="0.25">
      <c r="A441" s="33" t="str">
        <f>CONCATENATE(D441,".",F441,"-",G441,".",H441,"")</f>
        <v>2.1-1.1</v>
      </c>
      <c r="B441" s="33" t="s">
        <v>814</v>
      </c>
      <c r="C441" s="40" t="s">
        <v>262</v>
      </c>
      <c r="D441" s="33">
        <f>IF(C441="ID",1,(IF(C441="PR",2,(IF(C441="DE",3,(IF(C441="RS",4,(IF(C441="RC",5,0)))))))))</f>
        <v>2</v>
      </c>
      <c r="E441" s="37" t="s">
        <v>257</v>
      </c>
      <c r="F441" s="33">
        <f>IF(E441="AM",1,(IF(E441="BE",2,(IF(E441="GV",3,(IF(E441="RA",4,(IF(E441="RM",5,(IF(E441="AC",1,(IF(E441="AT",2,(IF(E441="DS",3,(IF(E441="IP",4,(IF(E441="MA",5,(IF(E441="PT",6,(IF(E441="AE",1,(IF(E441="CM",2,(IF(E441="DP",3,(IF(E441="AN",1,(IF(E441="CO",2,(IF(E441="IM",3,(IF(E441="MI",4,(IF(E441="RP",5,(IF(E441="SC",6,0)))))))))))))))))))))))))))))))))))))))</f>
        <v>1</v>
      </c>
      <c r="G441" s="171">
        <v>1</v>
      </c>
      <c r="H441" s="38" t="s">
        <v>511</v>
      </c>
      <c r="I441" s="35" t="s">
        <v>1176</v>
      </c>
      <c r="J441" s="162">
        <v>16</v>
      </c>
      <c r="K441" s="80" t="s">
        <v>1135</v>
      </c>
      <c r="L441" s="66">
        <f>IF(O441="","",N441*O441*M441)</f>
        <v>75</v>
      </c>
      <c r="M441" s="8">
        <v>1</v>
      </c>
      <c r="N441" s="3">
        <v>1</v>
      </c>
      <c r="O441" s="15">
        <f>IF(SUM(Q441:AF441)&lt;1,"",SUM(Q441:AF441)/COUNTIF(Q441:AF441,"&gt;0"))</f>
        <v>75</v>
      </c>
      <c r="P441" s="16"/>
      <c r="Q441" s="13"/>
      <c r="T441" s="4">
        <v>75</v>
      </c>
      <c r="U441" s="2"/>
      <c r="V441" s="2"/>
      <c r="W441" s="2"/>
      <c r="X441" s="2"/>
      <c r="Z441" s="2"/>
      <c r="AA441" s="2"/>
      <c r="AG441" s="147"/>
    </row>
    <row r="442" spans="1:33" s="4" customFormat="1" ht="15.75" customHeight="1" x14ac:dyDescent="0.25">
      <c r="A442" s="33" t="str">
        <f>CONCATENATE(D442,".",F442,"-",G442,".",H442,"")</f>
        <v>2.1-1.1</v>
      </c>
      <c r="B442" s="33" t="s">
        <v>814</v>
      </c>
      <c r="C442" s="39" t="s">
        <v>262</v>
      </c>
      <c r="D442" s="33">
        <f>IF(C442="ID",1,(IF(C442="PR",2,(IF(C442="DE",3,(IF(C442="RS",4,(IF(C442="RC",5,0)))))))))</f>
        <v>2</v>
      </c>
      <c r="E442" s="33" t="s">
        <v>257</v>
      </c>
      <c r="F442" s="33">
        <f>IF(E442="AM",1,(IF(E442="BE",2,(IF(E442="GV",3,(IF(E442="RA",4,(IF(E442="RM",5,(IF(E442="AC",1,(IF(E442="AT",2,(IF(E442="DS",3,(IF(E442="IP",4,(IF(E442="MA",5,(IF(E442="PT",6,(IF(E442="AE",1,(IF(E442="CM",2,(IF(E442="DP",3,(IF(E442="AN",1,(IF(E442="CO",2,(IF(E442="IM",3,(IF(E442="MI",4,(IF(E442="RP",5,(IF(E442="SC",6,0)))))))))))))))))))))))))))))))))))))))</f>
        <v>1</v>
      </c>
      <c r="G442" s="170">
        <v>1</v>
      </c>
      <c r="H442" s="38" t="s">
        <v>511</v>
      </c>
      <c r="I442" s="105" t="s">
        <v>821</v>
      </c>
      <c r="J442" s="150">
        <v>8.1999999999999993</v>
      </c>
      <c r="K442" s="79" t="s">
        <v>1283</v>
      </c>
      <c r="L442" s="66">
        <f>IF(O442="","",N442*O442*M442)</f>
        <v>75</v>
      </c>
      <c r="M442" s="8">
        <v>1</v>
      </c>
      <c r="N442" s="3">
        <v>1</v>
      </c>
      <c r="O442" s="15">
        <f>IF(SUM(Q442:AF442)&lt;1,"",SUM(Q442:AF442)/COUNTIF(Q442:AF442,"&gt;0"))</f>
        <v>75</v>
      </c>
      <c r="P442" s="16"/>
      <c r="Q442" s="13"/>
      <c r="T442" s="4">
        <v>75</v>
      </c>
      <c r="U442" s="2"/>
      <c r="V442" s="2"/>
      <c r="W442" s="2"/>
      <c r="X442" s="2"/>
      <c r="Z442" s="2"/>
      <c r="AA442" s="2"/>
      <c r="AF442" s="14"/>
    </row>
    <row r="443" spans="1:33" s="4" customFormat="1" ht="15.75" customHeight="1" x14ac:dyDescent="0.25">
      <c r="A443" s="33" t="str">
        <f>CONCATENATE(D443,".",F443,"-",G443,".",H443,"")</f>
        <v>2.1-1.1</v>
      </c>
      <c r="B443" s="33" t="s">
        <v>814</v>
      </c>
      <c r="C443" s="39" t="s">
        <v>262</v>
      </c>
      <c r="D443" s="33">
        <f>IF(C443="ID",1,(IF(C443="PR",2,(IF(C443="DE",3,(IF(C443="RS",4,(IF(C443="RC",5,0)))))))))</f>
        <v>2</v>
      </c>
      <c r="E443" s="33" t="s">
        <v>257</v>
      </c>
      <c r="F443" s="33">
        <f>IF(E443="AM",1,(IF(E443="BE",2,(IF(E443="GV",3,(IF(E443="RA",4,(IF(E443="RM",5,(IF(E443="AC",1,(IF(E443="AT",2,(IF(E443="DS",3,(IF(E443="IP",4,(IF(E443="MA",5,(IF(E443="PT",6,(IF(E443="AE",1,(IF(E443="CM",2,(IF(E443="DP",3,(IF(E443="AN",1,(IF(E443="CO",2,(IF(E443="IM",3,(IF(E443="MI",4,(IF(E443="RP",5,(IF(E443="SC",6,0)))))))))))))))))))))))))))))))))))))))</f>
        <v>1</v>
      </c>
      <c r="G443" s="170">
        <v>1</v>
      </c>
      <c r="H443" s="38" t="s">
        <v>511</v>
      </c>
      <c r="I443" s="35" t="s">
        <v>1176</v>
      </c>
      <c r="J443" s="162">
        <v>16.100000000000001</v>
      </c>
      <c r="K443" s="80" t="s">
        <v>1136</v>
      </c>
      <c r="L443" s="66">
        <f>IF(O443="","",N443*O443*M443)</f>
        <v>75</v>
      </c>
      <c r="M443" s="8">
        <v>1</v>
      </c>
      <c r="N443" s="3">
        <v>1</v>
      </c>
      <c r="O443" s="15">
        <f>IF(SUM(Q443:AF443)&lt;1,"",SUM(Q443:AF443)/COUNTIF(Q443:AF443,"&gt;0"))</f>
        <v>75</v>
      </c>
      <c r="P443" s="16"/>
      <c r="Q443" s="13"/>
      <c r="T443" s="4">
        <v>75</v>
      </c>
      <c r="U443" s="2"/>
      <c r="V443" s="2"/>
      <c r="W443" s="2"/>
      <c r="X443" s="2"/>
      <c r="Z443" s="2"/>
      <c r="AA443" s="2"/>
      <c r="AF443" s="14"/>
    </row>
    <row r="444" spans="1:33" s="4" customFormat="1" ht="15.75" customHeight="1" x14ac:dyDescent="0.25">
      <c r="A444" s="33" t="str">
        <f>CONCATENATE(D444,".",F444,"-",G444,".",H444,"")</f>
        <v>2.1-1.1</v>
      </c>
      <c r="B444" s="33" t="s">
        <v>814</v>
      </c>
      <c r="C444" s="39" t="s">
        <v>262</v>
      </c>
      <c r="D444" s="33">
        <f>IF(C444="ID",1,(IF(C444="PR",2,(IF(C444="DE",3,(IF(C444="RS",4,(IF(C444="RC",5,0)))))))))</f>
        <v>2</v>
      </c>
      <c r="E444" s="33" t="s">
        <v>257</v>
      </c>
      <c r="F444" s="33">
        <f>IF(E444="AM",1,(IF(E444="BE",2,(IF(E444="GV",3,(IF(E444="RA",4,(IF(E444="RM",5,(IF(E444="AC",1,(IF(E444="AT",2,(IF(E444="DS",3,(IF(E444="IP",4,(IF(E444="MA",5,(IF(E444="PT",6,(IF(E444="AE",1,(IF(E444="CM",2,(IF(E444="DP",3,(IF(E444="AN",1,(IF(E444="CO",2,(IF(E444="IM",3,(IF(E444="MI",4,(IF(E444="RP",5,(IF(E444="SC",6,0)))))))))))))))))))))))))))))))))))))))</f>
        <v>1</v>
      </c>
      <c r="G444" s="170">
        <v>1</v>
      </c>
      <c r="H444" s="38" t="s">
        <v>511</v>
      </c>
      <c r="I444" s="35" t="s">
        <v>1176</v>
      </c>
      <c r="J444" s="162">
        <v>16.14</v>
      </c>
      <c r="K444" s="80" t="s">
        <v>1148</v>
      </c>
      <c r="L444" s="66">
        <f>IF(O444="","",N444*O444*M444)</f>
        <v>75</v>
      </c>
      <c r="M444" s="8">
        <v>1</v>
      </c>
      <c r="N444" s="3">
        <v>1</v>
      </c>
      <c r="O444" s="15">
        <f>IF(SUM(Q444:AF444)&lt;1,"",SUM(Q444:AF444)/COUNTIF(Q444:AF444,"&gt;0"))</f>
        <v>75</v>
      </c>
      <c r="P444" s="16"/>
      <c r="Q444" s="13"/>
      <c r="T444" s="4">
        <v>75</v>
      </c>
      <c r="U444" s="2"/>
      <c r="V444" s="2"/>
      <c r="W444" s="2"/>
      <c r="X444" s="2"/>
      <c r="Z444" s="2"/>
      <c r="AA444" s="2"/>
      <c r="AF444" s="14"/>
    </row>
    <row r="445" spans="1:33" s="4" customFormat="1" ht="15.75" customHeight="1" x14ac:dyDescent="0.25">
      <c r="A445" s="33" t="str">
        <f>CONCATENATE(D445,".",F445,"-",G445,".",H445,"")</f>
        <v>2.1-1.1</v>
      </c>
      <c r="B445" s="33" t="s">
        <v>814</v>
      </c>
      <c r="C445" s="39" t="s">
        <v>262</v>
      </c>
      <c r="D445" s="33">
        <f>IF(C445="ID",1,(IF(C445="PR",2,(IF(C445="DE",3,(IF(C445="RS",4,(IF(C445="RC",5,0)))))))))</f>
        <v>2</v>
      </c>
      <c r="E445" s="33" t="s">
        <v>257</v>
      </c>
      <c r="F445" s="33">
        <f>IF(E445="AM",1,(IF(E445="BE",2,(IF(E445="GV",3,(IF(E445="RA",4,(IF(E445="RM",5,(IF(E445="AC",1,(IF(E445="AT",2,(IF(E445="DS",3,(IF(E445="IP",4,(IF(E445="MA",5,(IF(E445="PT",6,(IF(E445="AE",1,(IF(E445="CM",2,(IF(E445="DP",3,(IF(E445="AN",1,(IF(E445="CO",2,(IF(E445="IM",3,(IF(E445="MI",4,(IF(E445="RP",5,(IF(E445="SC",6,0)))))))))))))))))))))))))))))))))))))))</f>
        <v>1</v>
      </c>
      <c r="G445" s="170">
        <v>1</v>
      </c>
      <c r="H445" s="38" t="s">
        <v>511</v>
      </c>
      <c r="I445" s="35" t="s">
        <v>1176</v>
      </c>
      <c r="J445" s="162">
        <v>16.2</v>
      </c>
      <c r="K445" s="80" t="s">
        <v>1137</v>
      </c>
      <c r="L445" s="66">
        <f>IF(O445="","",N445*O445*M445)</f>
        <v>75</v>
      </c>
      <c r="M445" s="8">
        <v>1</v>
      </c>
      <c r="N445" s="3">
        <v>1</v>
      </c>
      <c r="O445" s="15">
        <f>IF(SUM(Q445:AF445)&lt;1,"",SUM(Q445:AF445)/COUNTIF(Q445:AF445,"&gt;0"))</f>
        <v>75</v>
      </c>
      <c r="P445" s="16"/>
      <c r="Q445" s="13"/>
      <c r="T445" s="4">
        <v>75</v>
      </c>
      <c r="U445" s="2"/>
      <c r="V445" s="2"/>
      <c r="W445" s="2"/>
      <c r="X445" s="2"/>
      <c r="Z445" s="2"/>
      <c r="AA445" s="2"/>
      <c r="AF445" s="14"/>
    </row>
    <row r="446" spans="1:33" s="4" customFormat="1" ht="15.75" customHeight="1" x14ac:dyDescent="0.25">
      <c r="A446" s="33" t="str">
        <f>CONCATENATE(D446,".",F446,"-",G446,".",H446,"")</f>
        <v>2.1-1.1</v>
      </c>
      <c r="B446" s="33" t="s">
        <v>814</v>
      </c>
      <c r="C446" s="39" t="s">
        <v>262</v>
      </c>
      <c r="D446" s="33">
        <f>IF(C446="ID",1,(IF(C446="PR",2,(IF(C446="DE",3,(IF(C446="RS",4,(IF(C446="RC",5,0)))))))))</f>
        <v>2</v>
      </c>
      <c r="E446" s="33" t="s">
        <v>257</v>
      </c>
      <c r="F446" s="33">
        <f>IF(E446="AM",1,(IF(E446="BE",2,(IF(E446="GV",3,(IF(E446="RA",4,(IF(E446="RM",5,(IF(E446="AC",1,(IF(E446="AT",2,(IF(E446="DS",3,(IF(E446="IP",4,(IF(E446="MA",5,(IF(E446="PT",6,(IF(E446="AE",1,(IF(E446="CM",2,(IF(E446="DP",3,(IF(E446="AN",1,(IF(E446="CO",2,(IF(E446="IM",3,(IF(E446="MI",4,(IF(E446="RP",5,(IF(E446="SC",6,0)))))))))))))))))))))))))))))))))))))))</f>
        <v>1</v>
      </c>
      <c r="G446" s="170">
        <v>1</v>
      </c>
      <c r="H446" s="38" t="s">
        <v>511</v>
      </c>
      <c r="I446" s="35" t="s">
        <v>1176</v>
      </c>
      <c r="J446" s="162">
        <v>16.3</v>
      </c>
      <c r="K446" s="80" t="s">
        <v>1138</v>
      </c>
      <c r="L446" s="66">
        <f>IF(O446="","",N446*O446*M446)</f>
        <v>75</v>
      </c>
      <c r="M446" s="8">
        <v>1</v>
      </c>
      <c r="N446" s="3">
        <v>1</v>
      </c>
      <c r="O446" s="15">
        <f>IF(SUM(Q446:AF446)&lt;1,"",SUM(Q446:AF446)/COUNTIF(Q446:AF446,"&gt;0"))</f>
        <v>75</v>
      </c>
      <c r="P446" s="16"/>
      <c r="Q446" s="13"/>
      <c r="T446" s="4">
        <v>75</v>
      </c>
      <c r="U446" s="2"/>
      <c r="V446" s="2"/>
      <c r="W446" s="2"/>
      <c r="X446" s="2"/>
      <c r="Z446" s="2"/>
      <c r="AA446" s="2"/>
      <c r="AF446" s="14"/>
    </row>
    <row r="447" spans="1:33" s="4" customFormat="1" ht="15.75" customHeight="1" x14ac:dyDescent="0.25">
      <c r="A447" s="33" t="str">
        <f>CONCATENATE(D447,".",F447,"-",G447,".",H447,"")</f>
        <v>2.1-1.1</v>
      </c>
      <c r="B447" s="33" t="s">
        <v>814</v>
      </c>
      <c r="C447" s="39" t="s">
        <v>262</v>
      </c>
      <c r="D447" s="33">
        <f>IF(C447="ID",1,(IF(C447="PR",2,(IF(C447="DE",3,(IF(C447="RS",4,(IF(C447="RC",5,0)))))))))</f>
        <v>2</v>
      </c>
      <c r="E447" s="33" t="s">
        <v>257</v>
      </c>
      <c r="F447" s="33">
        <f>IF(E447="AM",1,(IF(E447="BE",2,(IF(E447="GV",3,(IF(E447="RA",4,(IF(E447="RM",5,(IF(E447="AC",1,(IF(E447="AT",2,(IF(E447="DS",3,(IF(E447="IP",4,(IF(E447="MA",5,(IF(E447="PT",6,(IF(E447="AE",1,(IF(E447="CM",2,(IF(E447="DP",3,(IF(E447="AN",1,(IF(E447="CO",2,(IF(E447="IM",3,(IF(E447="MI",4,(IF(E447="RP",5,(IF(E447="SC",6,0)))))))))))))))))))))))))))))))))))))))</f>
        <v>1</v>
      </c>
      <c r="G447" s="170">
        <v>1</v>
      </c>
      <c r="H447" s="38" t="s">
        <v>511</v>
      </c>
      <c r="I447" s="35" t="s">
        <v>1176</v>
      </c>
      <c r="J447" s="162">
        <v>16.399999999999999</v>
      </c>
      <c r="K447" s="80" t="s">
        <v>1139</v>
      </c>
      <c r="L447" s="66">
        <f>IF(O447="","",N447*O447*M447)</f>
        <v>75</v>
      </c>
      <c r="M447" s="8">
        <v>1</v>
      </c>
      <c r="N447" s="3">
        <v>1</v>
      </c>
      <c r="O447" s="15">
        <f>IF(SUM(Q447:AF447)&lt;1,"",SUM(Q447:AF447)/COUNTIF(Q447:AF447,"&gt;0"))</f>
        <v>75</v>
      </c>
      <c r="P447" s="16"/>
      <c r="Q447" s="13"/>
      <c r="T447" s="4">
        <v>75</v>
      </c>
      <c r="U447" s="2"/>
      <c r="V447" s="2"/>
      <c r="W447" s="2"/>
      <c r="X447" s="2"/>
      <c r="Z447" s="2"/>
      <c r="AA447" s="2"/>
      <c r="AF447" s="14"/>
    </row>
    <row r="448" spans="1:33" s="4" customFormat="1" ht="15.75" customHeight="1" x14ac:dyDescent="0.25">
      <c r="A448" s="33" t="str">
        <f>CONCATENATE(D448,".",F448,"-",G448,".",H448,"")</f>
        <v>2.1-1.1</v>
      </c>
      <c r="B448" s="33" t="s">
        <v>814</v>
      </c>
      <c r="C448" s="39" t="s">
        <v>262</v>
      </c>
      <c r="D448" s="33">
        <f>IF(C448="ID",1,(IF(C448="PR",2,(IF(C448="DE",3,(IF(C448="RS",4,(IF(C448="RC",5,0)))))))))</f>
        <v>2</v>
      </c>
      <c r="E448" s="33" t="s">
        <v>257</v>
      </c>
      <c r="F448" s="33">
        <f>IF(E448="AM",1,(IF(E448="BE",2,(IF(E448="GV",3,(IF(E448="RA",4,(IF(E448="RM",5,(IF(E448="AC",1,(IF(E448="AT",2,(IF(E448="DS",3,(IF(E448="IP",4,(IF(E448="MA",5,(IF(E448="PT",6,(IF(E448="AE",1,(IF(E448="CM",2,(IF(E448="DP",3,(IF(E448="AN",1,(IF(E448="CO",2,(IF(E448="IM",3,(IF(E448="MI",4,(IF(E448="RP",5,(IF(E448="SC",6,0)))))))))))))))))))))))))))))))))))))))</f>
        <v>1</v>
      </c>
      <c r="G448" s="170">
        <v>1</v>
      </c>
      <c r="H448" s="38" t="s">
        <v>511</v>
      </c>
      <c r="I448" s="105" t="s">
        <v>821</v>
      </c>
      <c r="J448" s="150">
        <v>8.6</v>
      </c>
      <c r="K448" s="79" t="s">
        <v>1283</v>
      </c>
      <c r="L448" s="66">
        <f>IF(O448="","",N448*O448*M448)</f>
        <v>75</v>
      </c>
      <c r="M448" s="8">
        <v>1</v>
      </c>
      <c r="N448" s="3">
        <v>1</v>
      </c>
      <c r="O448" s="15">
        <f>IF(SUM(Q448:AF448)&lt;1,"",SUM(Q448:AF448)/COUNTIF(Q448:AF448,"&gt;0"))</f>
        <v>75</v>
      </c>
      <c r="P448" s="16"/>
      <c r="Q448" s="13"/>
      <c r="T448" s="4">
        <v>75</v>
      </c>
      <c r="U448" s="2"/>
      <c r="V448" s="2"/>
      <c r="W448" s="2"/>
      <c r="X448" s="2"/>
      <c r="Z448" s="2"/>
      <c r="AA448" s="2"/>
      <c r="AF448" s="14"/>
    </row>
    <row r="449" spans="1:32" s="4" customFormat="1" ht="15.75" customHeight="1" x14ac:dyDescent="0.25">
      <c r="A449" s="33" t="str">
        <f>CONCATENATE(D449,".",F449,"-",G449,".",H449,"")</f>
        <v>2.1-1.1</v>
      </c>
      <c r="B449" s="33" t="s">
        <v>814</v>
      </c>
      <c r="C449" s="39" t="s">
        <v>262</v>
      </c>
      <c r="D449" s="33">
        <f>IF(C449="ID",1,(IF(C449="PR",2,(IF(C449="DE",3,(IF(C449="RS",4,(IF(C449="RC",5,0)))))))))</f>
        <v>2</v>
      </c>
      <c r="E449" s="33" t="s">
        <v>257</v>
      </c>
      <c r="F449" s="33">
        <f>IF(E449="AM",1,(IF(E449="BE",2,(IF(E449="GV",3,(IF(E449="RA",4,(IF(E449="RM",5,(IF(E449="AC",1,(IF(E449="AT",2,(IF(E449="DS",3,(IF(E449="IP",4,(IF(E449="MA",5,(IF(E449="PT",6,(IF(E449="AE",1,(IF(E449="CM",2,(IF(E449="DP",3,(IF(E449="AN",1,(IF(E449="CO",2,(IF(E449="IM",3,(IF(E449="MI",4,(IF(E449="RP",5,(IF(E449="SC",6,0)))))))))))))))))))))))))))))))))))))))</f>
        <v>1</v>
      </c>
      <c r="G449" s="170">
        <v>1</v>
      </c>
      <c r="H449" s="38" t="s">
        <v>511</v>
      </c>
      <c r="I449" s="35" t="s">
        <v>1176</v>
      </c>
      <c r="J449" s="162">
        <v>16.7</v>
      </c>
      <c r="K449" s="80" t="s">
        <v>1141</v>
      </c>
      <c r="L449" s="66">
        <f>IF(O449="","",N449*O449*M449)</f>
        <v>75</v>
      </c>
      <c r="M449" s="8">
        <v>1</v>
      </c>
      <c r="N449" s="3">
        <v>1</v>
      </c>
      <c r="O449" s="15">
        <f>IF(SUM(Q449:AF449)&lt;1,"",SUM(Q449:AF449)/COUNTIF(Q449:AF449,"&gt;0"))</f>
        <v>75</v>
      </c>
      <c r="P449" s="16"/>
      <c r="Q449" s="13"/>
      <c r="T449" s="4">
        <v>75</v>
      </c>
      <c r="U449" s="2"/>
      <c r="V449" s="2"/>
      <c r="W449" s="2"/>
      <c r="X449" s="2"/>
      <c r="Z449" s="2"/>
      <c r="AA449" s="2"/>
      <c r="AF449" s="14"/>
    </row>
    <row r="450" spans="1:32" s="4" customFormat="1" ht="15.75" customHeight="1" x14ac:dyDescent="0.25">
      <c r="A450" s="33" t="str">
        <f>CONCATENATE(D450,".",F450,"-",G450,".",H450,"")</f>
        <v>2.1-1.1</v>
      </c>
      <c r="B450" s="33" t="s">
        <v>814</v>
      </c>
      <c r="C450" s="39" t="s">
        <v>262</v>
      </c>
      <c r="D450" s="33">
        <f>IF(C450="ID",1,(IF(C450="PR",2,(IF(C450="DE",3,(IF(C450="RS",4,(IF(C450="RC",5,0)))))))))</f>
        <v>2</v>
      </c>
      <c r="E450" s="33" t="s">
        <v>257</v>
      </c>
      <c r="F450" s="33">
        <f>IF(E450="AM",1,(IF(E450="BE",2,(IF(E450="GV",3,(IF(E450="RA",4,(IF(E450="RM",5,(IF(E450="AC",1,(IF(E450="AT",2,(IF(E450="DS",3,(IF(E450="IP",4,(IF(E450="MA",5,(IF(E450="PT",6,(IF(E450="AE",1,(IF(E450="CM",2,(IF(E450="DP",3,(IF(E450="AN",1,(IF(E450="CO",2,(IF(E450="IM",3,(IF(E450="MI",4,(IF(E450="RP",5,(IF(E450="SC",6,0)))))))))))))))))))))))))))))))))))))))</f>
        <v>1</v>
      </c>
      <c r="G450" s="170">
        <v>1</v>
      </c>
      <c r="H450" s="38" t="s">
        <v>511</v>
      </c>
      <c r="I450" s="105" t="s">
        <v>821</v>
      </c>
      <c r="J450" s="150" t="s">
        <v>205</v>
      </c>
      <c r="K450" s="79" t="s">
        <v>1283</v>
      </c>
      <c r="L450" s="66">
        <f>IF(O450="","",N450*O450*M450)</f>
        <v>75</v>
      </c>
      <c r="M450" s="8">
        <v>1</v>
      </c>
      <c r="N450" s="3">
        <v>1</v>
      </c>
      <c r="O450" s="15">
        <f>IF(SUM(Q450:AF450)&lt;1,"",SUM(Q450:AF450)/COUNTIF(Q450:AF450,"&gt;0"))</f>
        <v>75</v>
      </c>
      <c r="P450" s="16"/>
      <c r="Q450" s="13"/>
      <c r="T450" s="4">
        <v>75</v>
      </c>
      <c r="U450" s="2"/>
      <c r="V450" s="2"/>
      <c r="W450" s="2"/>
      <c r="X450" s="2"/>
      <c r="Z450" s="2"/>
      <c r="AA450" s="2"/>
      <c r="AF450" s="14"/>
    </row>
    <row r="451" spans="1:32" s="4" customFormat="1" ht="15.75" customHeight="1" x14ac:dyDescent="0.25">
      <c r="A451" s="33" t="str">
        <f>CONCATENATE(D451,".",F451,"-",G451,".",H451,"")</f>
        <v>2.1-1.1</v>
      </c>
      <c r="B451" s="33" t="s">
        <v>814</v>
      </c>
      <c r="C451" s="39" t="s">
        <v>262</v>
      </c>
      <c r="D451" s="33">
        <f>IF(C451="ID",1,(IF(C451="PR",2,(IF(C451="DE",3,(IF(C451="RS",4,(IF(C451="RC",5,0)))))))))</f>
        <v>2</v>
      </c>
      <c r="E451" s="33" t="s">
        <v>257</v>
      </c>
      <c r="F451" s="33">
        <f>IF(E451="AM",1,(IF(E451="BE",2,(IF(E451="GV",3,(IF(E451="RA",4,(IF(E451="RM",5,(IF(E451="AC",1,(IF(E451="AT",2,(IF(E451="DS",3,(IF(E451="IP",4,(IF(E451="MA",5,(IF(E451="PT",6,(IF(E451="AE",1,(IF(E451="CM",2,(IF(E451="DP",3,(IF(E451="AN",1,(IF(E451="CO",2,(IF(E451="IM",3,(IF(E451="MI",4,(IF(E451="RP",5,(IF(E451="SC",6,0)))))))))))))))))))))))))))))))))))))))</f>
        <v>1</v>
      </c>
      <c r="G451" s="170">
        <v>1</v>
      </c>
      <c r="H451" s="38" t="s">
        <v>511</v>
      </c>
      <c r="I451" s="105" t="s">
        <v>821</v>
      </c>
      <c r="J451" s="150" t="s">
        <v>230</v>
      </c>
      <c r="K451" s="79" t="s">
        <v>1283</v>
      </c>
      <c r="L451" s="66">
        <f>IF(O451="","",N451*O451*M451)</f>
        <v>75</v>
      </c>
      <c r="M451" s="8">
        <v>1</v>
      </c>
      <c r="N451" s="3">
        <v>1</v>
      </c>
      <c r="O451" s="15">
        <f>IF(SUM(Q451:AF451)&lt;1,"",SUM(Q451:AF451)/COUNTIF(Q451:AF451,"&gt;0"))</f>
        <v>75</v>
      </c>
      <c r="P451" s="16"/>
      <c r="Q451" s="13"/>
      <c r="T451" s="4">
        <v>75</v>
      </c>
      <c r="U451" s="2"/>
      <c r="V451" s="2"/>
      <c r="W451" s="2"/>
      <c r="X451" s="2"/>
      <c r="Z451" s="2"/>
      <c r="AA451" s="2"/>
      <c r="AF451" s="14"/>
    </row>
    <row r="452" spans="1:32" s="4" customFormat="1" ht="15.75" customHeight="1" x14ac:dyDescent="0.25">
      <c r="A452" s="33" t="str">
        <f>CONCATENATE(D452,".",F452,"-",G452,".",H452,"")</f>
        <v>2.1-1.1</v>
      </c>
      <c r="B452" s="33" t="s">
        <v>814</v>
      </c>
      <c r="C452" s="39" t="s">
        <v>262</v>
      </c>
      <c r="D452" s="33">
        <f>IF(C452="ID",1,(IF(C452="PR",2,(IF(C452="DE",3,(IF(C452="RS",4,(IF(C452="RC",5,0)))))))))</f>
        <v>2</v>
      </c>
      <c r="E452" s="33" t="s">
        <v>257</v>
      </c>
      <c r="F452" s="33">
        <f>IF(E452="AM",1,(IF(E452="BE",2,(IF(E452="GV",3,(IF(E452="RA",4,(IF(E452="RM",5,(IF(E452="AC",1,(IF(E452="AT",2,(IF(E452="DS",3,(IF(E452="IP",4,(IF(E452="MA",5,(IF(E452="PT",6,(IF(E452="AE",1,(IF(E452="CM",2,(IF(E452="DP",3,(IF(E452="AN",1,(IF(E452="CO",2,(IF(E452="IM",3,(IF(E452="MI",4,(IF(E452="RP",5,(IF(E452="SC",6,0)))))))))))))))))))))))))))))))))))))))</f>
        <v>1</v>
      </c>
      <c r="G452" s="170">
        <v>1</v>
      </c>
      <c r="H452" s="38" t="s">
        <v>511</v>
      </c>
      <c r="I452" s="105" t="s">
        <v>821</v>
      </c>
      <c r="J452" s="150" t="s">
        <v>101</v>
      </c>
      <c r="K452" s="79" t="s">
        <v>1283</v>
      </c>
      <c r="L452" s="66">
        <f>IF(O452="","",N452*O452*M452)</f>
        <v>75</v>
      </c>
      <c r="M452" s="8">
        <v>1</v>
      </c>
      <c r="N452" s="3">
        <v>1</v>
      </c>
      <c r="O452" s="15">
        <f>IF(SUM(Q452:AF452)&lt;1,"",SUM(Q452:AF452)/COUNTIF(Q452:AF452,"&gt;0"))</f>
        <v>75</v>
      </c>
      <c r="P452" s="16"/>
      <c r="Q452" s="13"/>
      <c r="T452" s="4">
        <v>75</v>
      </c>
      <c r="U452" s="2"/>
      <c r="V452" s="2"/>
      <c r="W452" s="2"/>
      <c r="X452" s="2"/>
      <c r="Z452" s="2"/>
      <c r="AA452" s="2"/>
      <c r="AF452" s="14"/>
    </row>
    <row r="453" spans="1:32" s="4" customFormat="1" ht="15.75" customHeight="1" x14ac:dyDescent="0.25">
      <c r="A453" s="33" t="str">
        <f>CONCATENATE(D453,".",F453,"-",G453,".",H453,"")</f>
        <v>2.1-1.1</v>
      </c>
      <c r="B453" s="33" t="s">
        <v>814</v>
      </c>
      <c r="C453" s="40" t="s">
        <v>262</v>
      </c>
      <c r="D453" s="33">
        <f>IF(C453="ID",1,(IF(C453="PR",2,(IF(C453="DE",3,(IF(C453="RS",4,(IF(C453="RC",5,0)))))))))</f>
        <v>2</v>
      </c>
      <c r="E453" s="33" t="s">
        <v>257</v>
      </c>
      <c r="F453" s="33">
        <f>IF(E453="AM",1,(IF(E453="BE",2,(IF(E453="GV",3,(IF(E453="RA",4,(IF(E453="RM",5,(IF(E453="AC",1,(IF(E453="AT",2,(IF(E453="DS",3,(IF(E453="IP",4,(IF(E453="MA",5,(IF(E453="PT",6,(IF(E453="AE",1,(IF(E453="CM",2,(IF(E453="DP",3,(IF(E453="AN",1,(IF(E453="CO",2,(IF(E453="IM",3,(IF(E453="MI",4,(IF(E453="RP",5,(IF(E453="SC",6,0)))))))))))))))))))))))))))))))))))))))</f>
        <v>1</v>
      </c>
      <c r="G453" s="171">
        <v>1</v>
      </c>
      <c r="H453" s="38" t="s">
        <v>511</v>
      </c>
      <c r="I453" s="27" t="s">
        <v>936</v>
      </c>
      <c r="J453" s="163" t="s">
        <v>898</v>
      </c>
      <c r="K453" s="34" t="s">
        <v>980</v>
      </c>
      <c r="L453" s="66">
        <f>IF(O453="","",N453*O453*M453)</f>
        <v>75</v>
      </c>
      <c r="M453" s="8">
        <v>1</v>
      </c>
      <c r="N453" s="3">
        <v>1</v>
      </c>
      <c r="O453" s="15">
        <f>IF(SUM(Q453:AF453)&lt;1,"",SUM(Q453:AF453)/COUNTIF(Q453:AF453,"&gt;0"))</f>
        <v>75</v>
      </c>
      <c r="P453" s="16"/>
      <c r="Q453" s="13"/>
      <c r="T453" s="4">
        <v>75</v>
      </c>
      <c r="U453" s="2"/>
      <c r="V453" s="2"/>
      <c r="W453" s="2"/>
      <c r="X453" s="2"/>
      <c r="Z453" s="2"/>
      <c r="AA453" s="2"/>
      <c r="AF453" s="14"/>
    </row>
    <row r="454" spans="1:32" s="4" customFormat="1" ht="15.75" customHeight="1" x14ac:dyDescent="0.25">
      <c r="A454" s="33" t="str">
        <f>CONCATENATE(D454,".",F454,"-",G454,".",H454,"")</f>
        <v>2.1-1.1</v>
      </c>
      <c r="B454" s="33" t="s">
        <v>814</v>
      </c>
      <c r="C454" s="40" t="s">
        <v>262</v>
      </c>
      <c r="D454" s="33">
        <f>IF(C454="ID",1,(IF(C454="PR",2,(IF(C454="DE",3,(IF(C454="RS",4,(IF(C454="RC",5,0)))))))))</f>
        <v>2</v>
      </c>
      <c r="E454" s="33" t="s">
        <v>257</v>
      </c>
      <c r="F454" s="33">
        <f>IF(E454="AM",1,(IF(E454="BE",2,(IF(E454="GV",3,(IF(E454="RA",4,(IF(E454="RM",5,(IF(E454="AC",1,(IF(E454="AT",2,(IF(E454="DS",3,(IF(E454="IP",4,(IF(E454="MA",5,(IF(E454="PT",6,(IF(E454="AE",1,(IF(E454="CM",2,(IF(E454="DP",3,(IF(E454="AN",1,(IF(E454="CO",2,(IF(E454="IM",3,(IF(E454="MI",4,(IF(E454="RP",5,(IF(E454="SC",6,0)))))))))))))))))))))))))))))))))))))))</f>
        <v>1</v>
      </c>
      <c r="G454" s="171">
        <v>1</v>
      </c>
      <c r="H454" s="38" t="s">
        <v>511</v>
      </c>
      <c r="I454" s="27" t="s">
        <v>936</v>
      </c>
      <c r="J454" s="163" t="s">
        <v>899</v>
      </c>
      <c r="K454" s="34" t="s">
        <v>981</v>
      </c>
      <c r="L454" s="66">
        <f>IF(O454="","",N454*O454*M454)</f>
        <v>75</v>
      </c>
      <c r="M454" s="8">
        <v>1</v>
      </c>
      <c r="N454" s="3">
        <v>1</v>
      </c>
      <c r="O454" s="15">
        <f>IF(SUM(Q454:AF454)&lt;1,"",SUM(Q454:AF454)/COUNTIF(Q454:AF454,"&gt;0"))</f>
        <v>75</v>
      </c>
      <c r="P454" s="16"/>
      <c r="Q454" s="13"/>
      <c r="T454" s="4">
        <v>75</v>
      </c>
      <c r="U454" s="2"/>
      <c r="V454" s="2"/>
      <c r="W454" s="2"/>
      <c r="X454" s="2"/>
      <c r="Z454" s="2"/>
      <c r="AA454" s="2"/>
      <c r="AF454" s="14"/>
    </row>
    <row r="455" spans="1:32" s="4" customFormat="1" ht="15.75" customHeight="1" x14ac:dyDescent="0.25">
      <c r="A455" s="33" t="str">
        <f>CONCATENATE(D455,".",F455,"-",G455,".",H455,"")</f>
        <v>2.1-1.1</v>
      </c>
      <c r="B455" s="33" t="s">
        <v>814</v>
      </c>
      <c r="C455" s="40" t="s">
        <v>262</v>
      </c>
      <c r="D455" s="33">
        <f>IF(C455="ID",1,(IF(C455="PR",2,(IF(C455="DE",3,(IF(C455="RS",4,(IF(C455="RC",5,0)))))))))</f>
        <v>2</v>
      </c>
      <c r="E455" s="33" t="s">
        <v>257</v>
      </c>
      <c r="F455" s="33">
        <f>IF(E455="AM",1,(IF(E455="BE",2,(IF(E455="GV",3,(IF(E455="RA",4,(IF(E455="RM",5,(IF(E455="AC",1,(IF(E455="AT",2,(IF(E455="DS",3,(IF(E455="IP",4,(IF(E455="MA",5,(IF(E455="PT",6,(IF(E455="AE",1,(IF(E455="CM",2,(IF(E455="DP",3,(IF(E455="AN",1,(IF(E455="CO",2,(IF(E455="IM",3,(IF(E455="MI",4,(IF(E455="RP",5,(IF(E455="SC",6,0)))))))))))))))))))))))))))))))))))))))</f>
        <v>1</v>
      </c>
      <c r="G455" s="171">
        <v>1</v>
      </c>
      <c r="H455" s="38" t="s">
        <v>511</v>
      </c>
      <c r="I455" s="27" t="s">
        <v>936</v>
      </c>
      <c r="J455" s="163" t="s">
        <v>900</v>
      </c>
      <c r="K455" s="34" t="s">
        <v>983</v>
      </c>
      <c r="L455" s="66">
        <f>IF(O455="","",N455*O455*M455)</f>
        <v>75</v>
      </c>
      <c r="M455" s="8">
        <v>1</v>
      </c>
      <c r="N455" s="3">
        <v>1</v>
      </c>
      <c r="O455" s="15">
        <f>IF(SUM(Q455:AF455)&lt;1,"",SUM(Q455:AF455)/COUNTIF(Q455:AF455,"&gt;0"))</f>
        <v>75</v>
      </c>
      <c r="P455" s="16"/>
      <c r="Q455" s="13"/>
      <c r="T455" s="4">
        <v>75</v>
      </c>
      <c r="U455" s="2"/>
      <c r="V455" s="2"/>
      <c r="W455" s="2"/>
      <c r="X455" s="2"/>
      <c r="Z455" s="2"/>
      <c r="AA455" s="2"/>
      <c r="AF455" s="14"/>
    </row>
    <row r="456" spans="1:32" s="4" customFormat="1" ht="15.75" customHeight="1" x14ac:dyDescent="0.25">
      <c r="A456" s="33" t="str">
        <f>CONCATENATE(D456,".",F456,"-",G456,".",H456,"")</f>
        <v>2.1-1.1</v>
      </c>
      <c r="B456" s="33" t="s">
        <v>814</v>
      </c>
      <c r="C456" s="40" t="s">
        <v>262</v>
      </c>
      <c r="D456" s="33">
        <f>IF(C456="ID",1,(IF(C456="PR",2,(IF(C456="DE",3,(IF(C456="RS",4,(IF(C456="RC",5,0)))))))))</f>
        <v>2</v>
      </c>
      <c r="E456" s="33" t="s">
        <v>257</v>
      </c>
      <c r="F456" s="33">
        <f>IF(E456="AM",1,(IF(E456="BE",2,(IF(E456="GV",3,(IF(E456="RA",4,(IF(E456="RM",5,(IF(E456="AC",1,(IF(E456="AT",2,(IF(E456="DS",3,(IF(E456="IP",4,(IF(E456="MA",5,(IF(E456="PT",6,(IF(E456="AE",1,(IF(E456="CM",2,(IF(E456="DP",3,(IF(E456="AN",1,(IF(E456="CO",2,(IF(E456="IM",3,(IF(E456="MI",4,(IF(E456="RP",5,(IF(E456="SC",6,0)))))))))))))))))))))))))))))))))))))))</f>
        <v>1</v>
      </c>
      <c r="G456" s="171">
        <v>1</v>
      </c>
      <c r="H456" s="38" t="s">
        <v>511</v>
      </c>
      <c r="I456" s="27" t="s">
        <v>936</v>
      </c>
      <c r="J456" s="163" t="s">
        <v>902</v>
      </c>
      <c r="K456" s="34" t="s">
        <v>950</v>
      </c>
      <c r="L456" s="66">
        <f>IF(O456="","",N456*O456*M456)</f>
        <v>75</v>
      </c>
      <c r="M456" s="8">
        <v>1</v>
      </c>
      <c r="N456" s="3">
        <v>1</v>
      </c>
      <c r="O456" s="15">
        <f>IF(SUM(Q456:AF456)&lt;1,"",SUM(Q456:AF456)/COUNTIF(Q456:AF456,"&gt;0"))</f>
        <v>75</v>
      </c>
      <c r="P456" s="16"/>
      <c r="Q456" s="13"/>
      <c r="T456" s="4">
        <v>75</v>
      </c>
      <c r="U456" s="2"/>
      <c r="V456" s="2"/>
      <c r="W456" s="2"/>
      <c r="X456" s="2"/>
      <c r="Z456" s="2"/>
      <c r="AA456" s="2"/>
      <c r="AF456" s="14"/>
    </row>
    <row r="457" spans="1:32" s="4" customFormat="1" ht="15.75" customHeight="1" x14ac:dyDescent="0.25">
      <c r="A457" s="33" t="str">
        <f>CONCATENATE(D457,".",F457,"-",G457,".",H457,"")</f>
        <v>2.1-1.1</v>
      </c>
      <c r="B457" s="33" t="s">
        <v>814</v>
      </c>
      <c r="C457" s="39" t="s">
        <v>262</v>
      </c>
      <c r="D457" s="33">
        <f>IF(C457="ID",1,(IF(C457="PR",2,(IF(C457="DE",3,(IF(C457="RS",4,(IF(C457="RC",5,0)))))))))</f>
        <v>2</v>
      </c>
      <c r="E457" s="33" t="s">
        <v>257</v>
      </c>
      <c r="F457" s="33">
        <f>IF(E457="AM",1,(IF(E457="BE",2,(IF(E457="GV",3,(IF(E457="RA",4,(IF(E457="RM",5,(IF(E457="AC",1,(IF(E457="AT",2,(IF(E457="DS",3,(IF(E457="IP",4,(IF(E457="MA",5,(IF(E457="PT",6,(IF(E457="AE",1,(IF(E457="CM",2,(IF(E457="DP",3,(IF(E457="AN",1,(IF(E457="CO",2,(IF(E457="IM",3,(IF(E457="MI",4,(IF(E457="RP",5,(IF(E457="SC",6,0)))))))))))))))))))))))))))))))))))))))</f>
        <v>1</v>
      </c>
      <c r="G457" s="170">
        <v>1</v>
      </c>
      <c r="H457" s="38" t="s">
        <v>511</v>
      </c>
      <c r="I457" s="105" t="s">
        <v>821</v>
      </c>
      <c r="J457" s="150" t="s">
        <v>144</v>
      </c>
      <c r="K457" s="79" t="s">
        <v>1283</v>
      </c>
      <c r="L457" s="66">
        <f>IF(O457="","",N457*O457*M457)</f>
        <v>75</v>
      </c>
      <c r="M457" s="8">
        <v>1</v>
      </c>
      <c r="N457" s="3">
        <v>1</v>
      </c>
      <c r="O457" s="15">
        <f>IF(SUM(Q457:AF457)&lt;1,"",SUM(Q457:AF457)/COUNTIF(Q457:AF457,"&gt;0"))</f>
        <v>75</v>
      </c>
      <c r="P457" s="16"/>
      <c r="Q457" s="13"/>
      <c r="T457" s="4">
        <v>75</v>
      </c>
      <c r="U457" s="2"/>
      <c r="V457" s="2"/>
      <c r="W457" s="2"/>
      <c r="X457" s="2"/>
      <c r="Z457" s="2"/>
      <c r="AA457" s="2"/>
      <c r="AF457" s="14"/>
    </row>
    <row r="458" spans="1:32" s="4" customFormat="1" ht="15.75" customHeight="1" x14ac:dyDescent="0.25">
      <c r="A458" s="33" t="str">
        <f>CONCATENATE(D458,".",F458,"-",G458,".",H458,"")</f>
        <v>2.1-1.1</v>
      </c>
      <c r="B458" s="33" t="s">
        <v>814</v>
      </c>
      <c r="C458" s="39" t="s">
        <v>262</v>
      </c>
      <c r="D458" s="33">
        <f>IF(C458="ID",1,(IF(C458="PR",2,(IF(C458="DE",3,(IF(C458="RS",4,(IF(C458="RC",5,0)))))))))</f>
        <v>2</v>
      </c>
      <c r="E458" s="33" t="s">
        <v>257</v>
      </c>
      <c r="F458" s="33">
        <f>IF(E458="AM",1,(IF(E458="BE",2,(IF(E458="GV",3,(IF(E458="RA",4,(IF(E458="RM",5,(IF(E458="AC",1,(IF(E458="AT",2,(IF(E458="DS",3,(IF(E458="IP",4,(IF(E458="MA",5,(IF(E458="PT",6,(IF(E458="AE",1,(IF(E458="CM",2,(IF(E458="DP",3,(IF(E458="AN",1,(IF(E458="CO",2,(IF(E458="IM",3,(IF(E458="MI",4,(IF(E458="RP",5,(IF(E458="SC",6,0)))))))))))))))))))))))))))))))))))))))</f>
        <v>1</v>
      </c>
      <c r="G458" s="170">
        <v>1</v>
      </c>
      <c r="H458" s="38" t="s">
        <v>511</v>
      </c>
      <c r="I458" s="105" t="s">
        <v>821</v>
      </c>
      <c r="J458" s="150" t="s">
        <v>164</v>
      </c>
      <c r="K458" s="79" t="s">
        <v>1283</v>
      </c>
      <c r="L458" s="66">
        <f>IF(O458="","",N458*O458*M458)</f>
        <v>75</v>
      </c>
      <c r="M458" s="8">
        <v>1</v>
      </c>
      <c r="N458" s="3">
        <v>1</v>
      </c>
      <c r="O458" s="15">
        <f>IF(SUM(Q458:AF458)&lt;1,"",SUM(Q458:AF458)/COUNTIF(Q458:AF458,"&gt;0"))</f>
        <v>75</v>
      </c>
      <c r="P458" s="16"/>
      <c r="Q458" s="13"/>
      <c r="T458" s="4">
        <v>75</v>
      </c>
      <c r="U458" s="2"/>
      <c r="V458" s="2"/>
      <c r="W458" s="2"/>
      <c r="X458" s="2"/>
      <c r="Z458" s="2"/>
      <c r="AA458" s="2"/>
      <c r="AF458" s="14"/>
    </row>
    <row r="459" spans="1:32" s="4" customFormat="1" ht="15.75" customHeight="1" x14ac:dyDescent="0.25">
      <c r="A459" s="33" t="str">
        <f>CONCATENATE(D459,".",F459,"-",G459,".",H459,"")</f>
        <v>2.1-1.1</v>
      </c>
      <c r="B459" s="33" t="s">
        <v>814</v>
      </c>
      <c r="C459" s="39" t="s">
        <v>262</v>
      </c>
      <c r="D459" s="33">
        <f>IF(C459="ID",1,(IF(C459="PR",2,(IF(C459="DE",3,(IF(C459="RS",4,(IF(C459="RC",5,0)))))))))</f>
        <v>2</v>
      </c>
      <c r="E459" s="33" t="s">
        <v>257</v>
      </c>
      <c r="F459" s="33">
        <f>IF(E459="AM",1,(IF(E459="BE",2,(IF(E459="GV",3,(IF(E459="RA",4,(IF(E459="RM",5,(IF(E459="AC",1,(IF(E459="AT",2,(IF(E459="DS",3,(IF(E459="IP",4,(IF(E459="MA",5,(IF(E459="PT",6,(IF(E459="AE",1,(IF(E459="CM",2,(IF(E459="DP",3,(IF(E459="AN",1,(IF(E459="CO",2,(IF(E459="IM",3,(IF(E459="MI",4,(IF(E459="RP",5,(IF(E459="SC",6,0)))))))))))))))))))))))))))))))))))))))</f>
        <v>1</v>
      </c>
      <c r="G459" s="170">
        <v>1</v>
      </c>
      <c r="H459" s="38" t="s">
        <v>511</v>
      </c>
      <c r="I459" s="105" t="s">
        <v>821</v>
      </c>
      <c r="J459" s="150" t="s">
        <v>165</v>
      </c>
      <c r="K459" s="79" t="s">
        <v>1283</v>
      </c>
      <c r="L459" s="66">
        <f>IF(O459="","",N459*O459*M459)</f>
        <v>75</v>
      </c>
      <c r="M459" s="8">
        <v>1</v>
      </c>
      <c r="N459" s="3">
        <v>1</v>
      </c>
      <c r="O459" s="15">
        <f>IF(SUM(Q459:AF459)&lt;1,"",SUM(Q459:AF459)/COUNTIF(Q459:AF459,"&gt;0"))</f>
        <v>75</v>
      </c>
      <c r="P459" s="16"/>
      <c r="Q459" s="13"/>
      <c r="T459" s="4">
        <v>75</v>
      </c>
      <c r="U459" s="2"/>
      <c r="V459" s="2"/>
      <c r="W459" s="2"/>
      <c r="X459" s="2"/>
      <c r="Z459" s="2"/>
      <c r="AA459" s="2"/>
      <c r="AF459" s="14"/>
    </row>
    <row r="460" spans="1:32" s="4" customFormat="1" ht="15.75" customHeight="1" x14ac:dyDescent="0.25">
      <c r="A460" s="33" t="str">
        <f>CONCATENATE(D460,".",F460,"-",G460,".",H460,"")</f>
        <v>2.1-1.1</v>
      </c>
      <c r="B460" s="33" t="s">
        <v>814</v>
      </c>
      <c r="C460" s="39" t="s">
        <v>262</v>
      </c>
      <c r="D460" s="33">
        <f>IF(C460="ID",1,(IF(C460="PR",2,(IF(C460="DE",3,(IF(C460="RS",4,(IF(C460="RC",5,0)))))))))</f>
        <v>2</v>
      </c>
      <c r="E460" s="33" t="s">
        <v>257</v>
      </c>
      <c r="F460" s="33">
        <f>IF(E460="AM",1,(IF(E460="BE",2,(IF(E460="GV",3,(IF(E460="RA",4,(IF(E460="RM",5,(IF(E460="AC",1,(IF(E460="AT",2,(IF(E460="DS",3,(IF(E460="IP",4,(IF(E460="MA",5,(IF(E460="PT",6,(IF(E460="AE",1,(IF(E460="CM",2,(IF(E460="DP",3,(IF(E460="AN",1,(IF(E460="CO",2,(IF(E460="IM",3,(IF(E460="MI",4,(IF(E460="RP",5,(IF(E460="SC",6,0)))))))))))))))))))))))))))))))))))))))</f>
        <v>1</v>
      </c>
      <c r="G460" s="170">
        <v>1</v>
      </c>
      <c r="H460" s="38" t="s">
        <v>511</v>
      </c>
      <c r="I460" s="105" t="s">
        <v>821</v>
      </c>
      <c r="J460" s="150" t="s">
        <v>95</v>
      </c>
      <c r="K460" s="79" t="s">
        <v>1283</v>
      </c>
      <c r="L460" s="66">
        <f>IF(O460="","",N460*O460*M460)</f>
        <v>75</v>
      </c>
      <c r="M460" s="8">
        <v>1</v>
      </c>
      <c r="N460" s="3">
        <v>1</v>
      </c>
      <c r="O460" s="15">
        <f>IF(SUM(Q460:AF460)&lt;1,"",SUM(Q460:AF460)/COUNTIF(Q460:AF460,"&gt;0"))</f>
        <v>75</v>
      </c>
      <c r="P460" s="16"/>
      <c r="Q460" s="13"/>
      <c r="T460" s="4">
        <v>75</v>
      </c>
      <c r="U460" s="2"/>
      <c r="V460" s="2"/>
      <c r="W460" s="2"/>
      <c r="X460" s="2"/>
      <c r="Z460" s="2"/>
      <c r="AA460" s="2"/>
      <c r="AF460" s="14"/>
    </row>
    <row r="461" spans="1:32" s="4" customFormat="1" ht="15.75" customHeight="1" x14ac:dyDescent="0.25">
      <c r="A461" s="33" t="str">
        <f>CONCATENATE(D461,".",F461,"-",G461,".",H461,"")</f>
        <v>2.1-1.1</v>
      </c>
      <c r="B461" s="33" t="s">
        <v>814</v>
      </c>
      <c r="C461" s="39" t="s">
        <v>262</v>
      </c>
      <c r="D461" s="33">
        <f>IF(C461="ID",1,(IF(C461="PR",2,(IF(C461="DE",3,(IF(C461="RS",4,(IF(C461="RC",5,0)))))))))</f>
        <v>2</v>
      </c>
      <c r="E461" s="33" t="s">
        <v>257</v>
      </c>
      <c r="F461" s="33">
        <f>IF(E461="AM",1,(IF(E461="BE",2,(IF(E461="GV",3,(IF(E461="RA",4,(IF(E461="RM",5,(IF(E461="AC",1,(IF(E461="AT",2,(IF(E461="DS",3,(IF(E461="IP",4,(IF(E461="MA",5,(IF(E461="PT",6,(IF(E461="AE",1,(IF(E461="CM",2,(IF(E461="DP",3,(IF(E461="AN",1,(IF(E461="CO",2,(IF(E461="IM",3,(IF(E461="MI",4,(IF(E461="RP",5,(IF(E461="SC",6,0)))))))))))))))))))))))))))))))))))))))</f>
        <v>1</v>
      </c>
      <c r="G461" s="170">
        <v>1</v>
      </c>
      <c r="H461" s="38" t="s">
        <v>511</v>
      </c>
      <c r="I461" s="105" t="s">
        <v>821</v>
      </c>
      <c r="J461" s="150" t="s">
        <v>170</v>
      </c>
      <c r="K461" s="79" t="s">
        <v>1283</v>
      </c>
      <c r="L461" s="66">
        <f>IF(O461="","",N461*O461*M461)</f>
        <v>75</v>
      </c>
      <c r="M461" s="8">
        <v>1</v>
      </c>
      <c r="N461" s="3">
        <v>1</v>
      </c>
      <c r="O461" s="15">
        <f>IF(SUM(Q461:AF461)&lt;1,"",SUM(Q461:AF461)/COUNTIF(Q461:AF461,"&gt;0"))</f>
        <v>75</v>
      </c>
      <c r="P461" s="16"/>
      <c r="Q461" s="13"/>
      <c r="T461" s="4">
        <v>75</v>
      </c>
      <c r="U461" s="2"/>
      <c r="V461" s="2"/>
      <c r="W461" s="2"/>
      <c r="X461" s="2"/>
      <c r="Z461" s="2"/>
      <c r="AA461" s="2"/>
      <c r="AF461" s="14"/>
    </row>
    <row r="462" spans="1:32" s="4" customFormat="1" ht="15.75" customHeight="1" x14ac:dyDescent="0.25">
      <c r="A462" s="33" t="str">
        <f>CONCATENATE(D462,".",F462,"-",G462,".",H462,"")</f>
        <v>2.1-1.1</v>
      </c>
      <c r="B462" s="33" t="s">
        <v>814</v>
      </c>
      <c r="C462" s="39" t="s">
        <v>262</v>
      </c>
      <c r="D462" s="33">
        <f>IF(C462="ID",1,(IF(C462="PR",2,(IF(C462="DE",3,(IF(C462="RS",4,(IF(C462="RC",5,0)))))))))</f>
        <v>2</v>
      </c>
      <c r="E462" s="33" t="s">
        <v>257</v>
      </c>
      <c r="F462" s="33">
        <f>IF(E462="AM",1,(IF(E462="BE",2,(IF(E462="GV",3,(IF(E462="RA",4,(IF(E462="RM",5,(IF(E462="AC",1,(IF(E462="AT",2,(IF(E462="DS",3,(IF(E462="IP",4,(IF(E462="MA",5,(IF(E462="PT",6,(IF(E462="AE",1,(IF(E462="CM",2,(IF(E462="DP",3,(IF(E462="AN",1,(IF(E462="CO",2,(IF(E462="IM",3,(IF(E462="MI",4,(IF(E462="RP",5,(IF(E462="SC",6,0)))))))))))))))))))))))))))))))))))))))</f>
        <v>1</v>
      </c>
      <c r="G462" s="170">
        <v>1</v>
      </c>
      <c r="H462" s="38" t="s">
        <v>511</v>
      </c>
      <c r="I462" s="105" t="s">
        <v>821</v>
      </c>
      <c r="J462" s="150" t="s">
        <v>171</v>
      </c>
      <c r="K462" s="79" t="s">
        <v>1283</v>
      </c>
      <c r="L462" s="66">
        <f>IF(O462="","",N462*O462*M462)</f>
        <v>75</v>
      </c>
      <c r="M462" s="8">
        <v>1</v>
      </c>
      <c r="N462" s="3">
        <v>1</v>
      </c>
      <c r="O462" s="15">
        <f>IF(SUM(Q462:AF462)&lt;1,"",SUM(Q462:AF462)/COUNTIF(Q462:AF462,"&gt;0"))</f>
        <v>75</v>
      </c>
      <c r="P462" s="16"/>
      <c r="Q462" s="13"/>
      <c r="T462" s="4">
        <v>75</v>
      </c>
      <c r="U462" s="2"/>
      <c r="V462" s="2"/>
      <c r="W462" s="2"/>
      <c r="X462" s="2"/>
      <c r="Z462" s="2"/>
      <c r="AA462" s="2"/>
      <c r="AF462" s="14"/>
    </row>
    <row r="463" spans="1:32" s="4" customFormat="1" ht="15.75" customHeight="1" x14ac:dyDescent="0.25">
      <c r="A463" s="33" t="str">
        <f>CONCATENATE(D463,".",F463,"-",G463,".",H463,"")</f>
        <v>2.1-1.1</v>
      </c>
      <c r="B463" s="33" t="s">
        <v>814</v>
      </c>
      <c r="C463" s="39" t="s">
        <v>262</v>
      </c>
      <c r="D463" s="33">
        <f>IF(C463="ID",1,(IF(C463="PR",2,(IF(C463="DE",3,(IF(C463="RS",4,(IF(C463="RC",5,0)))))))))</f>
        <v>2</v>
      </c>
      <c r="E463" s="33" t="s">
        <v>257</v>
      </c>
      <c r="F463" s="33">
        <f>IF(E463="AM",1,(IF(E463="BE",2,(IF(E463="GV",3,(IF(E463="RA",4,(IF(E463="RM",5,(IF(E463="AC",1,(IF(E463="AT",2,(IF(E463="DS",3,(IF(E463="IP",4,(IF(E463="MA",5,(IF(E463="PT",6,(IF(E463="AE",1,(IF(E463="CM",2,(IF(E463="DP",3,(IF(E463="AN",1,(IF(E463="CO",2,(IF(E463="IM",3,(IF(E463="MI",4,(IF(E463="RP",5,(IF(E463="SC",6,0)))))))))))))))))))))))))))))))))))))))</f>
        <v>1</v>
      </c>
      <c r="G463" s="170">
        <v>1</v>
      </c>
      <c r="H463" s="38" t="s">
        <v>511</v>
      </c>
      <c r="I463" s="105" t="s">
        <v>821</v>
      </c>
      <c r="J463" s="150" t="s">
        <v>172</v>
      </c>
      <c r="K463" s="79" t="s">
        <v>1283</v>
      </c>
      <c r="L463" s="66">
        <f>IF(O463="","",N463*O463*M463)</f>
        <v>75</v>
      </c>
      <c r="M463" s="8">
        <v>1</v>
      </c>
      <c r="N463" s="3">
        <v>1</v>
      </c>
      <c r="O463" s="15">
        <f>IF(SUM(Q463:AF463)&lt;1,"",SUM(Q463:AF463)/COUNTIF(Q463:AF463,"&gt;0"))</f>
        <v>75</v>
      </c>
      <c r="P463" s="16"/>
      <c r="Q463" s="13"/>
      <c r="T463" s="4">
        <v>75</v>
      </c>
      <c r="U463" s="2"/>
      <c r="V463" s="2"/>
      <c r="W463" s="2"/>
      <c r="X463" s="2"/>
      <c r="Z463" s="2"/>
      <c r="AA463" s="2"/>
      <c r="AF463" s="14"/>
    </row>
    <row r="464" spans="1:32" s="4" customFormat="1" ht="15.75" customHeight="1" x14ac:dyDescent="0.25">
      <c r="A464" s="33" t="str">
        <f>CONCATENATE(D464,".",F464,"-",G464,".",H464,"")</f>
        <v>2.1-1.1</v>
      </c>
      <c r="B464" s="33" t="s">
        <v>814</v>
      </c>
      <c r="C464" s="39" t="s">
        <v>262</v>
      </c>
      <c r="D464" s="33">
        <f>IF(C464="ID",1,(IF(C464="PR",2,(IF(C464="DE",3,(IF(C464="RS",4,(IF(C464="RC",5,0)))))))))</f>
        <v>2</v>
      </c>
      <c r="E464" s="33" t="s">
        <v>257</v>
      </c>
      <c r="F464" s="33">
        <f>IF(E464="AM",1,(IF(E464="BE",2,(IF(E464="GV",3,(IF(E464="RA",4,(IF(E464="RM",5,(IF(E464="AC",1,(IF(E464="AT",2,(IF(E464="DS",3,(IF(E464="IP",4,(IF(E464="MA",5,(IF(E464="PT",6,(IF(E464="AE",1,(IF(E464="CM",2,(IF(E464="DP",3,(IF(E464="AN",1,(IF(E464="CO",2,(IF(E464="IM",3,(IF(E464="MI",4,(IF(E464="RP",5,(IF(E464="SC",6,0)))))))))))))))))))))))))))))))))))))))</f>
        <v>1</v>
      </c>
      <c r="G464" s="170">
        <v>1</v>
      </c>
      <c r="H464" s="38" t="s">
        <v>511</v>
      </c>
      <c r="I464" s="105" t="s">
        <v>821</v>
      </c>
      <c r="J464" s="150" t="s">
        <v>173</v>
      </c>
      <c r="K464" s="79" t="s">
        <v>1283</v>
      </c>
      <c r="L464" s="66">
        <f>IF(O464="","",N464*O464*M464)</f>
        <v>75</v>
      </c>
      <c r="M464" s="8">
        <v>1</v>
      </c>
      <c r="N464" s="3">
        <v>1</v>
      </c>
      <c r="O464" s="15">
        <f>IF(SUM(Q464:AF464)&lt;1,"",SUM(Q464:AF464)/COUNTIF(Q464:AF464,"&gt;0"))</f>
        <v>75</v>
      </c>
      <c r="P464" s="16"/>
      <c r="Q464" s="13"/>
      <c r="T464" s="4">
        <v>75</v>
      </c>
      <c r="U464" s="2"/>
      <c r="V464" s="2"/>
      <c r="W464" s="2"/>
      <c r="X464" s="2"/>
      <c r="Z464" s="2"/>
      <c r="AA464" s="2"/>
      <c r="AF464" s="14"/>
    </row>
    <row r="465" spans="1:33" s="4" customFormat="1" ht="15.75" customHeight="1" x14ac:dyDescent="0.25">
      <c r="A465" s="33" t="str">
        <f>CONCATENATE(D465,".",F465,"-",G465,".",H465,"")</f>
        <v>2.1-1.1</v>
      </c>
      <c r="B465" s="33" t="s">
        <v>814</v>
      </c>
      <c r="C465" s="39" t="s">
        <v>262</v>
      </c>
      <c r="D465" s="33">
        <f>IF(C465="ID",1,(IF(C465="PR",2,(IF(C465="DE",3,(IF(C465="RS",4,(IF(C465="RC",5,0)))))))))</f>
        <v>2</v>
      </c>
      <c r="E465" s="33" t="s">
        <v>257</v>
      </c>
      <c r="F465" s="33">
        <f>IF(E465="AM",1,(IF(E465="BE",2,(IF(E465="GV",3,(IF(E465="RA",4,(IF(E465="RM",5,(IF(E465="AC",1,(IF(E465="AT",2,(IF(E465="DS",3,(IF(E465="IP",4,(IF(E465="MA",5,(IF(E465="PT",6,(IF(E465="AE",1,(IF(E465="CM",2,(IF(E465="DP",3,(IF(E465="AN",1,(IF(E465="CO",2,(IF(E465="IM",3,(IF(E465="MI",4,(IF(E465="RP",5,(IF(E465="SC",6,0)))))))))))))))))))))))))))))))))))))))</f>
        <v>1</v>
      </c>
      <c r="G465" s="170">
        <v>1</v>
      </c>
      <c r="H465" s="33">
        <v>1</v>
      </c>
      <c r="I465" s="27" t="s">
        <v>266</v>
      </c>
      <c r="J465" s="150" t="s">
        <v>8</v>
      </c>
      <c r="K465" s="79" t="s">
        <v>1435</v>
      </c>
      <c r="L465" s="5">
        <f>IF(O465="","",N465*O465*M465)</f>
        <v>75</v>
      </c>
      <c r="M465" s="8">
        <v>1</v>
      </c>
      <c r="N465" s="1">
        <v>1</v>
      </c>
      <c r="O465" s="15">
        <f>IF(SUM(Q465:AF465)&lt;1,"",SUM(Q465:AF465)/COUNTIF(Q465:AF465,"&gt;0"))</f>
        <v>75</v>
      </c>
      <c r="P465" s="16"/>
      <c r="Q465" s="13"/>
      <c r="R465" s="3"/>
      <c r="S465" s="3"/>
      <c r="T465" s="4">
        <v>75</v>
      </c>
      <c r="U465" s="3"/>
      <c r="V465" s="3"/>
      <c r="W465" s="3"/>
      <c r="X465" s="3"/>
      <c r="Y465" s="3"/>
      <c r="Z465" s="3"/>
      <c r="AA465" s="3"/>
      <c r="AB465" s="3"/>
      <c r="AC465" s="3"/>
      <c r="AD465" s="3"/>
      <c r="AE465" s="3"/>
      <c r="AF465" s="104"/>
    </row>
    <row r="466" spans="1:33" s="4" customFormat="1" ht="15.75" customHeight="1" x14ac:dyDescent="0.25">
      <c r="A466" s="33" t="str">
        <f>CONCATENATE(D466,".",F466,"-",G466,".",H466,"")</f>
        <v>2.1-1.1</v>
      </c>
      <c r="B466" s="33" t="s">
        <v>814</v>
      </c>
      <c r="C466" s="39" t="s">
        <v>262</v>
      </c>
      <c r="D466" s="33">
        <f>IF(C466="ID",1,(IF(C466="PR",2,(IF(C466="DE",3,(IF(C466="RS",4,(IF(C466="RC",5,0)))))))))</f>
        <v>2</v>
      </c>
      <c r="E466" s="33" t="s">
        <v>257</v>
      </c>
      <c r="F466" s="33">
        <f>IF(E466="AM",1,(IF(E466="BE",2,(IF(E466="GV",3,(IF(E466="RA",4,(IF(E466="RM",5,(IF(E466="AC",1,(IF(E466="AT",2,(IF(E466="DS",3,(IF(E466="IP",4,(IF(E466="MA",5,(IF(E466="PT",6,(IF(E466="AE",1,(IF(E466="CM",2,(IF(E466="DP",3,(IF(E466="AN",1,(IF(E466="CO",2,(IF(E466="IM",3,(IF(E466="MI",4,(IF(E466="RP",5,(IF(E466="SC",6,0)))))))))))))))))))))))))))))))))))))))</f>
        <v>1</v>
      </c>
      <c r="G466" s="170">
        <v>1</v>
      </c>
      <c r="H466" s="38" t="s">
        <v>511</v>
      </c>
      <c r="I466" s="27" t="s">
        <v>266</v>
      </c>
      <c r="J466" s="149" t="s">
        <v>75</v>
      </c>
      <c r="K466" s="79" t="s">
        <v>1439</v>
      </c>
      <c r="L466" s="5">
        <f>IF(O466="","",N466*O466*M466)</f>
        <v>75</v>
      </c>
      <c r="M466" s="8">
        <v>1</v>
      </c>
      <c r="N466" s="1">
        <v>1</v>
      </c>
      <c r="O466" s="15">
        <f>IF(SUM(Q466:AF466)&lt;1,"",SUM(Q466:AF466)/COUNTIF(Q466:AF466,"&gt;0"))</f>
        <v>75</v>
      </c>
      <c r="P466" s="16"/>
      <c r="Q466" s="13"/>
      <c r="T466" s="4">
        <v>75</v>
      </c>
      <c r="U466" s="2"/>
      <c r="V466" s="2"/>
      <c r="W466" s="2"/>
      <c r="X466" s="2"/>
      <c r="Z466" s="2"/>
      <c r="AA466" s="2"/>
      <c r="AF466" s="14"/>
    </row>
    <row r="467" spans="1:33" s="4" customFormat="1" ht="15.75" customHeight="1" x14ac:dyDescent="0.25">
      <c r="A467" s="33" t="str">
        <f>CONCATENATE(D467,".",F467,"-",G467,".",H467,"")</f>
        <v>2.1-1.1</v>
      </c>
      <c r="B467" s="33" t="s">
        <v>814</v>
      </c>
      <c r="C467" s="39" t="s">
        <v>262</v>
      </c>
      <c r="D467" s="33">
        <f>IF(C467="ID",1,(IF(C467="PR",2,(IF(C467="DE",3,(IF(C467="RS",4,(IF(C467="RC",5,0)))))))))</f>
        <v>2</v>
      </c>
      <c r="E467" s="33" t="s">
        <v>257</v>
      </c>
      <c r="F467" s="33">
        <f>IF(E467="AM",1,(IF(E467="BE",2,(IF(E467="GV",3,(IF(E467="RA",4,(IF(E467="RM",5,(IF(E467="AC",1,(IF(E467="AT",2,(IF(E467="DS",3,(IF(E467="IP",4,(IF(E467="MA",5,(IF(E467="PT",6,(IF(E467="AE",1,(IF(E467="CM",2,(IF(E467="DP",3,(IF(E467="AN",1,(IF(E467="CO",2,(IF(E467="IM",3,(IF(E467="MI",4,(IF(E467="RP",5,(IF(E467="SC",6,0)))))))))))))))))))))))))))))))))))))))</f>
        <v>1</v>
      </c>
      <c r="G467" s="170">
        <v>1</v>
      </c>
      <c r="H467" s="38" t="s">
        <v>511</v>
      </c>
      <c r="I467" s="27" t="s">
        <v>266</v>
      </c>
      <c r="J467" s="149" t="s">
        <v>76</v>
      </c>
      <c r="K467" s="79" t="s">
        <v>1440</v>
      </c>
      <c r="L467" s="5">
        <f>IF(O467="","",N467*O467*M467)</f>
        <v>75</v>
      </c>
      <c r="M467" s="8">
        <v>1</v>
      </c>
      <c r="N467" s="1">
        <v>1</v>
      </c>
      <c r="O467" s="15">
        <f>IF(SUM(Q467:AF467)&lt;1,"",SUM(Q467:AF467)/COUNTIF(Q467:AF467,"&gt;0"))</f>
        <v>75</v>
      </c>
      <c r="P467" s="16"/>
      <c r="Q467" s="13"/>
      <c r="T467" s="4">
        <v>75</v>
      </c>
      <c r="U467" s="2"/>
      <c r="V467" s="2"/>
      <c r="W467" s="2"/>
      <c r="AF467" s="14"/>
    </row>
    <row r="468" spans="1:33" s="4" customFormat="1" ht="15.75" customHeight="1" x14ac:dyDescent="0.25">
      <c r="A468" s="33" t="str">
        <f>CONCATENATE(D468,".",F468,"-",G468,".",H468,"")</f>
        <v>2.1-1.1</v>
      </c>
      <c r="B468" s="33" t="s">
        <v>814</v>
      </c>
      <c r="C468" s="39" t="s">
        <v>262</v>
      </c>
      <c r="D468" s="33">
        <f>IF(C468="ID",1,(IF(C468="PR",2,(IF(C468="DE",3,(IF(C468="RS",4,(IF(C468="RC",5,0)))))))))</f>
        <v>2</v>
      </c>
      <c r="E468" s="33" t="s">
        <v>257</v>
      </c>
      <c r="F468" s="33">
        <f>IF(E468="AM",1,(IF(E468="BE",2,(IF(E468="GV",3,(IF(E468="RA",4,(IF(E468="RM",5,(IF(E468="AC",1,(IF(E468="AT",2,(IF(E468="DS",3,(IF(E468="IP",4,(IF(E468="MA",5,(IF(E468="PT",6,(IF(E468="AE",1,(IF(E468="CM",2,(IF(E468="DP",3,(IF(E468="AN",1,(IF(E468="CO",2,(IF(E468="IM",3,(IF(E468="MI",4,(IF(E468="RP",5,(IF(E468="SC",6,0)))))))))))))))))))))))))))))))))))))))</f>
        <v>1</v>
      </c>
      <c r="G468" s="170">
        <v>1</v>
      </c>
      <c r="H468" s="38" t="s">
        <v>511</v>
      </c>
      <c r="I468" s="105" t="s">
        <v>1449</v>
      </c>
      <c r="J468" s="157" t="s">
        <v>1460</v>
      </c>
      <c r="K468" s="34" t="s">
        <v>1461</v>
      </c>
      <c r="L468" s="5">
        <f>IF(O468="","",N468*O468*M468)</f>
        <v>99</v>
      </c>
      <c r="M468" s="8">
        <v>1</v>
      </c>
      <c r="N468" s="1">
        <v>1</v>
      </c>
      <c r="O468" s="15">
        <f>IF(SUM(Q468:AF468)&lt;1,"",SUM(Q468:AF468)/COUNTIF(Q468:AF468,"&gt;0"))</f>
        <v>99</v>
      </c>
      <c r="P468" s="16"/>
      <c r="Q468" s="13"/>
      <c r="T468" s="4">
        <v>99</v>
      </c>
      <c r="U468" s="2"/>
      <c r="V468" s="2"/>
      <c r="W468" s="2"/>
      <c r="X468" s="2"/>
      <c r="Z468" s="2"/>
      <c r="AA468" s="2"/>
      <c r="AF468" s="14"/>
    </row>
    <row r="469" spans="1:33" s="4" customFormat="1" ht="15.75" customHeight="1" x14ac:dyDescent="0.25">
      <c r="A469" s="33" t="str">
        <f>CONCATENATE(D469,".",F469,"-",G469,".",H469,"")</f>
        <v>2.1-1.1</v>
      </c>
      <c r="B469" s="33" t="s">
        <v>814</v>
      </c>
      <c r="C469" s="39" t="s">
        <v>262</v>
      </c>
      <c r="D469" s="33">
        <f>IF(C469="ID",1,(IF(C469="PR",2,(IF(C469="DE",3,(IF(C469="RS",4,(IF(C469="RC",5,0)))))))))</f>
        <v>2</v>
      </c>
      <c r="E469" s="33" t="s">
        <v>257</v>
      </c>
      <c r="F469" s="33">
        <f>IF(E469="AM",1,(IF(E469="BE",2,(IF(E469="GV",3,(IF(E469="RA",4,(IF(E469="RM",5,(IF(E469="AC",1,(IF(E469="AT",2,(IF(E469="DS",3,(IF(E469="IP",4,(IF(E469="MA",5,(IF(E469="PT",6,(IF(E469="AE",1,(IF(E469="CM",2,(IF(E469="DP",3,(IF(E469="AN",1,(IF(E469="CO",2,(IF(E469="IM",3,(IF(E469="MI",4,(IF(E469="RP",5,(IF(E469="SC",6,0)))))))))))))))))))))))))))))))))))))))</f>
        <v>1</v>
      </c>
      <c r="G469" s="170">
        <v>1</v>
      </c>
      <c r="H469" s="38" t="s">
        <v>511</v>
      </c>
      <c r="I469" s="105" t="s">
        <v>1449</v>
      </c>
      <c r="J469" s="157" t="s">
        <v>1496</v>
      </c>
      <c r="K469" s="34" t="s">
        <v>1497</v>
      </c>
      <c r="L469" s="5">
        <f>IF(O469="","",N469*O469*M469)</f>
        <v>99</v>
      </c>
      <c r="M469" s="8">
        <v>1</v>
      </c>
      <c r="N469" s="1">
        <v>1</v>
      </c>
      <c r="O469" s="15">
        <f>IF(SUM(Q469:AF469)&lt;1,"",SUM(Q469:AF469)/COUNTIF(Q469:AF469,"&gt;0"))</f>
        <v>99</v>
      </c>
      <c r="P469" s="16"/>
      <c r="Q469" s="13"/>
      <c r="T469" s="4">
        <v>99</v>
      </c>
      <c r="U469" s="2"/>
      <c r="V469" s="2"/>
      <c r="W469" s="2"/>
      <c r="X469" s="2"/>
      <c r="Z469" s="2"/>
      <c r="AA469" s="2"/>
      <c r="AF469" s="14"/>
    </row>
    <row r="470" spans="1:33" s="4" customFormat="1" ht="15.75" customHeight="1" x14ac:dyDescent="0.25">
      <c r="A470" s="33" t="str">
        <f>CONCATENATE(D470,".",F470,"-",G470,".",H470,"")</f>
        <v>2.1-1.1</v>
      </c>
      <c r="B470" s="33" t="s">
        <v>814</v>
      </c>
      <c r="C470" s="39" t="s">
        <v>262</v>
      </c>
      <c r="D470" s="33">
        <f>IF(C470="ID",1,(IF(C470="PR",2,(IF(C470="DE",3,(IF(C470="RS",4,(IF(C470="RC",5,0)))))))))</f>
        <v>2</v>
      </c>
      <c r="E470" s="33" t="s">
        <v>257</v>
      </c>
      <c r="F470" s="33">
        <f>IF(E470="AM",1,(IF(E470="BE",2,(IF(E470="GV",3,(IF(E470="RA",4,(IF(E470="RM",5,(IF(E470="AC",1,(IF(E470="AT",2,(IF(E470="DS",3,(IF(E470="IP",4,(IF(E470="MA",5,(IF(E470="PT",6,(IF(E470="AE",1,(IF(E470="CM",2,(IF(E470="DP",3,(IF(E470="AN",1,(IF(E470="CO",2,(IF(E470="IM",3,(IF(E470="MI",4,(IF(E470="RP",5,(IF(E470="SC",6,0)))))))))))))))))))))))))))))))))))))))</f>
        <v>1</v>
      </c>
      <c r="G470" s="170">
        <v>1</v>
      </c>
      <c r="H470" s="38" t="s">
        <v>511</v>
      </c>
      <c r="I470" s="105" t="s">
        <v>1449</v>
      </c>
      <c r="J470" s="157" t="s">
        <v>1514</v>
      </c>
      <c r="K470" s="34" t="s">
        <v>1515</v>
      </c>
      <c r="L470" s="5">
        <f>IF(O470="","",N470*O470*M470)</f>
        <v>99</v>
      </c>
      <c r="M470" s="8">
        <v>1</v>
      </c>
      <c r="N470" s="1">
        <v>1</v>
      </c>
      <c r="O470" s="15">
        <f>IF(SUM(Q470:AF470)&lt;1,"",SUM(Q470:AF470)/COUNTIF(Q470:AF470,"&gt;0"))</f>
        <v>99</v>
      </c>
      <c r="P470" s="16"/>
      <c r="Q470" s="13"/>
      <c r="T470" s="4">
        <v>99</v>
      </c>
      <c r="U470" s="2"/>
      <c r="V470" s="2"/>
      <c r="W470" s="2"/>
      <c r="X470" s="2"/>
      <c r="Z470" s="2"/>
      <c r="AA470" s="2"/>
      <c r="AF470" s="14"/>
    </row>
    <row r="471" spans="1:33" s="4" customFormat="1" ht="15.75" customHeight="1" x14ac:dyDescent="0.25">
      <c r="A471" s="33" t="str">
        <f>CONCATENATE(D471,".",F471,"-",G471,".",H471,"")</f>
        <v>2.1-1.1</v>
      </c>
      <c r="B471" s="33" t="s">
        <v>814</v>
      </c>
      <c r="C471" s="39" t="s">
        <v>262</v>
      </c>
      <c r="D471" s="33">
        <f>IF(C471="ID",1,(IF(C471="PR",2,(IF(C471="DE",3,(IF(C471="RS",4,(IF(C471="RC",5,0)))))))))</f>
        <v>2</v>
      </c>
      <c r="E471" s="33" t="s">
        <v>257</v>
      </c>
      <c r="F471" s="33">
        <f>IF(E471="AM",1,(IF(E471="BE",2,(IF(E471="GV",3,(IF(E471="RA",4,(IF(E471="RM",5,(IF(E471="AC",1,(IF(E471="AT",2,(IF(E471="DS",3,(IF(E471="IP",4,(IF(E471="MA",5,(IF(E471="PT",6,(IF(E471="AE",1,(IF(E471="CM",2,(IF(E471="DP",3,(IF(E471="AN",1,(IF(E471="CO",2,(IF(E471="IM",3,(IF(E471="MI",4,(IF(E471="RP",5,(IF(E471="SC",6,0)))))))))))))))))))))))))))))))))))))))</f>
        <v>1</v>
      </c>
      <c r="G471" s="170">
        <v>1</v>
      </c>
      <c r="H471" s="38" t="s">
        <v>511</v>
      </c>
      <c r="I471" s="105" t="s">
        <v>1449</v>
      </c>
      <c r="J471" s="157" t="s">
        <v>1578</v>
      </c>
      <c r="K471" s="34" t="s">
        <v>1579</v>
      </c>
      <c r="L471" s="5">
        <f>IF(O471="","",N471*O471*M471)</f>
        <v>99</v>
      </c>
      <c r="M471" s="8">
        <v>1</v>
      </c>
      <c r="N471" s="1">
        <v>1</v>
      </c>
      <c r="O471" s="15">
        <f>IF(SUM(Q471:AF471)&lt;1,"",SUM(Q471:AF471)/COUNTIF(Q471:AF471,"&gt;0"))</f>
        <v>99</v>
      </c>
      <c r="P471" s="16"/>
      <c r="Q471" s="13"/>
      <c r="T471" s="4">
        <v>99</v>
      </c>
      <c r="U471" s="2"/>
      <c r="V471" s="2"/>
      <c r="W471" s="2"/>
      <c r="X471" s="2"/>
      <c r="Z471" s="2"/>
      <c r="AA471" s="2"/>
      <c r="AF471" s="14"/>
    </row>
    <row r="472" spans="1:33" ht="15.75" customHeight="1" x14ac:dyDescent="0.25">
      <c r="A472" s="33" t="str">
        <f>CONCATENATE(D472,".",F472,"-",G472,".",H472,"")</f>
        <v>2.1-1.1</v>
      </c>
      <c r="B472" s="33" t="s">
        <v>814</v>
      </c>
      <c r="C472" s="39" t="s">
        <v>262</v>
      </c>
      <c r="D472" s="33">
        <f>IF(C472="ID",1,(IF(C472="PR",2,(IF(C472="DE",3,(IF(C472="RS",4,(IF(C472="RC",5,0)))))))))</f>
        <v>2</v>
      </c>
      <c r="E472" s="33" t="s">
        <v>257</v>
      </c>
      <c r="F472" s="33">
        <f>IF(E472="AM",1,(IF(E472="BE",2,(IF(E472="GV",3,(IF(E472="RA",4,(IF(E472="RM",5,(IF(E472="AC",1,(IF(E472="AT",2,(IF(E472="DS",3,(IF(E472="IP",4,(IF(E472="MA",5,(IF(E472="PT",6,(IF(E472="AE",1,(IF(E472="CM",2,(IF(E472="DP",3,(IF(E472="AN",1,(IF(E472="CO",2,(IF(E472="IM",3,(IF(E472="MI",4,(IF(E472="RP",5,(IF(E472="SC",6,0)))))))))))))))))))))))))))))))))))))))</f>
        <v>1</v>
      </c>
      <c r="G472" s="170">
        <v>1</v>
      </c>
      <c r="H472" s="38" t="s">
        <v>511</v>
      </c>
      <c r="I472" s="105" t="s">
        <v>1449</v>
      </c>
      <c r="J472" s="157" t="s">
        <v>1582</v>
      </c>
      <c r="K472" s="34" t="s">
        <v>1583</v>
      </c>
      <c r="L472" s="5">
        <f>IF(O472="","",N472*O472*M472)</f>
        <v>99</v>
      </c>
      <c r="M472" s="8">
        <v>1</v>
      </c>
      <c r="N472" s="1">
        <v>1</v>
      </c>
      <c r="O472" s="15">
        <f>IF(SUM(Q472:AF472)&lt;1,"",SUM(Q472:AF472)/COUNTIF(Q472:AF472,"&gt;0"))</f>
        <v>99</v>
      </c>
      <c r="P472" s="16"/>
      <c r="Q472" s="13"/>
      <c r="R472" s="4"/>
      <c r="S472" s="4"/>
      <c r="T472" s="4">
        <v>99</v>
      </c>
      <c r="U472" s="2"/>
      <c r="V472" s="2"/>
      <c r="W472" s="2"/>
      <c r="X472" s="2"/>
      <c r="Y472" s="4"/>
      <c r="Z472" s="2"/>
      <c r="AA472" s="2"/>
      <c r="AB472" s="4"/>
      <c r="AC472" s="4"/>
      <c r="AD472" s="4"/>
      <c r="AE472" s="4"/>
      <c r="AF472" s="14"/>
      <c r="AG472" s="3"/>
    </row>
    <row r="473" spans="1:33" ht="15.75" customHeight="1" x14ac:dyDescent="0.25">
      <c r="A473" s="33" t="str">
        <f>CONCATENATE(D473,".",F473,"-",G473,".",H473,"")</f>
        <v>2.1-1.1</v>
      </c>
      <c r="B473" s="33" t="s">
        <v>814</v>
      </c>
      <c r="C473" s="39" t="s">
        <v>262</v>
      </c>
      <c r="D473" s="33">
        <f>IF(C473="ID",1,(IF(C473="PR",2,(IF(C473="DE",3,(IF(C473="RS",4,(IF(C473="RC",5,0)))))))))</f>
        <v>2</v>
      </c>
      <c r="E473" s="33" t="s">
        <v>257</v>
      </c>
      <c r="F473" s="33">
        <f>IF(E473="AM",1,(IF(E473="BE",2,(IF(E473="GV",3,(IF(E473="RA",4,(IF(E473="RM",5,(IF(E473="AC",1,(IF(E473="AT",2,(IF(E473="DS",3,(IF(E473="IP",4,(IF(E473="MA",5,(IF(E473="PT",6,(IF(E473="AE",1,(IF(E473="CM",2,(IF(E473="DP",3,(IF(E473="AN",1,(IF(E473="CO",2,(IF(E473="IM",3,(IF(E473="MI",4,(IF(E473="RP",5,(IF(E473="SC",6,0)))))))))))))))))))))))))))))))))))))))</f>
        <v>1</v>
      </c>
      <c r="G473" s="170">
        <v>1</v>
      </c>
      <c r="H473" s="38" t="s">
        <v>511</v>
      </c>
      <c r="I473" s="105" t="s">
        <v>1449</v>
      </c>
      <c r="J473" s="157" t="s">
        <v>1648</v>
      </c>
      <c r="K473" s="34" t="s">
        <v>1649</v>
      </c>
      <c r="L473" s="5">
        <f>IF(O473="","",N473*O473*M473)</f>
        <v>99</v>
      </c>
      <c r="M473" s="8">
        <v>1</v>
      </c>
      <c r="N473" s="1">
        <v>1</v>
      </c>
      <c r="O473" s="15">
        <f>IF(SUM(Q473:AF473)&lt;1,"",SUM(Q473:AF473)/COUNTIF(Q473:AF473,"&gt;0"))</f>
        <v>99</v>
      </c>
      <c r="P473" s="16"/>
      <c r="Q473" s="13"/>
      <c r="R473" s="4"/>
      <c r="S473" s="4"/>
      <c r="T473" s="4">
        <v>99</v>
      </c>
      <c r="U473" s="2"/>
      <c r="V473" s="2"/>
      <c r="W473" s="2"/>
      <c r="X473" s="2"/>
      <c r="Y473" s="4"/>
      <c r="Z473" s="2"/>
      <c r="AA473" s="2"/>
      <c r="AB473" s="4"/>
      <c r="AC473" s="4"/>
      <c r="AD473" s="4"/>
      <c r="AE473" s="4"/>
      <c r="AF473" s="14"/>
      <c r="AG473" s="3"/>
    </row>
    <row r="474" spans="1:33" s="4" customFormat="1" ht="15.75" customHeight="1" x14ac:dyDescent="0.25">
      <c r="A474" s="33" t="str">
        <f>CONCATENATE(D474,".",F474,"-",G474,".",H474,"")</f>
        <v>2.1-1.1</v>
      </c>
      <c r="B474" s="33"/>
      <c r="C474" s="39" t="s">
        <v>262</v>
      </c>
      <c r="D474" s="33">
        <f>IF(C474="ID",1,(IF(C474="PR",2,(IF(C474="DE",3,(IF(C474="RS",4,(IF(C474="RC",5,0)))))))))</f>
        <v>2</v>
      </c>
      <c r="E474" s="33" t="s">
        <v>257</v>
      </c>
      <c r="F474" s="33">
        <f>IF(E474="AM",1,(IF(E474="BE",2,(IF(E474="GV",3,(IF(E474="RA",4,(IF(E474="RM",5,(IF(E474="AC",1,(IF(E474="AT",2,(IF(E474="DS",3,(IF(E474="IP",4,(IF(E474="MA",5,(IF(E474="PT",6,(IF(E474="AE",1,(IF(E474="CM",2,(IF(E474="DP",3,(IF(E474="AN",1,(IF(E474="CO",2,(IF(E474="IM",3,(IF(E474="MI",4,(IF(E474="RP",5,(IF(E474="SC",6,0)))))))))))))))))))))))))))))))))))))))</f>
        <v>1</v>
      </c>
      <c r="G474" s="170">
        <v>1</v>
      </c>
      <c r="H474" s="38" t="s">
        <v>511</v>
      </c>
      <c r="I474" s="105" t="s">
        <v>1449</v>
      </c>
      <c r="J474" s="157" t="s">
        <v>2077</v>
      </c>
      <c r="K474" s="34" t="s">
        <v>2078</v>
      </c>
      <c r="L474" s="5">
        <f>IF(O474="","",N474*O474*M474)</f>
        <v>99</v>
      </c>
      <c r="M474" s="8">
        <v>1</v>
      </c>
      <c r="N474" s="1">
        <v>1</v>
      </c>
      <c r="O474" s="15">
        <f>IF(SUM(Q474:AF474)&lt;1,"",SUM(Q474:AF474)/COUNTIF(Q474:AF474,"&gt;0"))</f>
        <v>99</v>
      </c>
      <c r="P474" s="16"/>
      <c r="Q474" s="13"/>
      <c r="T474" s="4">
        <v>99</v>
      </c>
      <c r="U474" s="2"/>
      <c r="V474" s="2"/>
      <c r="W474" s="2"/>
      <c r="X474" s="2"/>
      <c r="Z474" s="2"/>
      <c r="AA474" s="2"/>
      <c r="AF474" s="14"/>
    </row>
    <row r="475" spans="1:33" s="4" customFormat="1" ht="15.75" customHeight="1" x14ac:dyDescent="0.25">
      <c r="A475" s="33" t="str">
        <f>CONCATENATE(D475,".",F475,"-",G475,".",H475,"")</f>
        <v>2.1-1.1</v>
      </c>
      <c r="B475" s="33"/>
      <c r="C475" s="39" t="s">
        <v>262</v>
      </c>
      <c r="D475" s="33">
        <f>IF(C475="ID",1,(IF(C475="PR",2,(IF(C475="DE",3,(IF(C475="RS",4,(IF(C475="RC",5,0)))))))))</f>
        <v>2</v>
      </c>
      <c r="E475" s="33" t="s">
        <v>257</v>
      </c>
      <c r="F475" s="33">
        <f>IF(E475="AM",1,(IF(E475="BE",2,(IF(E475="GV",3,(IF(E475="RA",4,(IF(E475="RM",5,(IF(E475="AC",1,(IF(E475="AT",2,(IF(E475="DS",3,(IF(E475="IP",4,(IF(E475="MA",5,(IF(E475="PT",6,(IF(E475="AE",1,(IF(E475="CM",2,(IF(E475="DP",3,(IF(E475="AN",1,(IF(E475="CO",2,(IF(E475="IM",3,(IF(E475="MI",4,(IF(E475="RP",5,(IF(E475="SC",6,0)))))))))))))))))))))))))))))))))))))))</f>
        <v>1</v>
      </c>
      <c r="G475" s="170">
        <v>1</v>
      </c>
      <c r="H475" s="38" t="s">
        <v>511</v>
      </c>
      <c r="I475" s="105" t="s">
        <v>1449</v>
      </c>
      <c r="J475" s="157" t="s">
        <v>2079</v>
      </c>
      <c r="K475" s="34" t="s">
        <v>2080</v>
      </c>
      <c r="L475" s="5">
        <f>IF(O475="","",N475*O475*M475)</f>
        <v>99</v>
      </c>
      <c r="M475" s="8">
        <v>1</v>
      </c>
      <c r="N475" s="1">
        <v>1</v>
      </c>
      <c r="O475" s="15">
        <f>IF(SUM(Q475:AF475)&lt;1,"",SUM(Q475:AF475)/COUNTIF(Q475:AF475,"&gt;0"))</f>
        <v>99</v>
      </c>
      <c r="P475" s="16"/>
      <c r="Q475" s="13"/>
      <c r="T475" s="4">
        <v>99</v>
      </c>
      <c r="U475" s="2"/>
      <c r="V475" s="2"/>
      <c r="W475" s="2"/>
      <c r="X475" s="2"/>
      <c r="Z475" s="2"/>
      <c r="AA475" s="2"/>
      <c r="AF475" s="14"/>
    </row>
    <row r="476" spans="1:33" s="4" customFormat="1" ht="15.75" customHeight="1" x14ac:dyDescent="0.25">
      <c r="A476" s="33" t="str">
        <f>CONCATENATE(D476,".",F476,"-",G476,".",H476,"")</f>
        <v>2.1-1.1</v>
      </c>
      <c r="B476" s="33"/>
      <c r="C476" s="39" t="s">
        <v>262</v>
      </c>
      <c r="D476" s="33">
        <f>IF(C476="ID",1,(IF(C476="PR",2,(IF(C476="DE",3,(IF(C476="RS",4,(IF(C476="RC",5,0)))))))))</f>
        <v>2</v>
      </c>
      <c r="E476" s="33" t="s">
        <v>257</v>
      </c>
      <c r="F476" s="33">
        <f>IF(E476="AM",1,(IF(E476="BE",2,(IF(E476="GV",3,(IF(E476="RA",4,(IF(E476="RM",5,(IF(E476="AC",1,(IF(E476="AT",2,(IF(E476="DS",3,(IF(E476="IP",4,(IF(E476="MA",5,(IF(E476="PT",6,(IF(E476="AE",1,(IF(E476="CM",2,(IF(E476="DP",3,(IF(E476="AN",1,(IF(E476="CO",2,(IF(E476="IM",3,(IF(E476="MI",4,(IF(E476="RP",5,(IF(E476="SC",6,0)))))))))))))))))))))))))))))))))))))))</f>
        <v>1</v>
      </c>
      <c r="G476" s="170">
        <v>1</v>
      </c>
      <c r="H476" s="38" t="s">
        <v>511</v>
      </c>
      <c r="I476" s="105" t="s">
        <v>1449</v>
      </c>
      <c r="J476" s="38" t="s">
        <v>2081</v>
      </c>
      <c r="K476" s="34" t="s">
        <v>2082</v>
      </c>
      <c r="L476" s="5">
        <f>IF(O476="","",N476*O476*M476)</f>
        <v>99</v>
      </c>
      <c r="M476" s="8">
        <v>1</v>
      </c>
      <c r="N476" s="1">
        <v>1</v>
      </c>
      <c r="O476" s="15">
        <f>IF(SUM(Q476:AF476)&lt;1,"",SUM(Q476:AF476)/COUNTIF(Q476:AF476,"&gt;0"))</f>
        <v>99</v>
      </c>
      <c r="P476" s="16"/>
      <c r="Q476" s="13"/>
      <c r="T476" s="4">
        <v>99</v>
      </c>
      <c r="U476" s="2"/>
      <c r="V476" s="2"/>
      <c r="W476" s="2"/>
      <c r="X476" s="2"/>
      <c r="Z476" s="2"/>
      <c r="AA476" s="2"/>
      <c r="AF476" s="14"/>
    </row>
    <row r="477" spans="1:33" s="4" customFormat="1" ht="15.75" customHeight="1" x14ac:dyDescent="0.25">
      <c r="A477" s="33" t="str">
        <f>CONCATENATE(D477,".",F477,"-",G477,".",H477,"")</f>
        <v>2.1-1.1</v>
      </c>
      <c r="B477" s="33"/>
      <c r="C477" s="39" t="s">
        <v>262</v>
      </c>
      <c r="D477" s="33">
        <f>IF(C477="ID",1,(IF(C477="PR",2,(IF(C477="DE",3,(IF(C477="RS",4,(IF(C477="RC",5,0)))))))))</f>
        <v>2</v>
      </c>
      <c r="E477" s="33" t="s">
        <v>257</v>
      </c>
      <c r="F477" s="33">
        <f>IF(E477="AM",1,(IF(E477="BE",2,(IF(E477="GV",3,(IF(E477="RA",4,(IF(E477="RM",5,(IF(E477="AC",1,(IF(E477="AT",2,(IF(E477="DS",3,(IF(E477="IP",4,(IF(E477="MA",5,(IF(E477="PT",6,(IF(E477="AE",1,(IF(E477="CM",2,(IF(E477="DP",3,(IF(E477="AN",1,(IF(E477="CO",2,(IF(E477="IM",3,(IF(E477="MI",4,(IF(E477="RP",5,(IF(E477="SC",6,0)))))))))))))))))))))))))))))))))))))))</f>
        <v>1</v>
      </c>
      <c r="G477" s="170">
        <v>1</v>
      </c>
      <c r="H477" s="38" t="s">
        <v>511</v>
      </c>
      <c r="I477" s="105" t="s">
        <v>1449</v>
      </c>
      <c r="J477" s="157" t="s">
        <v>2083</v>
      </c>
      <c r="K477" s="34" t="s">
        <v>2084</v>
      </c>
      <c r="L477" s="5">
        <f>IF(O477="","",N477*O477*M477)</f>
        <v>99</v>
      </c>
      <c r="M477" s="8">
        <v>1</v>
      </c>
      <c r="N477" s="1">
        <v>1</v>
      </c>
      <c r="O477" s="15">
        <f>IF(SUM(Q477:AF477)&lt;1,"",SUM(Q477:AF477)/COUNTIF(Q477:AF477,"&gt;0"))</f>
        <v>99</v>
      </c>
      <c r="P477" s="16"/>
      <c r="Q477" s="13"/>
      <c r="T477" s="4">
        <v>99</v>
      </c>
      <c r="U477" s="2"/>
      <c r="V477" s="2"/>
      <c r="W477" s="2"/>
      <c r="X477" s="2"/>
      <c r="Z477" s="2"/>
      <c r="AA477" s="2"/>
      <c r="AF477" s="14"/>
    </row>
    <row r="478" spans="1:33" s="4" customFormat="1" ht="15.75" customHeight="1" x14ac:dyDescent="0.25">
      <c r="A478" s="33" t="str">
        <f>CONCATENATE(D478,".",F478,"-",G478,".",H478,"")</f>
        <v>2.1-1.1</v>
      </c>
      <c r="B478" s="33"/>
      <c r="C478" s="39" t="s">
        <v>262</v>
      </c>
      <c r="D478" s="33">
        <f>IF(C478="ID",1,(IF(C478="PR",2,(IF(C478="DE",3,(IF(C478="RS",4,(IF(C478="RC",5,0)))))))))</f>
        <v>2</v>
      </c>
      <c r="E478" s="33" t="s">
        <v>257</v>
      </c>
      <c r="F478" s="33">
        <f>IF(E478="AM",1,(IF(E478="BE",2,(IF(E478="GV",3,(IF(E478="RA",4,(IF(E478="RM",5,(IF(E478="AC",1,(IF(E478="AT",2,(IF(E478="DS",3,(IF(E478="IP",4,(IF(E478="MA",5,(IF(E478="PT",6,(IF(E478="AE",1,(IF(E478="CM",2,(IF(E478="DP",3,(IF(E478="AN",1,(IF(E478="CO",2,(IF(E478="IM",3,(IF(E478="MI",4,(IF(E478="RP",5,(IF(E478="SC",6,0)))))))))))))))))))))))))))))))))))))))</f>
        <v>1</v>
      </c>
      <c r="G478" s="170">
        <v>1</v>
      </c>
      <c r="H478" s="38" t="s">
        <v>511</v>
      </c>
      <c r="I478" s="105" t="s">
        <v>1449</v>
      </c>
      <c r="J478" s="157" t="s">
        <v>2085</v>
      </c>
      <c r="K478" s="34" t="s">
        <v>2086</v>
      </c>
      <c r="L478" s="5">
        <f>IF(O478="","",N478*O478*M478)</f>
        <v>99</v>
      </c>
      <c r="M478" s="8">
        <v>1</v>
      </c>
      <c r="N478" s="1">
        <v>1</v>
      </c>
      <c r="O478" s="15">
        <f>IF(SUM(Q478:AF478)&lt;1,"",SUM(Q478:AF478)/COUNTIF(Q478:AF478,"&gt;0"))</f>
        <v>99</v>
      </c>
      <c r="P478" s="16"/>
      <c r="Q478" s="13"/>
      <c r="T478" s="4">
        <v>99</v>
      </c>
      <c r="U478" s="2"/>
      <c r="V478" s="2"/>
      <c r="W478" s="2"/>
      <c r="X478" s="2"/>
      <c r="Z478" s="2"/>
      <c r="AA478" s="2"/>
      <c r="AF478" s="14"/>
    </row>
    <row r="479" spans="1:33" s="4" customFormat="1" ht="15.75" customHeight="1" x14ac:dyDescent="0.25">
      <c r="A479" s="33" t="str">
        <f>CONCATENATE(D479,".",F479,"-",G479,".",H479,"")</f>
        <v>2.1-1.1</v>
      </c>
      <c r="B479" s="33"/>
      <c r="C479" s="39" t="s">
        <v>262</v>
      </c>
      <c r="D479" s="33">
        <f>IF(C479="ID",1,(IF(C479="PR",2,(IF(C479="DE",3,(IF(C479="RS",4,(IF(C479="RC",5,0)))))))))</f>
        <v>2</v>
      </c>
      <c r="E479" s="33" t="s">
        <v>257</v>
      </c>
      <c r="F479" s="33">
        <f>IF(E479="AM",1,(IF(E479="BE",2,(IF(E479="GV",3,(IF(E479="RA",4,(IF(E479="RM",5,(IF(E479="AC",1,(IF(E479="AT",2,(IF(E479="DS",3,(IF(E479="IP",4,(IF(E479="MA",5,(IF(E479="PT",6,(IF(E479="AE",1,(IF(E479="CM",2,(IF(E479="DP",3,(IF(E479="AN",1,(IF(E479="CO",2,(IF(E479="IM",3,(IF(E479="MI",4,(IF(E479="RP",5,(IF(E479="SC",6,0)))))))))))))))))))))))))))))))))))))))</f>
        <v>1</v>
      </c>
      <c r="G479" s="170">
        <v>1</v>
      </c>
      <c r="H479" s="38" t="s">
        <v>511</v>
      </c>
      <c r="I479" s="105" t="s">
        <v>1449</v>
      </c>
      <c r="J479" s="157" t="s">
        <v>2087</v>
      </c>
      <c r="K479" s="34" t="s">
        <v>2088</v>
      </c>
      <c r="L479" s="5">
        <f>IF(O479="","",N479*O479*M479)</f>
        <v>99</v>
      </c>
      <c r="M479" s="8">
        <v>1</v>
      </c>
      <c r="N479" s="1">
        <v>1</v>
      </c>
      <c r="O479" s="15">
        <f>IF(SUM(Q479:AF479)&lt;1,"",SUM(Q479:AF479)/COUNTIF(Q479:AF479,"&gt;0"))</f>
        <v>99</v>
      </c>
      <c r="P479" s="16"/>
      <c r="Q479" s="13"/>
      <c r="T479" s="4">
        <v>99</v>
      </c>
      <c r="U479" s="2"/>
      <c r="V479" s="2"/>
      <c r="W479" s="2"/>
      <c r="X479" s="2"/>
      <c r="Z479" s="2"/>
      <c r="AA479" s="2"/>
      <c r="AF479" s="14"/>
    </row>
    <row r="480" spans="1:33" s="4" customFormat="1" ht="15.75" customHeight="1" x14ac:dyDescent="0.25">
      <c r="A480" s="33" t="str">
        <f>CONCATENATE(D480,".",F480,"-",G480,".",H480,"")</f>
        <v>2.1-1.1</v>
      </c>
      <c r="B480" s="33"/>
      <c r="C480" s="39" t="s">
        <v>262</v>
      </c>
      <c r="D480" s="33">
        <f>IF(C480="ID",1,(IF(C480="PR",2,(IF(C480="DE",3,(IF(C480="RS",4,(IF(C480="RC",5,0)))))))))</f>
        <v>2</v>
      </c>
      <c r="E480" s="33" t="s">
        <v>257</v>
      </c>
      <c r="F480" s="33">
        <f>IF(E480="AM",1,(IF(E480="BE",2,(IF(E480="GV",3,(IF(E480="RA",4,(IF(E480="RM",5,(IF(E480="AC",1,(IF(E480="AT",2,(IF(E480="DS",3,(IF(E480="IP",4,(IF(E480="MA",5,(IF(E480="PT",6,(IF(E480="AE",1,(IF(E480="CM",2,(IF(E480="DP",3,(IF(E480="AN",1,(IF(E480="CO",2,(IF(E480="IM",3,(IF(E480="MI",4,(IF(E480="RP",5,(IF(E480="SC",6,0)))))))))))))))))))))))))))))))))))))))</f>
        <v>1</v>
      </c>
      <c r="G480" s="170">
        <v>1</v>
      </c>
      <c r="H480" s="38" t="s">
        <v>511</v>
      </c>
      <c r="I480" s="105" t="s">
        <v>1449</v>
      </c>
      <c r="J480" s="157" t="s">
        <v>2089</v>
      </c>
      <c r="K480" s="34" t="s">
        <v>2090</v>
      </c>
      <c r="L480" s="5">
        <f>IF(O480="","",N480*O480*M480)</f>
        <v>99</v>
      </c>
      <c r="M480" s="8">
        <v>1</v>
      </c>
      <c r="N480" s="1">
        <v>1</v>
      </c>
      <c r="O480" s="15">
        <f>IF(SUM(Q480:AF480)&lt;1,"",SUM(Q480:AF480)/COUNTIF(Q480:AF480,"&gt;0"))</f>
        <v>99</v>
      </c>
      <c r="P480" s="16"/>
      <c r="Q480" s="13"/>
      <c r="T480" s="4">
        <v>99</v>
      </c>
      <c r="U480" s="2"/>
      <c r="V480" s="2"/>
      <c r="W480" s="2"/>
      <c r="X480" s="2"/>
      <c r="Z480" s="2"/>
      <c r="AA480" s="2"/>
      <c r="AF480" s="14"/>
    </row>
    <row r="481" spans="1:32" s="4" customFormat="1" ht="15.75" customHeight="1" x14ac:dyDescent="0.25">
      <c r="A481" s="33" t="str">
        <f>CONCATENATE(D481,".",F481,"-",G481,".",H481,"")</f>
        <v>2.1-1.1</v>
      </c>
      <c r="B481" s="33"/>
      <c r="C481" s="39" t="s">
        <v>262</v>
      </c>
      <c r="D481" s="33">
        <f>IF(C481="ID",1,(IF(C481="PR",2,(IF(C481="DE",3,(IF(C481="RS",4,(IF(C481="RC",5,0)))))))))</f>
        <v>2</v>
      </c>
      <c r="E481" s="33" t="s">
        <v>257</v>
      </c>
      <c r="F481" s="33">
        <f>IF(E481="AM",1,(IF(E481="BE",2,(IF(E481="GV",3,(IF(E481="RA",4,(IF(E481="RM",5,(IF(E481="AC",1,(IF(E481="AT",2,(IF(E481="DS",3,(IF(E481="IP",4,(IF(E481="MA",5,(IF(E481="PT",6,(IF(E481="AE",1,(IF(E481="CM",2,(IF(E481="DP",3,(IF(E481="AN",1,(IF(E481="CO",2,(IF(E481="IM",3,(IF(E481="MI",4,(IF(E481="RP",5,(IF(E481="SC",6,0)))))))))))))))))))))))))))))))))))))))</f>
        <v>1</v>
      </c>
      <c r="G481" s="170">
        <v>1</v>
      </c>
      <c r="H481" s="38" t="s">
        <v>511</v>
      </c>
      <c r="I481" s="105" t="s">
        <v>1449</v>
      </c>
      <c r="J481" s="157" t="s">
        <v>2091</v>
      </c>
      <c r="K481" s="34" t="s">
        <v>2092</v>
      </c>
      <c r="L481" s="5">
        <f>IF(O481="","",N481*O481*M481)</f>
        <v>99</v>
      </c>
      <c r="M481" s="8">
        <v>1</v>
      </c>
      <c r="N481" s="1">
        <v>1</v>
      </c>
      <c r="O481" s="15">
        <f>IF(SUM(Q481:AF481)&lt;1,"",SUM(Q481:AF481)/COUNTIF(Q481:AF481,"&gt;0"))</f>
        <v>99</v>
      </c>
      <c r="P481" s="16"/>
      <c r="Q481" s="13"/>
      <c r="T481" s="4">
        <v>99</v>
      </c>
      <c r="U481" s="2"/>
      <c r="V481" s="2"/>
      <c r="W481" s="2"/>
      <c r="X481" s="2"/>
      <c r="Z481" s="2"/>
      <c r="AA481" s="2"/>
      <c r="AF481" s="14"/>
    </row>
    <row r="482" spans="1:32" s="4" customFormat="1" ht="15.75" customHeight="1" x14ac:dyDescent="0.25">
      <c r="A482" s="33" t="str">
        <f>CONCATENATE(D482,".",F482,"-",G482,".",H482,"")</f>
        <v>2.1-1.1</v>
      </c>
      <c r="B482" s="33"/>
      <c r="C482" s="39" t="s">
        <v>262</v>
      </c>
      <c r="D482" s="33">
        <f>IF(C482="ID",1,(IF(C482="PR",2,(IF(C482="DE",3,(IF(C482="RS",4,(IF(C482="RC",5,0)))))))))</f>
        <v>2</v>
      </c>
      <c r="E482" s="33" t="s">
        <v>257</v>
      </c>
      <c r="F482" s="33">
        <f>IF(E482="AM",1,(IF(E482="BE",2,(IF(E482="GV",3,(IF(E482="RA",4,(IF(E482="RM",5,(IF(E482="AC",1,(IF(E482="AT",2,(IF(E482="DS",3,(IF(E482="IP",4,(IF(E482="MA",5,(IF(E482="PT",6,(IF(E482="AE",1,(IF(E482="CM",2,(IF(E482="DP",3,(IF(E482="AN",1,(IF(E482="CO",2,(IF(E482="IM",3,(IF(E482="MI",4,(IF(E482="RP",5,(IF(E482="SC",6,0)))))))))))))))))))))))))))))))))))))))</f>
        <v>1</v>
      </c>
      <c r="G482" s="170">
        <v>1</v>
      </c>
      <c r="H482" s="38" t="s">
        <v>511</v>
      </c>
      <c r="I482" s="105" t="s">
        <v>1449</v>
      </c>
      <c r="J482" s="157" t="s">
        <v>2093</v>
      </c>
      <c r="K482" s="34" t="s">
        <v>2094</v>
      </c>
      <c r="L482" s="5">
        <f>IF(O482="","",N482*O482*M482)</f>
        <v>99</v>
      </c>
      <c r="M482" s="8">
        <v>1</v>
      </c>
      <c r="N482" s="1">
        <v>1</v>
      </c>
      <c r="O482" s="15">
        <f>IF(SUM(Q482:AF482)&lt;1,"",SUM(Q482:AF482)/COUNTIF(Q482:AF482,"&gt;0"))</f>
        <v>99</v>
      </c>
      <c r="P482" s="16"/>
      <c r="Q482" s="13"/>
      <c r="T482" s="4">
        <v>99</v>
      </c>
      <c r="U482" s="2"/>
      <c r="V482" s="2"/>
      <c r="W482" s="2"/>
      <c r="X482" s="2"/>
      <c r="Z482" s="2"/>
      <c r="AA482" s="2"/>
      <c r="AF482" s="14"/>
    </row>
    <row r="483" spans="1:32" s="4" customFormat="1" ht="15.75" customHeight="1" x14ac:dyDescent="0.25">
      <c r="A483" s="33" t="str">
        <f>CONCATENATE(D483,".",F483,"-",G483,".",H483,"")</f>
        <v>2.1-1.1</v>
      </c>
      <c r="B483" s="33"/>
      <c r="C483" s="39" t="s">
        <v>262</v>
      </c>
      <c r="D483" s="33">
        <f>IF(C483="ID",1,(IF(C483="PR",2,(IF(C483="DE",3,(IF(C483="RS",4,(IF(C483="RC",5,0)))))))))</f>
        <v>2</v>
      </c>
      <c r="E483" s="33" t="s">
        <v>257</v>
      </c>
      <c r="F483" s="33">
        <f>IF(E483="AM",1,(IF(E483="BE",2,(IF(E483="GV",3,(IF(E483="RA",4,(IF(E483="RM",5,(IF(E483="AC",1,(IF(E483="AT",2,(IF(E483="DS",3,(IF(E483="IP",4,(IF(E483="MA",5,(IF(E483="PT",6,(IF(E483="AE",1,(IF(E483="CM",2,(IF(E483="DP",3,(IF(E483="AN",1,(IF(E483="CO",2,(IF(E483="IM",3,(IF(E483="MI",4,(IF(E483="RP",5,(IF(E483="SC",6,0)))))))))))))))))))))))))))))))))))))))</f>
        <v>1</v>
      </c>
      <c r="G483" s="170">
        <v>1</v>
      </c>
      <c r="H483" s="38" t="s">
        <v>511</v>
      </c>
      <c r="I483" s="105" t="s">
        <v>1449</v>
      </c>
      <c r="J483" s="157" t="s">
        <v>2095</v>
      </c>
      <c r="K483" s="34" t="s">
        <v>2096</v>
      </c>
      <c r="L483" s="5">
        <f>IF(O483="","",N483*O483*M483)</f>
        <v>99</v>
      </c>
      <c r="M483" s="8">
        <v>1</v>
      </c>
      <c r="N483" s="1">
        <v>1</v>
      </c>
      <c r="O483" s="15">
        <f>IF(SUM(Q483:AF483)&lt;1,"",SUM(Q483:AF483)/COUNTIF(Q483:AF483,"&gt;0"))</f>
        <v>99</v>
      </c>
      <c r="P483" s="16"/>
      <c r="Q483" s="13"/>
      <c r="T483" s="4">
        <v>99</v>
      </c>
      <c r="U483" s="2"/>
      <c r="V483" s="2"/>
      <c r="W483" s="2"/>
      <c r="X483" s="2"/>
      <c r="Z483" s="2"/>
      <c r="AA483" s="2"/>
      <c r="AF483" s="14"/>
    </row>
    <row r="484" spans="1:32" s="4" customFormat="1" ht="15.75" customHeight="1" x14ac:dyDescent="0.25">
      <c r="A484" s="33" t="str">
        <f>CONCATENATE(D484,".",F484,"-",G484,".",H484,"")</f>
        <v>2.1-1.1</v>
      </c>
      <c r="B484" s="33"/>
      <c r="C484" s="39" t="s">
        <v>262</v>
      </c>
      <c r="D484" s="33">
        <f>IF(C484="ID",1,(IF(C484="PR",2,(IF(C484="DE",3,(IF(C484="RS",4,(IF(C484="RC",5,0)))))))))</f>
        <v>2</v>
      </c>
      <c r="E484" s="33" t="s">
        <v>257</v>
      </c>
      <c r="F484" s="33">
        <f>IF(E484="AM",1,(IF(E484="BE",2,(IF(E484="GV",3,(IF(E484="RA",4,(IF(E484="RM",5,(IF(E484="AC",1,(IF(E484="AT",2,(IF(E484="DS",3,(IF(E484="IP",4,(IF(E484="MA",5,(IF(E484="PT",6,(IF(E484="AE",1,(IF(E484="CM",2,(IF(E484="DP",3,(IF(E484="AN",1,(IF(E484="CO",2,(IF(E484="IM",3,(IF(E484="MI",4,(IF(E484="RP",5,(IF(E484="SC",6,0)))))))))))))))))))))))))))))))))))))))</f>
        <v>1</v>
      </c>
      <c r="G484" s="170">
        <v>1</v>
      </c>
      <c r="H484" s="38" t="s">
        <v>511</v>
      </c>
      <c r="I484" s="105" t="s">
        <v>1449</v>
      </c>
      <c r="J484" s="157" t="s">
        <v>2097</v>
      </c>
      <c r="K484" s="34" t="s">
        <v>2098</v>
      </c>
      <c r="L484" s="5">
        <f>IF(O484="","",N484*O484*M484)</f>
        <v>99</v>
      </c>
      <c r="M484" s="8">
        <v>1</v>
      </c>
      <c r="N484" s="1">
        <v>1</v>
      </c>
      <c r="O484" s="15">
        <f>IF(SUM(Q484:AF484)&lt;1,"",SUM(Q484:AF484)/COUNTIF(Q484:AF484,"&gt;0"))</f>
        <v>99</v>
      </c>
      <c r="P484" s="16"/>
      <c r="Q484" s="13"/>
      <c r="T484" s="4">
        <v>99</v>
      </c>
      <c r="U484" s="2"/>
      <c r="V484" s="2"/>
      <c r="W484" s="2"/>
      <c r="X484" s="2"/>
      <c r="Z484" s="2"/>
      <c r="AA484" s="2"/>
      <c r="AF484" s="14"/>
    </row>
    <row r="485" spans="1:32" s="4" customFormat="1" ht="15.75" customHeight="1" x14ac:dyDescent="0.25">
      <c r="A485" s="33" t="str">
        <f>CONCATENATE(D485,".",F485,"-",G485,".",H485,"")</f>
        <v>2.1-1.1</v>
      </c>
      <c r="B485" s="33"/>
      <c r="C485" s="39" t="s">
        <v>262</v>
      </c>
      <c r="D485" s="33">
        <f>IF(C485="ID",1,(IF(C485="PR",2,(IF(C485="DE",3,(IF(C485="RS",4,(IF(C485="RC",5,0)))))))))</f>
        <v>2</v>
      </c>
      <c r="E485" s="33" t="s">
        <v>257</v>
      </c>
      <c r="F485" s="33">
        <f>IF(E485="AM",1,(IF(E485="BE",2,(IF(E485="GV",3,(IF(E485="RA",4,(IF(E485="RM",5,(IF(E485="AC",1,(IF(E485="AT",2,(IF(E485="DS",3,(IF(E485="IP",4,(IF(E485="MA",5,(IF(E485="PT",6,(IF(E485="AE",1,(IF(E485="CM",2,(IF(E485="DP",3,(IF(E485="AN",1,(IF(E485="CO",2,(IF(E485="IM",3,(IF(E485="MI",4,(IF(E485="RP",5,(IF(E485="SC",6,0)))))))))))))))))))))))))))))))))))))))</f>
        <v>1</v>
      </c>
      <c r="G485" s="170">
        <v>1</v>
      </c>
      <c r="H485" s="38" t="s">
        <v>511</v>
      </c>
      <c r="I485" s="105" t="s">
        <v>1449</v>
      </c>
      <c r="J485" s="157" t="s">
        <v>2099</v>
      </c>
      <c r="K485" s="34" t="s">
        <v>2100</v>
      </c>
      <c r="L485" s="5">
        <f>IF(O485="","",N485*O485*M485)</f>
        <v>99</v>
      </c>
      <c r="M485" s="8">
        <v>1</v>
      </c>
      <c r="N485" s="1">
        <v>1</v>
      </c>
      <c r="O485" s="15">
        <f>IF(SUM(Q485:AF485)&lt;1,"",SUM(Q485:AF485)/COUNTIF(Q485:AF485,"&gt;0"))</f>
        <v>99</v>
      </c>
      <c r="P485" s="16"/>
      <c r="Q485" s="13"/>
      <c r="T485" s="4">
        <v>99</v>
      </c>
      <c r="U485" s="2"/>
      <c r="V485" s="2"/>
      <c r="W485" s="2"/>
      <c r="X485" s="2"/>
      <c r="Z485" s="2"/>
      <c r="AA485" s="2"/>
      <c r="AF485" s="14"/>
    </row>
    <row r="486" spans="1:32" s="4" customFormat="1" ht="15.75" customHeight="1" x14ac:dyDescent="0.25">
      <c r="A486" s="33" t="str">
        <f>CONCATENATE(D486,".",F486,"-",G486,".",H486,"")</f>
        <v>2.1-1.1</v>
      </c>
      <c r="B486" s="33"/>
      <c r="C486" s="39" t="s">
        <v>262</v>
      </c>
      <c r="D486" s="33">
        <f>IF(C486="ID",1,(IF(C486="PR",2,(IF(C486="DE",3,(IF(C486="RS",4,(IF(C486="RC",5,0)))))))))</f>
        <v>2</v>
      </c>
      <c r="E486" s="33" t="s">
        <v>257</v>
      </c>
      <c r="F486" s="33">
        <f>IF(E486="AM",1,(IF(E486="BE",2,(IF(E486="GV",3,(IF(E486="RA",4,(IF(E486="RM",5,(IF(E486="AC",1,(IF(E486="AT",2,(IF(E486="DS",3,(IF(E486="IP",4,(IF(E486="MA",5,(IF(E486="PT",6,(IF(E486="AE",1,(IF(E486="CM",2,(IF(E486="DP",3,(IF(E486="AN",1,(IF(E486="CO",2,(IF(E486="IM",3,(IF(E486="MI",4,(IF(E486="RP",5,(IF(E486="SC",6,0)))))))))))))))))))))))))))))))))))))))</f>
        <v>1</v>
      </c>
      <c r="G486" s="170">
        <v>1</v>
      </c>
      <c r="H486" s="38" t="s">
        <v>511</v>
      </c>
      <c r="I486" s="105" t="s">
        <v>1449</v>
      </c>
      <c r="J486" s="157" t="s">
        <v>2101</v>
      </c>
      <c r="K486" s="34" t="s">
        <v>2102</v>
      </c>
      <c r="L486" s="5">
        <f>IF(O486="","",N486*O486*M486)</f>
        <v>99</v>
      </c>
      <c r="M486" s="8">
        <v>1</v>
      </c>
      <c r="N486" s="1">
        <v>1</v>
      </c>
      <c r="O486" s="15">
        <f>IF(SUM(Q486:AF486)&lt;1,"",SUM(Q486:AF486)/COUNTIF(Q486:AF486,"&gt;0"))</f>
        <v>99</v>
      </c>
      <c r="P486" s="16"/>
      <c r="Q486" s="13"/>
      <c r="T486" s="4">
        <v>99</v>
      </c>
      <c r="U486" s="2"/>
      <c r="V486" s="2"/>
      <c r="W486" s="2"/>
      <c r="X486" s="2"/>
      <c r="Z486" s="2"/>
      <c r="AA486" s="2"/>
      <c r="AF486" s="14"/>
    </row>
    <row r="487" spans="1:32" s="4" customFormat="1" ht="15.75" customHeight="1" x14ac:dyDescent="0.25">
      <c r="A487" s="33" t="str">
        <f>CONCATENATE(D487,".",F487,"-",G487,".",H487,"")</f>
        <v>2.1-1.1</v>
      </c>
      <c r="B487" s="33"/>
      <c r="C487" s="39" t="s">
        <v>262</v>
      </c>
      <c r="D487" s="33">
        <f>IF(C487="ID",1,(IF(C487="PR",2,(IF(C487="DE",3,(IF(C487="RS",4,(IF(C487="RC",5,0)))))))))</f>
        <v>2</v>
      </c>
      <c r="E487" s="33" t="s">
        <v>257</v>
      </c>
      <c r="F487" s="33">
        <f>IF(E487="AM",1,(IF(E487="BE",2,(IF(E487="GV",3,(IF(E487="RA",4,(IF(E487="RM",5,(IF(E487="AC",1,(IF(E487="AT",2,(IF(E487="DS",3,(IF(E487="IP",4,(IF(E487="MA",5,(IF(E487="PT",6,(IF(E487="AE",1,(IF(E487="CM",2,(IF(E487="DP",3,(IF(E487="AN",1,(IF(E487="CO",2,(IF(E487="IM",3,(IF(E487="MI",4,(IF(E487="RP",5,(IF(E487="SC",6,0)))))))))))))))))))))))))))))))))))))))</f>
        <v>1</v>
      </c>
      <c r="G487" s="170">
        <v>1</v>
      </c>
      <c r="H487" s="38" t="s">
        <v>511</v>
      </c>
      <c r="I487" s="105" t="s">
        <v>1449</v>
      </c>
      <c r="J487" s="157" t="s">
        <v>2103</v>
      </c>
      <c r="K487" s="34" t="s">
        <v>2104</v>
      </c>
      <c r="L487" s="5">
        <f>IF(O487="","",N487*O487*M487)</f>
        <v>99</v>
      </c>
      <c r="M487" s="8">
        <v>1</v>
      </c>
      <c r="N487" s="1">
        <v>1</v>
      </c>
      <c r="O487" s="15">
        <f>IF(SUM(Q487:AF487)&lt;1,"",SUM(Q487:AF487)/COUNTIF(Q487:AF487,"&gt;0"))</f>
        <v>99</v>
      </c>
      <c r="P487" s="16"/>
      <c r="Q487" s="13"/>
      <c r="T487" s="4">
        <v>99</v>
      </c>
      <c r="U487" s="2"/>
      <c r="V487" s="2"/>
      <c r="W487" s="2"/>
      <c r="X487" s="2"/>
      <c r="Z487" s="2"/>
      <c r="AA487" s="2"/>
      <c r="AF487" s="14"/>
    </row>
    <row r="488" spans="1:32" s="4" customFormat="1" ht="15.75" customHeight="1" x14ac:dyDescent="0.25">
      <c r="A488" s="33" t="str">
        <f>CONCATENATE(D488,".",F488,"-",G488,".",H488,"")</f>
        <v>2.1-1.1</v>
      </c>
      <c r="B488" s="33"/>
      <c r="C488" s="39" t="s">
        <v>262</v>
      </c>
      <c r="D488" s="33">
        <f>IF(C488="ID",1,(IF(C488="PR",2,(IF(C488="DE",3,(IF(C488="RS",4,(IF(C488="RC",5,0)))))))))</f>
        <v>2</v>
      </c>
      <c r="E488" s="33" t="s">
        <v>257</v>
      </c>
      <c r="F488" s="33">
        <f>IF(E488="AM",1,(IF(E488="BE",2,(IF(E488="GV",3,(IF(E488="RA",4,(IF(E488="RM",5,(IF(E488="AC",1,(IF(E488="AT",2,(IF(E488="DS",3,(IF(E488="IP",4,(IF(E488="MA",5,(IF(E488="PT",6,(IF(E488="AE",1,(IF(E488="CM",2,(IF(E488="DP",3,(IF(E488="AN",1,(IF(E488="CO",2,(IF(E488="IM",3,(IF(E488="MI",4,(IF(E488="RP",5,(IF(E488="SC",6,0)))))))))))))))))))))))))))))))))))))))</f>
        <v>1</v>
      </c>
      <c r="G488" s="170">
        <v>1</v>
      </c>
      <c r="H488" s="38" t="s">
        <v>511</v>
      </c>
      <c r="I488" s="105" t="s">
        <v>1449</v>
      </c>
      <c r="J488" s="157" t="s">
        <v>2105</v>
      </c>
      <c r="K488" s="34" t="s">
        <v>2106</v>
      </c>
      <c r="L488" s="5">
        <f>IF(O488="","",N488*O488*M488)</f>
        <v>99</v>
      </c>
      <c r="M488" s="8">
        <v>1</v>
      </c>
      <c r="N488" s="1">
        <v>1</v>
      </c>
      <c r="O488" s="15">
        <f>IF(SUM(Q488:AF488)&lt;1,"",SUM(Q488:AF488)/COUNTIF(Q488:AF488,"&gt;0"))</f>
        <v>99</v>
      </c>
      <c r="P488" s="16"/>
      <c r="Q488" s="13"/>
      <c r="T488" s="4">
        <v>99</v>
      </c>
      <c r="U488" s="2"/>
      <c r="V488" s="2"/>
      <c r="W488" s="2"/>
      <c r="X488" s="2"/>
      <c r="Z488" s="2"/>
      <c r="AA488" s="2"/>
      <c r="AF488" s="14"/>
    </row>
    <row r="489" spans="1:32" s="4" customFormat="1" ht="15.75" customHeight="1" x14ac:dyDescent="0.25">
      <c r="A489" s="33" t="str">
        <f>CONCATENATE(D489,".",F489,"-",G489,".",H489,"")</f>
        <v>2.1-1.1</v>
      </c>
      <c r="B489" s="33"/>
      <c r="C489" s="39" t="s">
        <v>262</v>
      </c>
      <c r="D489" s="33">
        <f>IF(C489="ID",1,(IF(C489="PR",2,(IF(C489="DE",3,(IF(C489="RS",4,(IF(C489="RC",5,0)))))))))</f>
        <v>2</v>
      </c>
      <c r="E489" s="33" t="s">
        <v>257</v>
      </c>
      <c r="F489" s="33">
        <f>IF(E489="AM",1,(IF(E489="BE",2,(IF(E489="GV",3,(IF(E489="RA",4,(IF(E489="RM",5,(IF(E489="AC",1,(IF(E489="AT",2,(IF(E489="DS",3,(IF(E489="IP",4,(IF(E489="MA",5,(IF(E489="PT",6,(IF(E489="AE",1,(IF(E489="CM",2,(IF(E489="DP",3,(IF(E489="AN",1,(IF(E489="CO",2,(IF(E489="IM",3,(IF(E489="MI",4,(IF(E489="RP",5,(IF(E489="SC",6,0)))))))))))))))))))))))))))))))))))))))</f>
        <v>1</v>
      </c>
      <c r="G489" s="170">
        <v>1</v>
      </c>
      <c r="H489" s="38" t="s">
        <v>511</v>
      </c>
      <c r="I489" s="105" t="s">
        <v>1449</v>
      </c>
      <c r="J489" s="157" t="s">
        <v>2107</v>
      </c>
      <c r="K489" s="34" t="s">
        <v>2108</v>
      </c>
      <c r="L489" s="5">
        <f>IF(O489="","",N489*O489*M489)</f>
        <v>99</v>
      </c>
      <c r="M489" s="8">
        <v>1</v>
      </c>
      <c r="N489" s="1">
        <v>1</v>
      </c>
      <c r="O489" s="15">
        <f>IF(SUM(Q489:AF489)&lt;1,"",SUM(Q489:AF489)/COUNTIF(Q489:AF489,"&gt;0"))</f>
        <v>99</v>
      </c>
      <c r="P489" s="16"/>
      <c r="Q489" s="13"/>
      <c r="T489" s="4">
        <v>99</v>
      </c>
      <c r="U489" s="2"/>
      <c r="V489" s="2"/>
      <c r="W489" s="2"/>
      <c r="X489" s="2"/>
      <c r="Z489" s="2"/>
      <c r="AA489" s="2"/>
      <c r="AF489" s="14"/>
    </row>
    <row r="490" spans="1:32" s="4" customFormat="1" ht="15.75" customHeight="1" x14ac:dyDescent="0.25">
      <c r="A490" s="33" t="str">
        <f>CONCATENATE(D490,".",F490,"-",G490,".",H490,"")</f>
        <v>2.1-1.1</v>
      </c>
      <c r="B490" s="33"/>
      <c r="C490" s="39" t="s">
        <v>262</v>
      </c>
      <c r="D490" s="33">
        <f>IF(C490="ID",1,(IF(C490="PR",2,(IF(C490="DE",3,(IF(C490="RS",4,(IF(C490="RC",5,0)))))))))</f>
        <v>2</v>
      </c>
      <c r="E490" s="33" t="s">
        <v>257</v>
      </c>
      <c r="F490" s="33">
        <f>IF(E490="AM",1,(IF(E490="BE",2,(IF(E490="GV",3,(IF(E490="RA",4,(IF(E490="RM",5,(IF(E490="AC",1,(IF(E490="AT",2,(IF(E490="DS",3,(IF(E490="IP",4,(IF(E490="MA",5,(IF(E490="PT",6,(IF(E490="AE",1,(IF(E490="CM",2,(IF(E490="DP",3,(IF(E490="AN",1,(IF(E490="CO",2,(IF(E490="IM",3,(IF(E490="MI",4,(IF(E490="RP",5,(IF(E490="SC",6,0)))))))))))))))))))))))))))))))))))))))</f>
        <v>1</v>
      </c>
      <c r="G490" s="170">
        <v>1</v>
      </c>
      <c r="H490" s="38" t="s">
        <v>511</v>
      </c>
      <c r="I490" s="105" t="s">
        <v>1449</v>
      </c>
      <c r="J490" s="157" t="s">
        <v>2109</v>
      </c>
      <c r="K490" s="34" t="s">
        <v>2110</v>
      </c>
      <c r="L490" s="5">
        <f>IF(O490="","",N490*O490*M490)</f>
        <v>99</v>
      </c>
      <c r="M490" s="8">
        <v>1</v>
      </c>
      <c r="N490" s="1">
        <v>1</v>
      </c>
      <c r="O490" s="15">
        <f>IF(SUM(Q490:AF490)&lt;1,"",SUM(Q490:AF490)/COUNTIF(Q490:AF490,"&gt;0"))</f>
        <v>99</v>
      </c>
      <c r="P490" s="16"/>
      <c r="Q490" s="13"/>
      <c r="T490" s="4">
        <v>99</v>
      </c>
      <c r="U490" s="2"/>
      <c r="V490" s="2"/>
      <c r="W490" s="2"/>
      <c r="X490" s="2"/>
      <c r="Z490" s="2"/>
      <c r="AA490" s="2"/>
      <c r="AF490" s="14"/>
    </row>
    <row r="491" spans="1:32" s="4" customFormat="1" ht="15.75" customHeight="1" x14ac:dyDescent="0.25">
      <c r="A491" s="33" t="str">
        <f>CONCATENATE(D491,".",F491,"-",G491,".",H491,"")</f>
        <v>2.1-1.1</v>
      </c>
      <c r="B491" s="33"/>
      <c r="C491" s="39" t="s">
        <v>262</v>
      </c>
      <c r="D491" s="33">
        <f>IF(C491="ID",1,(IF(C491="PR",2,(IF(C491="DE",3,(IF(C491="RS",4,(IF(C491="RC",5,0)))))))))</f>
        <v>2</v>
      </c>
      <c r="E491" s="33" t="s">
        <v>257</v>
      </c>
      <c r="F491" s="33">
        <f>IF(E491="AM",1,(IF(E491="BE",2,(IF(E491="GV",3,(IF(E491="RA",4,(IF(E491="RM",5,(IF(E491="AC",1,(IF(E491="AT",2,(IF(E491="DS",3,(IF(E491="IP",4,(IF(E491="MA",5,(IF(E491="PT",6,(IF(E491="AE",1,(IF(E491="CM",2,(IF(E491="DP",3,(IF(E491="AN",1,(IF(E491="CO",2,(IF(E491="IM",3,(IF(E491="MI",4,(IF(E491="RP",5,(IF(E491="SC",6,0)))))))))))))))))))))))))))))))))))))))</f>
        <v>1</v>
      </c>
      <c r="G491" s="170">
        <v>1</v>
      </c>
      <c r="H491" s="38" t="s">
        <v>511</v>
      </c>
      <c r="I491" s="105" t="s">
        <v>1449</v>
      </c>
      <c r="J491" s="157" t="s">
        <v>2111</v>
      </c>
      <c r="K491" s="34" t="s">
        <v>2112</v>
      </c>
      <c r="L491" s="5">
        <f>IF(O491="","",N491*O491*M491)</f>
        <v>99</v>
      </c>
      <c r="M491" s="8">
        <v>1</v>
      </c>
      <c r="N491" s="1">
        <v>1</v>
      </c>
      <c r="O491" s="15">
        <f>IF(SUM(Q491:AF491)&lt;1,"",SUM(Q491:AF491)/COUNTIF(Q491:AF491,"&gt;0"))</f>
        <v>99</v>
      </c>
      <c r="P491" s="16"/>
      <c r="Q491" s="13"/>
      <c r="T491" s="4">
        <v>99</v>
      </c>
      <c r="U491" s="2"/>
      <c r="V491" s="2"/>
      <c r="W491" s="2"/>
      <c r="X491" s="2"/>
      <c r="Z491" s="2"/>
      <c r="AA491" s="2"/>
      <c r="AF491" s="14"/>
    </row>
    <row r="492" spans="1:32" s="4" customFormat="1" ht="15.75" customHeight="1" x14ac:dyDescent="0.25">
      <c r="A492" s="33" t="str">
        <f>CONCATENATE(D492,".",F492,"-",G492,".",H492,"")</f>
        <v>2.1-1.1</v>
      </c>
      <c r="B492" s="33"/>
      <c r="C492" s="39" t="s">
        <v>262</v>
      </c>
      <c r="D492" s="33">
        <f>IF(C492="ID",1,(IF(C492="PR",2,(IF(C492="DE",3,(IF(C492="RS",4,(IF(C492="RC",5,0)))))))))</f>
        <v>2</v>
      </c>
      <c r="E492" s="33" t="s">
        <v>257</v>
      </c>
      <c r="F492" s="33">
        <f>IF(E492="AM",1,(IF(E492="BE",2,(IF(E492="GV",3,(IF(E492="RA",4,(IF(E492="RM",5,(IF(E492="AC",1,(IF(E492="AT",2,(IF(E492="DS",3,(IF(E492="IP",4,(IF(E492="MA",5,(IF(E492="PT",6,(IF(E492="AE",1,(IF(E492="CM",2,(IF(E492="DP",3,(IF(E492="AN",1,(IF(E492="CO",2,(IF(E492="IM",3,(IF(E492="MI",4,(IF(E492="RP",5,(IF(E492="SC",6,0)))))))))))))))))))))))))))))))))))))))</f>
        <v>1</v>
      </c>
      <c r="G492" s="170">
        <v>1</v>
      </c>
      <c r="H492" s="38" t="s">
        <v>511</v>
      </c>
      <c r="I492" s="105" t="s">
        <v>1449</v>
      </c>
      <c r="J492" s="157" t="s">
        <v>2113</v>
      </c>
      <c r="K492" s="34" t="s">
        <v>2114</v>
      </c>
      <c r="L492" s="5">
        <f>IF(O492="","",N492*O492*M492)</f>
        <v>99</v>
      </c>
      <c r="M492" s="8">
        <v>1</v>
      </c>
      <c r="N492" s="1">
        <v>1</v>
      </c>
      <c r="O492" s="15">
        <f>IF(SUM(Q492:AF492)&lt;1,"",SUM(Q492:AF492)/COUNTIF(Q492:AF492,"&gt;0"))</f>
        <v>99</v>
      </c>
      <c r="P492" s="16"/>
      <c r="Q492" s="13"/>
      <c r="T492" s="4">
        <v>99</v>
      </c>
      <c r="U492" s="2"/>
      <c r="V492" s="2"/>
      <c r="W492" s="2"/>
      <c r="X492" s="2"/>
      <c r="Z492" s="2"/>
      <c r="AA492" s="2"/>
      <c r="AF492" s="14"/>
    </row>
    <row r="493" spans="1:32" s="4" customFormat="1" ht="15.75" customHeight="1" x14ac:dyDescent="0.25">
      <c r="A493" s="33" t="str">
        <f>CONCATENATE(D493,".",F493,"-",G493,".",H493,"")</f>
        <v>2.1-1.1</v>
      </c>
      <c r="B493" s="33"/>
      <c r="C493" s="39" t="s">
        <v>262</v>
      </c>
      <c r="D493" s="33">
        <f>IF(C493="ID",1,(IF(C493="PR",2,(IF(C493="DE",3,(IF(C493="RS",4,(IF(C493="RC",5,0)))))))))</f>
        <v>2</v>
      </c>
      <c r="E493" s="33" t="s">
        <v>257</v>
      </c>
      <c r="F493" s="33">
        <f>IF(E493="AM",1,(IF(E493="BE",2,(IF(E493="GV",3,(IF(E493="RA",4,(IF(E493="RM",5,(IF(E493="AC",1,(IF(E493="AT",2,(IF(E493="DS",3,(IF(E493="IP",4,(IF(E493="MA",5,(IF(E493="PT",6,(IF(E493="AE",1,(IF(E493="CM",2,(IF(E493="DP",3,(IF(E493="AN",1,(IF(E493="CO",2,(IF(E493="IM",3,(IF(E493="MI",4,(IF(E493="RP",5,(IF(E493="SC",6,0)))))))))))))))))))))))))))))))))))))))</f>
        <v>1</v>
      </c>
      <c r="G493" s="170">
        <v>1</v>
      </c>
      <c r="H493" s="38" t="s">
        <v>511</v>
      </c>
      <c r="I493" s="105" t="s">
        <v>1449</v>
      </c>
      <c r="J493" s="157" t="s">
        <v>2115</v>
      </c>
      <c r="K493" s="34" t="s">
        <v>2116</v>
      </c>
      <c r="L493" s="5">
        <f>IF(O493="","",N493*O493*M493)</f>
        <v>99</v>
      </c>
      <c r="M493" s="8">
        <v>1</v>
      </c>
      <c r="N493" s="1">
        <v>1</v>
      </c>
      <c r="O493" s="15">
        <f>IF(SUM(Q493:AF493)&lt;1,"",SUM(Q493:AF493)/COUNTIF(Q493:AF493,"&gt;0"))</f>
        <v>99</v>
      </c>
      <c r="P493" s="16"/>
      <c r="Q493" s="13"/>
      <c r="T493" s="4">
        <v>99</v>
      </c>
      <c r="U493" s="2"/>
      <c r="V493" s="2"/>
      <c r="W493" s="2"/>
      <c r="X493" s="2"/>
      <c r="Z493" s="2"/>
      <c r="AA493" s="2"/>
      <c r="AF493" s="14"/>
    </row>
    <row r="494" spans="1:32" s="4" customFormat="1" ht="15.75" customHeight="1" x14ac:dyDescent="0.25">
      <c r="A494" s="33" t="str">
        <f>CONCATENATE(D494,".",F494,"-",G494,".",H494,"")</f>
        <v>2.1-1.1</v>
      </c>
      <c r="B494" s="33"/>
      <c r="C494" s="39" t="s">
        <v>262</v>
      </c>
      <c r="D494" s="33">
        <f>IF(C494="ID",1,(IF(C494="PR",2,(IF(C494="DE",3,(IF(C494="RS",4,(IF(C494="RC",5,0)))))))))</f>
        <v>2</v>
      </c>
      <c r="E494" s="33" t="s">
        <v>257</v>
      </c>
      <c r="F494" s="33">
        <f>IF(E494="AM",1,(IF(E494="BE",2,(IF(E494="GV",3,(IF(E494="RA",4,(IF(E494="RM",5,(IF(E494="AC",1,(IF(E494="AT",2,(IF(E494="DS",3,(IF(E494="IP",4,(IF(E494="MA",5,(IF(E494="PT",6,(IF(E494="AE",1,(IF(E494="CM",2,(IF(E494="DP",3,(IF(E494="AN",1,(IF(E494="CO",2,(IF(E494="IM",3,(IF(E494="MI",4,(IF(E494="RP",5,(IF(E494="SC",6,0)))))))))))))))))))))))))))))))))))))))</f>
        <v>1</v>
      </c>
      <c r="G494" s="170">
        <v>1</v>
      </c>
      <c r="H494" s="38" t="s">
        <v>511</v>
      </c>
      <c r="I494" s="105" t="s">
        <v>1449</v>
      </c>
      <c r="J494" s="157" t="s">
        <v>2117</v>
      </c>
      <c r="K494" s="34" t="s">
        <v>2118</v>
      </c>
      <c r="L494" s="5">
        <f>IF(O494="","",N494*O494*M494)</f>
        <v>99</v>
      </c>
      <c r="M494" s="8">
        <v>1</v>
      </c>
      <c r="N494" s="1">
        <v>1</v>
      </c>
      <c r="O494" s="15">
        <f>IF(SUM(Q494:AF494)&lt;1,"",SUM(Q494:AF494)/COUNTIF(Q494:AF494,"&gt;0"))</f>
        <v>99</v>
      </c>
      <c r="P494" s="16"/>
      <c r="Q494" s="13"/>
      <c r="T494" s="4">
        <v>99</v>
      </c>
      <c r="U494" s="2"/>
      <c r="V494" s="2"/>
      <c r="W494" s="2"/>
      <c r="X494" s="2"/>
      <c r="Z494" s="2"/>
      <c r="AA494" s="2"/>
      <c r="AF494" s="14"/>
    </row>
    <row r="495" spans="1:32" s="4" customFormat="1" ht="15.75" customHeight="1" x14ac:dyDescent="0.25">
      <c r="A495" s="33" t="str">
        <f>CONCATENATE(D495,".",F495,"-",G495,".",H495,"")</f>
        <v>2.1-1.1</v>
      </c>
      <c r="B495" s="33"/>
      <c r="C495" s="39" t="s">
        <v>262</v>
      </c>
      <c r="D495" s="33">
        <f>IF(C495="ID",1,(IF(C495="PR",2,(IF(C495="DE",3,(IF(C495="RS",4,(IF(C495="RC",5,0)))))))))</f>
        <v>2</v>
      </c>
      <c r="E495" s="33" t="s">
        <v>257</v>
      </c>
      <c r="F495" s="33">
        <f>IF(E495="AM",1,(IF(E495="BE",2,(IF(E495="GV",3,(IF(E495="RA",4,(IF(E495="RM",5,(IF(E495="AC",1,(IF(E495="AT",2,(IF(E495="DS",3,(IF(E495="IP",4,(IF(E495="MA",5,(IF(E495="PT",6,(IF(E495="AE",1,(IF(E495="CM",2,(IF(E495="DP",3,(IF(E495="AN",1,(IF(E495="CO",2,(IF(E495="IM",3,(IF(E495="MI",4,(IF(E495="RP",5,(IF(E495="SC",6,0)))))))))))))))))))))))))))))))))))))))</f>
        <v>1</v>
      </c>
      <c r="G495" s="170">
        <v>1</v>
      </c>
      <c r="H495" s="38" t="s">
        <v>511</v>
      </c>
      <c r="I495" s="105" t="s">
        <v>1449</v>
      </c>
      <c r="J495" s="157" t="s">
        <v>2119</v>
      </c>
      <c r="K495" s="34" t="s">
        <v>2120</v>
      </c>
      <c r="L495" s="5">
        <f>IF(O495="","",N495*O495*M495)</f>
        <v>99</v>
      </c>
      <c r="M495" s="8">
        <v>1</v>
      </c>
      <c r="N495" s="1">
        <v>1</v>
      </c>
      <c r="O495" s="15">
        <f>IF(SUM(Q495:AF495)&lt;1,"",SUM(Q495:AF495)/COUNTIF(Q495:AF495,"&gt;0"))</f>
        <v>99</v>
      </c>
      <c r="P495" s="16"/>
      <c r="Q495" s="13"/>
      <c r="T495" s="4">
        <v>99</v>
      </c>
      <c r="U495" s="2"/>
      <c r="V495" s="2"/>
      <c r="W495" s="2"/>
      <c r="X495" s="2"/>
      <c r="Z495" s="2"/>
      <c r="AA495" s="2"/>
      <c r="AF495" s="14"/>
    </row>
    <row r="496" spans="1:32" s="4" customFormat="1" ht="15.75" customHeight="1" x14ac:dyDescent="0.25">
      <c r="A496" s="33" t="str">
        <f>CONCATENATE(D496,".",F496,"-",G496,".",H496,"")</f>
        <v>2.1-1.1</v>
      </c>
      <c r="B496" s="33"/>
      <c r="C496" s="39" t="s">
        <v>262</v>
      </c>
      <c r="D496" s="33">
        <f>IF(C496="ID",1,(IF(C496="PR",2,(IF(C496="DE",3,(IF(C496="RS",4,(IF(C496="RC",5,0)))))))))</f>
        <v>2</v>
      </c>
      <c r="E496" s="33" t="s">
        <v>257</v>
      </c>
      <c r="F496" s="33">
        <f>IF(E496="AM",1,(IF(E496="BE",2,(IF(E496="GV",3,(IF(E496="RA",4,(IF(E496="RM",5,(IF(E496="AC",1,(IF(E496="AT",2,(IF(E496="DS",3,(IF(E496="IP",4,(IF(E496="MA",5,(IF(E496="PT",6,(IF(E496="AE",1,(IF(E496="CM",2,(IF(E496="DP",3,(IF(E496="AN",1,(IF(E496="CO",2,(IF(E496="IM",3,(IF(E496="MI",4,(IF(E496="RP",5,(IF(E496="SC",6,0)))))))))))))))))))))))))))))))))))))))</f>
        <v>1</v>
      </c>
      <c r="G496" s="170">
        <v>1</v>
      </c>
      <c r="H496" s="38" t="s">
        <v>511</v>
      </c>
      <c r="I496" s="105" t="s">
        <v>1449</v>
      </c>
      <c r="J496" s="157" t="s">
        <v>2121</v>
      </c>
      <c r="K496" s="34" t="s">
        <v>2122</v>
      </c>
      <c r="L496" s="5">
        <f>IF(O496="","",N496*O496*M496)</f>
        <v>99</v>
      </c>
      <c r="M496" s="8">
        <v>1</v>
      </c>
      <c r="N496" s="1">
        <v>1</v>
      </c>
      <c r="O496" s="15">
        <f>IF(SUM(Q496:AF496)&lt;1,"",SUM(Q496:AF496)/COUNTIF(Q496:AF496,"&gt;0"))</f>
        <v>99</v>
      </c>
      <c r="P496" s="16"/>
      <c r="Q496" s="13"/>
      <c r="T496" s="4">
        <v>99</v>
      </c>
      <c r="U496" s="2"/>
      <c r="V496" s="2"/>
      <c r="W496" s="2"/>
      <c r="X496" s="2"/>
      <c r="Z496" s="2"/>
      <c r="AA496" s="2"/>
      <c r="AF496" s="14"/>
    </row>
    <row r="497" spans="1:33" s="4" customFormat="1" ht="15.75" customHeight="1" x14ac:dyDescent="0.25">
      <c r="A497" s="33" t="str">
        <f>CONCATENATE(D497,".",F497,"-",G497,".",H497,"")</f>
        <v>2.1-1.1</v>
      </c>
      <c r="B497" s="33"/>
      <c r="C497" s="39" t="s">
        <v>262</v>
      </c>
      <c r="D497" s="33">
        <f>IF(C497="ID",1,(IF(C497="PR",2,(IF(C497="DE",3,(IF(C497="RS",4,(IF(C497="RC",5,0)))))))))</f>
        <v>2</v>
      </c>
      <c r="E497" s="33" t="s">
        <v>257</v>
      </c>
      <c r="F497" s="33">
        <f>IF(E497="AM",1,(IF(E497="BE",2,(IF(E497="GV",3,(IF(E497="RA",4,(IF(E497="RM",5,(IF(E497="AC",1,(IF(E497="AT",2,(IF(E497="DS",3,(IF(E497="IP",4,(IF(E497="MA",5,(IF(E497="PT",6,(IF(E497="AE",1,(IF(E497="CM",2,(IF(E497="DP",3,(IF(E497="AN",1,(IF(E497="CO",2,(IF(E497="IM",3,(IF(E497="MI",4,(IF(E497="RP",5,(IF(E497="SC",6,0)))))))))))))))))))))))))))))))))))))))</f>
        <v>1</v>
      </c>
      <c r="G497" s="170">
        <v>1</v>
      </c>
      <c r="H497" s="38" t="s">
        <v>511</v>
      </c>
      <c r="I497" s="105" t="s">
        <v>1449</v>
      </c>
      <c r="J497" s="157" t="s">
        <v>2123</v>
      </c>
      <c r="K497" s="34" t="s">
        <v>2124</v>
      </c>
      <c r="L497" s="5">
        <f>IF(O497="","",N497*O497*M497)</f>
        <v>99</v>
      </c>
      <c r="M497" s="8">
        <v>1</v>
      </c>
      <c r="N497" s="1">
        <v>1</v>
      </c>
      <c r="O497" s="15">
        <f>IF(SUM(Q497:AF497)&lt;1,"",SUM(Q497:AF497)/COUNTIF(Q497:AF497,"&gt;0"))</f>
        <v>99</v>
      </c>
      <c r="P497" s="16"/>
      <c r="Q497" s="13"/>
      <c r="T497" s="4">
        <v>99</v>
      </c>
      <c r="U497" s="2"/>
      <c r="V497" s="2"/>
      <c r="W497" s="2"/>
      <c r="X497" s="2"/>
      <c r="Z497" s="2"/>
      <c r="AA497" s="2"/>
      <c r="AF497" s="14"/>
    </row>
    <row r="498" spans="1:33" s="4" customFormat="1" ht="15.75" customHeight="1" x14ac:dyDescent="0.25">
      <c r="A498" s="33" t="str">
        <f>CONCATENATE(D498,".",F498,"-",G498,".",H498,"")</f>
        <v>2.1-1.1</v>
      </c>
      <c r="B498" s="33"/>
      <c r="C498" s="39" t="s">
        <v>262</v>
      </c>
      <c r="D498" s="33">
        <f>IF(C498="ID",1,(IF(C498="PR",2,(IF(C498="DE",3,(IF(C498="RS",4,(IF(C498="RC",5,0)))))))))</f>
        <v>2</v>
      </c>
      <c r="E498" s="33" t="s">
        <v>257</v>
      </c>
      <c r="F498" s="33">
        <f>IF(E498="AM",1,(IF(E498="BE",2,(IF(E498="GV",3,(IF(E498="RA",4,(IF(E498="RM",5,(IF(E498="AC",1,(IF(E498="AT",2,(IF(E498="DS",3,(IF(E498="IP",4,(IF(E498="MA",5,(IF(E498="PT",6,(IF(E498="AE",1,(IF(E498="CM",2,(IF(E498="DP",3,(IF(E498="AN",1,(IF(E498="CO",2,(IF(E498="IM",3,(IF(E498="MI",4,(IF(E498="RP",5,(IF(E498="SC",6,0)))))))))))))))))))))))))))))))))))))))</f>
        <v>1</v>
      </c>
      <c r="G498" s="170">
        <v>1</v>
      </c>
      <c r="H498" s="38" t="s">
        <v>511</v>
      </c>
      <c r="I498" s="105" t="s">
        <v>1449</v>
      </c>
      <c r="J498" s="157" t="s">
        <v>2125</v>
      </c>
      <c r="K498" s="34" t="s">
        <v>2126</v>
      </c>
      <c r="L498" s="5">
        <f>IF(O498="","",N498*O498*M498)</f>
        <v>99</v>
      </c>
      <c r="M498" s="8">
        <v>1</v>
      </c>
      <c r="N498" s="1">
        <v>1</v>
      </c>
      <c r="O498" s="15">
        <f>IF(SUM(Q498:AF498)&lt;1,"",SUM(Q498:AF498)/COUNTIF(Q498:AF498,"&gt;0"))</f>
        <v>99</v>
      </c>
      <c r="P498" s="16"/>
      <c r="Q498" s="13"/>
      <c r="T498" s="4">
        <v>99</v>
      </c>
      <c r="U498" s="2"/>
      <c r="V498" s="2"/>
      <c r="W498" s="2"/>
      <c r="X498" s="2"/>
      <c r="Z498" s="2"/>
      <c r="AA498" s="2"/>
      <c r="AF498" s="14"/>
    </row>
    <row r="499" spans="1:33" ht="15.75" customHeight="1" x14ac:dyDescent="0.25">
      <c r="A499" s="33" t="str">
        <f>CONCATENATE(D499,".",F499,"-",G499,".",H499,"")</f>
        <v>2.1-1.1</v>
      </c>
      <c r="C499" s="39" t="s">
        <v>262</v>
      </c>
      <c r="D499" s="33">
        <f>IF(C499="ID",1,(IF(C499="PR",2,(IF(C499="DE",3,(IF(C499="RS",4,(IF(C499="RC",5,0)))))))))</f>
        <v>2</v>
      </c>
      <c r="E499" s="33" t="s">
        <v>257</v>
      </c>
      <c r="F499" s="33">
        <f>IF(E499="AM",1,(IF(E499="BE",2,(IF(E499="GV",3,(IF(E499="RA",4,(IF(E499="RM",5,(IF(E499="AC",1,(IF(E499="AT",2,(IF(E499="DS",3,(IF(E499="IP",4,(IF(E499="MA",5,(IF(E499="PT",6,(IF(E499="AE",1,(IF(E499="CM",2,(IF(E499="DP",3,(IF(E499="AN",1,(IF(E499="CO",2,(IF(E499="IM",3,(IF(E499="MI",4,(IF(E499="RP",5,(IF(E499="SC",6,0)))))))))))))))))))))))))))))))))))))))</f>
        <v>1</v>
      </c>
      <c r="G499" s="170">
        <v>1</v>
      </c>
      <c r="H499" s="38" t="s">
        <v>511</v>
      </c>
      <c r="I499" s="105" t="s">
        <v>1449</v>
      </c>
      <c r="J499" s="157" t="s">
        <v>2127</v>
      </c>
      <c r="K499" s="34" t="s">
        <v>2128</v>
      </c>
      <c r="L499" s="5">
        <f>IF(O499="","",N499*O499*M499)</f>
        <v>99</v>
      </c>
      <c r="M499" s="8">
        <v>1</v>
      </c>
      <c r="N499" s="1">
        <v>1</v>
      </c>
      <c r="O499" s="15">
        <f>IF(SUM(Q499:AF499)&lt;1,"",SUM(Q499:AF499)/COUNTIF(Q499:AF499,"&gt;0"))</f>
        <v>99</v>
      </c>
      <c r="P499" s="16"/>
      <c r="Q499" s="13"/>
      <c r="R499" s="4"/>
      <c r="S499" s="4"/>
      <c r="T499" s="4">
        <v>99</v>
      </c>
      <c r="U499" s="2"/>
      <c r="V499" s="2"/>
      <c r="W499" s="2"/>
      <c r="X499" s="2"/>
      <c r="Y499" s="4"/>
      <c r="Z499" s="2"/>
      <c r="AA499" s="2"/>
      <c r="AB499" s="4"/>
      <c r="AC499" s="4"/>
      <c r="AD499" s="4"/>
      <c r="AE499" s="4"/>
      <c r="AF499" s="14"/>
      <c r="AG499" s="3"/>
    </row>
    <row r="500" spans="1:33" s="4" customFormat="1" ht="15.75" customHeight="1" x14ac:dyDescent="0.25">
      <c r="A500" s="33" t="str">
        <f>CONCATENATE(D500,".",F500,"-",G500,".",H500,"")</f>
        <v>2.1-1.1</v>
      </c>
      <c r="B500" s="33"/>
      <c r="C500" s="39" t="s">
        <v>262</v>
      </c>
      <c r="D500" s="33">
        <f>IF(C500="ID",1,(IF(C500="PR",2,(IF(C500="DE",3,(IF(C500="RS",4,(IF(C500="RC",5,0)))))))))</f>
        <v>2</v>
      </c>
      <c r="E500" s="33" t="s">
        <v>257</v>
      </c>
      <c r="F500" s="33">
        <f>IF(E500="AM",1,(IF(E500="BE",2,(IF(E500="GV",3,(IF(E500="RA",4,(IF(E500="RM",5,(IF(E500="AC",1,(IF(E500="AT",2,(IF(E500="DS",3,(IF(E500="IP",4,(IF(E500="MA",5,(IF(E500="PT",6,(IF(E500="AE",1,(IF(E500="CM",2,(IF(E500="DP",3,(IF(E500="AN",1,(IF(E500="CO",2,(IF(E500="IM",3,(IF(E500="MI",4,(IF(E500="RP",5,(IF(E500="SC",6,0)))))))))))))))))))))))))))))))))))))))</f>
        <v>1</v>
      </c>
      <c r="G500" s="170">
        <v>1</v>
      </c>
      <c r="H500" s="38" t="s">
        <v>511</v>
      </c>
      <c r="I500" s="105" t="s">
        <v>1449</v>
      </c>
      <c r="J500" s="157" t="s">
        <v>2129</v>
      </c>
      <c r="K500" s="34" t="s">
        <v>2130</v>
      </c>
      <c r="L500" s="5">
        <f>IF(O500="","",N500*O500*M500)</f>
        <v>99</v>
      </c>
      <c r="M500" s="8">
        <v>1</v>
      </c>
      <c r="N500" s="1">
        <v>1</v>
      </c>
      <c r="O500" s="15">
        <f>IF(SUM(Q500:AF500)&lt;1,"",SUM(Q500:AF500)/COUNTIF(Q500:AF500,"&gt;0"))</f>
        <v>99</v>
      </c>
      <c r="P500" s="16"/>
      <c r="Q500" s="13"/>
      <c r="T500" s="4">
        <v>99</v>
      </c>
      <c r="U500" s="2"/>
      <c r="V500" s="2"/>
      <c r="W500" s="2"/>
      <c r="X500" s="2"/>
      <c r="Z500" s="2"/>
      <c r="AA500" s="2"/>
      <c r="AF500" s="14"/>
    </row>
    <row r="501" spans="1:33" s="4" customFormat="1" ht="15.75" customHeight="1" x14ac:dyDescent="0.25">
      <c r="A501" s="33" t="str">
        <f>CONCATENATE(D501,".",F501,"-",G501,".",H501,"")</f>
        <v>2.1-1.1</v>
      </c>
      <c r="B501" s="33"/>
      <c r="C501" s="39" t="s">
        <v>262</v>
      </c>
      <c r="D501" s="33">
        <f>IF(C501="ID",1,(IF(C501="PR",2,(IF(C501="DE",3,(IF(C501="RS",4,(IF(C501="RC",5,0)))))))))</f>
        <v>2</v>
      </c>
      <c r="E501" s="33" t="s">
        <v>257</v>
      </c>
      <c r="F501" s="33">
        <f>IF(E501="AM",1,(IF(E501="BE",2,(IF(E501="GV",3,(IF(E501="RA",4,(IF(E501="RM",5,(IF(E501="AC",1,(IF(E501="AT",2,(IF(E501="DS",3,(IF(E501="IP",4,(IF(E501="MA",5,(IF(E501="PT",6,(IF(E501="AE",1,(IF(E501="CM",2,(IF(E501="DP",3,(IF(E501="AN",1,(IF(E501="CO",2,(IF(E501="IM",3,(IF(E501="MI",4,(IF(E501="RP",5,(IF(E501="SC",6,0)))))))))))))))))))))))))))))))))))))))</f>
        <v>1</v>
      </c>
      <c r="G501" s="170">
        <v>1</v>
      </c>
      <c r="H501" s="38" t="s">
        <v>511</v>
      </c>
      <c r="I501" s="105" t="s">
        <v>1449</v>
      </c>
      <c r="J501" s="38" t="s">
        <v>2131</v>
      </c>
      <c r="K501" s="34" t="s">
        <v>2132</v>
      </c>
      <c r="L501" s="5">
        <f>IF(O501="","",N501*O501*M501)</f>
        <v>99</v>
      </c>
      <c r="M501" s="8">
        <v>1</v>
      </c>
      <c r="N501" s="1">
        <v>1</v>
      </c>
      <c r="O501" s="15">
        <f>IF(SUM(Q501:AF501)&lt;1,"",SUM(Q501:AF501)/COUNTIF(Q501:AF501,"&gt;0"))</f>
        <v>99</v>
      </c>
      <c r="P501" s="16"/>
      <c r="Q501" s="13"/>
      <c r="T501" s="4">
        <v>99</v>
      </c>
      <c r="U501" s="2"/>
      <c r="V501" s="2"/>
      <c r="W501" s="2"/>
      <c r="X501" s="2"/>
      <c r="Z501" s="2"/>
      <c r="AA501" s="2"/>
      <c r="AF501" s="14"/>
    </row>
    <row r="502" spans="1:33" s="4" customFormat="1" ht="15.75" customHeight="1" x14ac:dyDescent="0.25">
      <c r="A502" s="33" t="str">
        <f>CONCATENATE(D502,".",F502,"-",G502,".",H502,"")</f>
        <v>2.1-1.1</v>
      </c>
      <c r="B502" s="33"/>
      <c r="C502" s="39" t="s">
        <v>262</v>
      </c>
      <c r="D502" s="33">
        <f>IF(C502="ID",1,(IF(C502="PR",2,(IF(C502="DE",3,(IF(C502="RS",4,(IF(C502="RC",5,0)))))))))</f>
        <v>2</v>
      </c>
      <c r="E502" s="33" t="s">
        <v>257</v>
      </c>
      <c r="F502" s="33">
        <f>IF(E502="AM",1,(IF(E502="BE",2,(IF(E502="GV",3,(IF(E502="RA",4,(IF(E502="RM",5,(IF(E502="AC",1,(IF(E502="AT",2,(IF(E502="DS",3,(IF(E502="IP",4,(IF(E502="MA",5,(IF(E502="PT",6,(IF(E502="AE",1,(IF(E502="CM",2,(IF(E502="DP",3,(IF(E502="AN",1,(IF(E502="CO",2,(IF(E502="IM",3,(IF(E502="MI",4,(IF(E502="RP",5,(IF(E502="SC",6,0)))))))))))))))))))))))))))))))))))))))</f>
        <v>1</v>
      </c>
      <c r="G502" s="170">
        <v>1</v>
      </c>
      <c r="H502" s="38" t="s">
        <v>511</v>
      </c>
      <c r="I502" s="105" t="s">
        <v>1449</v>
      </c>
      <c r="J502" s="38" t="s">
        <v>2133</v>
      </c>
      <c r="K502" s="34" t="s">
        <v>2134</v>
      </c>
      <c r="L502" s="5">
        <f>IF(O502="","",N502*O502*M502)</f>
        <v>99</v>
      </c>
      <c r="M502" s="8">
        <v>1</v>
      </c>
      <c r="N502" s="1">
        <v>1</v>
      </c>
      <c r="O502" s="15">
        <f>IF(SUM(Q502:AF502)&lt;1,"",SUM(Q502:AF502)/COUNTIF(Q502:AF502,"&gt;0"))</f>
        <v>99</v>
      </c>
      <c r="P502" s="16"/>
      <c r="Q502" s="13"/>
      <c r="T502" s="4">
        <v>99</v>
      </c>
      <c r="U502" s="2"/>
      <c r="V502" s="2"/>
      <c r="W502" s="2"/>
      <c r="X502" s="2"/>
      <c r="Z502" s="2"/>
      <c r="AA502" s="2"/>
      <c r="AF502" s="14"/>
    </row>
    <row r="503" spans="1:33" s="4" customFormat="1" ht="15.75" customHeight="1" x14ac:dyDescent="0.25">
      <c r="A503" s="33" t="str">
        <f>CONCATENATE(D503,".",F503,"-",G503,".",H503,"")</f>
        <v>2.1-1.1</v>
      </c>
      <c r="B503" s="33"/>
      <c r="C503" s="39" t="s">
        <v>262</v>
      </c>
      <c r="D503" s="33">
        <f>IF(C503="ID",1,(IF(C503="PR",2,(IF(C503="DE",3,(IF(C503="RS",4,(IF(C503="RC",5,0)))))))))</f>
        <v>2</v>
      </c>
      <c r="E503" s="33" t="s">
        <v>257</v>
      </c>
      <c r="F503" s="33">
        <f>IF(E503="AM",1,(IF(E503="BE",2,(IF(E503="GV",3,(IF(E503="RA",4,(IF(E503="RM",5,(IF(E503="AC",1,(IF(E503="AT",2,(IF(E503="DS",3,(IF(E503="IP",4,(IF(E503="MA",5,(IF(E503="PT",6,(IF(E503="AE",1,(IF(E503="CM",2,(IF(E503="DP",3,(IF(E503="AN",1,(IF(E503="CO",2,(IF(E503="IM",3,(IF(E503="MI",4,(IF(E503="RP",5,(IF(E503="SC",6,0)))))))))))))))))))))))))))))))))))))))</f>
        <v>1</v>
      </c>
      <c r="G503" s="170">
        <v>1</v>
      </c>
      <c r="H503" s="38" t="s">
        <v>511</v>
      </c>
      <c r="I503" s="105" t="s">
        <v>1449</v>
      </c>
      <c r="J503" s="157" t="s">
        <v>2135</v>
      </c>
      <c r="K503" s="34" t="s">
        <v>2136</v>
      </c>
      <c r="L503" s="5">
        <f>IF(O503="","",N503*O503*M503)</f>
        <v>99</v>
      </c>
      <c r="M503" s="8">
        <v>1</v>
      </c>
      <c r="N503" s="1">
        <v>1</v>
      </c>
      <c r="O503" s="15">
        <f>IF(SUM(Q503:AF503)&lt;1,"",SUM(Q503:AF503)/COUNTIF(Q503:AF503,"&gt;0"))</f>
        <v>99</v>
      </c>
      <c r="P503" s="16"/>
      <c r="Q503" s="13"/>
      <c r="T503" s="4">
        <v>99</v>
      </c>
      <c r="U503" s="2"/>
      <c r="V503" s="2"/>
      <c r="W503" s="2"/>
      <c r="X503" s="2"/>
      <c r="Z503" s="2"/>
      <c r="AA503" s="2"/>
      <c r="AF503" s="14"/>
    </row>
    <row r="504" spans="1:33" s="4" customFormat="1" ht="15.75" customHeight="1" x14ac:dyDescent="0.25">
      <c r="A504" s="33" t="str">
        <f>CONCATENATE(D504,".",F504,"-",G504,".",H504,"")</f>
        <v>2.1-1.1</v>
      </c>
      <c r="B504" s="33"/>
      <c r="C504" s="39" t="s">
        <v>262</v>
      </c>
      <c r="D504" s="33">
        <f>IF(C504="ID",1,(IF(C504="PR",2,(IF(C504="DE",3,(IF(C504="RS",4,(IF(C504="RC",5,0)))))))))</f>
        <v>2</v>
      </c>
      <c r="E504" s="33" t="s">
        <v>257</v>
      </c>
      <c r="F504" s="33">
        <f>IF(E504="AM",1,(IF(E504="BE",2,(IF(E504="GV",3,(IF(E504="RA",4,(IF(E504="RM",5,(IF(E504="AC",1,(IF(E504="AT",2,(IF(E504="DS",3,(IF(E504="IP",4,(IF(E504="MA",5,(IF(E504="PT",6,(IF(E504="AE",1,(IF(E504="CM",2,(IF(E504="DP",3,(IF(E504="AN",1,(IF(E504="CO",2,(IF(E504="IM",3,(IF(E504="MI",4,(IF(E504="RP",5,(IF(E504="SC",6,0)))))))))))))))))))))))))))))))))))))))</f>
        <v>1</v>
      </c>
      <c r="G504" s="170">
        <v>1</v>
      </c>
      <c r="H504" s="38" t="s">
        <v>511</v>
      </c>
      <c r="I504" s="105" t="s">
        <v>1449</v>
      </c>
      <c r="J504" s="157" t="s">
        <v>2137</v>
      </c>
      <c r="K504" s="34" t="s">
        <v>2138</v>
      </c>
      <c r="L504" s="5">
        <f>IF(O504="","",N504*O504*M504)</f>
        <v>99</v>
      </c>
      <c r="M504" s="8">
        <v>1</v>
      </c>
      <c r="N504" s="1">
        <v>1</v>
      </c>
      <c r="O504" s="15">
        <f>IF(SUM(Q504:AF504)&lt;1,"",SUM(Q504:AF504)/COUNTIF(Q504:AF504,"&gt;0"))</f>
        <v>99</v>
      </c>
      <c r="P504" s="16"/>
      <c r="Q504" s="13"/>
      <c r="T504" s="4">
        <v>99</v>
      </c>
      <c r="U504" s="2"/>
      <c r="V504" s="2"/>
      <c r="W504" s="2"/>
      <c r="X504" s="2"/>
      <c r="Z504" s="2"/>
      <c r="AA504" s="2"/>
      <c r="AF504" s="14"/>
    </row>
    <row r="505" spans="1:33" s="4" customFormat="1" ht="15.75" customHeight="1" x14ac:dyDescent="0.25">
      <c r="A505" s="33" t="str">
        <f>CONCATENATE(D505,".",F505,"-",G505,".",H505,"")</f>
        <v>2.1-1.1</v>
      </c>
      <c r="B505" s="33"/>
      <c r="C505" s="39" t="s">
        <v>262</v>
      </c>
      <c r="D505" s="33">
        <f>IF(C505="ID",1,(IF(C505="PR",2,(IF(C505="DE",3,(IF(C505="RS",4,(IF(C505="RC",5,0)))))))))</f>
        <v>2</v>
      </c>
      <c r="E505" s="33" t="s">
        <v>257</v>
      </c>
      <c r="F505" s="33">
        <f>IF(E505="AM",1,(IF(E505="BE",2,(IF(E505="GV",3,(IF(E505="RA",4,(IF(E505="RM",5,(IF(E505="AC",1,(IF(E505="AT",2,(IF(E505="DS",3,(IF(E505="IP",4,(IF(E505="MA",5,(IF(E505="PT",6,(IF(E505="AE",1,(IF(E505="CM",2,(IF(E505="DP",3,(IF(E505="AN",1,(IF(E505="CO",2,(IF(E505="IM",3,(IF(E505="MI",4,(IF(E505="RP",5,(IF(E505="SC",6,0)))))))))))))))))))))))))))))))))))))))</f>
        <v>1</v>
      </c>
      <c r="G505" s="170">
        <v>1</v>
      </c>
      <c r="H505" s="38" t="s">
        <v>511</v>
      </c>
      <c r="I505" s="105" t="s">
        <v>1449</v>
      </c>
      <c r="J505" s="157" t="s">
        <v>2139</v>
      </c>
      <c r="K505" s="34" t="s">
        <v>2140</v>
      </c>
      <c r="L505" s="5">
        <f>IF(O505="","",N505*O505*M505)</f>
        <v>99</v>
      </c>
      <c r="M505" s="8">
        <v>1</v>
      </c>
      <c r="N505" s="1">
        <v>1</v>
      </c>
      <c r="O505" s="15">
        <f>IF(SUM(Q505:AF505)&lt;1,"",SUM(Q505:AF505)/COUNTIF(Q505:AF505,"&gt;0"))</f>
        <v>99</v>
      </c>
      <c r="P505" s="16"/>
      <c r="Q505" s="13"/>
      <c r="T505" s="4">
        <v>99</v>
      </c>
      <c r="U505" s="2"/>
      <c r="V505" s="2"/>
      <c r="W505" s="2"/>
      <c r="X505" s="2"/>
      <c r="Z505" s="2"/>
      <c r="AA505" s="2"/>
      <c r="AF505" s="14"/>
    </row>
    <row r="506" spans="1:33" s="4" customFormat="1" ht="15.75" customHeight="1" x14ac:dyDescent="0.25">
      <c r="A506" s="33" t="str">
        <f>CONCATENATE(D506,".",F506,"-",G506,".",H506,"")</f>
        <v>2.1-1.1</v>
      </c>
      <c r="B506" s="33"/>
      <c r="C506" s="39" t="s">
        <v>262</v>
      </c>
      <c r="D506" s="33">
        <f>IF(C506="ID",1,(IF(C506="PR",2,(IF(C506="DE",3,(IF(C506="RS",4,(IF(C506="RC",5,0)))))))))</f>
        <v>2</v>
      </c>
      <c r="E506" s="33" t="s">
        <v>257</v>
      </c>
      <c r="F506" s="33">
        <f>IF(E506="AM",1,(IF(E506="BE",2,(IF(E506="GV",3,(IF(E506="RA",4,(IF(E506="RM",5,(IF(E506="AC",1,(IF(E506="AT",2,(IF(E506="DS",3,(IF(E506="IP",4,(IF(E506="MA",5,(IF(E506="PT",6,(IF(E506="AE",1,(IF(E506="CM",2,(IF(E506="DP",3,(IF(E506="AN",1,(IF(E506="CO",2,(IF(E506="IM",3,(IF(E506="MI",4,(IF(E506="RP",5,(IF(E506="SC",6,0)))))))))))))))))))))))))))))))))))))))</f>
        <v>1</v>
      </c>
      <c r="G506" s="170">
        <v>1</v>
      </c>
      <c r="H506" s="38" t="s">
        <v>511</v>
      </c>
      <c r="I506" s="105" t="s">
        <v>1449</v>
      </c>
      <c r="J506" s="157" t="s">
        <v>2141</v>
      </c>
      <c r="K506" s="34" t="s">
        <v>2142</v>
      </c>
      <c r="L506" s="5">
        <f>IF(O506="","",N506*O506*M506)</f>
        <v>99</v>
      </c>
      <c r="M506" s="8">
        <v>1</v>
      </c>
      <c r="N506" s="1">
        <v>1</v>
      </c>
      <c r="O506" s="15">
        <f>IF(SUM(Q506:AF506)&lt;1,"",SUM(Q506:AF506)/COUNTIF(Q506:AF506,"&gt;0"))</f>
        <v>99</v>
      </c>
      <c r="P506" s="16"/>
      <c r="Q506" s="13"/>
      <c r="T506" s="4">
        <v>99</v>
      </c>
      <c r="U506" s="2"/>
      <c r="V506" s="2"/>
      <c r="W506" s="2"/>
      <c r="X506" s="2"/>
      <c r="Z506" s="2"/>
      <c r="AA506" s="2"/>
      <c r="AF506" s="14"/>
    </row>
    <row r="507" spans="1:33" s="4" customFormat="1" ht="15.75" customHeight="1" x14ac:dyDescent="0.25">
      <c r="A507" s="33" t="str">
        <f>CONCATENATE(D507,".",F507,"-",G507,".",H507,"")</f>
        <v>2.1-1.1</v>
      </c>
      <c r="B507" s="33"/>
      <c r="C507" s="39" t="s">
        <v>262</v>
      </c>
      <c r="D507" s="33">
        <f>IF(C507="ID",1,(IF(C507="PR",2,(IF(C507="DE",3,(IF(C507="RS",4,(IF(C507="RC",5,0)))))))))</f>
        <v>2</v>
      </c>
      <c r="E507" s="33" t="s">
        <v>257</v>
      </c>
      <c r="F507" s="33">
        <f>IF(E507="AM",1,(IF(E507="BE",2,(IF(E507="GV",3,(IF(E507="RA",4,(IF(E507="RM",5,(IF(E507="AC",1,(IF(E507="AT",2,(IF(E507="DS",3,(IF(E507="IP",4,(IF(E507="MA",5,(IF(E507="PT",6,(IF(E507="AE",1,(IF(E507="CM",2,(IF(E507="DP",3,(IF(E507="AN",1,(IF(E507="CO",2,(IF(E507="IM",3,(IF(E507="MI",4,(IF(E507="RP",5,(IF(E507="SC",6,0)))))))))))))))))))))))))))))))))))))))</f>
        <v>1</v>
      </c>
      <c r="G507" s="170">
        <v>1</v>
      </c>
      <c r="H507" s="38" t="s">
        <v>511</v>
      </c>
      <c r="I507" s="105" t="s">
        <v>1449</v>
      </c>
      <c r="J507" s="157" t="s">
        <v>2143</v>
      </c>
      <c r="K507" s="34" t="s">
        <v>2144</v>
      </c>
      <c r="L507" s="5">
        <f>IF(O507="","",N507*O507*M507)</f>
        <v>99</v>
      </c>
      <c r="M507" s="8">
        <v>1</v>
      </c>
      <c r="N507" s="1">
        <v>1</v>
      </c>
      <c r="O507" s="15">
        <f>IF(SUM(Q507:AF507)&lt;1,"",SUM(Q507:AF507)/COUNTIF(Q507:AF507,"&gt;0"))</f>
        <v>99</v>
      </c>
      <c r="P507" s="16"/>
      <c r="Q507" s="13"/>
      <c r="T507" s="4">
        <v>99</v>
      </c>
      <c r="U507" s="2"/>
      <c r="V507" s="2"/>
      <c r="W507" s="2"/>
      <c r="X507" s="2"/>
      <c r="Z507" s="2"/>
      <c r="AA507" s="2"/>
      <c r="AF507" s="14"/>
    </row>
    <row r="508" spans="1:33" s="4" customFormat="1" ht="15.75" customHeight="1" x14ac:dyDescent="0.25">
      <c r="A508" s="33" t="str">
        <f>CONCATENATE(D508,".",F508,"-",G508,".",H508,"")</f>
        <v>2.1-1.1</v>
      </c>
      <c r="B508" s="33"/>
      <c r="C508" s="39" t="s">
        <v>262</v>
      </c>
      <c r="D508" s="33">
        <f>IF(C508="ID",1,(IF(C508="PR",2,(IF(C508="DE",3,(IF(C508="RS",4,(IF(C508="RC",5,0)))))))))</f>
        <v>2</v>
      </c>
      <c r="E508" s="33" t="s">
        <v>257</v>
      </c>
      <c r="F508" s="33">
        <f>IF(E508="AM",1,(IF(E508="BE",2,(IF(E508="GV",3,(IF(E508="RA",4,(IF(E508="RM",5,(IF(E508="AC",1,(IF(E508="AT",2,(IF(E508="DS",3,(IF(E508="IP",4,(IF(E508="MA",5,(IF(E508="PT",6,(IF(E508="AE",1,(IF(E508="CM",2,(IF(E508="DP",3,(IF(E508="AN",1,(IF(E508="CO",2,(IF(E508="IM",3,(IF(E508="MI",4,(IF(E508="RP",5,(IF(E508="SC",6,0)))))))))))))))))))))))))))))))))))))))</f>
        <v>1</v>
      </c>
      <c r="G508" s="170">
        <v>1</v>
      </c>
      <c r="H508" s="38" t="s">
        <v>511</v>
      </c>
      <c r="I508" s="105" t="s">
        <v>1449</v>
      </c>
      <c r="J508" s="157" t="s">
        <v>2145</v>
      </c>
      <c r="K508" s="34" t="s">
        <v>2146</v>
      </c>
      <c r="L508" s="5">
        <f>IF(O508="","",N508*O508*M508)</f>
        <v>99</v>
      </c>
      <c r="M508" s="8">
        <v>1</v>
      </c>
      <c r="N508" s="1">
        <v>1</v>
      </c>
      <c r="O508" s="15">
        <f>IF(SUM(Q508:AF508)&lt;1,"",SUM(Q508:AF508)/COUNTIF(Q508:AF508,"&gt;0"))</f>
        <v>99</v>
      </c>
      <c r="P508" s="16"/>
      <c r="Q508" s="13"/>
      <c r="T508" s="4">
        <v>99</v>
      </c>
      <c r="U508" s="2"/>
      <c r="V508" s="2"/>
      <c r="W508" s="2"/>
      <c r="X508" s="2"/>
      <c r="Z508" s="2"/>
      <c r="AA508" s="2"/>
      <c r="AF508" s="14"/>
    </row>
    <row r="509" spans="1:33" s="4" customFormat="1" ht="15.75" customHeight="1" x14ac:dyDescent="0.25">
      <c r="A509" s="33" t="str">
        <f>CONCATENATE(D509,".",F509,"-",G509,".",H509,"")</f>
        <v>2.1-1.1</v>
      </c>
      <c r="B509" s="33"/>
      <c r="C509" s="39" t="s">
        <v>262</v>
      </c>
      <c r="D509" s="33">
        <f>IF(C509="ID",1,(IF(C509="PR",2,(IF(C509="DE",3,(IF(C509="RS",4,(IF(C509="RC",5,0)))))))))</f>
        <v>2</v>
      </c>
      <c r="E509" s="33" t="s">
        <v>257</v>
      </c>
      <c r="F509" s="33">
        <f>IF(E509="AM",1,(IF(E509="BE",2,(IF(E509="GV",3,(IF(E509="RA",4,(IF(E509="RM",5,(IF(E509="AC",1,(IF(E509="AT",2,(IF(E509="DS",3,(IF(E509="IP",4,(IF(E509="MA",5,(IF(E509="PT",6,(IF(E509="AE",1,(IF(E509="CM",2,(IF(E509="DP",3,(IF(E509="AN",1,(IF(E509="CO",2,(IF(E509="IM",3,(IF(E509="MI",4,(IF(E509="RP",5,(IF(E509="SC",6,0)))))))))))))))))))))))))))))))))))))))</f>
        <v>1</v>
      </c>
      <c r="G509" s="170">
        <v>1</v>
      </c>
      <c r="H509" s="38" t="s">
        <v>511</v>
      </c>
      <c r="I509" s="105" t="s">
        <v>1449</v>
      </c>
      <c r="J509" s="157" t="s">
        <v>2147</v>
      </c>
      <c r="K509" s="34" t="s">
        <v>2148</v>
      </c>
      <c r="L509" s="5">
        <f>IF(O509="","",N509*O509*M509)</f>
        <v>99</v>
      </c>
      <c r="M509" s="8">
        <v>1</v>
      </c>
      <c r="N509" s="1">
        <v>1</v>
      </c>
      <c r="O509" s="15">
        <f>IF(SUM(Q509:AF509)&lt;1,"",SUM(Q509:AF509)/COUNTIF(Q509:AF509,"&gt;0"))</f>
        <v>99</v>
      </c>
      <c r="P509" s="16"/>
      <c r="Q509" s="13"/>
      <c r="T509" s="4">
        <v>99</v>
      </c>
      <c r="U509" s="2"/>
      <c r="V509" s="2"/>
      <c r="W509" s="2"/>
      <c r="X509" s="2"/>
      <c r="Z509" s="2"/>
      <c r="AA509" s="2"/>
      <c r="AF509" s="14"/>
    </row>
    <row r="510" spans="1:33" s="4" customFormat="1" ht="15.75" customHeight="1" x14ac:dyDescent="0.25">
      <c r="A510" s="33" t="str">
        <f>CONCATENATE(D510,".",F510,"-",G510,".",H510,"")</f>
        <v>2.1-1.1</v>
      </c>
      <c r="B510" s="33"/>
      <c r="C510" s="39" t="s">
        <v>262</v>
      </c>
      <c r="D510" s="33">
        <f>IF(C510="ID",1,(IF(C510="PR",2,(IF(C510="DE",3,(IF(C510="RS",4,(IF(C510="RC",5,0)))))))))</f>
        <v>2</v>
      </c>
      <c r="E510" s="33" t="s">
        <v>257</v>
      </c>
      <c r="F510" s="33">
        <f>IF(E510="AM",1,(IF(E510="BE",2,(IF(E510="GV",3,(IF(E510="RA",4,(IF(E510="RM",5,(IF(E510="AC",1,(IF(E510="AT",2,(IF(E510="DS",3,(IF(E510="IP",4,(IF(E510="MA",5,(IF(E510="PT",6,(IF(E510="AE",1,(IF(E510="CM",2,(IF(E510="DP",3,(IF(E510="AN",1,(IF(E510="CO",2,(IF(E510="IM",3,(IF(E510="MI",4,(IF(E510="RP",5,(IF(E510="SC",6,0)))))))))))))))))))))))))))))))))))))))</f>
        <v>1</v>
      </c>
      <c r="G510" s="170">
        <v>1</v>
      </c>
      <c r="H510" s="38" t="s">
        <v>511</v>
      </c>
      <c r="I510" s="105" t="s">
        <v>1449</v>
      </c>
      <c r="J510" s="157" t="s">
        <v>2149</v>
      </c>
      <c r="K510" s="34" t="s">
        <v>2150</v>
      </c>
      <c r="L510" s="5">
        <f>IF(O510="","",N510*O510*M510)</f>
        <v>99</v>
      </c>
      <c r="M510" s="8">
        <v>1</v>
      </c>
      <c r="N510" s="1">
        <v>1</v>
      </c>
      <c r="O510" s="15">
        <f>IF(SUM(Q510:AF510)&lt;1,"",SUM(Q510:AF510)/COUNTIF(Q510:AF510,"&gt;0"))</f>
        <v>99</v>
      </c>
      <c r="P510" s="16"/>
      <c r="Q510" s="13"/>
      <c r="T510" s="4">
        <v>99</v>
      </c>
      <c r="U510" s="2"/>
      <c r="V510" s="2"/>
      <c r="W510" s="2"/>
      <c r="X510" s="2"/>
      <c r="Z510" s="2"/>
      <c r="AA510" s="2"/>
      <c r="AF510" s="14"/>
    </row>
    <row r="511" spans="1:33" s="4" customFormat="1" ht="15.75" customHeight="1" x14ac:dyDescent="0.25">
      <c r="A511" s="33" t="str">
        <f>CONCATENATE(D511,".",F511,"-",G511,".",H511,"")</f>
        <v>2.1-1.1</v>
      </c>
      <c r="B511" s="33"/>
      <c r="C511" s="39" t="s">
        <v>262</v>
      </c>
      <c r="D511" s="33">
        <f>IF(C511="ID",1,(IF(C511="PR",2,(IF(C511="DE",3,(IF(C511="RS",4,(IF(C511="RC",5,0)))))))))</f>
        <v>2</v>
      </c>
      <c r="E511" s="33" t="s">
        <v>257</v>
      </c>
      <c r="F511" s="33">
        <f>IF(E511="AM",1,(IF(E511="BE",2,(IF(E511="GV",3,(IF(E511="RA",4,(IF(E511="RM",5,(IF(E511="AC",1,(IF(E511="AT",2,(IF(E511="DS",3,(IF(E511="IP",4,(IF(E511="MA",5,(IF(E511="PT",6,(IF(E511="AE",1,(IF(E511="CM",2,(IF(E511="DP",3,(IF(E511="AN",1,(IF(E511="CO",2,(IF(E511="IM",3,(IF(E511="MI",4,(IF(E511="RP",5,(IF(E511="SC",6,0)))))))))))))))))))))))))))))))))))))))</f>
        <v>1</v>
      </c>
      <c r="G511" s="170">
        <v>1</v>
      </c>
      <c r="H511" s="38" t="s">
        <v>511</v>
      </c>
      <c r="I511" s="105" t="s">
        <v>1449</v>
      </c>
      <c r="J511" s="157" t="s">
        <v>2151</v>
      </c>
      <c r="K511" s="34" t="s">
        <v>2152</v>
      </c>
      <c r="L511" s="5">
        <f>IF(O511="","",N511*O511*M511)</f>
        <v>99</v>
      </c>
      <c r="M511" s="8">
        <v>1</v>
      </c>
      <c r="N511" s="1">
        <v>1</v>
      </c>
      <c r="O511" s="15">
        <f>IF(SUM(Q511:AF511)&lt;1,"",SUM(Q511:AF511)/COUNTIF(Q511:AF511,"&gt;0"))</f>
        <v>99</v>
      </c>
      <c r="P511" s="16"/>
      <c r="Q511" s="13"/>
      <c r="T511" s="4">
        <v>99</v>
      </c>
      <c r="U511" s="2"/>
      <c r="V511" s="2"/>
      <c r="W511" s="2"/>
      <c r="X511" s="2"/>
      <c r="Z511" s="2"/>
      <c r="AA511" s="2"/>
      <c r="AF511" s="14"/>
    </row>
    <row r="512" spans="1:33" s="4" customFormat="1" ht="15.75" customHeight="1" x14ac:dyDescent="0.25">
      <c r="A512" s="33" t="str">
        <f>CONCATENATE(D512,".",F512,"-",G512,".",H512,"")</f>
        <v>2.1-1.1</v>
      </c>
      <c r="B512" s="33"/>
      <c r="C512" s="39" t="s">
        <v>262</v>
      </c>
      <c r="D512" s="33">
        <f>IF(C512="ID",1,(IF(C512="PR",2,(IF(C512="DE",3,(IF(C512="RS",4,(IF(C512="RC",5,0)))))))))</f>
        <v>2</v>
      </c>
      <c r="E512" s="33" t="s">
        <v>257</v>
      </c>
      <c r="F512" s="33">
        <f>IF(E512="AM",1,(IF(E512="BE",2,(IF(E512="GV",3,(IF(E512="RA",4,(IF(E512="RM",5,(IF(E512="AC",1,(IF(E512="AT",2,(IF(E512="DS",3,(IF(E512="IP",4,(IF(E512="MA",5,(IF(E512="PT",6,(IF(E512="AE",1,(IF(E512="CM",2,(IF(E512="DP",3,(IF(E512="AN",1,(IF(E512="CO",2,(IF(E512="IM",3,(IF(E512="MI",4,(IF(E512="RP",5,(IF(E512="SC",6,0)))))))))))))))))))))))))))))))))))))))</f>
        <v>1</v>
      </c>
      <c r="G512" s="170">
        <v>1</v>
      </c>
      <c r="H512" s="38" t="s">
        <v>511</v>
      </c>
      <c r="I512" s="105" t="s">
        <v>1449</v>
      </c>
      <c r="J512" s="157" t="s">
        <v>2153</v>
      </c>
      <c r="K512" s="34" t="s">
        <v>2154</v>
      </c>
      <c r="L512" s="5">
        <f>IF(O512="","",N512*O512*M512)</f>
        <v>99</v>
      </c>
      <c r="M512" s="8">
        <v>1</v>
      </c>
      <c r="N512" s="1">
        <v>1</v>
      </c>
      <c r="O512" s="15">
        <f>IF(SUM(Q512:AF512)&lt;1,"",SUM(Q512:AF512)/COUNTIF(Q512:AF512,"&gt;0"))</f>
        <v>99</v>
      </c>
      <c r="P512" s="16"/>
      <c r="Q512" s="13"/>
      <c r="T512" s="4">
        <v>99</v>
      </c>
      <c r="U512" s="2"/>
      <c r="V512" s="2"/>
      <c r="W512" s="2"/>
      <c r="X512" s="2"/>
      <c r="Z512" s="2"/>
      <c r="AA512" s="2"/>
      <c r="AF512" s="14"/>
    </row>
    <row r="513" spans="1:33" s="4" customFormat="1" ht="15.75" customHeight="1" x14ac:dyDescent="0.25">
      <c r="A513" s="33" t="str">
        <f>CONCATENATE(D513,".",F513,"-",G513,".",H513,"")</f>
        <v>2.1-1.1</v>
      </c>
      <c r="B513" s="33"/>
      <c r="C513" s="39" t="s">
        <v>262</v>
      </c>
      <c r="D513" s="33">
        <f>IF(C513="ID",1,(IF(C513="PR",2,(IF(C513="DE",3,(IF(C513="RS",4,(IF(C513="RC",5,0)))))))))</f>
        <v>2</v>
      </c>
      <c r="E513" s="33" t="s">
        <v>257</v>
      </c>
      <c r="F513" s="33">
        <f>IF(E513="AM",1,(IF(E513="BE",2,(IF(E513="GV",3,(IF(E513="RA",4,(IF(E513="RM",5,(IF(E513="AC",1,(IF(E513="AT",2,(IF(E513="DS",3,(IF(E513="IP",4,(IF(E513="MA",5,(IF(E513="PT",6,(IF(E513="AE",1,(IF(E513="CM",2,(IF(E513="DP",3,(IF(E513="AN",1,(IF(E513="CO",2,(IF(E513="IM",3,(IF(E513="MI",4,(IF(E513="RP",5,(IF(E513="SC",6,0)))))))))))))))))))))))))))))))))))))))</f>
        <v>1</v>
      </c>
      <c r="G513" s="170">
        <v>1</v>
      </c>
      <c r="H513" s="38" t="s">
        <v>511</v>
      </c>
      <c r="I513" s="105" t="s">
        <v>1449</v>
      </c>
      <c r="J513" s="157" t="s">
        <v>2155</v>
      </c>
      <c r="K513" s="34" t="s">
        <v>2156</v>
      </c>
      <c r="L513" s="5">
        <f>IF(O513="","",N513*O513*M513)</f>
        <v>99</v>
      </c>
      <c r="M513" s="8">
        <v>1</v>
      </c>
      <c r="N513" s="1">
        <v>1</v>
      </c>
      <c r="O513" s="15">
        <f>IF(SUM(Q513:AF513)&lt;1,"",SUM(Q513:AF513)/COUNTIF(Q513:AF513,"&gt;0"))</f>
        <v>99</v>
      </c>
      <c r="P513" s="16"/>
      <c r="Q513" s="13"/>
      <c r="T513" s="4">
        <v>99</v>
      </c>
      <c r="U513" s="2"/>
      <c r="V513" s="2"/>
      <c r="W513" s="2"/>
      <c r="X513" s="2"/>
      <c r="Z513" s="2"/>
      <c r="AA513" s="2"/>
      <c r="AF513" s="14"/>
    </row>
    <row r="514" spans="1:33" s="4" customFormat="1" ht="15.75" customHeight="1" x14ac:dyDescent="0.25">
      <c r="A514" s="33" t="str">
        <f>CONCATENATE(D514,".",F514,"-",G514,".",H514,"")</f>
        <v>2.1-1.1</v>
      </c>
      <c r="B514" s="33"/>
      <c r="C514" s="39" t="s">
        <v>262</v>
      </c>
      <c r="D514" s="33">
        <f>IF(C514="ID",1,(IF(C514="PR",2,(IF(C514="DE",3,(IF(C514="RS",4,(IF(C514="RC",5,0)))))))))</f>
        <v>2</v>
      </c>
      <c r="E514" s="33" t="s">
        <v>257</v>
      </c>
      <c r="F514" s="33">
        <f>IF(E514="AM",1,(IF(E514="BE",2,(IF(E514="GV",3,(IF(E514="RA",4,(IF(E514="RM",5,(IF(E514="AC",1,(IF(E514="AT",2,(IF(E514="DS",3,(IF(E514="IP",4,(IF(E514="MA",5,(IF(E514="PT",6,(IF(E514="AE",1,(IF(E514="CM",2,(IF(E514="DP",3,(IF(E514="AN",1,(IF(E514="CO",2,(IF(E514="IM",3,(IF(E514="MI",4,(IF(E514="RP",5,(IF(E514="SC",6,0)))))))))))))))))))))))))))))))))))))))</f>
        <v>1</v>
      </c>
      <c r="G514" s="170">
        <v>1</v>
      </c>
      <c r="H514" s="38" t="s">
        <v>511</v>
      </c>
      <c r="I514" s="105" t="s">
        <v>1449</v>
      </c>
      <c r="J514" s="157" t="s">
        <v>2157</v>
      </c>
      <c r="K514" s="34" t="s">
        <v>2158</v>
      </c>
      <c r="L514" s="5">
        <f>IF(O514="","",N514*O514*M514)</f>
        <v>99</v>
      </c>
      <c r="M514" s="8">
        <v>1</v>
      </c>
      <c r="N514" s="1">
        <v>1</v>
      </c>
      <c r="O514" s="15">
        <f>IF(SUM(Q514:AF514)&lt;1,"",SUM(Q514:AF514)/COUNTIF(Q514:AF514,"&gt;0"))</f>
        <v>99</v>
      </c>
      <c r="P514" s="16"/>
      <c r="Q514" s="13"/>
      <c r="T514" s="4">
        <v>99</v>
      </c>
      <c r="U514" s="2"/>
      <c r="V514" s="2"/>
      <c r="W514" s="2"/>
      <c r="X514" s="2"/>
      <c r="Z514" s="2"/>
      <c r="AA514" s="2"/>
      <c r="AF514" s="14"/>
    </row>
    <row r="515" spans="1:33" s="4" customFormat="1" ht="15.75" customHeight="1" x14ac:dyDescent="0.25">
      <c r="A515" s="33" t="str">
        <f>CONCATENATE(D515,".",F515,"-",G515,".",H515,"")</f>
        <v>2.1-1.1</v>
      </c>
      <c r="B515" s="33"/>
      <c r="C515" s="39" t="s">
        <v>262</v>
      </c>
      <c r="D515" s="33">
        <f>IF(C515="ID",1,(IF(C515="PR",2,(IF(C515="DE",3,(IF(C515="RS",4,(IF(C515="RC",5,0)))))))))</f>
        <v>2</v>
      </c>
      <c r="E515" s="33" t="s">
        <v>257</v>
      </c>
      <c r="F515" s="33">
        <f>IF(E515="AM",1,(IF(E515="BE",2,(IF(E515="GV",3,(IF(E515="RA",4,(IF(E515="RM",5,(IF(E515="AC",1,(IF(E515="AT",2,(IF(E515="DS",3,(IF(E515="IP",4,(IF(E515="MA",5,(IF(E515="PT",6,(IF(E515="AE",1,(IF(E515="CM",2,(IF(E515="DP",3,(IF(E515="AN",1,(IF(E515="CO",2,(IF(E515="IM",3,(IF(E515="MI",4,(IF(E515="RP",5,(IF(E515="SC",6,0)))))))))))))))))))))))))))))))))))))))</f>
        <v>1</v>
      </c>
      <c r="G515" s="170">
        <v>1</v>
      </c>
      <c r="H515" s="38" t="s">
        <v>511</v>
      </c>
      <c r="I515" s="105" t="s">
        <v>1449</v>
      </c>
      <c r="J515" s="157" t="s">
        <v>2159</v>
      </c>
      <c r="K515" s="34" t="s">
        <v>2160</v>
      </c>
      <c r="L515" s="5">
        <f>IF(O515="","",N515*O515*M515)</f>
        <v>99</v>
      </c>
      <c r="M515" s="8">
        <v>1</v>
      </c>
      <c r="N515" s="1">
        <v>1</v>
      </c>
      <c r="O515" s="15">
        <f>IF(SUM(Q515:AF515)&lt;1,"",SUM(Q515:AF515)/COUNTIF(Q515:AF515,"&gt;0"))</f>
        <v>99</v>
      </c>
      <c r="P515" s="16"/>
      <c r="Q515" s="13"/>
      <c r="T515" s="4">
        <v>99</v>
      </c>
      <c r="U515" s="2"/>
      <c r="V515" s="2"/>
      <c r="W515" s="2"/>
      <c r="X515" s="2"/>
      <c r="Z515" s="2"/>
      <c r="AA515" s="2"/>
      <c r="AF515" s="14"/>
    </row>
    <row r="516" spans="1:33" s="4" customFormat="1" ht="15.75" customHeight="1" x14ac:dyDescent="0.25">
      <c r="A516" s="33" t="str">
        <f>CONCATENATE(D516,".",F516,"-",G516,".",H516,"")</f>
        <v>2.1-1.1</v>
      </c>
      <c r="B516" s="33"/>
      <c r="C516" s="39" t="s">
        <v>262</v>
      </c>
      <c r="D516" s="33">
        <f>IF(C516="ID",1,(IF(C516="PR",2,(IF(C516="DE",3,(IF(C516="RS",4,(IF(C516="RC",5,0)))))))))</f>
        <v>2</v>
      </c>
      <c r="E516" s="33" t="s">
        <v>257</v>
      </c>
      <c r="F516" s="33">
        <f>IF(E516="AM",1,(IF(E516="BE",2,(IF(E516="GV",3,(IF(E516="RA",4,(IF(E516="RM",5,(IF(E516="AC",1,(IF(E516="AT",2,(IF(E516="DS",3,(IF(E516="IP",4,(IF(E516="MA",5,(IF(E516="PT",6,(IF(E516="AE",1,(IF(E516="CM",2,(IF(E516="DP",3,(IF(E516="AN",1,(IF(E516="CO",2,(IF(E516="IM",3,(IF(E516="MI",4,(IF(E516="RP",5,(IF(E516="SC",6,0)))))))))))))))))))))))))))))))))))))))</f>
        <v>1</v>
      </c>
      <c r="G516" s="170">
        <v>1</v>
      </c>
      <c r="H516" s="38" t="s">
        <v>511</v>
      </c>
      <c r="I516" s="105" t="s">
        <v>1449</v>
      </c>
      <c r="J516" s="157" t="s">
        <v>2161</v>
      </c>
      <c r="K516" s="34" t="s">
        <v>2162</v>
      </c>
      <c r="L516" s="5">
        <f>IF(O516="","",N516*O516*M516)</f>
        <v>99</v>
      </c>
      <c r="M516" s="8">
        <v>1</v>
      </c>
      <c r="N516" s="1">
        <v>1</v>
      </c>
      <c r="O516" s="15">
        <f>IF(SUM(Q516:AF516)&lt;1,"",SUM(Q516:AF516)/COUNTIF(Q516:AF516,"&gt;0"))</f>
        <v>99</v>
      </c>
      <c r="P516" s="16"/>
      <c r="Q516" s="13"/>
      <c r="T516" s="4">
        <v>99</v>
      </c>
      <c r="U516" s="2"/>
      <c r="V516" s="2"/>
      <c r="W516" s="2"/>
      <c r="X516" s="2"/>
      <c r="Z516" s="2"/>
      <c r="AA516" s="2"/>
      <c r="AF516" s="14"/>
    </row>
    <row r="517" spans="1:33" s="4" customFormat="1" ht="15.75" customHeight="1" x14ac:dyDescent="0.25">
      <c r="A517" s="33" t="str">
        <f>CONCATENATE(D517,".",F517,"-",G517,".",H517,"")</f>
        <v>2.1-1.1</v>
      </c>
      <c r="B517" s="33"/>
      <c r="C517" s="39" t="s">
        <v>262</v>
      </c>
      <c r="D517" s="33">
        <f>IF(C517="ID",1,(IF(C517="PR",2,(IF(C517="DE",3,(IF(C517="RS",4,(IF(C517="RC",5,0)))))))))</f>
        <v>2</v>
      </c>
      <c r="E517" s="33" t="s">
        <v>257</v>
      </c>
      <c r="F517" s="33">
        <f>IF(E517="AM",1,(IF(E517="BE",2,(IF(E517="GV",3,(IF(E517="RA",4,(IF(E517="RM",5,(IF(E517="AC",1,(IF(E517="AT",2,(IF(E517="DS",3,(IF(E517="IP",4,(IF(E517="MA",5,(IF(E517="PT",6,(IF(E517="AE",1,(IF(E517="CM",2,(IF(E517="DP",3,(IF(E517="AN",1,(IF(E517="CO",2,(IF(E517="IM",3,(IF(E517="MI",4,(IF(E517="RP",5,(IF(E517="SC",6,0)))))))))))))))))))))))))))))))))))))))</f>
        <v>1</v>
      </c>
      <c r="G517" s="170">
        <v>1</v>
      </c>
      <c r="H517" s="38" t="s">
        <v>511</v>
      </c>
      <c r="I517" s="105" t="s">
        <v>1449</v>
      </c>
      <c r="J517" s="157" t="s">
        <v>2163</v>
      </c>
      <c r="K517" s="34" t="s">
        <v>2164</v>
      </c>
      <c r="L517" s="5">
        <f>IF(O517="","",N517*O517*M517)</f>
        <v>99</v>
      </c>
      <c r="M517" s="8">
        <v>1</v>
      </c>
      <c r="N517" s="1">
        <v>1</v>
      </c>
      <c r="O517" s="15">
        <f>IF(SUM(Q517:AF517)&lt;1,"",SUM(Q517:AF517)/COUNTIF(Q517:AF517,"&gt;0"))</f>
        <v>99</v>
      </c>
      <c r="P517" s="16"/>
      <c r="Q517" s="13"/>
      <c r="T517" s="4">
        <v>99</v>
      </c>
      <c r="U517" s="2"/>
      <c r="V517" s="2"/>
      <c r="W517" s="2"/>
      <c r="X517" s="2"/>
      <c r="Z517" s="2"/>
      <c r="AA517" s="2"/>
      <c r="AF517" s="14"/>
    </row>
    <row r="518" spans="1:33" ht="15.75" customHeight="1" x14ac:dyDescent="0.25">
      <c r="A518" s="33" t="str">
        <f>CONCATENATE(D518,".",F518,"-",G518,".",H518,"")</f>
        <v>2.1-1.1</v>
      </c>
      <c r="C518" s="39" t="s">
        <v>262</v>
      </c>
      <c r="D518" s="33">
        <f>IF(C518="ID",1,(IF(C518="PR",2,(IF(C518="DE",3,(IF(C518="RS",4,(IF(C518="RC",5,0)))))))))</f>
        <v>2</v>
      </c>
      <c r="E518" s="33" t="s">
        <v>257</v>
      </c>
      <c r="F518" s="33">
        <f>IF(E518="AM",1,(IF(E518="BE",2,(IF(E518="GV",3,(IF(E518="RA",4,(IF(E518="RM",5,(IF(E518="AC",1,(IF(E518="AT",2,(IF(E518="DS",3,(IF(E518="IP",4,(IF(E518="MA",5,(IF(E518="PT",6,(IF(E518="AE",1,(IF(E518="CM",2,(IF(E518="DP",3,(IF(E518="AN",1,(IF(E518="CO",2,(IF(E518="IM",3,(IF(E518="MI",4,(IF(E518="RP",5,(IF(E518="SC",6,0)))))))))))))))))))))))))))))))))))))))</f>
        <v>1</v>
      </c>
      <c r="G518" s="170">
        <v>1</v>
      </c>
      <c r="H518" s="38" t="s">
        <v>511</v>
      </c>
      <c r="I518" s="105" t="s">
        <v>1449</v>
      </c>
      <c r="J518" s="157" t="s">
        <v>2165</v>
      </c>
      <c r="K518" s="34" t="s">
        <v>2166</v>
      </c>
      <c r="L518" s="5">
        <f>IF(O518="","",N518*O518*M518)</f>
        <v>99</v>
      </c>
      <c r="M518" s="8">
        <v>1</v>
      </c>
      <c r="N518" s="1">
        <v>1</v>
      </c>
      <c r="O518" s="15">
        <f>IF(SUM(Q518:AF518)&lt;1,"",SUM(Q518:AF518)/COUNTIF(Q518:AF518,"&gt;0"))</f>
        <v>99</v>
      </c>
      <c r="P518" s="16"/>
      <c r="Q518" s="13"/>
      <c r="R518" s="4"/>
      <c r="S518" s="4"/>
      <c r="T518" s="4">
        <v>99</v>
      </c>
      <c r="U518" s="2"/>
      <c r="V518" s="2"/>
      <c r="W518" s="2"/>
      <c r="X518" s="2"/>
      <c r="Y518" s="4"/>
      <c r="Z518" s="2"/>
      <c r="AA518" s="2"/>
      <c r="AB518" s="4"/>
      <c r="AC518" s="4"/>
      <c r="AD518" s="4"/>
      <c r="AE518" s="4"/>
      <c r="AF518" s="14"/>
      <c r="AG518" s="3"/>
    </row>
    <row r="519" spans="1:33" s="4" customFormat="1" ht="15.75" customHeight="1" x14ac:dyDescent="0.25">
      <c r="A519" s="33" t="str">
        <f>CONCATENATE(D519,".",F519,"-",G519,".",H519,"")</f>
        <v>2.1-1.1</v>
      </c>
      <c r="B519" s="33"/>
      <c r="C519" s="39" t="s">
        <v>262</v>
      </c>
      <c r="D519" s="33">
        <f>IF(C519="ID",1,(IF(C519="PR",2,(IF(C519="DE",3,(IF(C519="RS",4,(IF(C519="RC",5,0)))))))))</f>
        <v>2</v>
      </c>
      <c r="E519" s="33" t="s">
        <v>257</v>
      </c>
      <c r="F519" s="33">
        <f>IF(E519="AM",1,(IF(E519="BE",2,(IF(E519="GV",3,(IF(E519="RA",4,(IF(E519="RM",5,(IF(E519="AC",1,(IF(E519="AT",2,(IF(E519="DS",3,(IF(E519="IP",4,(IF(E519="MA",5,(IF(E519="PT",6,(IF(E519="AE",1,(IF(E519="CM",2,(IF(E519="DP",3,(IF(E519="AN",1,(IF(E519="CO",2,(IF(E519="IM",3,(IF(E519="MI",4,(IF(E519="RP",5,(IF(E519="SC",6,0)))))))))))))))))))))))))))))))))))))))</f>
        <v>1</v>
      </c>
      <c r="G519" s="170">
        <v>1</v>
      </c>
      <c r="H519" s="38" t="s">
        <v>511</v>
      </c>
      <c r="I519" s="105" t="s">
        <v>1449</v>
      </c>
      <c r="J519" s="157" t="s">
        <v>2167</v>
      </c>
      <c r="K519" s="34" t="s">
        <v>2168</v>
      </c>
      <c r="L519" s="5">
        <f>IF(O519="","",N519*O519*M519)</f>
        <v>99</v>
      </c>
      <c r="M519" s="8">
        <v>1</v>
      </c>
      <c r="N519" s="1">
        <v>1</v>
      </c>
      <c r="O519" s="15">
        <f>IF(SUM(Q519:AF519)&lt;1,"",SUM(Q519:AF519)/COUNTIF(Q519:AF519,"&gt;0"))</f>
        <v>99</v>
      </c>
      <c r="P519" s="16"/>
      <c r="Q519" s="13"/>
      <c r="T519" s="4">
        <v>99</v>
      </c>
      <c r="U519" s="2"/>
      <c r="V519" s="2"/>
      <c r="W519" s="2"/>
      <c r="X519" s="2"/>
      <c r="Z519" s="2"/>
      <c r="AA519" s="2"/>
      <c r="AF519" s="14"/>
    </row>
    <row r="520" spans="1:33" s="4" customFormat="1" ht="15.75" customHeight="1" x14ac:dyDescent="0.25">
      <c r="A520" s="33" t="str">
        <f>CONCATENATE(D520,".",F520,"-",G520,".",H520,"")</f>
        <v>2.1-1.1</v>
      </c>
      <c r="B520" s="33"/>
      <c r="C520" s="39" t="s">
        <v>262</v>
      </c>
      <c r="D520" s="33">
        <f>IF(C520="ID",1,(IF(C520="PR",2,(IF(C520="DE",3,(IF(C520="RS",4,(IF(C520="RC",5,0)))))))))</f>
        <v>2</v>
      </c>
      <c r="E520" s="33" t="s">
        <v>257</v>
      </c>
      <c r="F520" s="33">
        <f>IF(E520="AM",1,(IF(E520="BE",2,(IF(E520="GV",3,(IF(E520="RA",4,(IF(E520="RM",5,(IF(E520="AC",1,(IF(E520="AT",2,(IF(E520="DS",3,(IF(E520="IP",4,(IF(E520="MA",5,(IF(E520="PT",6,(IF(E520="AE",1,(IF(E520="CM",2,(IF(E520="DP",3,(IF(E520="AN",1,(IF(E520="CO",2,(IF(E520="IM",3,(IF(E520="MI",4,(IF(E520="RP",5,(IF(E520="SC",6,0)))))))))))))))))))))))))))))))))))))))</f>
        <v>1</v>
      </c>
      <c r="G520" s="170">
        <v>1</v>
      </c>
      <c r="H520" s="38" t="s">
        <v>511</v>
      </c>
      <c r="I520" s="105" t="s">
        <v>1449</v>
      </c>
      <c r="J520" s="157" t="s">
        <v>2169</v>
      </c>
      <c r="K520" s="34" t="s">
        <v>2170</v>
      </c>
      <c r="L520" s="5">
        <f>IF(O520="","",N520*O520*M520)</f>
        <v>99</v>
      </c>
      <c r="M520" s="8">
        <v>1</v>
      </c>
      <c r="N520" s="1">
        <v>1</v>
      </c>
      <c r="O520" s="15">
        <f>IF(SUM(Q520:AF520)&lt;1,"",SUM(Q520:AF520)/COUNTIF(Q520:AF520,"&gt;0"))</f>
        <v>99</v>
      </c>
      <c r="P520" s="16"/>
      <c r="Q520" s="13"/>
      <c r="T520" s="4">
        <v>99</v>
      </c>
      <c r="U520" s="2"/>
      <c r="V520" s="2"/>
      <c r="W520" s="2"/>
      <c r="X520" s="2"/>
      <c r="Z520" s="2"/>
      <c r="AA520" s="2"/>
      <c r="AF520" s="14"/>
    </row>
    <row r="521" spans="1:33" s="4" customFormat="1" ht="15.75" customHeight="1" x14ac:dyDescent="0.25">
      <c r="A521" s="33" t="str">
        <f>CONCATENATE(D521,".",F521,"-",G521,".",H521,"")</f>
        <v>2.1-1.1</v>
      </c>
      <c r="B521" s="33"/>
      <c r="C521" s="39" t="s">
        <v>262</v>
      </c>
      <c r="D521" s="33">
        <f>IF(C521="ID",1,(IF(C521="PR",2,(IF(C521="DE",3,(IF(C521="RS",4,(IF(C521="RC",5,0)))))))))</f>
        <v>2</v>
      </c>
      <c r="E521" s="33" t="s">
        <v>257</v>
      </c>
      <c r="F521" s="33">
        <f>IF(E521="AM",1,(IF(E521="BE",2,(IF(E521="GV",3,(IF(E521="RA",4,(IF(E521="RM",5,(IF(E521="AC",1,(IF(E521="AT",2,(IF(E521="DS",3,(IF(E521="IP",4,(IF(E521="MA",5,(IF(E521="PT",6,(IF(E521="AE",1,(IF(E521="CM",2,(IF(E521="DP",3,(IF(E521="AN",1,(IF(E521="CO",2,(IF(E521="IM",3,(IF(E521="MI",4,(IF(E521="RP",5,(IF(E521="SC",6,0)))))))))))))))))))))))))))))))))))))))</f>
        <v>1</v>
      </c>
      <c r="G521" s="170">
        <v>1</v>
      </c>
      <c r="H521" s="38" t="s">
        <v>511</v>
      </c>
      <c r="I521" s="105" t="s">
        <v>1449</v>
      </c>
      <c r="J521" s="157" t="s">
        <v>2171</v>
      </c>
      <c r="K521" s="34" t="s">
        <v>2172</v>
      </c>
      <c r="L521" s="5">
        <f>IF(O521="","",N521*O521*M521)</f>
        <v>99</v>
      </c>
      <c r="M521" s="8">
        <v>1</v>
      </c>
      <c r="N521" s="1">
        <v>1</v>
      </c>
      <c r="O521" s="15">
        <f>IF(SUM(Q521:AF521)&lt;1,"",SUM(Q521:AF521)/COUNTIF(Q521:AF521,"&gt;0"))</f>
        <v>99</v>
      </c>
      <c r="P521" s="16"/>
      <c r="Q521" s="13"/>
      <c r="T521" s="4">
        <v>99</v>
      </c>
      <c r="U521" s="2"/>
      <c r="V521" s="2"/>
      <c r="W521" s="2"/>
      <c r="X521" s="2"/>
      <c r="Z521" s="2"/>
      <c r="AA521" s="2"/>
      <c r="AF521" s="14"/>
    </row>
    <row r="522" spans="1:33" s="4" customFormat="1" ht="15.75" customHeight="1" x14ac:dyDescent="0.25">
      <c r="A522" s="33" t="str">
        <f>CONCATENATE(D522,".",F522,"-",G522,".",H522,"")</f>
        <v>2.1-1.1</v>
      </c>
      <c r="B522" s="33"/>
      <c r="C522" s="39" t="s">
        <v>262</v>
      </c>
      <c r="D522" s="33">
        <f>IF(C522="ID",1,(IF(C522="PR",2,(IF(C522="DE",3,(IF(C522="RS",4,(IF(C522="RC",5,0)))))))))</f>
        <v>2</v>
      </c>
      <c r="E522" s="33" t="s">
        <v>257</v>
      </c>
      <c r="F522" s="33">
        <f>IF(E522="AM",1,(IF(E522="BE",2,(IF(E522="GV",3,(IF(E522="RA",4,(IF(E522="RM",5,(IF(E522="AC",1,(IF(E522="AT",2,(IF(E522="DS",3,(IF(E522="IP",4,(IF(E522="MA",5,(IF(E522="PT",6,(IF(E522="AE",1,(IF(E522="CM",2,(IF(E522="DP",3,(IF(E522="AN",1,(IF(E522="CO",2,(IF(E522="IM",3,(IF(E522="MI",4,(IF(E522="RP",5,(IF(E522="SC",6,0)))))))))))))))))))))))))))))))))))))))</f>
        <v>1</v>
      </c>
      <c r="G522" s="170">
        <v>1</v>
      </c>
      <c r="H522" s="38" t="s">
        <v>511</v>
      </c>
      <c r="I522" s="105" t="s">
        <v>1449</v>
      </c>
      <c r="J522" s="157" t="s">
        <v>2173</v>
      </c>
      <c r="K522" s="34" t="s">
        <v>2174</v>
      </c>
      <c r="L522" s="5">
        <f>IF(O522="","",N522*O522*M522)</f>
        <v>99</v>
      </c>
      <c r="M522" s="8">
        <v>1</v>
      </c>
      <c r="N522" s="1">
        <v>1</v>
      </c>
      <c r="O522" s="15">
        <f>IF(SUM(Q522:AF522)&lt;1,"",SUM(Q522:AF522)/COUNTIF(Q522:AF522,"&gt;0"))</f>
        <v>99</v>
      </c>
      <c r="P522" s="16"/>
      <c r="Q522" s="13"/>
      <c r="T522" s="4">
        <v>99</v>
      </c>
      <c r="U522" s="2"/>
      <c r="V522" s="2"/>
      <c r="W522" s="2"/>
      <c r="X522" s="2"/>
      <c r="Z522" s="2"/>
      <c r="AA522" s="2"/>
      <c r="AF522" s="14"/>
    </row>
    <row r="523" spans="1:33" s="4" customFormat="1" ht="15.75" customHeight="1" x14ac:dyDescent="0.25">
      <c r="A523" s="33" t="str">
        <f>CONCATENATE(D523,".",F523,"-",G523,".",H523,"")</f>
        <v>2.1-1.1</v>
      </c>
      <c r="B523" s="33"/>
      <c r="C523" s="39" t="s">
        <v>262</v>
      </c>
      <c r="D523" s="33">
        <f>IF(C523="ID",1,(IF(C523="PR",2,(IF(C523="DE",3,(IF(C523="RS",4,(IF(C523="RC",5,0)))))))))</f>
        <v>2</v>
      </c>
      <c r="E523" s="33" t="s">
        <v>257</v>
      </c>
      <c r="F523" s="33">
        <f>IF(E523="AM",1,(IF(E523="BE",2,(IF(E523="GV",3,(IF(E523="RA",4,(IF(E523="RM",5,(IF(E523="AC",1,(IF(E523="AT",2,(IF(E523="DS",3,(IF(E523="IP",4,(IF(E523="MA",5,(IF(E523="PT",6,(IF(E523="AE",1,(IF(E523="CM",2,(IF(E523="DP",3,(IF(E523="AN",1,(IF(E523="CO",2,(IF(E523="IM",3,(IF(E523="MI",4,(IF(E523="RP",5,(IF(E523="SC",6,0)))))))))))))))))))))))))))))))))))))))</f>
        <v>1</v>
      </c>
      <c r="G523" s="170">
        <v>1</v>
      </c>
      <c r="H523" s="38" t="s">
        <v>511</v>
      </c>
      <c r="I523" s="105" t="s">
        <v>1449</v>
      </c>
      <c r="J523" s="157" t="s">
        <v>2175</v>
      </c>
      <c r="K523" s="34" t="s">
        <v>2176</v>
      </c>
      <c r="L523" s="5">
        <f>IF(O523="","",N523*O523*M523)</f>
        <v>99</v>
      </c>
      <c r="M523" s="8">
        <v>1</v>
      </c>
      <c r="N523" s="1">
        <v>1</v>
      </c>
      <c r="O523" s="15">
        <f>IF(SUM(Q523:AF523)&lt;1,"",SUM(Q523:AF523)/COUNTIF(Q523:AF523,"&gt;0"))</f>
        <v>99</v>
      </c>
      <c r="P523" s="16"/>
      <c r="Q523" s="13"/>
      <c r="T523" s="4">
        <v>99</v>
      </c>
      <c r="U523" s="2"/>
      <c r="V523" s="2"/>
      <c r="W523" s="2"/>
      <c r="X523" s="2"/>
      <c r="Z523" s="2"/>
      <c r="AA523" s="2"/>
      <c r="AF523" s="14"/>
    </row>
    <row r="524" spans="1:33" s="4" customFormat="1" ht="15.75" customHeight="1" x14ac:dyDescent="0.25">
      <c r="A524" s="33" t="str">
        <f>CONCATENATE(D524,".",F524,"-",G524,".",H524,"")</f>
        <v>2.1-1.1</v>
      </c>
      <c r="B524" s="33"/>
      <c r="C524" s="39" t="s">
        <v>262</v>
      </c>
      <c r="D524" s="33">
        <f>IF(C524="ID",1,(IF(C524="PR",2,(IF(C524="DE",3,(IF(C524="RS",4,(IF(C524="RC",5,0)))))))))</f>
        <v>2</v>
      </c>
      <c r="E524" s="33" t="s">
        <v>257</v>
      </c>
      <c r="F524" s="33">
        <f>IF(E524="AM",1,(IF(E524="BE",2,(IF(E524="GV",3,(IF(E524="RA",4,(IF(E524="RM",5,(IF(E524="AC",1,(IF(E524="AT",2,(IF(E524="DS",3,(IF(E524="IP",4,(IF(E524="MA",5,(IF(E524="PT",6,(IF(E524="AE",1,(IF(E524="CM",2,(IF(E524="DP",3,(IF(E524="AN",1,(IF(E524="CO",2,(IF(E524="IM",3,(IF(E524="MI",4,(IF(E524="RP",5,(IF(E524="SC",6,0)))))))))))))))))))))))))))))))))))))))</f>
        <v>1</v>
      </c>
      <c r="G524" s="170">
        <v>1</v>
      </c>
      <c r="H524" s="38" t="s">
        <v>511</v>
      </c>
      <c r="I524" s="105" t="s">
        <v>1449</v>
      </c>
      <c r="J524" s="157" t="s">
        <v>2177</v>
      </c>
      <c r="K524" s="34" t="s">
        <v>2178</v>
      </c>
      <c r="L524" s="5">
        <f>IF(O524="","",N524*O524*M524)</f>
        <v>99</v>
      </c>
      <c r="M524" s="8">
        <v>1</v>
      </c>
      <c r="N524" s="1">
        <v>1</v>
      </c>
      <c r="O524" s="15">
        <f>IF(SUM(Q524:AF524)&lt;1,"",SUM(Q524:AF524)/COUNTIF(Q524:AF524,"&gt;0"))</f>
        <v>99</v>
      </c>
      <c r="P524" s="16"/>
      <c r="Q524" s="13"/>
      <c r="T524" s="4">
        <v>99</v>
      </c>
      <c r="U524" s="2"/>
      <c r="V524" s="2"/>
      <c r="W524" s="2"/>
      <c r="X524" s="2"/>
      <c r="Z524" s="2"/>
      <c r="AA524" s="2"/>
      <c r="AF524" s="14"/>
    </row>
    <row r="525" spans="1:33" s="4" customFormat="1" ht="15.75" customHeight="1" x14ac:dyDescent="0.25">
      <c r="A525" s="33" t="str">
        <f>CONCATENATE(D525,".",F525,"-",G525,".",H525,"")</f>
        <v>2.1-1.1</v>
      </c>
      <c r="B525" s="33"/>
      <c r="C525" s="39" t="s">
        <v>262</v>
      </c>
      <c r="D525" s="33">
        <f>IF(C525="ID",1,(IF(C525="PR",2,(IF(C525="DE",3,(IF(C525="RS",4,(IF(C525="RC",5,0)))))))))</f>
        <v>2</v>
      </c>
      <c r="E525" s="33" t="s">
        <v>257</v>
      </c>
      <c r="F525" s="33">
        <f>IF(E525="AM",1,(IF(E525="BE",2,(IF(E525="GV",3,(IF(E525="RA",4,(IF(E525="RM",5,(IF(E525="AC",1,(IF(E525="AT",2,(IF(E525="DS",3,(IF(E525="IP",4,(IF(E525="MA",5,(IF(E525="PT",6,(IF(E525="AE",1,(IF(E525="CM",2,(IF(E525="DP",3,(IF(E525="AN",1,(IF(E525="CO",2,(IF(E525="IM",3,(IF(E525="MI",4,(IF(E525="RP",5,(IF(E525="SC",6,0)))))))))))))))))))))))))))))))))))))))</f>
        <v>1</v>
      </c>
      <c r="G525" s="170">
        <v>1</v>
      </c>
      <c r="H525" s="38" t="s">
        <v>511</v>
      </c>
      <c r="I525" s="105" t="s">
        <v>1449</v>
      </c>
      <c r="J525" s="157" t="s">
        <v>2179</v>
      </c>
      <c r="K525" s="34" t="s">
        <v>2180</v>
      </c>
      <c r="L525" s="5">
        <f>IF(O525="","",N525*O525*M525)</f>
        <v>99</v>
      </c>
      <c r="M525" s="8">
        <v>1</v>
      </c>
      <c r="N525" s="1">
        <v>1</v>
      </c>
      <c r="O525" s="15">
        <f>IF(SUM(Q525:AF525)&lt;1,"",SUM(Q525:AF525)/COUNTIF(Q525:AF525,"&gt;0"))</f>
        <v>99</v>
      </c>
      <c r="P525" s="16"/>
      <c r="Q525" s="13"/>
      <c r="T525" s="4">
        <v>99</v>
      </c>
      <c r="U525" s="2"/>
      <c r="V525" s="2"/>
      <c r="W525" s="2"/>
      <c r="X525" s="2"/>
      <c r="Z525" s="2"/>
      <c r="AA525" s="2"/>
      <c r="AF525" s="14"/>
    </row>
    <row r="526" spans="1:33" s="4" customFormat="1" ht="15.75" customHeight="1" x14ac:dyDescent="0.25">
      <c r="A526" s="33" t="str">
        <f>CONCATENATE(D526,".",F526,"-",G526,".",H526,"")</f>
        <v>2.1-1.1</v>
      </c>
      <c r="B526" s="33"/>
      <c r="C526" s="39" t="s">
        <v>262</v>
      </c>
      <c r="D526" s="33">
        <f>IF(C526="ID",1,(IF(C526="PR",2,(IF(C526="DE",3,(IF(C526="RS",4,(IF(C526="RC",5,0)))))))))</f>
        <v>2</v>
      </c>
      <c r="E526" s="33" t="s">
        <v>257</v>
      </c>
      <c r="F526" s="33">
        <f>IF(E526="AM",1,(IF(E526="BE",2,(IF(E526="GV",3,(IF(E526="RA",4,(IF(E526="RM",5,(IF(E526="AC",1,(IF(E526="AT",2,(IF(E526="DS",3,(IF(E526="IP",4,(IF(E526="MA",5,(IF(E526="PT",6,(IF(E526="AE",1,(IF(E526="CM",2,(IF(E526="DP",3,(IF(E526="AN",1,(IF(E526="CO",2,(IF(E526="IM",3,(IF(E526="MI",4,(IF(E526="RP",5,(IF(E526="SC",6,0)))))))))))))))))))))))))))))))))))))))</f>
        <v>1</v>
      </c>
      <c r="G526" s="170">
        <v>1</v>
      </c>
      <c r="H526" s="38" t="s">
        <v>511</v>
      </c>
      <c r="I526" s="105" t="s">
        <v>1449</v>
      </c>
      <c r="J526" s="157" t="s">
        <v>2181</v>
      </c>
      <c r="K526" s="34" t="s">
        <v>2182</v>
      </c>
      <c r="L526" s="5">
        <f>IF(O526="","",N526*O526*M526)</f>
        <v>99</v>
      </c>
      <c r="M526" s="8">
        <v>1</v>
      </c>
      <c r="N526" s="1">
        <v>1</v>
      </c>
      <c r="O526" s="15">
        <f>IF(SUM(Q526:AF526)&lt;1,"",SUM(Q526:AF526)/COUNTIF(Q526:AF526,"&gt;0"))</f>
        <v>99</v>
      </c>
      <c r="P526" s="16"/>
      <c r="Q526" s="13"/>
      <c r="T526" s="4">
        <v>99</v>
      </c>
      <c r="U526" s="2"/>
      <c r="V526" s="2"/>
      <c r="W526" s="2"/>
      <c r="X526" s="2"/>
      <c r="Z526" s="2"/>
      <c r="AA526" s="2"/>
      <c r="AF526" s="14"/>
    </row>
    <row r="527" spans="1:33" s="4" customFormat="1" ht="15.75" customHeight="1" x14ac:dyDescent="0.25">
      <c r="A527" s="33" t="str">
        <f>CONCATENATE(D527,".",F527,"-",G527,".",H527,"")</f>
        <v>2.1-1.1</v>
      </c>
      <c r="B527" s="33"/>
      <c r="C527" s="39" t="s">
        <v>262</v>
      </c>
      <c r="D527" s="33">
        <f>IF(C527="ID",1,(IF(C527="PR",2,(IF(C527="DE",3,(IF(C527="RS",4,(IF(C527="RC",5,0)))))))))</f>
        <v>2</v>
      </c>
      <c r="E527" s="33" t="s">
        <v>257</v>
      </c>
      <c r="F527" s="33">
        <f>IF(E527="AM",1,(IF(E527="BE",2,(IF(E527="GV",3,(IF(E527="RA",4,(IF(E527="RM",5,(IF(E527="AC",1,(IF(E527="AT",2,(IF(E527="DS",3,(IF(E527="IP",4,(IF(E527="MA",5,(IF(E527="PT",6,(IF(E527="AE",1,(IF(E527="CM",2,(IF(E527="DP",3,(IF(E527="AN",1,(IF(E527="CO",2,(IF(E527="IM",3,(IF(E527="MI",4,(IF(E527="RP",5,(IF(E527="SC",6,0)))))))))))))))))))))))))))))))))))))))</f>
        <v>1</v>
      </c>
      <c r="G527" s="170">
        <v>1</v>
      </c>
      <c r="H527" s="38" t="s">
        <v>511</v>
      </c>
      <c r="I527" s="105" t="s">
        <v>1449</v>
      </c>
      <c r="J527" s="157" t="s">
        <v>2183</v>
      </c>
      <c r="K527" s="34" t="s">
        <v>2184</v>
      </c>
      <c r="L527" s="5">
        <f>IF(O527="","",N527*O527*M527)</f>
        <v>99</v>
      </c>
      <c r="M527" s="8">
        <v>1</v>
      </c>
      <c r="N527" s="1">
        <v>1</v>
      </c>
      <c r="O527" s="15">
        <f>IF(SUM(Q527:AF527)&lt;1,"",SUM(Q527:AF527)/COUNTIF(Q527:AF527,"&gt;0"))</f>
        <v>99</v>
      </c>
      <c r="P527" s="16"/>
      <c r="Q527" s="13"/>
      <c r="T527" s="4">
        <v>99</v>
      </c>
      <c r="U527" s="2"/>
      <c r="V527" s="2"/>
      <c r="W527" s="2"/>
      <c r="X527" s="2"/>
      <c r="Z527" s="2"/>
      <c r="AA527" s="2"/>
      <c r="AF527" s="14"/>
    </row>
    <row r="528" spans="1:33" s="4" customFormat="1" ht="15.75" customHeight="1" x14ac:dyDescent="0.25">
      <c r="A528" s="33" t="str">
        <f>CONCATENATE(D528,".",F528,"-",G528,".",H528,"")</f>
        <v>2.1-1.1</v>
      </c>
      <c r="B528" s="33"/>
      <c r="C528" s="39" t="s">
        <v>262</v>
      </c>
      <c r="D528" s="33">
        <f>IF(C528="ID",1,(IF(C528="PR",2,(IF(C528="DE",3,(IF(C528="RS",4,(IF(C528="RC",5,0)))))))))</f>
        <v>2</v>
      </c>
      <c r="E528" s="33" t="s">
        <v>257</v>
      </c>
      <c r="F528" s="33">
        <f>IF(E528="AM",1,(IF(E528="BE",2,(IF(E528="GV",3,(IF(E528="RA",4,(IF(E528="RM",5,(IF(E528="AC",1,(IF(E528="AT",2,(IF(E528="DS",3,(IF(E528="IP",4,(IF(E528="MA",5,(IF(E528="PT",6,(IF(E528="AE",1,(IF(E528="CM",2,(IF(E528="DP",3,(IF(E528="AN",1,(IF(E528="CO",2,(IF(E528="IM",3,(IF(E528="MI",4,(IF(E528="RP",5,(IF(E528="SC",6,0)))))))))))))))))))))))))))))))))))))))</f>
        <v>1</v>
      </c>
      <c r="G528" s="170">
        <v>1</v>
      </c>
      <c r="H528" s="38" t="s">
        <v>511</v>
      </c>
      <c r="I528" s="105" t="s">
        <v>1449</v>
      </c>
      <c r="J528" s="157" t="s">
        <v>2185</v>
      </c>
      <c r="K528" s="34" t="s">
        <v>2186</v>
      </c>
      <c r="L528" s="5">
        <f>IF(O528="","",N528*O528*M528)</f>
        <v>99</v>
      </c>
      <c r="M528" s="8">
        <v>1</v>
      </c>
      <c r="N528" s="1">
        <v>1</v>
      </c>
      <c r="O528" s="15">
        <f>IF(SUM(Q528:AF528)&lt;1,"",SUM(Q528:AF528)/COUNTIF(Q528:AF528,"&gt;0"))</f>
        <v>99</v>
      </c>
      <c r="P528" s="16"/>
      <c r="Q528" s="13"/>
      <c r="T528" s="4">
        <v>99</v>
      </c>
      <c r="U528" s="2"/>
      <c r="V528" s="2"/>
      <c r="W528" s="2"/>
      <c r="X528" s="2"/>
      <c r="Z528" s="2"/>
      <c r="AA528" s="2"/>
      <c r="AF528" s="14"/>
    </row>
    <row r="529" spans="1:33" s="4" customFormat="1" ht="15.75" customHeight="1" x14ac:dyDescent="0.25">
      <c r="A529" s="33" t="str">
        <f>CONCATENATE(D529,".",F529,"-",G529,".",H529,"")</f>
        <v>2.1-1.2</v>
      </c>
      <c r="B529" s="33" t="s">
        <v>814</v>
      </c>
      <c r="C529" s="39" t="s">
        <v>262</v>
      </c>
      <c r="D529" s="33">
        <f>IF(C529="ID",1,(IF(C529="PR",2,(IF(C529="DE",3,(IF(C529="RS",4,(IF(C529="RC",5,0)))))))))</f>
        <v>2</v>
      </c>
      <c r="E529" s="33" t="s">
        <v>257</v>
      </c>
      <c r="F529" s="33">
        <f>IF(E529="AM",1,(IF(E529="BE",2,(IF(E529="GV",3,(IF(E529="RA",4,(IF(E529="RM",5,(IF(E529="AC",1,(IF(E529="AT",2,(IF(E529="DS",3,(IF(E529="IP",4,(IF(E529="MA",5,(IF(E529="PT",6,(IF(E529="AE",1,(IF(E529="CM",2,(IF(E529="DP",3,(IF(E529="AN",1,(IF(E529="CO",2,(IF(E529="IM",3,(IF(E529="MI",4,(IF(E529="RP",5,(IF(E529="SC",6,0)))))))))))))))))))))))))))))))))))))))</f>
        <v>1</v>
      </c>
      <c r="G529" s="170">
        <v>1</v>
      </c>
      <c r="H529" s="38" t="s">
        <v>512</v>
      </c>
      <c r="I529" s="27" t="s">
        <v>266</v>
      </c>
      <c r="J529" s="149" t="s">
        <v>506</v>
      </c>
      <c r="K529" s="79" t="s">
        <v>1430</v>
      </c>
      <c r="L529" s="66">
        <f>IF(O529="","",N529*O529*M529)</f>
        <v>75</v>
      </c>
      <c r="M529" s="8">
        <v>1</v>
      </c>
      <c r="N529" s="1">
        <v>1</v>
      </c>
      <c r="O529" s="15">
        <f>IF(SUM(Q529:AF529)&lt;1,"",SUM(Q529:AF529)/COUNTIF(Q529:AF529,"&gt;0"))</f>
        <v>75</v>
      </c>
      <c r="P529" s="16"/>
      <c r="Q529" s="13"/>
      <c r="T529" s="4">
        <v>75</v>
      </c>
      <c r="U529" s="2"/>
      <c r="V529" s="2"/>
      <c r="W529" s="2"/>
      <c r="X529" s="2"/>
      <c r="Z529" s="2"/>
      <c r="AA529" s="2"/>
      <c r="AF529" s="14"/>
    </row>
    <row r="530" spans="1:33" s="4" customFormat="1" ht="15.75" customHeight="1" x14ac:dyDescent="0.25">
      <c r="A530" s="33" t="str">
        <f>CONCATENATE(D530,".",F530,"-",G530,".",H530,"")</f>
        <v>2.1-1.2</v>
      </c>
      <c r="B530" s="33" t="s">
        <v>814</v>
      </c>
      <c r="C530" s="39" t="s">
        <v>262</v>
      </c>
      <c r="D530" s="33">
        <f>IF(C530="ID",1,(IF(C530="PR",2,(IF(C530="DE",3,(IF(C530="RS",4,(IF(C530="RC",5,0)))))))))</f>
        <v>2</v>
      </c>
      <c r="E530" s="33" t="s">
        <v>257</v>
      </c>
      <c r="F530" s="33">
        <f>IF(E530="AM",1,(IF(E530="BE",2,(IF(E530="GV",3,(IF(E530="RA",4,(IF(E530="RM",5,(IF(E530="AC",1,(IF(E530="AT",2,(IF(E530="DS",3,(IF(E530="IP",4,(IF(E530="MA",5,(IF(E530="PT",6,(IF(E530="AE",1,(IF(E530="CM",2,(IF(E530="DP",3,(IF(E530="AN",1,(IF(E530="CO",2,(IF(E530="IM",3,(IF(E530="MI",4,(IF(E530="RP",5,(IF(E530="SC",6,0)))))))))))))))))))))))))))))))))))))))</f>
        <v>1</v>
      </c>
      <c r="G530" s="170">
        <v>1</v>
      </c>
      <c r="H530" s="38" t="s">
        <v>512</v>
      </c>
      <c r="I530" s="27" t="s">
        <v>266</v>
      </c>
      <c r="J530" s="149" t="s">
        <v>304</v>
      </c>
      <c r="K530" s="79" t="s">
        <v>1446</v>
      </c>
      <c r="L530" s="66">
        <f>IF(O530="","",N530*O530*M530)</f>
        <v>75</v>
      </c>
      <c r="M530" s="8">
        <v>1</v>
      </c>
      <c r="N530" s="1">
        <v>1</v>
      </c>
      <c r="O530" s="15">
        <f>IF(SUM(Q530:AF530)&lt;1,"",SUM(Q530:AF530)/COUNTIF(Q530:AF530,"&gt;0"))</f>
        <v>75</v>
      </c>
      <c r="P530" s="16"/>
      <c r="Q530" s="13"/>
      <c r="T530" s="4">
        <v>75</v>
      </c>
      <c r="U530" s="2"/>
      <c r="V530" s="2"/>
      <c r="W530" s="2"/>
      <c r="X530" s="2"/>
      <c r="Z530" s="2"/>
      <c r="AA530" s="2"/>
      <c r="AF530" s="14"/>
    </row>
    <row r="531" spans="1:33" s="4" customFormat="1" ht="15.75" customHeight="1" x14ac:dyDescent="0.25">
      <c r="A531" s="33" t="str">
        <f>CONCATENATE(D531,".",F531,"-",G531,".",H531,"")</f>
        <v>2.1-1.2</v>
      </c>
      <c r="B531" s="33" t="s">
        <v>814</v>
      </c>
      <c r="C531" s="39" t="s">
        <v>262</v>
      </c>
      <c r="D531" s="33">
        <f>IF(C531="ID",1,(IF(C531="PR",2,(IF(C531="DE",3,(IF(C531="RS",4,(IF(C531="RC",5,0)))))))))</f>
        <v>2</v>
      </c>
      <c r="E531" s="33" t="s">
        <v>257</v>
      </c>
      <c r="F531" s="33">
        <f>IF(E531="AM",1,(IF(E531="BE",2,(IF(E531="GV",3,(IF(E531="RA",4,(IF(E531="RM",5,(IF(E531="AC",1,(IF(E531="AT",2,(IF(E531="DS",3,(IF(E531="IP",4,(IF(E531="MA",5,(IF(E531="PT",6,(IF(E531="AE",1,(IF(E531="CM",2,(IF(E531="DP",3,(IF(E531="AN",1,(IF(E531="CO",2,(IF(E531="IM",3,(IF(E531="MI",4,(IF(E531="RP",5,(IF(E531="SC",6,0)))))))))))))))))))))))))))))))))))))))</f>
        <v>1</v>
      </c>
      <c r="G531" s="170">
        <v>1</v>
      </c>
      <c r="H531" s="38" t="s">
        <v>512</v>
      </c>
      <c r="I531" s="105" t="s">
        <v>1449</v>
      </c>
      <c r="J531" s="157" t="s">
        <v>1516</v>
      </c>
      <c r="K531" s="34" t="s">
        <v>1517</v>
      </c>
      <c r="L531" s="5">
        <f>IF(O531="","",N531*O531*M531)</f>
        <v>99</v>
      </c>
      <c r="M531" s="8">
        <v>1</v>
      </c>
      <c r="N531" s="1">
        <v>1</v>
      </c>
      <c r="O531" s="15">
        <f>IF(SUM(Q531:AF531)&lt;1,"",SUM(Q531:AF531)/COUNTIF(Q531:AF531,"&gt;0"))</f>
        <v>99</v>
      </c>
      <c r="P531" s="16"/>
      <c r="Q531" s="13"/>
      <c r="T531" s="4">
        <v>99</v>
      </c>
      <c r="U531" s="2"/>
      <c r="V531" s="2"/>
      <c r="W531" s="2"/>
      <c r="X531" s="2"/>
      <c r="Z531" s="2"/>
      <c r="AA531" s="2"/>
      <c r="AF531" s="14"/>
    </row>
    <row r="532" spans="1:33" s="4" customFormat="1" ht="15.75" customHeight="1" x14ac:dyDescent="0.25">
      <c r="A532" s="33" t="str">
        <f>CONCATENATE(D532,".",F532,"-",G532,".",H532,"")</f>
        <v>2.1-1.2</v>
      </c>
      <c r="B532" s="33" t="s">
        <v>814</v>
      </c>
      <c r="C532" s="39" t="s">
        <v>262</v>
      </c>
      <c r="D532" s="33">
        <f>IF(C532="ID",1,(IF(C532="PR",2,(IF(C532="DE",3,(IF(C532="RS",4,(IF(C532="RC",5,0)))))))))</f>
        <v>2</v>
      </c>
      <c r="E532" s="33" t="s">
        <v>257</v>
      </c>
      <c r="F532" s="33">
        <f>IF(E532="AM",1,(IF(E532="BE",2,(IF(E532="GV",3,(IF(E532="RA",4,(IF(E532="RM",5,(IF(E532="AC",1,(IF(E532="AT",2,(IF(E532="DS",3,(IF(E532="IP",4,(IF(E532="MA",5,(IF(E532="PT",6,(IF(E532="AE",1,(IF(E532="CM",2,(IF(E532="DP",3,(IF(E532="AN",1,(IF(E532="CO",2,(IF(E532="IM",3,(IF(E532="MI",4,(IF(E532="RP",5,(IF(E532="SC",6,0)))))))))))))))))))))))))))))))))))))))</f>
        <v>1</v>
      </c>
      <c r="G532" s="170">
        <v>1</v>
      </c>
      <c r="H532" s="38" t="s">
        <v>512</v>
      </c>
      <c r="I532" s="105" t="s">
        <v>1449</v>
      </c>
      <c r="J532" s="157" t="s">
        <v>1526</v>
      </c>
      <c r="K532" s="34" t="s">
        <v>1527</v>
      </c>
      <c r="L532" s="5">
        <f>IF(O532="","",N532*O532*M532)</f>
        <v>99</v>
      </c>
      <c r="M532" s="8">
        <v>1</v>
      </c>
      <c r="N532" s="1">
        <v>1</v>
      </c>
      <c r="O532" s="15">
        <f>IF(SUM(Q532:AF532)&lt;1,"",SUM(Q532:AF532)/COUNTIF(Q532:AF532,"&gt;0"))</f>
        <v>99</v>
      </c>
      <c r="P532" s="16"/>
      <c r="Q532" s="13"/>
      <c r="T532" s="4">
        <v>99</v>
      </c>
      <c r="U532" s="2"/>
      <c r="V532" s="2"/>
      <c r="W532" s="2"/>
      <c r="X532" s="2"/>
      <c r="Z532" s="2"/>
      <c r="AA532" s="2"/>
      <c r="AF532" s="14"/>
    </row>
    <row r="533" spans="1:33" s="4" customFormat="1" ht="15.75" customHeight="1" x14ac:dyDescent="0.25">
      <c r="A533" s="33" t="str">
        <f>CONCATENATE(D533,".",F533,"-",G533,".",H533,"")</f>
        <v>2.1-1.2</v>
      </c>
      <c r="B533" s="33" t="s">
        <v>814</v>
      </c>
      <c r="C533" s="39" t="s">
        <v>262</v>
      </c>
      <c r="D533" s="33">
        <f>IF(C533="ID",1,(IF(C533="PR",2,(IF(C533="DE",3,(IF(C533="RS",4,(IF(C533="RC",5,0)))))))))</f>
        <v>2</v>
      </c>
      <c r="E533" s="33" t="s">
        <v>257</v>
      </c>
      <c r="F533" s="33">
        <f>IF(E533="AM",1,(IF(E533="BE",2,(IF(E533="GV",3,(IF(E533="RA",4,(IF(E533="RM",5,(IF(E533="AC",1,(IF(E533="AT",2,(IF(E533="DS",3,(IF(E533="IP",4,(IF(E533="MA",5,(IF(E533="PT",6,(IF(E533="AE",1,(IF(E533="CM",2,(IF(E533="DP",3,(IF(E533="AN",1,(IF(E533="CO",2,(IF(E533="IM",3,(IF(E533="MI",4,(IF(E533="RP",5,(IF(E533="SC",6,0)))))))))))))))))))))))))))))))))))))))</f>
        <v>1</v>
      </c>
      <c r="G533" s="170">
        <v>1</v>
      </c>
      <c r="H533" s="38" t="s">
        <v>512</v>
      </c>
      <c r="I533" s="105" t="s">
        <v>1449</v>
      </c>
      <c r="J533" s="157" t="s">
        <v>1536</v>
      </c>
      <c r="K533" s="34" t="s">
        <v>1537</v>
      </c>
      <c r="L533" s="5">
        <f>IF(O533="","",N533*O533*M533)</f>
        <v>99</v>
      </c>
      <c r="M533" s="8">
        <v>1</v>
      </c>
      <c r="N533" s="1">
        <v>1</v>
      </c>
      <c r="O533" s="15">
        <f>IF(SUM(Q533:AF533)&lt;1,"",SUM(Q533:AF533)/COUNTIF(Q533:AF533,"&gt;0"))</f>
        <v>99</v>
      </c>
      <c r="P533" s="16"/>
      <c r="Q533" s="13"/>
      <c r="T533" s="4">
        <v>99</v>
      </c>
      <c r="U533" s="2"/>
      <c r="V533" s="2"/>
      <c r="W533" s="2"/>
      <c r="X533" s="2"/>
      <c r="Z533" s="2"/>
      <c r="AA533" s="2"/>
      <c r="AF533" s="14"/>
    </row>
    <row r="534" spans="1:33" ht="15.75" customHeight="1" x14ac:dyDescent="0.25">
      <c r="A534" s="33" t="str">
        <f>CONCATENATE(D534,".",F534,"-",G534,".",H534,"")</f>
        <v>2.1-1.3</v>
      </c>
      <c r="B534" s="33" t="s">
        <v>814</v>
      </c>
      <c r="C534" s="39" t="s">
        <v>262</v>
      </c>
      <c r="D534" s="33">
        <f>IF(C534="ID",1,(IF(C534="PR",2,(IF(C534="DE",3,(IF(C534="RS",4,(IF(C534="RC",5,0)))))))))</f>
        <v>2</v>
      </c>
      <c r="E534" s="33" t="s">
        <v>257</v>
      </c>
      <c r="F534" s="33">
        <f>IF(E534="AM",1,(IF(E534="BE",2,(IF(E534="GV",3,(IF(E534="RA",4,(IF(E534="RM",5,(IF(E534="AC",1,(IF(E534="AT",2,(IF(E534="DS",3,(IF(E534="IP",4,(IF(E534="MA",5,(IF(E534="PT",6,(IF(E534="AE",1,(IF(E534="CM",2,(IF(E534="DP",3,(IF(E534="AN",1,(IF(E534="CO",2,(IF(E534="IM",3,(IF(E534="MI",4,(IF(E534="RP",5,(IF(E534="SC",6,0)))))))))))))))))))))))))))))))))))))))</f>
        <v>1</v>
      </c>
      <c r="G534" s="170">
        <v>1</v>
      </c>
      <c r="H534" s="38" t="s">
        <v>513</v>
      </c>
      <c r="I534" s="105" t="s">
        <v>1449</v>
      </c>
      <c r="J534" s="157" t="s">
        <v>1560</v>
      </c>
      <c r="K534" s="34" t="s">
        <v>1561</v>
      </c>
      <c r="L534" s="5">
        <f>IF(O534="","",N534*O534*M534)</f>
        <v>99</v>
      </c>
      <c r="M534" s="8">
        <v>1</v>
      </c>
      <c r="N534" s="1">
        <v>1</v>
      </c>
      <c r="O534" s="15">
        <f>IF(SUM(Q534:AF534)&lt;1,"",SUM(Q534:AF534)/COUNTIF(Q534:AF534,"&gt;0"))</f>
        <v>99</v>
      </c>
      <c r="P534" s="16"/>
      <c r="Q534" s="13"/>
      <c r="R534" s="4"/>
      <c r="S534" s="4"/>
      <c r="T534" s="4">
        <v>99</v>
      </c>
      <c r="U534" s="2"/>
      <c r="V534" s="2"/>
      <c r="W534" s="2"/>
      <c r="X534" s="2"/>
      <c r="Y534" s="4"/>
      <c r="Z534" s="2"/>
      <c r="AA534" s="2"/>
      <c r="AB534" s="4"/>
      <c r="AC534" s="4"/>
      <c r="AD534" s="4"/>
      <c r="AE534" s="4"/>
      <c r="AF534" s="14"/>
      <c r="AG534" s="3"/>
    </row>
    <row r="535" spans="1:33" ht="15.75" customHeight="1" x14ac:dyDescent="0.25">
      <c r="A535" s="33" t="str">
        <f>CONCATENATE(D535,".",F535,"-",G535,".",H535,"")</f>
        <v>2.1-1.9</v>
      </c>
      <c r="B535" s="33" t="s">
        <v>814</v>
      </c>
      <c r="C535" s="39" t="s">
        <v>262</v>
      </c>
      <c r="D535" s="33">
        <f>IF(C535="ID",1,(IF(C535="PR",2,(IF(C535="DE",3,(IF(C535="RS",4,(IF(C535="RC",5,0)))))))))</f>
        <v>2</v>
      </c>
      <c r="E535" s="33" t="s">
        <v>257</v>
      </c>
      <c r="F535" s="33">
        <f>IF(E535="AM",1,(IF(E535="BE",2,(IF(E535="GV",3,(IF(E535="RA",4,(IF(E535="RM",5,(IF(E535="AC",1,(IF(E535="AT",2,(IF(E535="DS",3,(IF(E535="IP",4,(IF(E535="MA",5,(IF(E535="PT",6,(IF(E535="AE",1,(IF(E535="CM",2,(IF(E535="DP",3,(IF(E535="AN",1,(IF(E535="CO",2,(IF(E535="IM",3,(IF(E535="MI",4,(IF(E535="RP",5,(IF(E535="SC",6,0)))))))))))))))))))))))))))))))))))))))</f>
        <v>1</v>
      </c>
      <c r="G535" s="170">
        <v>1</v>
      </c>
      <c r="H535" s="38" t="s">
        <v>596</v>
      </c>
      <c r="I535" s="105" t="s">
        <v>1449</v>
      </c>
      <c r="J535" s="157" t="s">
        <v>1524</v>
      </c>
      <c r="K535" s="34" t="s">
        <v>1525</v>
      </c>
      <c r="L535" s="5">
        <f>IF(O535="","",N535*O535*M535)</f>
        <v>99</v>
      </c>
      <c r="M535" s="8">
        <v>1</v>
      </c>
      <c r="N535" s="1">
        <v>1</v>
      </c>
      <c r="O535" s="15">
        <f>IF(SUM(Q535:AF535)&lt;1,"",SUM(Q535:AF535)/COUNTIF(Q535:AF535,"&gt;0"))</f>
        <v>99</v>
      </c>
      <c r="P535" s="16"/>
      <c r="Q535" s="13"/>
      <c r="R535" s="4"/>
      <c r="S535" s="4"/>
      <c r="T535" s="4">
        <v>99</v>
      </c>
      <c r="U535" s="2"/>
      <c r="V535" s="2"/>
      <c r="W535" s="2"/>
      <c r="X535" s="2"/>
      <c r="Y535" s="4"/>
      <c r="Z535" s="2"/>
      <c r="AA535" s="2"/>
      <c r="AB535" s="4"/>
      <c r="AC535" s="4"/>
      <c r="AD535" s="4"/>
      <c r="AE535" s="4"/>
      <c r="AF535" s="14"/>
      <c r="AG535" s="3"/>
    </row>
    <row r="536" spans="1:33" ht="15.75" customHeight="1" x14ac:dyDescent="0.25">
      <c r="A536" s="33" t="str">
        <f>CONCATENATE(D536,".",F536,"-",G536,".",H536,"")</f>
        <v>2.1-2.0</v>
      </c>
      <c r="B536" s="33" t="s">
        <v>814</v>
      </c>
      <c r="C536" s="39" t="s">
        <v>262</v>
      </c>
      <c r="D536" s="33">
        <f>IF(C536="ID",1,(IF(C536="PR",2,(IF(C536="DE",3,(IF(C536="RS",4,(IF(C536="RC",5,0)))))))))</f>
        <v>2</v>
      </c>
      <c r="E536" s="33" t="s">
        <v>257</v>
      </c>
      <c r="F536" s="33">
        <f>IF(E536="AM",1,(IF(E536="BE",2,(IF(E536="GV",3,(IF(E536="RA",4,(IF(E536="RM",5,(IF(E536="AC",1,(IF(E536="AT",2,(IF(E536="DS",3,(IF(E536="IP",4,(IF(E536="MA",5,(IF(E536="PT",6,(IF(E536="AE",1,(IF(E536="CM",2,(IF(E536="DP",3,(IF(E536="AN",1,(IF(E536="CO",2,(IF(E536="IM",3,(IF(E536="MI",4,(IF(E536="RP",5,(IF(E536="SC",6,0)))))))))))))))))))))))))))))))))))))))</f>
        <v>1</v>
      </c>
      <c r="G536" s="170">
        <v>2</v>
      </c>
      <c r="H536" s="38" t="s">
        <v>597</v>
      </c>
      <c r="I536" s="27" t="s">
        <v>1200</v>
      </c>
      <c r="J536" s="149" t="s">
        <v>663</v>
      </c>
      <c r="K536" s="98" t="s">
        <v>373</v>
      </c>
      <c r="L536" s="66">
        <f>IF(O536="","",N536*O536*M536)</f>
        <v>75</v>
      </c>
      <c r="M536" s="8">
        <v>1</v>
      </c>
      <c r="N536" s="1">
        <v>1</v>
      </c>
      <c r="O536" s="15">
        <f>IF(SUM(Q536:AF536)&lt;1,"",SUM(Q536:AF536)/COUNTIF(Q536:AF536,"&gt;0"))</f>
        <v>75</v>
      </c>
      <c r="P536" s="16"/>
      <c r="Q536" s="13"/>
      <c r="R536" s="4"/>
      <c r="S536" s="4"/>
      <c r="T536" s="4">
        <v>75</v>
      </c>
      <c r="U536" s="2"/>
      <c r="V536" s="2"/>
      <c r="W536" s="2"/>
      <c r="X536" s="2"/>
      <c r="Y536" s="4"/>
      <c r="Z536" s="2"/>
      <c r="AA536" s="2"/>
      <c r="AB536" s="4"/>
      <c r="AC536" s="4"/>
      <c r="AD536" s="4"/>
      <c r="AE536" s="4"/>
      <c r="AF536" s="14"/>
      <c r="AG536" s="3"/>
    </row>
    <row r="537" spans="1:33" ht="15.75" customHeight="1" x14ac:dyDescent="0.25">
      <c r="A537" s="33" t="str">
        <f>CONCATENATE(D537,".",F537,"-",G537,".",H537,"")</f>
        <v>2.1-2.1</v>
      </c>
      <c r="B537" s="33" t="s">
        <v>814</v>
      </c>
      <c r="C537" s="39" t="s">
        <v>262</v>
      </c>
      <c r="D537" s="33">
        <f>IF(C537="ID",1,(IF(C537="PR",2,(IF(C537="DE",3,(IF(C537="RS",4,(IF(C537="RC",5,0)))))))))</f>
        <v>2</v>
      </c>
      <c r="E537" s="33" t="s">
        <v>257</v>
      </c>
      <c r="F537" s="33">
        <f>IF(E537="AM",1,(IF(E537="BE",2,(IF(E537="GV",3,(IF(E537="RA",4,(IF(E537="RM",5,(IF(E537="AC",1,(IF(E537="AT",2,(IF(E537="DS",3,(IF(E537="IP",4,(IF(E537="MA",5,(IF(E537="PT",6,(IF(E537="AE",1,(IF(E537="CM",2,(IF(E537="DP",3,(IF(E537="AN",1,(IF(E537="CO",2,(IF(E537="IM",3,(IF(E537="MI",4,(IF(E537="RP",5,(IF(E537="SC",6,0)))))))))))))))))))))))))))))))))))))))</f>
        <v>1</v>
      </c>
      <c r="G537" s="170">
        <v>2</v>
      </c>
      <c r="H537" s="38" t="s">
        <v>511</v>
      </c>
      <c r="I537" s="105" t="s">
        <v>821</v>
      </c>
      <c r="J537" s="150">
        <v>9</v>
      </c>
      <c r="K537" s="79" t="s">
        <v>1283</v>
      </c>
      <c r="L537" s="66">
        <f>IF(O537="","",N537*O537*M537)</f>
        <v>75</v>
      </c>
      <c r="M537" s="8">
        <v>1</v>
      </c>
      <c r="N537" s="3">
        <v>1</v>
      </c>
      <c r="O537" s="15">
        <f>IF(SUM(Q537:AF537)&lt;1,"",SUM(Q537:AF537)/COUNTIF(Q537:AF537,"&gt;0"))</f>
        <v>75</v>
      </c>
      <c r="P537" s="16"/>
      <c r="Q537" s="13"/>
      <c r="R537" s="4"/>
      <c r="S537" s="4"/>
      <c r="T537" s="4">
        <v>75</v>
      </c>
      <c r="U537" s="2"/>
      <c r="V537" s="2"/>
      <c r="W537" s="2"/>
      <c r="X537" s="2"/>
      <c r="Y537" s="4"/>
      <c r="Z537" s="2"/>
      <c r="AA537" s="2"/>
      <c r="AB537" s="4"/>
      <c r="AC537" s="4"/>
      <c r="AD537" s="4"/>
      <c r="AE537" s="4"/>
      <c r="AF537" s="14"/>
      <c r="AG537" s="3"/>
    </row>
    <row r="538" spans="1:33" ht="15.75" customHeight="1" x14ac:dyDescent="0.25">
      <c r="A538" s="33" t="str">
        <f>CONCATENATE(D538,".",F538,"-",G538,".",H538,"")</f>
        <v>2.1-2.1</v>
      </c>
      <c r="B538" s="33" t="s">
        <v>814</v>
      </c>
      <c r="C538" s="40" t="s">
        <v>262</v>
      </c>
      <c r="D538" s="33">
        <f>IF(C538="ID",1,(IF(C538="PR",2,(IF(C538="DE",3,(IF(C538="RS",4,(IF(C538="RC",5,0)))))))))</f>
        <v>2</v>
      </c>
      <c r="E538" s="33" t="s">
        <v>257</v>
      </c>
      <c r="F538" s="33">
        <f>IF(E538="AM",1,(IF(E538="BE",2,(IF(E538="GV",3,(IF(E538="RA",4,(IF(E538="RM",5,(IF(E538="AC",1,(IF(E538="AT",2,(IF(E538="DS",3,(IF(E538="IP",4,(IF(E538="MA",5,(IF(E538="PT",6,(IF(E538="AE",1,(IF(E538="CM",2,(IF(E538="DP",3,(IF(E538="AN",1,(IF(E538="CO",2,(IF(E538="IM",3,(IF(E538="MI",4,(IF(E538="RP",5,(IF(E538="SC",6,0)))))))))))))))))))))))))))))))))))))))</f>
        <v>1</v>
      </c>
      <c r="G538" s="171">
        <v>2</v>
      </c>
      <c r="H538" s="38" t="s">
        <v>511</v>
      </c>
      <c r="I538" s="105" t="s">
        <v>821</v>
      </c>
      <c r="J538" s="166">
        <v>9.1</v>
      </c>
      <c r="K538" s="79" t="s">
        <v>1283</v>
      </c>
      <c r="L538" s="66">
        <f>IF(O538="","",N538*O538*M538)</f>
        <v>75</v>
      </c>
      <c r="M538" s="8">
        <v>1</v>
      </c>
      <c r="N538" s="3">
        <v>1</v>
      </c>
      <c r="O538" s="15">
        <f>IF(SUM(Q538:AF538)&lt;1,"",SUM(Q538:AF538)/COUNTIF(Q538:AF538,"&gt;0"))</f>
        <v>75</v>
      </c>
      <c r="P538" s="16"/>
      <c r="Q538" s="13"/>
      <c r="R538" s="4"/>
      <c r="S538" s="4"/>
      <c r="T538" s="4">
        <v>75</v>
      </c>
      <c r="U538" s="2"/>
      <c r="V538" s="2"/>
      <c r="W538" s="2"/>
      <c r="X538" s="2"/>
      <c r="Y538" s="4"/>
      <c r="Z538" s="2"/>
      <c r="AA538" s="2"/>
      <c r="AB538" s="4"/>
      <c r="AC538" s="4"/>
      <c r="AD538" s="4"/>
      <c r="AE538" s="4"/>
      <c r="AF538" s="14"/>
      <c r="AG538" s="3"/>
    </row>
    <row r="539" spans="1:33" ht="15.75" customHeight="1" x14ac:dyDescent="0.25">
      <c r="A539" s="33" t="str">
        <f>CONCATENATE(D539,".",F539,"-",G539,".",H539,"")</f>
        <v>2.1-2.1</v>
      </c>
      <c r="B539" s="33" t="s">
        <v>814</v>
      </c>
      <c r="C539" s="39" t="s">
        <v>262</v>
      </c>
      <c r="D539" s="33">
        <f>IF(C539="ID",1,(IF(C539="PR",2,(IF(C539="DE",3,(IF(C539="RS",4,(IF(C539="RC",5,0)))))))))</f>
        <v>2</v>
      </c>
      <c r="E539" s="33" t="s">
        <v>257</v>
      </c>
      <c r="F539" s="33">
        <f>IF(E539="AM",1,(IF(E539="BE",2,(IF(E539="GV",3,(IF(E539="RA",4,(IF(E539="RM",5,(IF(E539="AC",1,(IF(E539="AT",2,(IF(E539="DS",3,(IF(E539="IP",4,(IF(E539="MA",5,(IF(E539="PT",6,(IF(E539="AE",1,(IF(E539="CM",2,(IF(E539="DP",3,(IF(E539="AN",1,(IF(E539="CO",2,(IF(E539="IM",3,(IF(E539="MI",4,(IF(E539="RP",5,(IF(E539="SC",6,0)))))))))))))))))))))))))))))))))))))))</f>
        <v>1</v>
      </c>
      <c r="G539" s="170">
        <v>2</v>
      </c>
      <c r="H539" s="38" t="s">
        <v>511</v>
      </c>
      <c r="I539" s="35" t="s">
        <v>1176</v>
      </c>
      <c r="J539" s="177">
        <v>5.3</v>
      </c>
      <c r="K539" s="80" t="s">
        <v>1233</v>
      </c>
      <c r="L539" s="66">
        <f>IF(O539="","",N539*O539*M539)</f>
        <v>75</v>
      </c>
      <c r="M539" s="8">
        <v>1</v>
      </c>
      <c r="N539" s="3">
        <v>1</v>
      </c>
      <c r="O539" s="15">
        <f>IF(SUM(Q539:AF539)&lt;1,"",SUM(Q539:AF539)/COUNTIF(Q539:AF539,"&gt;0"))</f>
        <v>75</v>
      </c>
      <c r="P539" s="16"/>
      <c r="Q539" s="13"/>
      <c r="R539" s="4"/>
      <c r="S539" s="4"/>
      <c r="T539" s="4">
        <v>75</v>
      </c>
      <c r="U539" s="2"/>
      <c r="V539" s="2"/>
      <c r="W539" s="2"/>
      <c r="X539" s="2"/>
      <c r="Y539" s="4"/>
      <c r="Z539" s="2"/>
      <c r="AA539" s="2"/>
      <c r="AB539" s="4"/>
      <c r="AC539" s="4"/>
      <c r="AD539" s="4"/>
      <c r="AE539" s="4"/>
      <c r="AF539" s="14"/>
      <c r="AG539" s="3"/>
    </row>
    <row r="540" spans="1:33" ht="15.75" customHeight="1" x14ac:dyDescent="0.25">
      <c r="A540" s="33" t="str">
        <f>CONCATENATE(D540,".",F540,"-",G540,".",H540,"")</f>
        <v>2.1-2.1</v>
      </c>
      <c r="B540" s="33" t="s">
        <v>814</v>
      </c>
      <c r="C540" s="39" t="s">
        <v>262</v>
      </c>
      <c r="D540" s="33">
        <f>IF(C540="ID",1,(IF(C540="PR",2,(IF(C540="DE",3,(IF(C540="RS",4,(IF(C540="RC",5,0)))))))))</f>
        <v>2</v>
      </c>
      <c r="E540" s="33" t="s">
        <v>257</v>
      </c>
      <c r="F540" s="33">
        <f>IF(E540="AM",1,(IF(E540="BE",2,(IF(E540="GV",3,(IF(E540="RA",4,(IF(E540="RM",5,(IF(E540="AC",1,(IF(E540="AT",2,(IF(E540="DS",3,(IF(E540="IP",4,(IF(E540="MA",5,(IF(E540="PT",6,(IF(E540="AE",1,(IF(E540="CM",2,(IF(E540="DP",3,(IF(E540="AN",1,(IF(E540="CO",2,(IF(E540="IM",3,(IF(E540="MI",4,(IF(E540="RP",5,(IF(E540="SC",6,0)))))))))))))))))))))))))))))))))))))))</f>
        <v>1</v>
      </c>
      <c r="G540" s="170">
        <v>2</v>
      </c>
      <c r="H540" s="38" t="s">
        <v>511</v>
      </c>
      <c r="I540" s="35" t="s">
        <v>1176</v>
      </c>
      <c r="J540" s="177">
        <v>15.4</v>
      </c>
      <c r="K540" s="80" t="s">
        <v>1246</v>
      </c>
      <c r="L540" s="66">
        <f>IF(O540="","",N540*O540*M540)</f>
        <v>75</v>
      </c>
      <c r="M540" s="8">
        <v>1</v>
      </c>
      <c r="N540" s="3">
        <v>1</v>
      </c>
      <c r="O540" s="15">
        <f>IF(SUM(Q540:AF540)&lt;1,"",SUM(Q540:AF540)/COUNTIF(Q540:AF540,"&gt;0"))</f>
        <v>75</v>
      </c>
      <c r="P540" s="16"/>
      <c r="Q540" s="13"/>
      <c r="R540" s="4"/>
      <c r="S540" s="4"/>
      <c r="T540" s="4">
        <v>75</v>
      </c>
      <c r="U540" s="2"/>
      <c r="V540" s="2"/>
      <c r="W540" s="2"/>
      <c r="X540" s="2"/>
      <c r="Y540" s="4"/>
      <c r="Z540" s="2"/>
      <c r="AA540" s="2"/>
      <c r="AB540" s="4"/>
      <c r="AC540" s="4"/>
      <c r="AD540" s="4"/>
      <c r="AE540" s="4"/>
      <c r="AF540" s="14"/>
      <c r="AG540" s="3"/>
    </row>
    <row r="541" spans="1:33" ht="15.75" customHeight="1" x14ac:dyDescent="0.25">
      <c r="A541" s="33" t="str">
        <f>CONCATENATE(D541,".",F541,"-",G541,".",H541,"")</f>
        <v>2.1-2.1</v>
      </c>
      <c r="B541" s="33" t="s">
        <v>814</v>
      </c>
      <c r="C541" s="40" t="s">
        <v>262</v>
      </c>
      <c r="D541" s="33">
        <f>IF(C541="ID",1,(IF(C541="PR",2,(IF(C541="DE",3,(IF(C541="RS",4,(IF(C541="RC",5,0)))))))))</f>
        <v>2</v>
      </c>
      <c r="E541" s="33" t="s">
        <v>257</v>
      </c>
      <c r="F541" s="33">
        <f>IF(E541="AM",1,(IF(E541="BE",2,(IF(E541="GV",3,(IF(E541="RA",4,(IF(E541="RM",5,(IF(E541="AC",1,(IF(E541="AT",2,(IF(E541="DS",3,(IF(E541="IP",4,(IF(E541="MA",5,(IF(E541="PT",6,(IF(E541="AE",1,(IF(E541="CM",2,(IF(E541="DP",3,(IF(E541="AN",1,(IF(E541="CO",2,(IF(E541="IM",3,(IF(E541="MI",4,(IF(E541="RP",5,(IF(E541="SC",6,0)))))))))))))))))))))))))))))))))))))))</f>
        <v>1</v>
      </c>
      <c r="G541" s="171">
        <v>2</v>
      </c>
      <c r="H541" s="38" t="s">
        <v>511</v>
      </c>
      <c r="I541" s="105" t="s">
        <v>821</v>
      </c>
      <c r="J541" s="166">
        <v>9.9</v>
      </c>
      <c r="K541" s="79" t="s">
        <v>1283</v>
      </c>
      <c r="L541" s="66">
        <f>IF(O541="","",N541*O541*M541)</f>
        <v>75</v>
      </c>
      <c r="M541" s="8">
        <v>1</v>
      </c>
      <c r="N541" s="3">
        <v>1</v>
      </c>
      <c r="O541" s="15">
        <f>IF(SUM(Q541:AF541)&lt;1,"",SUM(Q541:AF541)/COUNTIF(Q541:AF541,"&gt;0"))</f>
        <v>75</v>
      </c>
      <c r="P541" s="16"/>
      <c r="Q541" s="13"/>
      <c r="R541" s="4"/>
      <c r="S541" s="4"/>
      <c r="T541" s="4">
        <v>75</v>
      </c>
      <c r="U541" s="2"/>
      <c r="V541" s="2"/>
      <c r="W541" s="2"/>
      <c r="X541" s="2"/>
      <c r="Y541" s="4"/>
      <c r="Z541" s="2"/>
      <c r="AA541" s="2"/>
      <c r="AB541" s="4"/>
      <c r="AC541" s="4"/>
      <c r="AD541" s="4"/>
      <c r="AE541" s="4"/>
      <c r="AF541" s="14"/>
      <c r="AG541" s="3"/>
    </row>
    <row r="542" spans="1:33" ht="15.75" customHeight="1" x14ac:dyDescent="0.25">
      <c r="A542" s="33" t="str">
        <f>CONCATENATE(D542,".",F542,"-",G542,".",H542,"")</f>
        <v>2.1-2.1</v>
      </c>
      <c r="B542" s="33" t="s">
        <v>814</v>
      </c>
      <c r="C542" s="40" t="s">
        <v>262</v>
      </c>
      <c r="D542" s="33">
        <f>IF(C542="ID",1,(IF(C542="PR",2,(IF(C542="DE",3,(IF(C542="RS",4,(IF(C542="RC",5,0)))))))))</f>
        <v>2</v>
      </c>
      <c r="E542" s="33" t="s">
        <v>257</v>
      </c>
      <c r="F542" s="33">
        <f>IF(E542="AM",1,(IF(E542="BE",2,(IF(E542="GV",3,(IF(E542="RA",4,(IF(E542="RM",5,(IF(E542="AC",1,(IF(E542="AT",2,(IF(E542="DS",3,(IF(E542="IP",4,(IF(E542="MA",5,(IF(E542="PT",6,(IF(E542="AE",1,(IF(E542="CM",2,(IF(E542="DP",3,(IF(E542="AN",1,(IF(E542="CO",2,(IF(E542="IM",3,(IF(E542="MI",4,(IF(E542="RP",5,(IF(E542="SC",6,0)))))))))))))))))))))))))))))))))))))))</f>
        <v>1</v>
      </c>
      <c r="G542" s="171">
        <v>2</v>
      </c>
      <c r="H542" s="38" t="s">
        <v>511</v>
      </c>
      <c r="I542" s="27" t="s">
        <v>936</v>
      </c>
      <c r="J542" s="163" t="s">
        <v>918</v>
      </c>
      <c r="K542" s="4" t="s">
        <v>948</v>
      </c>
      <c r="L542" s="66">
        <f>IF(O542="","",N542*O542*M542)</f>
        <v>75</v>
      </c>
      <c r="M542" s="8">
        <v>1</v>
      </c>
      <c r="N542" s="3">
        <v>1</v>
      </c>
      <c r="O542" s="15">
        <f>IF(SUM(Q542:AF542)&lt;1,"",SUM(Q542:AF542)/COUNTIF(Q542:AF542,"&gt;0"))</f>
        <v>75</v>
      </c>
      <c r="P542" s="16"/>
      <c r="Q542" s="13"/>
      <c r="R542" s="4"/>
      <c r="S542" s="4"/>
      <c r="T542" s="4">
        <v>75</v>
      </c>
      <c r="U542" s="2"/>
      <c r="V542" s="2"/>
      <c r="W542" s="2"/>
      <c r="X542" s="2"/>
      <c r="Y542" s="4"/>
      <c r="Z542" s="2"/>
      <c r="AA542" s="2"/>
      <c r="AB542" s="4"/>
      <c r="AC542" s="4"/>
      <c r="AD542" s="4"/>
      <c r="AE542" s="4"/>
      <c r="AF542" s="14"/>
      <c r="AG542" s="3"/>
    </row>
    <row r="543" spans="1:33" ht="15.75" customHeight="1" x14ac:dyDescent="0.25">
      <c r="A543" s="33" t="str">
        <f>CONCATENATE(D543,".",F543,"-",G543,".",H543,"")</f>
        <v>2.1-2.1</v>
      </c>
      <c r="B543" s="33" t="s">
        <v>814</v>
      </c>
      <c r="C543" s="40" t="s">
        <v>262</v>
      </c>
      <c r="D543" s="33">
        <f>IF(C543="ID",1,(IF(C543="PR",2,(IF(C543="DE",3,(IF(C543="RS",4,(IF(C543="RC",5,0)))))))))</f>
        <v>2</v>
      </c>
      <c r="E543" s="33" t="s">
        <v>257</v>
      </c>
      <c r="F543" s="33">
        <f>IF(E543="AM",1,(IF(E543="BE",2,(IF(E543="GV",3,(IF(E543="RA",4,(IF(E543="RM",5,(IF(E543="AC",1,(IF(E543="AT",2,(IF(E543="DS",3,(IF(E543="IP",4,(IF(E543="MA",5,(IF(E543="PT",6,(IF(E543="AE",1,(IF(E543="CM",2,(IF(E543="DP",3,(IF(E543="AN",1,(IF(E543="CO",2,(IF(E543="IM",3,(IF(E543="MI",4,(IF(E543="RP",5,(IF(E543="SC",6,0)))))))))))))))))))))))))))))))))))))))</f>
        <v>1</v>
      </c>
      <c r="G543" s="171">
        <v>2</v>
      </c>
      <c r="H543" s="38" t="s">
        <v>511</v>
      </c>
      <c r="I543" s="27" t="s">
        <v>936</v>
      </c>
      <c r="J543" s="163" t="s">
        <v>881</v>
      </c>
      <c r="K543" s="34" t="s">
        <v>986</v>
      </c>
      <c r="L543" s="66">
        <f>IF(O543="","",N543*O543*M543)</f>
        <v>75</v>
      </c>
      <c r="M543" s="8">
        <v>1</v>
      </c>
      <c r="N543" s="3">
        <v>1</v>
      </c>
      <c r="O543" s="15">
        <f>IF(SUM(Q543:AF543)&lt;1,"",SUM(Q543:AF543)/COUNTIF(Q543:AF543,"&gt;0"))</f>
        <v>75</v>
      </c>
      <c r="P543" s="16"/>
      <c r="Q543" s="13"/>
      <c r="R543" s="4"/>
      <c r="S543" s="4"/>
      <c r="T543" s="4">
        <v>75</v>
      </c>
      <c r="U543" s="2"/>
      <c r="V543" s="2"/>
      <c r="W543" s="2"/>
      <c r="X543" s="2"/>
      <c r="Y543" s="4"/>
      <c r="Z543" s="2"/>
      <c r="AA543" s="2"/>
      <c r="AB543" s="4"/>
      <c r="AC543" s="4"/>
      <c r="AD543" s="4"/>
      <c r="AE543" s="4"/>
      <c r="AF543" s="14"/>
      <c r="AG543" s="3"/>
    </row>
    <row r="544" spans="1:33" s="4" customFormat="1" ht="15.75" customHeight="1" x14ac:dyDescent="0.25">
      <c r="A544" s="33" t="str">
        <f>CONCATENATE(D544,".",F544,"-",G544,".",H544,"")</f>
        <v>2.1-2.1</v>
      </c>
      <c r="B544" s="33" t="s">
        <v>814</v>
      </c>
      <c r="C544" s="40" t="s">
        <v>262</v>
      </c>
      <c r="D544" s="33">
        <f>IF(C544="ID",1,(IF(C544="PR",2,(IF(C544="DE",3,(IF(C544="RS",4,(IF(C544="RC",5,0)))))))))</f>
        <v>2</v>
      </c>
      <c r="E544" s="33" t="s">
        <v>257</v>
      </c>
      <c r="F544" s="33">
        <f>IF(E544="AM",1,(IF(E544="BE",2,(IF(E544="GV",3,(IF(E544="RA",4,(IF(E544="RM",5,(IF(E544="AC",1,(IF(E544="AT",2,(IF(E544="DS",3,(IF(E544="IP",4,(IF(E544="MA",5,(IF(E544="PT",6,(IF(E544="AE",1,(IF(E544="CM",2,(IF(E544="DP",3,(IF(E544="AN",1,(IF(E544="CO",2,(IF(E544="IM",3,(IF(E544="MI",4,(IF(E544="RP",5,(IF(E544="SC",6,0)))))))))))))))))))))))))))))))))))))))</f>
        <v>1</v>
      </c>
      <c r="G544" s="171">
        <v>2</v>
      </c>
      <c r="H544" s="38" t="s">
        <v>511</v>
      </c>
      <c r="I544" s="27" t="s">
        <v>936</v>
      </c>
      <c r="J544" s="163" t="s">
        <v>905</v>
      </c>
      <c r="K544" s="34" t="s">
        <v>987</v>
      </c>
      <c r="L544" s="66">
        <f>IF(O544="","",N544*O544*M544)</f>
        <v>75</v>
      </c>
      <c r="M544" s="8">
        <v>1</v>
      </c>
      <c r="N544" s="3">
        <v>1</v>
      </c>
      <c r="O544" s="15">
        <f>IF(SUM(Q544:AF544)&lt;1,"",SUM(Q544:AF544)/COUNTIF(Q544:AF544,"&gt;0"))</f>
        <v>75</v>
      </c>
      <c r="P544" s="16"/>
      <c r="Q544" s="13"/>
      <c r="T544" s="4">
        <v>75</v>
      </c>
      <c r="U544" s="2"/>
      <c r="V544" s="2"/>
      <c r="W544" s="2"/>
      <c r="X544" s="2"/>
      <c r="Z544" s="2"/>
      <c r="AA544" s="2"/>
      <c r="AF544" s="14"/>
    </row>
    <row r="545" spans="1:33" s="4" customFormat="1" ht="15.75" customHeight="1" x14ac:dyDescent="0.25">
      <c r="A545" s="33" t="str">
        <f>CONCATENATE(D545,".",F545,"-",G545,".",H545,"")</f>
        <v>2.1-2.1</v>
      </c>
      <c r="B545" s="33" t="s">
        <v>814</v>
      </c>
      <c r="C545" s="40" t="s">
        <v>262</v>
      </c>
      <c r="D545" s="33">
        <f>IF(C545="ID",1,(IF(C545="PR",2,(IF(C545="DE",3,(IF(C545="RS",4,(IF(C545="RC",5,0)))))))))</f>
        <v>2</v>
      </c>
      <c r="E545" s="33" t="s">
        <v>257</v>
      </c>
      <c r="F545" s="33">
        <f>IF(E545="AM",1,(IF(E545="BE",2,(IF(E545="GV",3,(IF(E545="RA",4,(IF(E545="RM",5,(IF(E545="AC",1,(IF(E545="AT",2,(IF(E545="DS",3,(IF(E545="IP",4,(IF(E545="MA",5,(IF(E545="PT",6,(IF(E545="AE",1,(IF(E545="CM",2,(IF(E545="DP",3,(IF(E545="AN",1,(IF(E545="CO",2,(IF(E545="IM",3,(IF(E545="MI",4,(IF(E545="RP",5,(IF(E545="SC",6,0)))))))))))))))))))))))))))))))))))))))</f>
        <v>1</v>
      </c>
      <c r="G545" s="171">
        <v>2</v>
      </c>
      <c r="H545" s="38" t="s">
        <v>511</v>
      </c>
      <c r="I545" s="27" t="s">
        <v>936</v>
      </c>
      <c r="J545" s="163" t="s">
        <v>887</v>
      </c>
      <c r="K545" s="34" t="s">
        <v>996</v>
      </c>
      <c r="L545" s="66">
        <f>IF(O545="","",N545*O545*M545)</f>
        <v>75</v>
      </c>
      <c r="M545" s="8">
        <v>1</v>
      </c>
      <c r="N545" s="3">
        <v>1</v>
      </c>
      <c r="O545" s="15">
        <f>IF(SUM(Q545:AF545)&lt;1,"",SUM(Q545:AF545)/COUNTIF(Q545:AF545,"&gt;0"))</f>
        <v>75</v>
      </c>
      <c r="P545" s="16"/>
      <c r="Q545" s="13"/>
      <c r="T545" s="4">
        <v>75</v>
      </c>
      <c r="U545" s="2"/>
      <c r="V545" s="2"/>
      <c r="W545" s="2"/>
      <c r="X545" s="2"/>
      <c r="Z545" s="2"/>
      <c r="AA545" s="2"/>
      <c r="AF545" s="14"/>
    </row>
    <row r="546" spans="1:33" s="4" customFormat="1" ht="15.75" customHeight="1" x14ac:dyDescent="0.25">
      <c r="A546" s="33" t="str">
        <f>CONCATENATE(D546,".",F546,"-",G546,".",H546,"")</f>
        <v>2.1-2.1</v>
      </c>
      <c r="B546" s="33" t="s">
        <v>814</v>
      </c>
      <c r="C546" s="40" t="s">
        <v>262</v>
      </c>
      <c r="D546" s="33">
        <f>IF(C546="ID",1,(IF(C546="PR",2,(IF(C546="DE",3,(IF(C546="RS",4,(IF(C546="RC",5,0)))))))))</f>
        <v>2</v>
      </c>
      <c r="E546" s="33" t="s">
        <v>257</v>
      </c>
      <c r="F546" s="33">
        <f>IF(E546="AM",1,(IF(E546="BE",2,(IF(E546="GV",3,(IF(E546="RA",4,(IF(E546="RM",5,(IF(E546="AC",1,(IF(E546="AT",2,(IF(E546="DS",3,(IF(E546="IP",4,(IF(E546="MA",5,(IF(E546="PT",6,(IF(E546="AE",1,(IF(E546="CM",2,(IF(E546="DP",3,(IF(E546="AN",1,(IF(E546="CO",2,(IF(E546="IM",3,(IF(E546="MI",4,(IF(E546="RP",5,(IF(E546="SC",6,0)))))))))))))))))))))))))))))))))))))))</f>
        <v>1</v>
      </c>
      <c r="G546" s="171">
        <v>2</v>
      </c>
      <c r="H546" s="38" t="s">
        <v>511</v>
      </c>
      <c r="I546" s="27" t="s">
        <v>936</v>
      </c>
      <c r="J546" s="163" t="s">
        <v>878</v>
      </c>
      <c r="K546" s="34" t="s">
        <v>938</v>
      </c>
      <c r="L546" s="66">
        <f>IF(O546="","",N546*O546*M546)</f>
        <v>75</v>
      </c>
      <c r="M546" s="8">
        <v>1</v>
      </c>
      <c r="N546" s="3">
        <v>1</v>
      </c>
      <c r="O546" s="15">
        <f>IF(SUM(Q546:AF546)&lt;1,"",SUM(Q546:AF546)/COUNTIF(Q546:AF546,"&gt;0"))</f>
        <v>75</v>
      </c>
      <c r="P546" s="16"/>
      <c r="Q546" s="13"/>
      <c r="T546" s="4">
        <v>75</v>
      </c>
      <c r="U546" s="2"/>
      <c r="V546" s="2"/>
      <c r="W546" s="2"/>
      <c r="X546" s="2"/>
      <c r="Z546" s="2"/>
      <c r="AA546" s="2"/>
      <c r="AF546" s="14"/>
    </row>
    <row r="547" spans="1:33" s="4" customFormat="1" ht="15.75" customHeight="1" x14ac:dyDescent="0.25">
      <c r="A547" s="33" t="str">
        <f>CONCATENATE(D547,".",F547,"-",G547,".",H547,"")</f>
        <v>2.1-2.1</v>
      </c>
      <c r="B547" s="33" t="s">
        <v>814</v>
      </c>
      <c r="C547" s="40" t="s">
        <v>262</v>
      </c>
      <c r="D547" s="33">
        <f>IF(C547="ID",1,(IF(C547="PR",2,(IF(C547="DE",3,(IF(C547="RS",4,(IF(C547="RC",5,0)))))))))</f>
        <v>2</v>
      </c>
      <c r="E547" s="33" t="s">
        <v>257</v>
      </c>
      <c r="F547" s="33">
        <f>IF(E547="AM",1,(IF(E547="BE",2,(IF(E547="GV",3,(IF(E547="RA",4,(IF(E547="RM",5,(IF(E547="AC",1,(IF(E547="AT",2,(IF(E547="DS",3,(IF(E547="IP",4,(IF(E547="MA",5,(IF(E547="PT",6,(IF(E547="AE",1,(IF(E547="CM",2,(IF(E547="DP",3,(IF(E547="AN",1,(IF(E547="CO",2,(IF(E547="IM",3,(IF(E547="MI",4,(IF(E547="RP",5,(IF(E547="SC",6,0)))))))))))))))))))))))))))))))))))))))</f>
        <v>1</v>
      </c>
      <c r="G547" s="171">
        <v>2</v>
      </c>
      <c r="H547" s="38" t="s">
        <v>511</v>
      </c>
      <c r="I547" s="27" t="s">
        <v>936</v>
      </c>
      <c r="J547" s="163" t="s">
        <v>866</v>
      </c>
      <c r="K547" s="34" t="s">
        <v>937</v>
      </c>
      <c r="L547" s="66">
        <f>IF(O547="","",N547*O547*M547)</f>
        <v>75</v>
      </c>
      <c r="M547" s="8">
        <v>1</v>
      </c>
      <c r="N547" s="3">
        <v>1</v>
      </c>
      <c r="O547" s="15">
        <f>IF(SUM(Q547:AF547)&lt;1,"",SUM(Q547:AF547)/COUNTIF(Q547:AF547,"&gt;0"))</f>
        <v>75</v>
      </c>
      <c r="P547" s="16"/>
      <c r="Q547" s="13"/>
      <c r="T547" s="4">
        <v>75</v>
      </c>
      <c r="U547" s="2"/>
      <c r="V547" s="2"/>
      <c r="W547" s="2"/>
      <c r="X547" s="2"/>
      <c r="Z547" s="2"/>
      <c r="AA547" s="2"/>
      <c r="AF547" s="14"/>
    </row>
    <row r="548" spans="1:33" s="4" customFormat="1" ht="15.75" customHeight="1" x14ac:dyDescent="0.25">
      <c r="A548" s="33" t="str">
        <f>CONCATENATE(D548,".",F548,"-",G548,".",H548,"")</f>
        <v>2.1-2.1</v>
      </c>
      <c r="B548" s="33" t="s">
        <v>814</v>
      </c>
      <c r="C548" s="40" t="s">
        <v>262</v>
      </c>
      <c r="D548" s="33">
        <f>IF(C548="ID",1,(IF(C548="PR",2,(IF(C548="DE",3,(IF(C548="RS",4,(IF(C548="RC",5,0)))))))))</f>
        <v>2</v>
      </c>
      <c r="E548" s="33" t="s">
        <v>257</v>
      </c>
      <c r="F548" s="33">
        <f>IF(E548="AM",1,(IF(E548="BE",2,(IF(E548="GV",3,(IF(E548="RA",4,(IF(E548="RM",5,(IF(E548="AC",1,(IF(E548="AT",2,(IF(E548="DS",3,(IF(E548="IP",4,(IF(E548="MA",5,(IF(E548="PT",6,(IF(E548="AE",1,(IF(E548="CM",2,(IF(E548="DP",3,(IF(E548="AN",1,(IF(E548="CO",2,(IF(E548="IM",3,(IF(E548="MI",4,(IF(E548="RP",5,(IF(E548="SC",6,0)))))))))))))))))))))))))))))))))))))))</f>
        <v>1</v>
      </c>
      <c r="G548" s="171">
        <v>2</v>
      </c>
      <c r="H548" s="38" t="s">
        <v>511</v>
      </c>
      <c r="I548" s="27" t="s">
        <v>936</v>
      </c>
      <c r="J548" s="163" t="s">
        <v>893</v>
      </c>
      <c r="K548" s="34" t="s">
        <v>939</v>
      </c>
      <c r="L548" s="66">
        <f>IF(O548="","",N548*O548*M548)</f>
        <v>75</v>
      </c>
      <c r="M548" s="8">
        <v>1</v>
      </c>
      <c r="N548" s="3">
        <v>1</v>
      </c>
      <c r="O548" s="15">
        <f>IF(SUM(Q548:AF548)&lt;1,"",SUM(Q548:AF548)/COUNTIF(Q548:AF548,"&gt;0"))</f>
        <v>75</v>
      </c>
      <c r="P548" s="16"/>
      <c r="Q548" s="13"/>
      <c r="T548" s="4">
        <v>75</v>
      </c>
      <c r="U548" s="2"/>
      <c r="V548" s="2"/>
      <c r="W548" s="2"/>
      <c r="X548" s="2"/>
      <c r="Z548" s="2"/>
      <c r="AA548" s="2"/>
      <c r="AF548" s="14"/>
    </row>
    <row r="549" spans="1:33" s="4" customFormat="1" ht="15.75" customHeight="1" x14ac:dyDescent="0.25">
      <c r="A549" s="33" t="str">
        <f>CONCATENATE(D549,".",F549,"-",G549,".",H549,"")</f>
        <v>2.1-2.1</v>
      </c>
      <c r="B549" s="33" t="s">
        <v>814</v>
      </c>
      <c r="C549" s="40" t="s">
        <v>262</v>
      </c>
      <c r="D549" s="33">
        <f>IF(C549="ID",1,(IF(C549="PR",2,(IF(C549="DE",3,(IF(C549="RS",4,(IF(C549="RC",5,0)))))))))</f>
        <v>2</v>
      </c>
      <c r="E549" s="33" t="s">
        <v>257</v>
      </c>
      <c r="F549" s="33">
        <f>IF(E549="AM",1,(IF(E549="BE",2,(IF(E549="GV",3,(IF(E549="RA",4,(IF(E549="RM",5,(IF(E549="AC",1,(IF(E549="AT",2,(IF(E549="DS",3,(IF(E549="IP",4,(IF(E549="MA",5,(IF(E549="PT",6,(IF(E549="AE",1,(IF(E549="CM",2,(IF(E549="DP",3,(IF(E549="AN",1,(IF(E549="CO",2,(IF(E549="IM",3,(IF(E549="MI",4,(IF(E549="RP",5,(IF(E549="SC",6,0)))))))))))))))))))))))))))))))))))))))</f>
        <v>1</v>
      </c>
      <c r="G549" s="171">
        <v>2</v>
      </c>
      <c r="H549" s="38" t="s">
        <v>511</v>
      </c>
      <c r="I549" s="27" t="s">
        <v>936</v>
      </c>
      <c r="J549" s="163" t="s">
        <v>906</v>
      </c>
      <c r="K549" s="34" t="s">
        <v>941</v>
      </c>
      <c r="L549" s="66">
        <f>IF(O549="","",N549*O549*M549)</f>
        <v>75</v>
      </c>
      <c r="M549" s="8">
        <v>1</v>
      </c>
      <c r="N549" s="3">
        <v>1</v>
      </c>
      <c r="O549" s="15">
        <f>IF(SUM(Q549:AF549)&lt;1,"",SUM(Q549:AF549)/COUNTIF(Q549:AF549,"&gt;0"))</f>
        <v>75</v>
      </c>
      <c r="P549" s="16"/>
      <c r="Q549" s="13"/>
      <c r="T549" s="4">
        <v>75</v>
      </c>
      <c r="U549" s="2"/>
      <c r="V549" s="2"/>
      <c r="W549" s="2"/>
      <c r="X549" s="2"/>
      <c r="Z549" s="2"/>
      <c r="AA549" s="2"/>
      <c r="AF549" s="14"/>
    </row>
    <row r="550" spans="1:33" s="4" customFormat="1" ht="15.75" customHeight="1" x14ac:dyDescent="0.25">
      <c r="A550" s="33" t="str">
        <f>CONCATENATE(D550,".",F550,"-",G550,".",H550,"")</f>
        <v>2.1-2.1</v>
      </c>
      <c r="B550" s="33" t="s">
        <v>814</v>
      </c>
      <c r="C550" s="40" t="s">
        <v>262</v>
      </c>
      <c r="D550" s="33">
        <f>IF(C550="ID",1,(IF(C550="PR",2,(IF(C550="DE",3,(IF(C550="RS",4,(IF(C550="RC",5,0)))))))))</f>
        <v>2</v>
      </c>
      <c r="E550" s="33" t="s">
        <v>257</v>
      </c>
      <c r="F550" s="33">
        <f>IF(E550="AM",1,(IF(E550="BE",2,(IF(E550="GV",3,(IF(E550="RA",4,(IF(E550="RM",5,(IF(E550="AC",1,(IF(E550="AT",2,(IF(E550="DS",3,(IF(E550="IP",4,(IF(E550="MA",5,(IF(E550="PT",6,(IF(E550="AE",1,(IF(E550="CM",2,(IF(E550="DP",3,(IF(E550="AN",1,(IF(E550="CO",2,(IF(E550="IM",3,(IF(E550="MI",4,(IF(E550="RP",5,(IF(E550="SC",6,0)))))))))))))))))))))))))))))))))))))))</f>
        <v>1</v>
      </c>
      <c r="G550" s="171">
        <v>2</v>
      </c>
      <c r="H550" s="38" t="s">
        <v>511</v>
      </c>
      <c r="I550" s="27" t="s">
        <v>936</v>
      </c>
      <c r="J550" s="163" t="s">
        <v>907</v>
      </c>
      <c r="K550" s="34" t="s">
        <v>942</v>
      </c>
      <c r="L550" s="66">
        <f>IF(O550="","",N550*O550*M550)</f>
        <v>75</v>
      </c>
      <c r="M550" s="8">
        <v>1</v>
      </c>
      <c r="N550" s="3">
        <v>1</v>
      </c>
      <c r="O550" s="15">
        <f>IF(SUM(Q550:AF550)&lt;1,"",SUM(Q550:AF550)/COUNTIF(Q550:AF550,"&gt;0"))</f>
        <v>75</v>
      </c>
      <c r="P550" s="16"/>
      <c r="Q550" s="13"/>
      <c r="T550" s="4">
        <v>75</v>
      </c>
      <c r="U550" s="2"/>
      <c r="V550" s="2"/>
      <c r="W550" s="2"/>
      <c r="X550" s="2"/>
      <c r="Z550" s="2"/>
      <c r="AA550" s="2"/>
      <c r="AF550" s="14"/>
    </row>
    <row r="551" spans="1:33" s="4" customFormat="1" ht="15.75" customHeight="1" x14ac:dyDescent="0.25">
      <c r="A551" s="33" t="str">
        <f>CONCATENATE(D551,".",F551,"-",G551,".",H551,"")</f>
        <v>2.1-2.1</v>
      </c>
      <c r="B551" s="33" t="s">
        <v>814</v>
      </c>
      <c r="C551" s="40" t="s">
        <v>262</v>
      </c>
      <c r="D551" s="33">
        <f>IF(C551="ID",1,(IF(C551="PR",2,(IF(C551="DE",3,(IF(C551="RS",4,(IF(C551="RC",5,0)))))))))</f>
        <v>2</v>
      </c>
      <c r="E551" s="33" t="s">
        <v>257</v>
      </c>
      <c r="F551" s="33">
        <f>IF(E551="AM",1,(IF(E551="BE",2,(IF(E551="GV",3,(IF(E551="RA",4,(IF(E551="RM",5,(IF(E551="AC",1,(IF(E551="AT",2,(IF(E551="DS",3,(IF(E551="IP",4,(IF(E551="MA",5,(IF(E551="PT",6,(IF(E551="AE",1,(IF(E551="CM",2,(IF(E551="DP",3,(IF(E551="AN",1,(IF(E551="CO",2,(IF(E551="IM",3,(IF(E551="MI",4,(IF(E551="RP",5,(IF(E551="SC",6,0)))))))))))))))))))))))))))))))))))))))</f>
        <v>1</v>
      </c>
      <c r="G551" s="171">
        <v>2</v>
      </c>
      <c r="H551" s="38" t="s">
        <v>511</v>
      </c>
      <c r="I551" s="27" t="s">
        <v>936</v>
      </c>
      <c r="J551" s="163" t="s">
        <v>908</v>
      </c>
      <c r="K551" s="34" t="s">
        <v>943</v>
      </c>
      <c r="L551" s="66">
        <f>IF(O551="","",N551*O551*M551)</f>
        <v>75</v>
      </c>
      <c r="M551" s="8">
        <v>1</v>
      </c>
      <c r="N551" s="3">
        <v>1</v>
      </c>
      <c r="O551" s="15">
        <f>IF(SUM(Q551:AF551)&lt;1,"",SUM(Q551:AF551)/COUNTIF(Q551:AF551,"&gt;0"))</f>
        <v>75</v>
      </c>
      <c r="P551" s="16"/>
      <c r="Q551" s="13"/>
      <c r="T551" s="4">
        <v>75</v>
      </c>
      <c r="U551" s="2"/>
      <c r="V551" s="2"/>
      <c r="W551" s="2"/>
      <c r="X551" s="2"/>
      <c r="Z551" s="2"/>
      <c r="AA551" s="2"/>
      <c r="AF551" s="14"/>
    </row>
    <row r="552" spans="1:33" ht="15.75" customHeight="1" x14ac:dyDescent="0.25">
      <c r="A552" s="33" t="str">
        <f>CONCATENATE(D552,".",F552,"-",G552,".",H552,"")</f>
        <v>2.1-2.1</v>
      </c>
      <c r="B552" s="33" t="s">
        <v>814</v>
      </c>
      <c r="C552" s="40" t="s">
        <v>262</v>
      </c>
      <c r="D552" s="33">
        <f>IF(C552="ID",1,(IF(C552="PR",2,(IF(C552="DE",3,(IF(C552="RS",4,(IF(C552="RC",5,0)))))))))</f>
        <v>2</v>
      </c>
      <c r="E552" s="33" t="s">
        <v>257</v>
      </c>
      <c r="F552" s="33">
        <f>IF(E552="AM",1,(IF(E552="BE",2,(IF(E552="GV",3,(IF(E552="RA",4,(IF(E552="RM",5,(IF(E552="AC",1,(IF(E552="AT",2,(IF(E552="DS",3,(IF(E552="IP",4,(IF(E552="MA",5,(IF(E552="PT",6,(IF(E552="AE",1,(IF(E552="CM",2,(IF(E552="DP",3,(IF(E552="AN",1,(IF(E552="CO",2,(IF(E552="IM",3,(IF(E552="MI",4,(IF(E552="RP",5,(IF(E552="SC",6,0)))))))))))))))))))))))))))))))))))))))</f>
        <v>1</v>
      </c>
      <c r="G552" s="171">
        <v>2</v>
      </c>
      <c r="H552" s="38" t="s">
        <v>511</v>
      </c>
      <c r="I552" s="27" t="s">
        <v>936</v>
      </c>
      <c r="J552" s="163" t="s">
        <v>909</v>
      </c>
      <c r="K552" s="34" t="s">
        <v>999</v>
      </c>
      <c r="L552" s="66">
        <f>IF(O552="","",N552*O552*M552)</f>
        <v>75</v>
      </c>
      <c r="M552" s="8">
        <v>1</v>
      </c>
      <c r="N552" s="3">
        <v>1</v>
      </c>
      <c r="O552" s="15">
        <f>IF(SUM(Q552:AF552)&lt;1,"",SUM(Q552:AF552)/COUNTIF(Q552:AF552,"&gt;0"))</f>
        <v>75</v>
      </c>
      <c r="P552" s="16"/>
      <c r="Q552" s="13"/>
      <c r="R552" s="4"/>
      <c r="S552" s="4"/>
      <c r="T552" s="4">
        <v>75</v>
      </c>
      <c r="U552" s="2"/>
      <c r="V552" s="2"/>
      <c r="W552" s="2"/>
      <c r="X552" s="2"/>
      <c r="Y552" s="4"/>
      <c r="Z552" s="2"/>
      <c r="AA552" s="2"/>
      <c r="AB552" s="4"/>
      <c r="AC552" s="4"/>
      <c r="AD552" s="4"/>
      <c r="AE552" s="4"/>
      <c r="AF552" s="14"/>
      <c r="AG552" s="3"/>
    </row>
    <row r="553" spans="1:33" ht="15.75" customHeight="1" x14ac:dyDescent="0.25">
      <c r="A553" s="33" t="str">
        <f>CONCATENATE(D553,".",F553,"-",G553,".",H553,"")</f>
        <v>2.1-2.1</v>
      </c>
      <c r="B553" s="33" t="s">
        <v>814</v>
      </c>
      <c r="C553" s="40" t="s">
        <v>262</v>
      </c>
      <c r="D553" s="33">
        <f>IF(C553="ID",1,(IF(C553="PR",2,(IF(C553="DE",3,(IF(C553="RS",4,(IF(C553="RC",5,0)))))))))</f>
        <v>2</v>
      </c>
      <c r="E553" s="33" t="s">
        <v>257</v>
      </c>
      <c r="F553" s="33">
        <f>IF(E553="AM",1,(IF(E553="BE",2,(IF(E553="GV",3,(IF(E553="RA",4,(IF(E553="RM",5,(IF(E553="AC",1,(IF(E553="AT",2,(IF(E553="DS",3,(IF(E553="IP",4,(IF(E553="MA",5,(IF(E553="PT",6,(IF(E553="AE",1,(IF(E553="CM",2,(IF(E553="DP",3,(IF(E553="AN",1,(IF(E553="CO",2,(IF(E553="IM",3,(IF(E553="MI",4,(IF(E553="RP",5,(IF(E553="SC",6,0)))))))))))))))))))))))))))))))))))))))</f>
        <v>1</v>
      </c>
      <c r="G553" s="171">
        <v>2</v>
      </c>
      <c r="H553" s="38" t="s">
        <v>511</v>
      </c>
      <c r="I553" s="105" t="s">
        <v>821</v>
      </c>
      <c r="J553" s="149" t="s">
        <v>175</v>
      </c>
      <c r="K553" s="79" t="s">
        <v>1283</v>
      </c>
      <c r="L553" s="66">
        <f>IF(O553="","",N553*O553*M553)</f>
        <v>75</v>
      </c>
      <c r="M553" s="8">
        <v>1</v>
      </c>
      <c r="N553" s="1">
        <v>1</v>
      </c>
      <c r="O553" s="15">
        <f>IF(SUM(Q553:AF553)&lt;1,"",SUM(Q553:AF553)/COUNTIF(Q553:AF553,"&gt;0"))</f>
        <v>75</v>
      </c>
      <c r="P553" s="16"/>
      <c r="Q553" s="13"/>
      <c r="R553" s="4"/>
      <c r="S553" s="4"/>
      <c r="T553" s="4">
        <v>75</v>
      </c>
      <c r="U553" s="2"/>
      <c r="V553" s="2"/>
      <c r="W553" s="2"/>
      <c r="X553" s="2"/>
      <c r="Y553" s="4"/>
      <c r="Z553" s="2"/>
      <c r="AA553" s="2"/>
      <c r="AB553" s="4"/>
      <c r="AC553" s="4"/>
      <c r="AD553" s="4"/>
      <c r="AE553" s="4"/>
      <c r="AF553" s="14"/>
      <c r="AG553" s="3"/>
    </row>
    <row r="554" spans="1:33" ht="15.75" customHeight="1" x14ac:dyDescent="0.25">
      <c r="A554" s="33" t="str">
        <f>CONCATENATE(D554,".",F554,"-",G554,".",H554,"")</f>
        <v>2.1-2.1</v>
      </c>
      <c r="B554" s="33" t="s">
        <v>814</v>
      </c>
      <c r="C554" s="40" t="s">
        <v>262</v>
      </c>
      <c r="D554" s="33">
        <f>IF(C554="ID",1,(IF(C554="PR",2,(IF(C554="DE",3,(IF(C554="RS",4,(IF(C554="RC",5,0)))))))))</f>
        <v>2</v>
      </c>
      <c r="E554" s="33" t="s">
        <v>257</v>
      </c>
      <c r="F554" s="33">
        <f>IF(E554="AM",1,(IF(E554="BE",2,(IF(E554="GV",3,(IF(E554="RA",4,(IF(E554="RM",5,(IF(E554="AC",1,(IF(E554="AT",2,(IF(E554="DS",3,(IF(E554="IP",4,(IF(E554="MA",5,(IF(E554="PT",6,(IF(E554="AE",1,(IF(E554="CM",2,(IF(E554="DP",3,(IF(E554="AN",1,(IF(E554="CO",2,(IF(E554="IM",3,(IF(E554="MI",4,(IF(E554="RP",5,(IF(E554="SC",6,0)))))))))))))))))))))))))))))))))))))))</f>
        <v>1</v>
      </c>
      <c r="G554" s="171">
        <v>2</v>
      </c>
      <c r="H554" s="38" t="s">
        <v>511</v>
      </c>
      <c r="I554" s="105" t="s">
        <v>821</v>
      </c>
      <c r="J554" s="150" t="s">
        <v>176</v>
      </c>
      <c r="K554" s="79" t="s">
        <v>1283</v>
      </c>
      <c r="L554" s="66">
        <f>IF(O554="","",N554*O554*M554)</f>
        <v>75</v>
      </c>
      <c r="M554" s="8">
        <v>1</v>
      </c>
      <c r="N554" s="3">
        <v>1</v>
      </c>
      <c r="O554" s="15">
        <f>IF(SUM(Q554:AF554)&lt;1,"",SUM(Q554:AF554)/COUNTIF(Q554:AF554,"&gt;0"))</f>
        <v>75</v>
      </c>
      <c r="P554" s="16"/>
      <c r="Q554" s="13"/>
      <c r="R554" s="4"/>
      <c r="S554" s="4"/>
      <c r="T554" s="4">
        <v>75</v>
      </c>
      <c r="U554" s="2"/>
      <c r="V554" s="2"/>
      <c r="W554" s="2"/>
      <c r="X554" s="2"/>
      <c r="Y554" s="4"/>
      <c r="Z554" s="2"/>
      <c r="AA554" s="2"/>
      <c r="AB554" s="4"/>
      <c r="AC554" s="4"/>
      <c r="AD554" s="4"/>
      <c r="AE554" s="4"/>
      <c r="AF554" s="14"/>
      <c r="AG554" s="3"/>
    </row>
    <row r="555" spans="1:33" s="4" customFormat="1" ht="15.75" customHeight="1" x14ac:dyDescent="0.25">
      <c r="A555" s="33" t="str">
        <f>CONCATENATE(D555,".",F555,"-",G555,".",H555,"")</f>
        <v>2.1-2.1</v>
      </c>
      <c r="B555" s="33" t="s">
        <v>814</v>
      </c>
      <c r="C555" s="40" t="s">
        <v>262</v>
      </c>
      <c r="D555" s="33">
        <f>IF(C555="ID",1,(IF(C555="PR",2,(IF(C555="DE",3,(IF(C555="RS",4,(IF(C555="RC",5,0)))))))))</f>
        <v>2</v>
      </c>
      <c r="E555" s="33" t="s">
        <v>257</v>
      </c>
      <c r="F555" s="33">
        <f>IF(E555="AM",1,(IF(E555="BE",2,(IF(E555="GV",3,(IF(E555="RA",4,(IF(E555="RM",5,(IF(E555="AC",1,(IF(E555="AT",2,(IF(E555="DS",3,(IF(E555="IP",4,(IF(E555="MA",5,(IF(E555="PT",6,(IF(E555="AE",1,(IF(E555="CM",2,(IF(E555="DP",3,(IF(E555="AN",1,(IF(E555="CO",2,(IF(E555="IM",3,(IF(E555="MI",4,(IF(E555="RP",5,(IF(E555="SC",6,0)))))))))))))))))))))))))))))))))))))))</f>
        <v>1</v>
      </c>
      <c r="G555" s="171">
        <v>2</v>
      </c>
      <c r="H555" s="38" t="s">
        <v>511</v>
      </c>
      <c r="I555" s="105" t="s">
        <v>821</v>
      </c>
      <c r="J555" s="150" t="s">
        <v>85</v>
      </c>
      <c r="K555" s="79" t="s">
        <v>1283</v>
      </c>
      <c r="L555" s="66">
        <f>IF(O555="","",N555*O555*M555)</f>
        <v>75</v>
      </c>
      <c r="M555" s="8">
        <v>1</v>
      </c>
      <c r="N555" s="3">
        <v>1</v>
      </c>
      <c r="O555" s="15">
        <f>IF(SUM(Q555:AF555)&lt;1,"",SUM(Q555:AF555)/COUNTIF(Q555:AF555,"&gt;0"))</f>
        <v>75</v>
      </c>
      <c r="P555" s="16"/>
      <c r="Q555" s="13"/>
      <c r="T555" s="4">
        <v>75</v>
      </c>
      <c r="U555" s="2"/>
      <c r="V555" s="2"/>
      <c r="W555" s="2"/>
      <c r="X555" s="2"/>
      <c r="Z555" s="2"/>
      <c r="AA555" s="2"/>
      <c r="AF555" s="14"/>
    </row>
    <row r="556" spans="1:33" s="4" customFormat="1" ht="15.75" customHeight="1" x14ac:dyDescent="0.25">
      <c r="A556" s="33" t="str">
        <f>CONCATENATE(D556,".",F556,"-",G556,".",H556,"")</f>
        <v>2.1-2.1</v>
      </c>
      <c r="B556" s="33" t="s">
        <v>814</v>
      </c>
      <c r="C556" s="39" t="s">
        <v>262</v>
      </c>
      <c r="D556" s="33">
        <f>IF(C556="ID",1,(IF(C556="PR",2,(IF(C556="DE",3,(IF(C556="RS",4,(IF(C556="RC",5,0)))))))))</f>
        <v>2</v>
      </c>
      <c r="E556" s="33" t="s">
        <v>257</v>
      </c>
      <c r="F556" s="33">
        <f>IF(E556="AM",1,(IF(E556="BE",2,(IF(E556="GV",3,(IF(E556="RA",4,(IF(E556="RM",5,(IF(E556="AC",1,(IF(E556="AT",2,(IF(E556="DS",3,(IF(E556="IP",4,(IF(E556="MA",5,(IF(E556="PT",6,(IF(E556="AE",1,(IF(E556="CM",2,(IF(E556="DP",3,(IF(E556="AN",1,(IF(E556="CO",2,(IF(E556="IM",3,(IF(E556="MI",4,(IF(E556="RP",5,(IF(E556="SC",6,0)))))))))))))))))))))))))))))))))))))))</f>
        <v>1</v>
      </c>
      <c r="G556" s="170">
        <v>2</v>
      </c>
      <c r="H556" s="38" t="s">
        <v>511</v>
      </c>
      <c r="I556" s="105" t="s">
        <v>821</v>
      </c>
      <c r="J556" s="150" t="s">
        <v>186</v>
      </c>
      <c r="K556" s="79" t="s">
        <v>1283</v>
      </c>
      <c r="L556" s="66">
        <f>IF(O556="","",N556*O556*M556)</f>
        <v>75</v>
      </c>
      <c r="M556" s="8">
        <v>1</v>
      </c>
      <c r="N556" s="3">
        <v>1</v>
      </c>
      <c r="O556" s="15">
        <f>IF(SUM(Q556:AF556)&lt;1,"",SUM(Q556:AF556)/COUNTIF(Q556:AF556,"&gt;0"))</f>
        <v>75</v>
      </c>
      <c r="P556" s="16"/>
      <c r="Q556" s="13"/>
      <c r="T556" s="4">
        <v>75</v>
      </c>
      <c r="U556" s="2"/>
      <c r="V556" s="2"/>
      <c r="W556" s="2"/>
      <c r="X556" s="2"/>
      <c r="Z556" s="2"/>
      <c r="AA556" s="2"/>
      <c r="AF556" s="14"/>
    </row>
    <row r="557" spans="1:33" s="4" customFormat="1" ht="15.75" customHeight="1" x14ac:dyDescent="0.25">
      <c r="A557" s="33" t="str">
        <f>CONCATENATE(D557,".",F557,"-",G557,".",H557,"")</f>
        <v>2.1-2.1</v>
      </c>
      <c r="B557" s="33" t="s">
        <v>814</v>
      </c>
      <c r="C557" s="39" t="s">
        <v>262</v>
      </c>
      <c r="D557" s="33">
        <f>IF(C557="ID",1,(IF(C557="PR",2,(IF(C557="DE",3,(IF(C557="RS",4,(IF(C557="RC",5,0)))))))))</f>
        <v>2</v>
      </c>
      <c r="E557" s="33" t="s">
        <v>257</v>
      </c>
      <c r="F557" s="33">
        <f>IF(E557="AM",1,(IF(E557="BE",2,(IF(E557="GV",3,(IF(E557="RA",4,(IF(E557="RM",5,(IF(E557="AC",1,(IF(E557="AT",2,(IF(E557="DS",3,(IF(E557="IP",4,(IF(E557="MA",5,(IF(E557="PT",6,(IF(E557="AE",1,(IF(E557="CM",2,(IF(E557="DP",3,(IF(E557="AN",1,(IF(E557="CO",2,(IF(E557="IM",3,(IF(E557="MI",4,(IF(E557="RP",5,(IF(E557="SC",6,0)))))))))))))))))))))))))))))))))))))))</f>
        <v>1</v>
      </c>
      <c r="G557" s="170">
        <v>2</v>
      </c>
      <c r="H557" s="38" t="s">
        <v>511</v>
      </c>
      <c r="I557" s="27" t="s">
        <v>266</v>
      </c>
      <c r="J557" s="149" t="s">
        <v>451</v>
      </c>
      <c r="K557" s="79" t="s">
        <v>1289</v>
      </c>
      <c r="L557" s="66">
        <f>IF(O557="","",N557*O557*M557)</f>
        <v>75</v>
      </c>
      <c r="M557" s="8">
        <v>1</v>
      </c>
      <c r="N557" s="1">
        <v>1</v>
      </c>
      <c r="O557" s="15">
        <f>IF(SUM(Q557:AF557)&lt;1,"",SUM(Q557:AF557)/COUNTIF(Q557:AF557,"&gt;0"))</f>
        <v>75</v>
      </c>
      <c r="P557" s="16"/>
      <c r="Q557" s="13"/>
      <c r="T557" s="4">
        <v>75</v>
      </c>
      <c r="U557" s="2"/>
      <c r="V557" s="2"/>
      <c r="W557" s="2"/>
      <c r="X557" s="2"/>
      <c r="Z557" s="2"/>
      <c r="AA557" s="2"/>
      <c r="AF557" s="14"/>
    </row>
    <row r="558" spans="1:33" s="4" customFormat="1" ht="15.75" customHeight="1" x14ac:dyDescent="0.25">
      <c r="A558" s="33" t="str">
        <f>CONCATENATE(D558,".",F558,"-",G558,".",H558,"")</f>
        <v>2.1-2.1</v>
      </c>
      <c r="B558" s="33" t="s">
        <v>814</v>
      </c>
      <c r="C558" s="39" t="s">
        <v>262</v>
      </c>
      <c r="D558" s="33">
        <f>IF(C558="ID",1,(IF(C558="PR",2,(IF(C558="DE",3,(IF(C558="RS",4,(IF(C558="RC",5,0)))))))))</f>
        <v>2</v>
      </c>
      <c r="E558" s="33" t="s">
        <v>257</v>
      </c>
      <c r="F558" s="33">
        <f>IF(E558="AM",1,(IF(E558="BE",2,(IF(E558="GV",3,(IF(E558="RA",4,(IF(E558="RM",5,(IF(E558="AC",1,(IF(E558="AT",2,(IF(E558="DS",3,(IF(E558="IP",4,(IF(E558="MA",5,(IF(E558="PT",6,(IF(E558="AE",1,(IF(E558="CM",2,(IF(E558="DP",3,(IF(E558="AN",1,(IF(E558="CO",2,(IF(E558="IM",3,(IF(E558="MI",4,(IF(E558="RP",5,(IF(E558="SC",6,0)))))))))))))))))))))))))))))))))))))))</f>
        <v>1</v>
      </c>
      <c r="G558" s="170">
        <v>2</v>
      </c>
      <c r="H558" s="38" t="s">
        <v>511</v>
      </c>
      <c r="I558" s="105" t="s">
        <v>1449</v>
      </c>
      <c r="J558" s="157" t="s">
        <v>1506</v>
      </c>
      <c r="K558" s="34" t="s">
        <v>1507</v>
      </c>
      <c r="L558" s="5">
        <f>IF(O558="","",N558*O558*M558)</f>
        <v>99</v>
      </c>
      <c r="M558" s="8">
        <v>1</v>
      </c>
      <c r="N558" s="1">
        <v>1</v>
      </c>
      <c r="O558" s="15">
        <f>IF(SUM(Q558:AF558)&lt;1,"",SUM(Q558:AF558)/COUNTIF(Q558:AF558,"&gt;0"))</f>
        <v>99</v>
      </c>
      <c r="P558" s="16"/>
      <c r="Q558" s="13"/>
      <c r="T558" s="4">
        <v>99</v>
      </c>
      <c r="U558" s="2"/>
      <c r="V558" s="2"/>
      <c r="W558" s="2"/>
      <c r="X558" s="2"/>
      <c r="Z558" s="2"/>
      <c r="AA558" s="2"/>
      <c r="AF558" s="14"/>
    </row>
    <row r="559" spans="1:33" s="4" customFormat="1" ht="15.75" customHeight="1" x14ac:dyDescent="0.25">
      <c r="A559" s="33" t="str">
        <f>CONCATENATE(D559,".",F559,"-",G559,".",H559,"")</f>
        <v>2.1-2.1</v>
      </c>
      <c r="B559" s="33"/>
      <c r="C559" s="39" t="s">
        <v>262</v>
      </c>
      <c r="D559" s="33">
        <f>IF(C559="ID",1,(IF(C559="PR",2,(IF(C559="DE",3,(IF(C559="RS",4,(IF(C559="RC",5,0)))))))))</f>
        <v>2</v>
      </c>
      <c r="E559" s="33" t="s">
        <v>257</v>
      </c>
      <c r="F559" s="33">
        <f>IF(E559="AM",1,(IF(E559="BE",2,(IF(E559="GV",3,(IF(E559="RA",4,(IF(E559="RM",5,(IF(E559="AC",1,(IF(E559="AT",2,(IF(E559="DS",3,(IF(E559="IP",4,(IF(E559="MA",5,(IF(E559="PT",6,(IF(E559="AE",1,(IF(E559="CM",2,(IF(E559="DP",3,(IF(E559="AN",1,(IF(E559="CO",2,(IF(E559="IM",3,(IF(E559="MI",4,(IF(E559="RP",5,(IF(E559="SC",6,0)))))))))))))))))))))))))))))))))))))))</f>
        <v>1</v>
      </c>
      <c r="G559" s="170">
        <v>2</v>
      </c>
      <c r="H559" s="38" t="s">
        <v>511</v>
      </c>
      <c r="I559" s="105" t="s">
        <v>1449</v>
      </c>
      <c r="J559" s="157" t="s">
        <v>2407</v>
      </c>
      <c r="K559" s="34" t="s">
        <v>2408</v>
      </c>
      <c r="L559" s="5">
        <f>IF(O559="","",N559*O559*M559)</f>
        <v>99</v>
      </c>
      <c r="M559" s="8">
        <v>1</v>
      </c>
      <c r="N559" s="1">
        <v>1</v>
      </c>
      <c r="O559" s="15">
        <f>IF(SUM(Q559:AF559)&lt;1,"",SUM(Q559:AF559)/COUNTIF(Q559:AF559,"&gt;0"))</f>
        <v>99</v>
      </c>
      <c r="P559" s="16"/>
      <c r="Q559" s="13"/>
      <c r="T559" s="4">
        <v>99</v>
      </c>
      <c r="U559" s="2"/>
      <c r="V559" s="2"/>
      <c r="W559" s="2"/>
      <c r="X559" s="2"/>
      <c r="Z559" s="2"/>
      <c r="AA559" s="2"/>
      <c r="AF559" s="14"/>
    </row>
    <row r="560" spans="1:33" s="4" customFormat="1" ht="15.75" customHeight="1" x14ac:dyDescent="0.25">
      <c r="A560" s="33" t="str">
        <f>CONCATENATE(D560,".",F560,"-",G560,".",H560,"")</f>
        <v>2.1-2.1</v>
      </c>
      <c r="B560" s="33"/>
      <c r="C560" s="39" t="s">
        <v>262</v>
      </c>
      <c r="D560" s="33">
        <f>IF(C560="ID",1,(IF(C560="PR",2,(IF(C560="DE",3,(IF(C560="RS",4,(IF(C560="RC",5,0)))))))))</f>
        <v>2</v>
      </c>
      <c r="E560" s="33" t="s">
        <v>257</v>
      </c>
      <c r="F560" s="33">
        <f>IF(E560="AM",1,(IF(E560="BE",2,(IF(E560="GV",3,(IF(E560="RA",4,(IF(E560="RM",5,(IF(E560="AC",1,(IF(E560="AT",2,(IF(E560="DS",3,(IF(E560="IP",4,(IF(E560="MA",5,(IF(E560="PT",6,(IF(E560="AE",1,(IF(E560="CM",2,(IF(E560="DP",3,(IF(E560="AN",1,(IF(E560="CO",2,(IF(E560="IM",3,(IF(E560="MI",4,(IF(E560="RP",5,(IF(E560="SC",6,0)))))))))))))))))))))))))))))))))))))))</f>
        <v>1</v>
      </c>
      <c r="G560" s="170">
        <v>2</v>
      </c>
      <c r="H560" s="38" t="s">
        <v>511</v>
      </c>
      <c r="I560" s="105" t="s">
        <v>1449</v>
      </c>
      <c r="J560" s="157" t="s">
        <v>2409</v>
      </c>
      <c r="K560" s="34" t="s">
        <v>2410</v>
      </c>
      <c r="L560" s="5">
        <f>IF(O560="","",N560*O560*M560)</f>
        <v>99</v>
      </c>
      <c r="M560" s="8">
        <v>1</v>
      </c>
      <c r="N560" s="1">
        <v>1</v>
      </c>
      <c r="O560" s="15">
        <f>IF(SUM(Q560:AF560)&lt;1,"",SUM(Q560:AF560)/COUNTIF(Q560:AF560,"&gt;0"))</f>
        <v>99</v>
      </c>
      <c r="P560" s="16"/>
      <c r="Q560" s="13"/>
      <c r="T560" s="4">
        <v>99</v>
      </c>
      <c r="U560" s="2"/>
      <c r="V560" s="2"/>
      <c r="W560" s="2"/>
      <c r="X560" s="2"/>
      <c r="Z560" s="2"/>
      <c r="AA560" s="2"/>
      <c r="AF560" s="14"/>
    </row>
    <row r="561" spans="1:33" s="4" customFormat="1" ht="15.75" customHeight="1" x14ac:dyDescent="0.25">
      <c r="A561" s="33" t="str">
        <f>CONCATENATE(D561,".",F561,"-",G561,".",H561,"")</f>
        <v>2.1-2.1</v>
      </c>
      <c r="B561" s="33"/>
      <c r="C561" s="39" t="s">
        <v>262</v>
      </c>
      <c r="D561" s="33">
        <f>IF(C561="ID",1,(IF(C561="PR",2,(IF(C561="DE",3,(IF(C561="RS",4,(IF(C561="RC",5,0)))))))))</f>
        <v>2</v>
      </c>
      <c r="E561" s="33" t="s">
        <v>257</v>
      </c>
      <c r="F561" s="33">
        <f>IF(E561="AM",1,(IF(E561="BE",2,(IF(E561="GV",3,(IF(E561="RA",4,(IF(E561="RM",5,(IF(E561="AC",1,(IF(E561="AT",2,(IF(E561="DS",3,(IF(E561="IP",4,(IF(E561="MA",5,(IF(E561="PT",6,(IF(E561="AE",1,(IF(E561="CM",2,(IF(E561="DP",3,(IF(E561="AN",1,(IF(E561="CO",2,(IF(E561="IM",3,(IF(E561="MI",4,(IF(E561="RP",5,(IF(E561="SC",6,0)))))))))))))))))))))))))))))))))))))))</f>
        <v>1</v>
      </c>
      <c r="G561" s="170">
        <v>2</v>
      </c>
      <c r="H561" s="38" t="s">
        <v>511</v>
      </c>
      <c r="I561" s="105" t="s">
        <v>1449</v>
      </c>
      <c r="J561" s="157" t="s">
        <v>2411</v>
      </c>
      <c r="K561" s="34" t="s">
        <v>2412</v>
      </c>
      <c r="L561" s="5">
        <f>IF(O561="","",N561*O561*M561)</f>
        <v>99</v>
      </c>
      <c r="M561" s="8">
        <v>1</v>
      </c>
      <c r="N561" s="1">
        <v>1</v>
      </c>
      <c r="O561" s="15">
        <f>IF(SUM(Q561:AF561)&lt;1,"",SUM(Q561:AF561)/COUNTIF(Q561:AF561,"&gt;0"))</f>
        <v>99</v>
      </c>
      <c r="P561" s="16"/>
      <c r="Q561" s="13"/>
      <c r="T561" s="4">
        <v>99</v>
      </c>
      <c r="U561" s="2"/>
      <c r="V561" s="2"/>
      <c r="W561" s="2"/>
      <c r="X561" s="2"/>
      <c r="Z561" s="2"/>
      <c r="AA561" s="2"/>
      <c r="AF561" s="14"/>
    </row>
    <row r="562" spans="1:33" s="4" customFormat="1" ht="15.75" customHeight="1" x14ac:dyDescent="0.25">
      <c r="A562" s="33" t="str">
        <f>CONCATENATE(D562,".",F562,"-",G562,".",H562,"")</f>
        <v>2.1-2.1</v>
      </c>
      <c r="B562" s="33"/>
      <c r="C562" s="39" t="s">
        <v>262</v>
      </c>
      <c r="D562" s="33">
        <f>IF(C562="ID",1,(IF(C562="PR",2,(IF(C562="DE",3,(IF(C562="RS",4,(IF(C562="RC",5,0)))))))))</f>
        <v>2</v>
      </c>
      <c r="E562" s="33" t="s">
        <v>257</v>
      </c>
      <c r="F562" s="33">
        <f>IF(E562="AM",1,(IF(E562="BE",2,(IF(E562="GV",3,(IF(E562="RA",4,(IF(E562="RM",5,(IF(E562="AC",1,(IF(E562="AT",2,(IF(E562="DS",3,(IF(E562="IP",4,(IF(E562="MA",5,(IF(E562="PT",6,(IF(E562="AE",1,(IF(E562="CM",2,(IF(E562="DP",3,(IF(E562="AN",1,(IF(E562="CO",2,(IF(E562="IM",3,(IF(E562="MI",4,(IF(E562="RP",5,(IF(E562="SC",6,0)))))))))))))))))))))))))))))))))))))))</f>
        <v>1</v>
      </c>
      <c r="G562" s="170">
        <v>2</v>
      </c>
      <c r="H562" s="38" t="s">
        <v>511</v>
      </c>
      <c r="I562" s="105" t="s">
        <v>1449</v>
      </c>
      <c r="J562" s="157" t="s">
        <v>2413</v>
      </c>
      <c r="K562" s="34" t="s">
        <v>2414</v>
      </c>
      <c r="L562" s="5">
        <f>IF(O562="","",N562*O562*M562)</f>
        <v>99</v>
      </c>
      <c r="M562" s="8">
        <v>1</v>
      </c>
      <c r="N562" s="1">
        <v>1</v>
      </c>
      <c r="O562" s="15">
        <f>IF(SUM(Q562:AF562)&lt;1,"",SUM(Q562:AF562)/COUNTIF(Q562:AF562,"&gt;0"))</f>
        <v>99</v>
      </c>
      <c r="P562" s="16"/>
      <c r="Q562" s="13"/>
      <c r="T562" s="4">
        <v>99</v>
      </c>
      <c r="U562" s="2"/>
      <c r="V562" s="2"/>
      <c r="W562" s="2"/>
      <c r="X562" s="2"/>
      <c r="Z562" s="2"/>
      <c r="AA562" s="2"/>
      <c r="AF562" s="14"/>
    </row>
    <row r="563" spans="1:33" s="4" customFormat="1" ht="15.75" customHeight="1" x14ac:dyDescent="0.25">
      <c r="A563" s="33" t="str">
        <f>CONCATENATE(D563,".",F563,"-",G563,".",H563,"")</f>
        <v>2.1-2.1</v>
      </c>
      <c r="B563" s="33"/>
      <c r="C563" s="39" t="s">
        <v>262</v>
      </c>
      <c r="D563" s="33">
        <f>IF(C563="ID",1,(IF(C563="PR",2,(IF(C563="DE",3,(IF(C563="RS",4,(IF(C563="RC",5,0)))))))))</f>
        <v>2</v>
      </c>
      <c r="E563" s="33" t="s">
        <v>257</v>
      </c>
      <c r="F563" s="33">
        <f>IF(E563="AM",1,(IF(E563="BE",2,(IF(E563="GV",3,(IF(E563="RA",4,(IF(E563="RM",5,(IF(E563="AC",1,(IF(E563="AT",2,(IF(E563="DS",3,(IF(E563="IP",4,(IF(E563="MA",5,(IF(E563="PT",6,(IF(E563="AE",1,(IF(E563="CM",2,(IF(E563="DP",3,(IF(E563="AN",1,(IF(E563="CO",2,(IF(E563="IM",3,(IF(E563="MI",4,(IF(E563="RP",5,(IF(E563="SC",6,0)))))))))))))))))))))))))))))))))))))))</f>
        <v>1</v>
      </c>
      <c r="G563" s="170">
        <v>2</v>
      </c>
      <c r="H563" s="38" t="s">
        <v>511</v>
      </c>
      <c r="I563" s="105" t="s">
        <v>1449</v>
      </c>
      <c r="J563" s="157" t="s">
        <v>2417</v>
      </c>
      <c r="K563" s="34" t="s">
        <v>2418</v>
      </c>
      <c r="L563" s="5">
        <f>IF(O563="","",N563*O563*M563)</f>
        <v>99</v>
      </c>
      <c r="M563" s="8">
        <v>1</v>
      </c>
      <c r="N563" s="1">
        <v>1</v>
      </c>
      <c r="O563" s="15">
        <f>IF(SUM(Q563:AF563)&lt;1,"",SUM(Q563:AF563)/COUNTIF(Q563:AF563,"&gt;0"))</f>
        <v>99</v>
      </c>
      <c r="P563" s="16"/>
      <c r="Q563" s="13"/>
      <c r="T563" s="4">
        <v>99</v>
      </c>
      <c r="U563" s="2"/>
      <c r="V563" s="2"/>
      <c r="W563" s="2"/>
      <c r="X563" s="2"/>
      <c r="Z563" s="2"/>
      <c r="AA563" s="2"/>
      <c r="AF563" s="14"/>
    </row>
    <row r="564" spans="1:33" s="4" customFormat="1" ht="15.75" customHeight="1" x14ac:dyDescent="0.25">
      <c r="A564" s="33" t="str">
        <f>CONCATENATE(D564,".",F564,"-",G564,".",H564,"")</f>
        <v>2.1-2.1</v>
      </c>
      <c r="B564" s="33"/>
      <c r="C564" s="39" t="s">
        <v>262</v>
      </c>
      <c r="D564" s="33">
        <f>IF(C564="ID",1,(IF(C564="PR",2,(IF(C564="DE",3,(IF(C564="RS",4,(IF(C564="RC",5,0)))))))))</f>
        <v>2</v>
      </c>
      <c r="E564" s="33" t="s">
        <v>257</v>
      </c>
      <c r="F564" s="33">
        <f>IF(E564="AM",1,(IF(E564="BE",2,(IF(E564="GV",3,(IF(E564="RA",4,(IF(E564="RM",5,(IF(E564="AC",1,(IF(E564="AT",2,(IF(E564="DS",3,(IF(E564="IP",4,(IF(E564="MA",5,(IF(E564="PT",6,(IF(E564="AE",1,(IF(E564="CM",2,(IF(E564="DP",3,(IF(E564="AN",1,(IF(E564="CO",2,(IF(E564="IM",3,(IF(E564="MI",4,(IF(E564="RP",5,(IF(E564="SC",6,0)))))))))))))))))))))))))))))))))))))))</f>
        <v>1</v>
      </c>
      <c r="G564" s="170">
        <v>2</v>
      </c>
      <c r="H564" s="38" t="s">
        <v>511</v>
      </c>
      <c r="I564" s="105" t="s">
        <v>1449</v>
      </c>
      <c r="J564" s="157" t="s">
        <v>2419</v>
      </c>
      <c r="K564" s="34" t="s">
        <v>2420</v>
      </c>
      <c r="L564" s="5">
        <f>IF(O564="","",N564*O564*M564)</f>
        <v>99</v>
      </c>
      <c r="M564" s="8">
        <v>1</v>
      </c>
      <c r="N564" s="1">
        <v>1</v>
      </c>
      <c r="O564" s="15">
        <f>IF(SUM(Q564:AF564)&lt;1,"",SUM(Q564:AF564)/COUNTIF(Q564:AF564,"&gt;0"))</f>
        <v>99</v>
      </c>
      <c r="P564" s="16"/>
      <c r="Q564" s="13"/>
      <c r="T564" s="4">
        <v>99</v>
      </c>
      <c r="U564" s="2"/>
      <c r="V564" s="2"/>
      <c r="W564" s="2"/>
      <c r="X564" s="2"/>
      <c r="Z564" s="2"/>
      <c r="AA564" s="2"/>
      <c r="AF564" s="14"/>
    </row>
    <row r="565" spans="1:33" ht="15.75" customHeight="1" x14ac:dyDescent="0.25">
      <c r="A565" s="33" t="str">
        <f>CONCATENATE(D565,".",F565,"-",G565,".",H565,"")</f>
        <v>2.1-2.1</v>
      </c>
      <c r="C565" s="39" t="s">
        <v>262</v>
      </c>
      <c r="D565" s="33">
        <f>IF(C565="ID",1,(IF(C565="PR",2,(IF(C565="DE",3,(IF(C565="RS",4,(IF(C565="RC",5,0)))))))))</f>
        <v>2</v>
      </c>
      <c r="E565" s="33" t="s">
        <v>257</v>
      </c>
      <c r="F565" s="33">
        <f>IF(E565="AM",1,(IF(E565="BE",2,(IF(E565="GV",3,(IF(E565="RA",4,(IF(E565="RM",5,(IF(E565="AC",1,(IF(E565="AT",2,(IF(E565="DS",3,(IF(E565="IP",4,(IF(E565="MA",5,(IF(E565="PT",6,(IF(E565="AE",1,(IF(E565="CM",2,(IF(E565="DP",3,(IF(E565="AN",1,(IF(E565="CO",2,(IF(E565="IM",3,(IF(E565="MI",4,(IF(E565="RP",5,(IF(E565="SC",6,0)))))))))))))))))))))))))))))))))))))))</f>
        <v>1</v>
      </c>
      <c r="G565" s="170">
        <v>2</v>
      </c>
      <c r="H565" s="38" t="s">
        <v>511</v>
      </c>
      <c r="I565" s="105" t="s">
        <v>1449</v>
      </c>
      <c r="J565" s="157" t="s">
        <v>2421</v>
      </c>
      <c r="K565" s="34" t="s">
        <v>2422</v>
      </c>
      <c r="L565" s="5">
        <f>IF(O565="","",N565*O565*M565)</f>
        <v>99</v>
      </c>
      <c r="M565" s="8">
        <v>1</v>
      </c>
      <c r="N565" s="1">
        <v>1</v>
      </c>
      <c r="O565" s="15">
        <f>IF(SUM(Q565:AF565)&lt;1,"",SUM(Q565:AF565)/COUNTIF(Q565:AF565,"&gt;0"))</f>
        <v>99</v>
      </c>
      <c r="P565" s="16"/>
      <c r="Q565" s="13"/>
      <c r="R565" s="4"/>
      <c r="S565" s="4"/>
      <c r="T565" s="4">
        <v>99</v>
      </c>
      <c r="U565" s="2"/>
      <c r="V565" s="2"/>
      <c r="W565" s="2"/>
      <c r="X565" s="2"/>
      <c r="Y565" s="4"/>
      <c r="Z565" s="2"/>
      <c r="AA565" s="2"/>
      <c r="AB565" s="4"/>
      <c r="AC565" s="4"/>
      <c r="AD565" s="4"/>
      <c r="AE565" s="4"/>
      <c r="AF565" s="14"/>
      <c r="AG565" s="3"/>
    </row>
    <row r="566" spans="1:33" s="4" customFormat="1" ht="15.75" customHeight="1" x14ac:dyDescent="0.25">
      <c r="A566" s="33" t="str">
        <f>CONCATENATE(D566,".",F566,"-",G566,".",H566,"")</f>
        <v>2.1-2.1</v>
      </c>
      <c r="B566" s="33"/>
      <c r="C566" s="39" t="s">
        <v>262</v>
      </c>
      <c r="D566" s="33">
        <f>IF(C566="ID",1,(IF(C566="PR",2,(IF(C566="DE",3,(IF(C566="RS",4,(IF(C566="RC",5,0)))))))))</f>
        <v>2</v>
      </c>
      <c r="E566" s="33" t="s">
        <v>257</v>
      </c>
      <c r="F566" s="33">
        <f>IF(E566="AM",1,(IF(E566="BE",2,(IF(E566="GV",3,(IF(E566="RA",4,(IF(E566="RM",5,(IF(E566="AC",1,(IF(E566="AT",2,(IF(E566="DS",3,(IF(E566="IP",4,(IF(E566="MA",5,(IF(E566="PT",6,(IF(E566="AE",1,(IF(E566="CM",2,(IF(E566="DP",3,(IF(E566="AN",1,(IF(E566="CO",2,(IF(E566="IM",3,(IF(E566="MI",4,(IF(E566="RP",5,(IF(E566="SC",6,0)))))))))))))))))))))))))))))))))))))))</f>
        <v>1</v>
      </c>
      <c r="G566" s="170">
        <v>2</v>
      </c>
      <c r="H566" s="38" t="s">
        <v>511</v>
      </c>
      <c r="I566" s="105" t="s">
        <v>1449</v>
      </c>
      <c r="J566" s="157" t="s">
        <v>2423</v>
      </c>
      <c r="K566" s="34" t="s">
        <v>2424</v>
      </c>
      <c r="L566" s="5">
        <f>IF(O566="","",N566*O566*M566)</f>
        <v>99</v>
      </c>
      <c r="M566" s="8">
        <v>1</v>
      </c>
      <c r="N566" s="1">
        <v>1</v>
      </c>
      <c r="O566" s="15">
        <f>IF(SUM(Q566:AF566)&lt;1,"",SUM(Q566:AF566)/COUNTIF(Q566:AF566,"&gt;0"))</f>
        <v>99</v>
      </c>
      <c r="P566" s="16"/>
      <c r="Q566" s="13"/>
      <c r="T566" s="4">
        <v>99</v>
      </c>
      <c r="U566" s="2"/>
      <c r="V566" s="2"/>
      <c r="W566" s="2"/>
      <c r="X566" s="2"/>
      <c r="Z566" s="2"/>
      <c r="AA566" s="2"/>
      <c r="AF566" s="14"/>
    </row>
    <row r="567" spans="1:33" s="4" customFormat="1" ht="15.75" customHeight="1" x14ac:dyDescent="0.25">
      <c r="A567" s="33" t="str">
        <f>CONCATENATE(D567,".",F567,"-",G567,".",H567,"")</f>
        <v>2.1-2.1</v>
      </c>
      <c r="B567" s="33"/>
      <c r="C567" s="39" t="s">
        <v>262</v>
      </c>
      <c r="D567" s="33">
        <f>IF(C567="ID",1,(IF(C567="PR",2,(IF(C567="DE",3,(IF(C567="RS",4,(IF(C567="RC",5,0)))))))))</f>
        <v>2</v>
      </c>
      <c r="E567" s="33" t="s">
        <v>257</v>
      </c>
      <c r="F567" s="33">
        <f>IF(E567="AM",1,(IF(E567="BE",2,(IF(E567="GV",3,(IF(E567="RA",4,(IF(E567="RM",5,(IF(E567="AC",1,(IF(E567="AT",2,(IF(E567="DS",3,(IF(E567="IP",4,(IF(E567="MA",5,(IF(E567="PT",6,(IF(E567="AE",1,(IF(E567="CM",2,(IF(E567="DP",3,(IF(E567="AN",1,(IF(E567="CO",2,(IF(E567="IM",3,(IF(E567="MI",4,(IF(E567="RP",5,(IF(E567="SC",6,0)))))))))))))))))))))))))))))))))))))))</f>
        <v>1</v>
      </c>
      <c r="G567" s="170">
        <v>2</v>
      </c>
      <c r="H567" s="38" t="s">
        <v>511</v>
      </c>
      <c r="I567" s="105" t="s">
        <v>1449</v>
      </c>
      <c r="J567" s="157" t="s">
        <v>2425</v>
      </c>
      <c r="K567" s="34" t="s">
        <v>2426</v>
      </c>
      <c r="L567" s="5">
        <f>IF(O567="","",N567*O567*M567)</f>
        <v>99</v>
      </c>
      <c r="M567" s="8">
        <v>1</v>
      </c>
      <c r="N567" s="1">
        <v>1</v>
      </c>
      <c r="O567" s="15">
        <f>IF(SUM(Q567:AF567)&lt;1,"",SUM(Q567:AF567)/COUNTIF(Q567:AF567,"&gt;0"))</f>
        <v>99</v>
      </c>
      <c r="P567" s="16"/>
      <c r="Q567" s="13"/>
      <c r="T567" s="4">
        <v>99</v>
      </c>
      <c r="U567" s="2"/>
      <c r="V567" s="2"/>
      <c r="W567" s="2"/>
      <c r="X567" s="2"/>
      <c r="Z567" s="2"/>
      <c r="AA567" s="2"/>
      <c r="AF567" s="14"/>
    </row>
    <row r="568" spans="1:33" s="4" customFormat="1" ht="15.75" customHeight="1" x14ac:dyDescent="0.25">
      <c r="A568" s="33" t="str">
        <f>CONCATENATE(D568,".",F568,"-",G568,".",H568,"")</f>
        <v>2.1-2.1</v>
      </c>
      <c r="B568" s="33"/>
      <c r="C568" s="39" t="s">
        <v>262</v>
      </c>
      <c r="D568" s="33">
        <f>IF(C568="ID",1,(IF(C568="PR",2,(IF(C568="DE",3,(IF(C568="RS",4,(IF(C568="RC",5,0)))))))))</f>
        <v>2</v>
      </c>
      <c r="E568" s="33" t="s">
        <v>257</v>
      </c>
      <c r="F568" s="33">
        <f>IF(E568="AM",1,(IF(E568="BE",2,(IF(E568="GV",3,(IF(E568="RA",4,(IF(E568="RM",5,(IF(E568="AC",1,(IF(E568="AT",2,(IF(E568="DS",3,(IF(E568="IP",4,(IF(E568="MA",5,(IF(E568="PT",6,(IF(E568="AE",1,(IF(E568="CM",2,(IF(E568="DP",3,(IF(E568="AN",1,(IF(E568="CO",2,(IF(E568="IM",3,(IF(E568="MI",4,(IF(E568="RP",5,(IF(E568="SC",6,0)))))))))))))))))))))))))))))))))))))))</f>
        <v>1</v>
      </c>
      <c r="G568" s="170">
        <v>2</v>
      </c>
      <c r="H568" s="38" t="s">
        <v>511</v>
      </c>
      <c r="I568" s="105" t="s">
        <v>1449</v>
      </c>
      <c r="J568" s="157" t="s">
        <v>2427</v>
      </c>
      <c r="K568" s="34" t="s">
        <v>2428</v>
      </c>
      <c r="L568" s="5">
        <f>IF(O568="","",N568*O568*M568)</f>
        <v>99</v>
      </c>
      <c r="M568" s="8">
        <v>1</v>
      </c>
      <c r="N568" s="1">
        <v>1</v>
      </c>
      <c r="O568" s="15">
        <f>IF(SUM(Q568:AF568)&lt;1,"",SUM(Q568:AF568)/COUNTIF(Q568:AF568,"&gt;0"))</f>
        <v>99</v>
      </c>
      <c r="P568" s="16"/>
      <c r="Q568" s="13"/>
      <c r="T568" s="4">
        <v>99</v>
      </c>
      <c r="U568" s="2"/>
      <c r="V568" s="2"/>
      <c r="W568" s="2"/>
      <c r="X568" s="2"/>
      <c r="Z568" s="2"/>
      <c r="AA568" s="2"/>
      <c r="AF568" s="14"/>
    </row>
    <row r="569" spans="1:33" s="4" customFormat="1" ht="15.75" customHeight="1" x14ac:dyDescent="0.25">
      <c r="A569" s="33" t="str">
        <f>CONCATENATE(D569,".",F569,"-",G569,".",H569,"")</f>
        <v>2.1-2.1</v>
      </c>
      <c r="B569" s="33"/>
      <c r="C569" s="39" t="s">
        <v>262</v>
      </c>
      <c r="D569" s="33">
        <f>IF(C569="ID",1,(IF(C569="PR",2,(IF(C569="DE",3,(IF(C569="RS",4,(IF(C569="RC",5,0)))))))))</f>
        <v>2</v>
      </c>
      <c r="E569" s="33" t="s">
        <v>257</v>
      </c>
      <c r="F569" s="33">
        <f>IF(E569="AM",1,(IF(E569="BE",2,(IF(E569="GV",3,(IF(E569="RA",4,(IF(E569="RM",5,(IF(E569="AC",1,(IF(E569="AT",2,(IF(E569="DS",3,(IF(E569="IP",4,(IF(E569="MA",5,(IF(E569="PT",6,(IF(E569="AE",1,(IF(E569="CM",2,(IF(E569="DP",3,(IF(E569="AN",1,(IF(E569="CO",2,(IF(E569="IM",3,(IF(E569="MI",4,(IF(E569="RP",5,(IF(E569="SC",6,0)))))))))))))))))))))))))))))))))))))))</f>
        <v>1</v>
      </c>
      <c r="G569" s="170">
        <v>2</v>
      </c>
      <c r="H569" s="38" t="s">
        <v>511</v>
      </c>
      <c r="I569" s="105" t="s">
        <v>1449</v>
      </c>
      <c r="J569" s="157" t="s">
        <v>2429</v>
      </c>
      <c r="K569" s="34" t="s">
        <v>2430</v>
      </c>
      <c r="L569" s="5">
        <f>IF(O569="","",N569*O569*M569)</f>
        <v>99</v>
      </c>
      <c r="M569" s="8">
        <v>1</v>
      </c>
      <c r="N569" s="1">
        <v>1</v>
      </c>
      <c r="O569" s="15">
        <f>IF(SUM(Q569:AF569)&lt;1,"",SUM(Q569:AF569)/COUNTIF(Q569:AF569,"&gt;0"))</f>
        <v>99</v>
      </c>
      <c r="P569" s="16"/>
      <c r="Q569" s="13"/>
      <c r="T569" s="4">
        <v>99</v>
      </c>
      <c r="U569" s="2"/>
      <c r="V569" s="2"/>
      <c r="W569" s="2"/>
      <c r="X569" s="2"/>
      <c r="Z569" s="2"/>
      <c r="AA569" s="2"/>
      <c r="AF569" s="14"/>
    </row>
    <row r="570" spans="1:33" s="4" customFormat="1" ht="15.75" customHeight="1" x14ac:dyDescent="0.25">
      <c r="A570" s="33" t="str">
        <f>CONCATENATE(D570,".",F570,"-",G570,".",H570,"")</f>
        <v>2.1-2.1</v>
      </c>
      <c r="B570" s="33"/>
      <c r="C570" s="39" t="s">
        <v>262</v>
      </c>
      <c r="D570" s="33">
        <f>IF(C570="ID",1,(IF(C570="PR",2,(IF(C570="DE",3,(IF(C570="RS",4,(IF(C570="RC",5,0)))))))))</f>
        <v>2</v>
      </c>
      <c r="E570" s="33" t="s">
        <v>257</v>
      </c>
      <c r="F570" s="33">
        <f>IF(E570="AM",1,(IF(E570="BE",2,(IF(E570="GV",3,(IF(E570="RA",4,(IF(E570="RM",5,(IF(E570="AC",1,(IF(E570="AT",2,(IF(E570="DS",3,(IF(E570="IP",4,(IF(E570="MA",5,(IF(E570="PT",6,(IF(E570="AE",1,(IF(E570="CM",2,(IF(E570="DP",3,(IF(E570="AN",1,(IF(E570="CO",2,(IF(E570="IM",3,(IF(E570="MI",4,(IF(E570="RP",5,(IF(E570="SC",6,0)))))))))))))))))))))))))))))))))))))))</f>
        <v>1</v>
      </c>
      <c r="G570" s="170">
        <v>2</v>
      </c>
      <c r="H570" s="38" t="s">
        <v>511</v>
      </c>
      <c r="I570" s="105" t="s">
        <v>1449</v>
      </c>
      <c r="J570" s="157" t="s">
        <v>2431</v>
      </c>
      <c r="K570" s="34" t="s">
        <v>2432</v>
      </c>
      <c r="L570" s="5">
        <f>IF(O570="","",N570*O570*M570)</f>
        <v>99</v>
      </c>
      <c r="M570" s="8">
        <v>1</v>
      </c>
      <c r="N570" s="1">
        <v>1</v>
      </c>
      <c r="O570" s="15">
        <f>IF(SUM(Q570:AF570)&lt;1,"",SUM(Q570:AF570)/COUNTIF(Q570:AF570,"&gt;0"))</f>
        <v>99</v>
      </c>
      <c r="P570" s="16"/>
      <c r="Q570" s="13"/>
      <c r="T570" s="4">
        <v>99</v>
      </c>
      <c r="U570" s="2"/>
      <c r="V570" s="2"/>
      <c r="W570" s="2"/>
      <c r="X570" s="2"/>
      <c r="Z570" s="2"/>
      <c r="AA570" s="2"/>
      <c r="AF570" s="14"/>
    </row>
    <row r="571" spans="1:33" s="4" customFormat="1" ht="15.75" customHeight="1" x14ac:dyDescent="0.25">
      <c r="A571" s="33" t="str">
        <f>CONCATENATE(D571,".",F571,"-",G571,".",H571,"")</f>
        <v>2.1-2.1</v>
      </c>
      <c r="B571" s="33"/>
      <c r="C571" s="39" t="s">
        <v>262</v>
      </c>
      <c r="D571" s="33">
        <f>IF(C571="ID",1,(IF(C571="PR",2,(IF(C571="DE",3,(IF(C571="RS",4,(IF(C571="RC",5,0)))))))))</f>
        <v>2</v>
      </c>
      <c r="E571" s="33" t="s">
        <v>257</v>
      </c>
      <c r="F571" s="33">
        <f>IF(E571="AM",1,(IF(E571="BE",2,(IF(E571="GV",3,(IF(E571="RA",4,(IF(E571="RM",5,(IF(E571="AC",1,(IF(E571="AT",2,(IF(E571="DS",3,(IF(E571="IP",4,(IF(E571="MA",5,(IF(E571="PT",6,(IF(E571="AE",1,(IF(E571="CM",2,(IF(E571="DP",3,(IF(E571="AN",1,(IF(E571="CO",2,(IF(E571="IM",3,(IF(E571="MI",4,(IF(E571="RP",5,(IF(E571="SC",6,0)))))))))))))))))))))))))))))))))))))))</f>
        <v>1</v>
      </c>
      <c r="G571" s="170">
        <v>2</v>
      </c>
      <c r="H571" s="38" t="s">
        <v>511</v>
      </c>
      <c r="I571" s="105" t="s">
        <v>1449</v>
      </c>
      <c r="J571" s="157" t="s">
        <v>2433</v>
      </c>
      <c r="K571" s="34" t="s">
        <v>2434</v>
      </c>
      <c r="L571" s="5">
        <f>IF(O571="","",N571*O571*M571)</f>
        <v>99</v>
      </c>
      <c r="M571" s="8">
        <v>1</v>
      </c>
      <c r="N571" s="1">
        <v>1</v>
      </c>
      <c r="O571" s="15">
        <f>IF(SUM(Q571:AF571)&lt;1,"",SUM(Q571:AF571)/COUNTIF(Q571:AF571,"&gt;0"))</f>
        <v>99</v>
      </c>
      <c r="P571" s="16"/>
      <c r="Q571" s="13"/>
      <c r="T571" s="4">
        <v>99</v>
      </c>
      <c r="U571" s="2"/>
      <c r="V571" s="2"/>
      <c r="W571" s="2"/>
      <c r="X571" s="2"/>
      <c r="Z571" s="2"/>
      <c r="AA571" s="2"/>
      <c r="AF571" s="14"/>
    </row>
    <row r="572" spans="1:33" s="4" customFormat="1" ht="15.75" customHeight="1" x14ac:dyDescent="0.25">
      <c r="A572" s="33" t="str">
        <f>CONCATENATE(D572,".",F572,"-",G572,".",H572,"")</f>
        <v>2.1-2.1</v>
      </c>
      <c r="B572" s="33"/>
      <c r="C572" s="39" t="s">
        <v>262</v>
      </c>
      <c r="D572" s="33">
        <f>IF(C572="ID",1,(IF(C572="PR",2,(IF(C572="DE",3,(IF(C572="RS",4,(IF(C572="RC",5,0)))))))))</f>
        <v>2</v>
      </c>
      <c r="E572" s="33" t="s">
        <v>257</v>
      </c>
      <c r="F572" s="33">
        <f>IF(E572="AM",1,(IF(E572="BE",2,(IF(E572="GV",3,(IF(E572="RA",4,(IF(E572="RM",5,(IF(E572="AC",1,(IF(E572="AT",2,(IF(E572="DS",3,(IF(E572="IP",4,(IF(E572="MA",5,(IF(E572="PT",6,(IF(E572="AE",1,(IF(E572="CM",2,(IF(E572="DP",3,(IF(E572="AN",1,(IF(E572="CO",2,(IF(E572="IM",3,(IF(E572="MI",4,(IF(E572="RP",5,(IF(E572="SC",6,0)))))))))))))))))))))))))))))))))))))))</f>
        <v>1</v>
      </c>
      <c r="G572" s="170">
        <v>2</v>
      </c>
      <c r="H572" s="38" t="s">
        <v>511</v>
      </c>
      <c r="I572" s="105" t="s">
        <v>1449</v>
      </c>
      <c r="J572" s="157" t="s">
        <v>2435</v>
      </c>
      <c r="K572" s="34" t="s">
        <v>2436</v>
      </c>
      <c r="L572" s="5">
        <f>IF(O572="","",N572*O572*M572)</f>
        <v>99</v>
      </c>
      <c r="M572" s="8">
        <v>1</v>
      </c>
      <c r="N572" s="1">
        <v>1</v>
      </c>
      <c r="O572" s="15">
        <f>IF(SUM(Q572:AF572)&lt;1,"",SUM(Q572:AF572)/COUNTIF(Q572:AF572,"&gt;0"))</f>
        <v>99</v>
      </c>
      <c r="P572" s="16"/>
      <c r="Q572" s="13"/>
      <c r="T572" s="4">
        <v>99</v>
      </c>
      <c r="U572" s="2"/>
      <c r="V572" s="2"/>
      <c r="W572" s="2"/>
      <c r="X572" s="2"/>
      <c r="Z572" s="2"/>
      <c r="AA572" s="2"/>
      <c r="AF572" s="14"/>
    </row>
    <row r="573" spans="1:33" s="4" customFormat="1" ht="15.75" customHeight="1" x14ac:dyDescent="0.25">
      <c r="A573" s="33" t="str">
        <f>CONCATENATE(D573,".",F573,"-",G573,".",H573,"")</f>
        <v>2.1-2.1</v>
      </c>
      <c r="B573" s="33"/>
      <c r="C573" s="39" t="s">
        <v>262</v>
      </c>
      <c r="D573" s="33">
        <f>IF(C573="ID",1,(IF(C573="PR",2,(IF(C573="DE",3,(IF(C573="RS",4,(IF(C573="RC",5,0)))))))))</f>
        <v>2</v>
      </c>
      <c r="E573" s="33" t="s">
        <v>257</v>
      </c>
      <c r="F573" s="33">
        <f>IF(E573="AM",1,(IF(E573="BE",2,(IF(E573="GV",3,(IF(E573="RA",4,(IF(E573="RM",5,(IF(E573="AC",1,(IF(E573="AT",2,(IF(E573="DS",3,(IF(E573="IP",4,(IF(E573="MA",5,(IF(E573="PT",6,(IF(E573="AE",1,(IF(E573="CM",2,(IF(E573="DP",3,(IF(E573="AN",1,(IF(E573="CO",2,(IF(E573="IM",3,(IF(E573="MI",4,(IF(E573="RP",5,(IF(E573="SC",6,0)))))))))))))))))))))))))))))))))))))))</f>
        <v>1</v>
      </c>
      <c r="G573" s="170">
        <v>2</v>
      </c>
      <c r="H573" s="38" t="s">
        <v>511</v>
      </c>
      <c r="I573" s="105" t="s">
        <v>1449</v>
      </c>
      <c r="J573" s="157" t="s">
        <v>2437</v>
      </c>
      <c r="K573" s="34" t="s">
        <v>2438</v>
      </c>
      <c r="L573" s="5">
        <f>IF(O573="","",N573*O573*M573)</f>
        <v>99</v>
      </c>
      <c r="M573" s="8">
        <v>1</v>
      </c>
      <c r="N573" s="1">
        <v>1</v>
      </c>
      <c r="O573" s="15">
        <f>IF(SUM(Q573:AF573)&lt;1,"",SUM(Q573:AF573)/COUNTIF(Q573:AF573,"&gt;0"))</f>
        <v>99</v>
      </c>
      <c r="P573" s="16"/>
      <c r="Q573" s="13"/>
      <c r="T573" s="4">
        <v>99</v>
      </c>
      <c r="U573" s="2"/>
      <c r="V573" s="2"/>
      <c r="W573" s="2"/>
      <c r="X573" s="2"/>
      <c r="Z573" s="2"/>
      <c r="AA573" s="2"/>
      <c r="AF573" s="14"/>
    </row>
    <row r="574" spans="1:33" s="4" customFormat="1" ht="15.75" customHeight="1" x14ac:dyDescent="0.25">
      <c r="A574" s="33" t="str">
        <f>CONCATENATE(D574,".",F574,"-",G574,".",H574,"")</f>
        <v>2.1-2.1</v>
      </c>
      <c r="B574" s="33"/>
      <c r="C574" s="39" t="s">
        <v>262</v>
      </c>
      <c r="D574" s="33">
        <f>IF(C574="ID",1,(IF(C574="PR",2,(IF(C574="DE",3,(IF(C574="RS",4,(IF(C574="RC",5,0)))))))))</f>
        <v>2</v>
      </c>
      <c r="E574" s="33" t="s">
        <v>257</v>
      </c>
      <c r="F574" s="33">
        <f>IF(E574="AM",1,(IF(E574="BE",2,(IF(E574="GV",3,(IF(E574="RA",4,(IF(E574="RM",5,(IF(E574="AC",1,(IF(E574="AT",2,(IF(E574="DS",3,(IF(E574="IP",4,(IF(E574="MA",5,(IF(E574="PT",6,(IF(E574="AE",1,(IF(E574="CM",2,(IF(E574="DP",3,(IF(E574="AN",1,(IF(E574="CO",2,(IF(E574="IM",3,(IF(E574="MI",4,(IF(E574="RP",5,(IF(E574="SC",6,0)))))))))))))))))))))))))))))))))))))))</f>
        <v>1</v>
      </c>
      <c r="G574" s="170">
        <v>2</v>
      </c>
      <c r="H574" s="38" t="s">
        <v>511</v>
      </c>
      <c r="I574" s="105" t="s">
        <v>1449</v>
      </c>
      <c r="J574" s="157" t="s">
        <v>2439</v>
      </c>
      <c r="K574" s="34" t="s">
        <v>2440</v>
      </c>
      <c r="L574" s="5">
        <f>IF(O574="","",N574*O574*M574)</f>
        <v>99</v>
      </c>
      <c r="M574" s="8">
        <v>1</v>
      </c>
      <c r="N574" s="1">
        <v>1</v>
      </c>
      <c r="O574" s="15">
        <f>IF(SUM(Q574:AF574)&lt;1,"",SUM(Q574:AF574)/COUNTIF(Q574:AF574,"&gt;0"))</f>
        <v>99</v>
      </c>
      <c r="P574" s="16"/>
      <c r="Q574" s="13"/>
      <c r="T574" s="4">
        <v>99</v>
      </c>
      <c r="U574" s="2"/>
      <c r="V574" s="2"/>
      <c r="W574" s="2"/>
      <c r="X574" s="2"/>
      <c r="Z574" s="2"/>
      <c r="AA574" s="2"/>
      <c r="AF574" s="14"/>
    </row>
    <row r="575" spans="1:33" s="4" customFormat="1" ht="15.75" customHeight="1" x14ac:dyDescent="0.25">
      <c r="A575" s="33" t="str">
        <f>CONCATENATE(D575,".",F575,"-",G575,".",H575,"")</f>
        <v>2.1-2.1</v>
      </c>
      <c r="B575" s="33"/>
      <c r="C575" s="39" t="s">
        <v>262</v>
      </c>
      <c r="D575" s="33">
        <f>IF(C575="ID",1,(IF(C575="PR",2,(IF(C575="DE",3,(IF(C575="RS",4,(IF(C575="RC",5,0)))))))))</f>
        <v>2</v>
      </c>
      <c r="E575" s="33" t="s">
        <v>257</v>
      </c>
      <c r="F575" s="33">
        <f>IF(E575="AM",1,(IF(E575="BE",2,(IF(E575="GV",3,(IF(E575="RA",4,(IF(E575="RM",5,(IF(E575="AC",1,(IF(E575="AT",2,(IF(E575="DS",3,(IF(E575="IP",4,(IF(E575="MA",5,(IF(E575="PT",6,(IF(E575="AE",1,(IF(E575="CM",2,(IF(E575="DP",3,(IF(E575="AN",1,(IF(E575="CO",2,(IF(E575="IM",3,(IF(E575="MI",4,(IF(E575="RP",5,(IF(E575="SC",6,0)))))))))))))))))))))))))))))))))))))))</f>
        <v>1</v>
      </c>
      <c r="G575" s="170">
        <v>2</v>
      </c>
      <c r="H575" s="38" t="s">
        <v>511</v>
      </c>
      <c r="I575" s="105" t="s">
        <v>1449</v>
      </c>
      <c r="J575" s="157" t="s">
        <v>2441</v>
      </c>
      <c r="K575" s="34" t="s">
        <v>2442</v>
      </c>
      <c r="L575" s="5">
        <f>IF(O575="","",N575*O575*M575)</f>
        <v>99</v>
      </c>
      <c r="M575" s="8">
        <v>1</v>
      </c>
      <c r="N575" s="1">
        <v>1</v>
      </c>
      <c r="O575" s="15">
        <f>IF(SUM(Q575:AF575)&lt;1,"",SUM(Q575:AF575)/COUNTIF(Q575:AF575,"&gt;0"))</f>
        <v>99</v>
      </c>
      <c r="P575" s="16"/>
      <c r="Q575" s="13"/>
      <c r="T575" s="4">
        <v>99</v>
      </c>
      <c r="U575" s="2"/>
      <c r="V575" s="2"/>
      <c r="W575" s="2"/>
      <c r="X575" s="2"/>
      <c r="Z575" s="2"/>
      <c r="AA575" s="2"/>
      <c r="AF575" s="14"/>
    </row>
    <row r="576" spans="1:33" s="4" customFormat="1" ht="15.75" customHeight="1" x14ac:dyDescent="0.25">
      <c r="A576" s="33" t="str">
        <f>CONCATENATE(D576,".",F576,"-",G576,".",H576,"")</f>
        <v>2.1-2.1</v>
      </c>
      <c r="B576" s="33"/>
      <c r="C576" s="39" t="s">
        <v>262</v>
      </c>
      <c r="D576" s="33">
        <f>IF(C576="ID",1,(IF(C576="PR",2,(IF(C576="DE",3,(IF(C576="RS",4,(IF(C576="RC",5,0)))))))))</f>
        <v>2</v>
      </c>
      <c r="E576" s="33" t="s">
        <v>257</v>
      </c>
      <c r="F576" s="33">
        <f>IF(E576="AM",1,(IF(E576="BE",2,(IF(E576="GV",3,(IF(E576="RA",4,(IF(E576="RM",5,(IF(E576="AC",1,(IF(E576="AT",2,(IF(E576="DS",3,(IF(E576="IP",4,(IF(E576="MA",5,(IF(E576="PT",6,(IF(E576="AE",1,(IF(E576="CM",2,(IF(E576="DP",3,(IF(E576="AN",1,(IF(E576="CO",2,(IF(E576="IM",3,(IF(E576="MI",4,(IF(E576="RP",5,(IF(E576="SC",6,0)))))))))))))))))))))))))))))))))))))))</f>
        <v>1</v>
      </c>
      <c r="G576" s="170">
        <v>2</v>
      </c>
      <c r="H576" s="38" t="s">
        <v>511</v>
      </c>
      <c r="I576" s="105" t="s">
        <v>1449</v>
      </c>
      <c r="J576" s="157" t="s">
        <v>2443</v>
      </c>
      <c r="K576" s="34" t="s">
        <v>2444</v>
      </c>
      <c r="L576" s="5">
        <f>IF(O576="","",N576*O576*M576)</f>
        <v>99</v>
      </c>
      <c r="M576" s="8">
        <v>1</v>
      </c>
      <c r="N576" s="1">
        <v>1</v>
      </c>
      <c r="O576" s="15">
        <f>IF(SUM(Q576:AF576)&lt;1,"",SUM(Q576:AF576)/COUNTIF(Q576:AF576,"&gt;0"))</f>
        <v>99</v>
      </c>
      <c r="P576" s="16"/>
      <c r="Q576" s="13"/>
      <c r="T576" s="4">
        <v>99</v>
      </c>
      <c r="U576" s="2"/>
      <c r="V576" s="2"/>
      <c r="W576" s="2"/>
      <c r="X576" s="2"/>
      <c r="Z576" s="2"/>
      <c r="AA576" s="2"/>
      <c r="AF576" s="14"/>
    </row>
    <row r="577" spans="1:33" s="4" customFormat="1" ht="15.75" customHeight="1" x14ac:dyDescent="0.25">
      <c r="A577" s="33" t="str">
        <f>CONCATENATE(D577,".",F577,"-",G577,".",H577,"")</f>
        <v>2.1-2.1</v>
      </c>
      <c r="B577" s="33"/>
      <c r="C577" s="39" t="s">
        <v>262</v>
      </c>
      <c r="D577" s="33">
        <f>IF(C577="ID",1,(IF(C577="PR",2,(IF(C577="DE",3,(IF(C577="RS",4,(IF(C577="RC",5,0)))))))))</f>
        <v>2</v>
      </c>
      <c r="E577" s="33" t="s">
        <v>257</v>
      </c>
      <c r="F577" s="33">
        <f>IF(E577="AM",1,(IF(E577="BE",2,(IF(E577="GV",3,(IF(E577="RA",4,(IF(E577="RM",5,(IF(E577="AC",1,(IF(E577="AT",2,(IF(E577="DS",3,(IF(E577="IP",4,(IF(E577="MA",5,(IF(E577="PT",6,(IF(E577="AE",1,(IF(E577="CM",2,(IF(E577="DP",3,(IF(E577="AN",1,(IF(E577="CO",2,(IF(E577="IM",3,(IF(E577="MI",4,(IF(E577="RP",5,(IF(E577="SC",6,0)))))))))))))))))))))))))))))))))))))))</f>
        <v>1</v>
      </c>
      <c r="G577" s="170">
        <v>2</v>
      </c>
      <c r="H577" s="38" t="s">
        <v>511</v>
      </c>
      <c r="I577" s="105" t="s">
        <v>1449</v>
      </c>
      <c r="J577" s="157" t="s">
        <v>2447</v>
      </c>
      <c r="K577" s="34" t="s">
        <v>2448</v>
      </c>
      <c r="L577" s="5">
        <f>IF(O577="","",N577*O577*M577)</f>
        <v>99</v>
      </c>
      <c r="M577" s="8">
        <v>1</v>
      </c>
      <c r="N577" s="1">
        <v>1</v>
      </c>
      <c r="O577" s="15">
        <f>IF(SUM(Q577:AF577)&lt;1,"",SUM(Q577:AF577)/COUNTIF(Q577:AF577,"&gt;0"))</f>
        <v>99</v>
      </c>
      <c r="P577" s="16"/>
      <c r="Q577" s="13"/>
      <c r="T577" s="4">
        <v>99</v>
      </c>
      <c r="U577" s="2"/>
      <c r="V577" s="2"/>
      <c r="W577" s="2"/>
      <c r="X577" s="2"/>
      <c r="Z577" s="2"/>
      <c r="AA577" s="2"/>
      <c r="AF577" s="14"/>
    </row>
    <row r="578" spans="1:33" s="4" customFormat="1" ht="15.75" customHeight="1" x14ac:dyDescent="0.25">
      <c r="A578" s="33" t="str">
        <f>CONCATENATE(D578,".",F578,"-",G578,".",H578,"")</f>
        <v>2.1-2.1</v>
      </c>
      <c r="B578" s="33"/>
      <c r="C578" s="39" t="s">
        <v>262</v>
      </c>
      <c r="D578" s="33">
        <f>IF(C578="ID",1,(IF(C578="PR",2,(IF(C578="DE",3,(IF(C578="RS",4,(IF(C578="RC",5,0)))))))))</f>
        <v>2</v>
      </c>
      <c r="E578" s="33" t="s">
        <v>257</v>
      </c>
      <c r="F578" s="33">
        <f>IF(E578="AM",1,(IF(E578="BE",2,(IF(E578="GV",3,(IF(E578="RA",4,(IF(E578="RM",5,(IF(E578="AC",1,(IF(E578="AT",2,(IF(E578="DS",3,(IF(E578="IP",4,(IF(E578="MA",5,(IF(E578="PT",6,(IF(E578="AE",1,(IF(E578="CM",2,(IF(E578="DP",3,(IF(E578="AN",1,(IF(E578="CO",2,(IF(E578="IM",3,(IF(E578="MI",4,(IF(E578="RP",5,(IF(E578="SC",6,0)))))))))))))))))))))))))))))))))))))))</f>
        <v>1</v>
      </c>
      <c r="G578" s="170">
        <v>2</v>
      </c>
      <c r="H578" s="38" t="s">
        <v>511</v>
      </c>
      <c r="I578" s="105" t="s">
        <v>1449</v>
      </c>
      <c r="J578" s="157" t="s">
        <v>2449</v>
      </c>
      <c r="K578" s="34" t="s">
        <v>2450</v>
      </c>
      <c r="L578" s="5">
        <f>IF(O578="","",N578*O578*M578)</f>
        <v>99</v>
      </c>
      <c r="M578" s="8">
        <v>1</v>
      </c>
      <c r="N578" s="1">
        <v>1</v>
      </c>
      <c r="O578" s="15">
        <f>IF(SUM(Q578:AF578)&lt;1,"",SUM(Q578:AF578)/COUNTIF(Q578:AF578,"&gt;0"))</f>
        <v>99</v>
      </c>
      <c r="P578" s="16"/>
      <c r="Q578" s="13"/>
      <c r="T578" s="4">
        <v>99</v>
      </c>
      <c r="U578" s="2"/>
      <c r="V578" s="2"/>
      <c r="W578" s="2"/>
      <c r="X578" s="2"/>
      <c r="Z578" s="2"/>
      <c r="AA578" s="2"/>
      <c r="AF578" s="14"/>
    </row>
    <row r="579" spans="1:33" s="4" customFormat="1" ht="15.75" customHeight="1" x14ac:dyDescent="0.25">
      <c r="A579" s="33" t="str">
        <f>CONCATENATE(D579,".",F579,"-",G579,".",H579,"")</f>
        <v>2.1-2.1</v>
      </c>
      <c r="B579" s="33"/>
      <c r="C579" s="39" t="s">
        <v>262</v>
      </c>
      <c r="D579" s="33">
        <f>IF(C579="ID",1,(IF(C579="PR",2,(IF(C579="DE",3,(IF(C579="RS",4,(IF(C579="RC",5,0)))))))))</f>
        <v>2</v>
      </c>
      <c r="E579" s="33" t="s">
        <v>257</v>
      </c>
      <c r="F579" s="33">
        <f>IF(E579="AM",1,(IF(E579="BE",2,(IF(E579="GV",3,(IF(E579="RA",4,(IF(E579="RM",5,(IF(E579="AC",1,(IF(E579="AT",2,(IF(E579="DS",3,(IF(E579="IP",4,(IF(E579="MA",5,(IF(E579="PT",6,(IF(E579="AE",1,(IF(E579="CM",2,(IF(E579="DP",3,(IF(E579="AN",1,(IF(E579="CO",2,(IF(E579="IM",3,(IF(E579="MI",4,(IF(E579="RP",5,(IF(E579="SC",6,0)))))))))))))))))))))))))))))))))))))))</f>
        <v>1</v>
      </c>
      <c r="G579" s="170">
        <v>2</v>
      </c>
      <c r="H579" s="38" t="s">
        <v>511</v>
      </c>
      <c r="I579" s="105" t="s">
        <v>1449</v>
      </c>
      <c r="J579" s="157" t="s">
        <v>2451</v>
      </c>
      <c r="K579" s="34" t="s">
        <v>2452</v>
      </c>
      <c r="L579" s="5">
        <f>IF(O579="","",N579*O579*M579)</f>
        <v>99</v>
      </c>
      <c r="M579" s="8">
        <v>1</v>
      </c>
      <c r="N579" s="1">
        <v>1</v>
      </c>
      <c r="O579" s="15">
        <f>IF(SUM(Q579:AF579)&lt;1,"",SUM(Q579:AF579)/COUNTIF(Q579:AF579,"&gt;0"))</f>
        <v>99</v>
      </c>
      <c r="P579" s="16"/>
      <c r="Q579" s="13"/>
      <c r="T579" s="4">
        <v>99</v>
      </c>
      <c r="U579" s="2"/>
      <c r="V579" s="2"/>
      <c r="W579" s="2"/>
      <c r="X579" s="2"/>
      <c r="Z579" s="2"/>
      <c r="AA579" s="2"/>
      <c r="AF579" s="14"/>
    </row>
    <row r="580" spans="1:33" s="4" customFormat="1" ht="15.75" customHeight="1" x14ac:dyDescent="0.25">
      <c r="A580" s="33" t="str">
        <f>CONCATENATE(D580,".",F580,"-",G580,".",H580,"")</f>
        <v>2.1-2.1</v>
      </c>
      <c r="B580" s="33"/>
      <c r="C580" s="39" t="s">
        <v>262</v>
      </c>
      <c r="D580" s="33">
        <f>IF(C580="ID",1,(IF(C580="PR",2,(IF(C580="DE",3,(IF(C580="RS",4,(IF(C580="RC",5,0)))))))))</f>
        <v>2</v>
      </c>
      <c r="E580" s="33" t="s">
        <v>257</v>
      </c>
      <c r="F580" s="33">
        <f>IF(E580="AM",1,(IF(E580="BE",2,(IF(E580="GV",3,(IF(E580="RA",4,(IF(E580="RM",5,(IF(E580="AC",1,(IF(E580="AT",2,(IF(E580="DS",3,(IF(E580="IP",4,(IF(E580="MA",5,(IF(E580="PT",6,(IF(E580="AE",1,(IF(E580="CM",2,(IF(E580="DP",3,(IF(E580="AN",1,(IF(E580="CO",2,(IF(E580="IM",3,(IF(E580="MI",4,(IF(E580="RP",5,(IF(E580="SC",6,0)))))))))))))))))))))))))))))))))))))))</f>
        <v>1</v>
      </c>
      <c r="G580" s="170">
        <v>2</v>
      </c>
      <c r="H580" s="38" t="s">
        <v>511</v>
      </c>
      <c r="I580" s="105" t="s">
        <v>1449</v>
      </c>
      <c r="J580" s="157" t="s">
        <v>2453</v>
      </c>
      <c r="K580" s="34" t="s">
        <v>2454</v>
      </c>
      <c r="L580" s="5">
        <f>IF(O580="","",N580*O580*M580)</f>
        <v>99</v>
      </c>
      <c r="M580" s="8">
        <v>1</v>
      </c>
      <c r="N580" s="1">
        <v>1</v>
      </c>
      <c r="O580" s="15">
        <f>IF(SUM(Q580:AF580)&lt;1,"",SUM(Q580:AF580)/COUNTIF(Q580:AF580,"&gt;0"))</f>
        <v>99</v>
      </c>
      <c r="P580" s="16"/>
      <c r="Q580" s="13"/>
      <c r="T580" s="4">
        <v>99</v>
      </c>
      <c r="U580" s="2"/>
      <c r="V580" s="2"/>
      <c r="W580" s="2"/>
      <c r="X580" s="2"/>
      <c r="Z580" s="2"/>
      <c r="AA580" s="2"/>
      <c r="AF580" s="14"/>
    </row>
    <row r="581" spans="1:33" ht="15.75" customHeight="1" x14ac:dyDescent="0.25">
      <c r="A581" s="33" t="str">
        <f>CONCATENATE(D581,".",F581,"-",G581,".",H581,"")</f>
        <v>2.1-2.2</v>
      </c>
      <c r="B581" s="33" t="s">
        <v>814</v>
      </c>
      <c r="C581" s="39" t="s">
        <v>262</v>
      </c>
      <c r="D581" s="33">
        <f>IF(C581="ID",1,(IF(C581="PR",2,(IF(C581="DE",3,(IF(C581="RS",4,(IF(C581="RC",5,0)))))))))</f>
        <v>2</v>
      </c>
      <c r="E581" s="33" t="s">
        <v>257</v>
      </c>
      <c r="F581" s="33">
        <f>IF(E581="AM",1,(IF(E581="BE",2,(IF(E581="GV",3,(IF(E581="RA",4,(IF(E581="RM",5,(IF(E581="AC",1,(IF(E581="AT",2,(IF(E581="DS",3,(IF(E581="IP",4,(IF(E581="MA",5,(IF(E581="PT",6,(IF(E581="AE",1,(IF(E581="CM",2,(IF(E581="DP",3,(IF(E581="AN",1,(IF(E581="CO",2,(IF(E581="IM",3,(IF(E581="MI",4,(IF(E581="RP",5,(IF(E581="SC",6,0)))))))))))))))))))))))))))))))))))))))</f>
        <v>1</v>
      </c>
      <c r="G581" s="170">
        <v>2</v>
      </c>
      <c r="H581" s="38" t="s">
        <v>512</v>
      </c>
      <c r="I581" s="27" t="s">
        <v>266</v>
      </c>
      <c r="J581" s="149" t="s">
        <v>452</v>
      </c>
      <c r="K581" s="79" t="s">
        <v>1290</v>
      </c>
      <c r="L581" s="66">
        <f>IF(O581="","",N581*O581*M581)</f>
        <v>75</v>
      </c>
      <c r="M581" s="8">
        <v>1</v>
      </c>
      <c r="N581" s="1">
        <v>1</v>
      </c>
      <c r="O581" s="15">
        <f>IF(SUM(Q581:AF581)&lt;1,"",SUM(Q581:AF581)/COUNTIF(Q581:AF581,"&gt;0"))</f>
        <v>75</v>
      </c>
      <c r="P581" s="16"/>
      <c r="Q581" s="13"/>
      <c r="R581" s="4"/>
      <c r="S581" s="4"/>
      <c r="T581" s="4">
        <v>75</v>
      </c>
      <c r="U581" s="2"/>
      <c r="V581" s="2"/>
      <c r="W581" s="2"/>
      <c r="X581" s="2"/>
      <c r="Y581" s="4"/>
      <c r="Z581" s="2"/>
      <c r="AA581" s="2"/>
      <c r="AB581" s="4"/>
      <c r="AC581" s="4"/>
      <c r="AD581" s="4"/>
      <c r="AE581" s="4"/>
      <c r="AF581" s="14"/>
      <c r="AG581" s="3"/>
    </row>
    <row r="582" spans="1:33" s="4" customFormat="1" ht="15.75" customHeight="1" x14ac:dyDescent="0.25">
      <c r="A582" s="33" t="str">
        <f>CONCATENATE(D582,".",F582,"-",G582,".",H582,"")</f>
        <v>2.1-2.2</v>
      </c>
      <c r="B582" s="33" t="s">
        <v>814</v>
      </c>
      <c r="C582" s="41" t="s">
        <v>262</v>
      </c>
      <c r="D582" s="33">
        <f>IF(C582="ID",1,(IF(C582="PR",2,(IF(C582="DE",3,(IF(C582="RS",4,(IF(C582="RC",5,0)))))))))</f>
        <v>2</v>
      </c>
      <c r="E582" s="33" t="s">
        <v>257</v>
      </c>
      <c r="F582" s="33">
        <f>IF(E582="AM",1,(IF(E582="BE",2,(IF(E582="GV",3,(IF(E582="RA",4,(IF(E582="RM",5,(IF(E582="AC",1,(IF(E582="AT",2,(IF(E582="DS",3,(IF(E582="IP",4,(IF(E582="MA",5,(IF(E582="PT",6,(IF(E582="AE",1,(IF(E582="CM",2,(IF(E582="DP",3,(IF(E582="AN",1,(IF(E582="CO",2,(IF(E582="IM",3,(IF(E582="MI",4,(IF(E582="RP",5,(IF(E582="SC",6,0)))))))))))))))))))))))))))))))))))))))</f>
        <v>1</v>
      </c>
      <c r="G582" s="170">
        <v>2</v>
      </c>
      <c r="H582" s="38" t="s">
        <v>512</v>
      </c>
      <c r="I582" s="27" t="s">
        <v>266</v>
      </c>
      <c r="J582" s="149" t="s">
        <v>317</v>
      </c>
      <c r="K582" s="79" t="s">
        <v>1291</v>
      </c>
      <c r="L582" s="5">
        <f>IF(O582="","",N582*O582*M582)</f>
        <v>75</v>
      </c>
      <c r="M582" s="8">
        <v>1</v>
      </c>
      <c r="N582" s="1">
        <v>1</v>
      </c>
      <c r="O582" s="15">
        <f>IF(SUM(Q582:AF582)&lt;1,"",SUM(Q582:AF582)/COUNTIF(Q582:AF582,"&gt;0"))</f>
        <v>75</v>
      </c>
      <c r="P582" s="16"/>
      <c r="Q582" s="13"/>
      <c r="T582" s="4">
        <v>75</v>
      </c>
      <c r="U582" s="2"/>
      <c r="V582" s="2"/>
      <c r="W582" s="2"/>
      <c r="X582" s="2"/>
      <c r="Z582" s="2"/>
      <c r="AA582" s="2"/>
      <c r="AF582" s="14"/>
    </row>
    <row r="583" spans="1:33" s="4" customFormat="1" ht="15.75" customHeight="1" x14ac:dyDescent="0.25">
      <c r="A583" s="33" t="str">
        <f>CONCATENATE(D583,".",F583,"-",G583,".",H583,"")</f>
        <v>2.1-2.2</v>
      </c>
      <c r="B583" s="33" t="s">
        <v>814</v>
      </c>
      <c r="C583" s="41" t="s">
        <v>262</v>
      </c>
      <c r="D583" s="33">
        <f>IF(C583="ID",1,(IF(C583="PR",2,(IF(C583="DE",3,(IF(C583="RS",4,(IF(C583="RC",5,0)))))))))</f>
        <v>2</v>
      </c>
      <c r="E583" s="33" t="s">
        <v>257</v>
      </c>
      <c r="F583" s="33">
        <f>IF(E583="AM",1,(IF(E583="BE",2,(IF(E583="GV",3,(IF(E583="RA",4,(IF(E583="RM",5,(IF(E583="AC",1,(IF(E583="AT",2,(IF(E583="DS",3,(IF(E583="IP",4,(IF(E583="MA",5,(IF(E583="PT",6,(IF(E583="AE",1,(IF(E583="CM",2,(IF(E583="DP",3,(IF(E583="AN",1,(IF(E583="CO",2,(IF(E583="IM",3,(IF(E583="MI",4,(IF(E583="RP",5,(IF(E583="SC",6,0)))))))))))))))))))))))))))))))))))))))</f>
        <v>1</v>
      </c>
      <c r="G583" s="170">
        <v>2</v>
      </c>
      <c r="H583" s="38" t="s">
        <v>512</v>
      </c>
      <c r="I583" s="27" t="s">
        <v>266</v>
      </c>
      <c r="J583" s="149" t="s">
        <v>306</v>
      </c>
      <c r="K583" s="79" t="s">
        <v>1292</v>
      </c>
      <c r="L583" s="5">
        <f>IF(O583="","",N583*O583*M583)</f>
        <v>75</v>
      </c>
      <c r="M583" s="8">
        <v>1</v>
      </c>
      <c r="N583" s="1">
        <v>1</v>
      </c>
      <c r="O583" s="15">
        <f>IF(SUM(Q583:AF583)&lt;1,"",SUM(Q583:AF583)/COUNTIF(Q583:AF583,"&gt;0"))</f>
        <v>75</v>
      </c>
      <c r="P583" s="16"/>
      <c r="Q583" s="13"/>
      <c r="T583" s="4">
        <v>75</v>
      </c>
      <c r="U583" s="2"/>
      <c r="V583" s="2"/>
      <c r="W583" s="2"/>
      <c r="X583" s="2"/>
      <c r="Z583" s="2"/>
      <c r="AA583" s="2"/>
      <c r="AF583" s="14"/>
    </row>
    <row r="584" spans="1:33" s="4" customFormat="1" ht="15.75" customHeight="1" x14ac:dyDescent="0.25">
      <c r="A584" s="33" t="str">
        <f>CONCATENATE(D584,".",F584,"-",G584,".",H584,"")</f>
        <v>2.1-2.2</v>
      </c>
      <c r="B584" s="33" t="s">
        <v>814</v>
      </c>
      <c r="C584" s="41" t="s">
        <v>262</v>
      </c>
      <c r="D584" s="33">
        <f>IF(C584="ID",1,(IF(C584="PR",2,(IF(C584="DE",3,(IF(C584="RS",4,(IF(C584="RC",5,0)))))))))</f>
        <v>2</v>
      </c>
      <c r="E584" s="33" t="s">
        <v>257</v>
      </c>
      <c r="F584" s="33">
        <f>IF(E584="AM",1,(IF(E584="BE",2,(IF(E584="GV",3,(IF(E584="RA",4,(IF(E584="RM",5,(IF(E584="AC",1,(IF(E584="AT",2,(IF(E584="DS",3,(IF(E584="IP",4,(IF(E584="MA",5,(IF(E584="PT",6,(IF(E584="AE",1,(IF(E584="CM",2,(IF(E584="DP",3,(IF(E584="AN",1,(IF(E584="CO",2,(IF(E584="IM",3,(IF(E584="MI",4,(IF(E584="RP",5,(IF(E584="SC",6,0)))))))))))))))))))))))))))))))))))))))</f>
        <v>1</v>
      </c>
      <c r="G584" s="170">
        <v>2</v>
      </c>
      <c r="H584" s="38" t="s">
        <v>512</v>
      </c>
      <c r="I584" s="27" t="s">
        <v>266</v>
      </c>
      <c r="J584" s="149" t="s">
        <v>453</v>
      </c>
      <c r="K584" s="79" t="s">
        <v>1293</v>
      </c>
      <c r="L584" s="66">
        <f>IF(O584="","",N584*O584*M584)</f>
        <v>75</v>
      </c>
      <c r="M584" s="8">
        <v>1</v>
      </c>
      <c r="N584" s="1">
        <v>1</v>
      </c>
      <c r="O584" s="15">
        <f>IF(SUM(Q584:AF584)&lt;1,"",SUM(Q584:AF584)/COUNTIF(Q584:AF584,"&gt;0"))</f>
        <v>75</v>
      </c>
      <c r="P584" s="16"/>
      <c r="Q584" s="13"/>
      <c r="T584" s="4">
        <v>75</v>
      </c>
      <c r="U584" s="2"/>
      <c r="V584" s="2"/>
      <c r="W584" s="2"/>
      <c r="X584" s="2"/>
      <c r="Z584" s="2"/>
      <c r="AA584" s="2"/>
      <c r="AF584" s="14"/>
    </row>
    <row r="585" spans="1:33" s="4" customFormat="1" ht="15.75" customHeight="1" x14ac:dyDescent="0.25">
      <c r="A585" s="33" t="str">
        <f>CONCATENATE(D585,".",F585,"-",G585,".",H585,"")</f>
        <v>2.1-2.2</v>
      </c>
      <c r="B585" s="33" t="s">
        <v>814</v>
      </c>
      <c r="C585" s="41" t="s">
        <v>262</v>
      </c>
      <c r="D585" s="33">
        <f>IF(C585="ID",1,(IF(C585="PR",2,(IF(C585="DE",3,(IF(C585="RS",4,(IF(C585="RC",5,0)))))))))</f>
        <v>2</v>
      </c>
      <c r="E585" s="33" t="s">
        <v>257</v>
      </c>
      <c r="F585" s="33">
        <f>IF(E585="AM",1,(IF(E585="BE",2,(IF(E585="GV",3,(IF(E585="RA",4,(IF(E585="RM",5,(IF(E585="AC",1,(IF(E585="AT",2,(IF(E585="DS",3,(IF(E585="IP",4,(IF(E585="MA",5,(IF(E585="PT",6,(IF(E585="AE",1,(IF(E585="CM",2,(IF(E585="DP",3,(IF(E585="AN",1,(IF(E585="CO",2,(IF(E585="IM",3,(IF(E585="MI",4,(IF(E585="RP",5,(IF(E585="SC",6,0)))))))))))))))))))))))))))))))))))))))</f>
        <v>1</v>
      </c>
      <c r="G585" s="170">
        <v>2</v>
      </c>
      <c r="H585" s="38" t="s">
        <v>512</v>
      </c>
      <c r="I585" s="27" t="s">
        <v>266</v>
      </c>
      <c r="J585" s="149" t="s">
        <v>297</v>
      </c>
      <c r="K585" s="79" t="s">
        <v>1294</v>
      </c>
      <c r="L585" s="5">
        <f>IF(O585="","",N585*O585*M585)</f>
        <v>75</v>
      </c>
      <c r="M585" s="8">
        <v>1</v>
      </c>
      <c r="N585" s="1">
        <v>1</v>
      </c>
      <c r="O585" s="15">
        <f>IF(SUM(Q585:AF585)&lt;1,"",SUM(Q585:AF585)/COUNTIF(Q585:AF585,"&gt;0"))</f>
        <v>75</v>
      </c>
      <c r="P585" s="16"/>
      <c r="Q585" s="13"/>
      <c r="T585" s="4">
        <v>75</v>
      </c>
      <c r="U585" s="2"/>
      <c r="V585" s="2"/>
      <c r="W585" s="2"/>
      <c r="X585" s="2"/>
      <c r="Z585" s="2"/>
      <c r="AA585" s="2"/>
      <c r="AF585" s="14"/>
    </row>
    <row r="586" spans="1:33" ht="15.75" customHeight="1" x14ac:dyDescent="0.25">
      <c r="A586" s="33" t="str">
        <f>CONCATENATE(D586,".",F586,"-",G586,".",H586,"")</f>
        <v>2.1-2.2</v>
      </c>
      <c r="B586" s="33" t="s">
        <v>814</v>
      </c>
      <c r="C586" s="41" t="s">
        <v>262</v>
      </c>
      <c r="D586" s="33">
        <f>IF(C586="ID",1,(IF(C586="PR",2,(IF(C586="DE",3,(IF(C586="RS",4,(IF(C586="RC",5,0)))))))))</f>
        <v>2</v>
      </c>
      <c r="E586" s="33" t="s">
        <v>257</v>
      </c>
      <c r="F586" s="33">
        <f>IF(E586="AM",1,(IF(E586="BE",2,(IF(E586="GV",3,(IF(E586="RA",4,(IF(E586="RM",5,(IF(E586="AC",1,(IF(E586="AT",2,(IF(E586="DS",3,(IF(E586="IP",4,(IF(E586="MA",5,(IF(E586="PT",6,(IF(E586="AE",1,(IF(E586="CM",2,(IF(E586="DP",3,(IF(E586="AN",1,(IF(E586="CO",2,(IF(E586="IM",3,(IF(E586="MI",4,(IF(E586="RP",5,(IF(E586="SC",6,0)))))))))))))))))))))))))))))))))))))))</f>
        <v>1</v>
      </c>
      <c r="G586" s="170">
        <v>2</v>
      </c>
      <c r="H586" s="38" t="s">
        <v>512</v>
      </c>
      <c r="I586" s="27" t="s">
        <v>266</v>
      </c>
      <c r="J586" s="149" t="s">
        <v>318</v>
      </c>
      <c r="K586" s="79" t="s">
        <v>1296</v>
      </c>
      <c r="L586" s="5">
        <f>IF(O586="","",N586*O586*M586)</f>
        <v>75</v>
      </c>
      <c r="M586" s="8">
        <v>1</v>
      </c>
      <c r="N586" s="1">
        <v>1</v>
      </c>
      <c r="O586" s="15">
        <f>IF(SUM(Q586:AF586)&lt;1,"",SUM(Q586:AF586)/COUNTIF(Q586:AF586,"&gt;0"))</f>
        <v>75</v>
      </c>
      <c r="P586" s="16"/>
      <c r="Q586" s="13"/>
      <c r="R586" s="4"/>
      <c r="S586" s="4"/>
      <c r="T586" s="4">
        <v>75</v>
      </c>
      <c r="U586" s="2"/>
      <c r="V586" s="2"/>
      <c r="W586" s="2"/>
      <c r="X586" s="2"/>
      <c r="Y586" s="4"/>
      <c r="Z586" s="2"/>
      <c r="AA586" s="2"/>
      <c r="AB586" s="4"/>
      <c r="AC586" s="4"/>
      <c r="AD586" s="4"/>
      <c r="AE586" s="4"/>
      <c r="AF586" s="14"/>
      <c r="AG586" s="3"/>
    </row>
    <row r="587" spans="1:33" ht="15.75" customHeight="1" x14ac:dyDescent="0.25">
      <c r="A587" s="33" t="str">
        <f>CONCATENATE(D587,".",F587,"-",G587,".",H587,"")</f>
        <v>2.1-2.2</v>
      </c>
      <c r="B587" s="33" t="s">
        <v>814</v>
      </c>
      <c r="C587" s="41" t="s">
        <v>262</v>
      </c>
      <c r="D587" s="33">
        <f>IF(C587="ID",1,(IF(C587="PR",2,(IF(C587="DE",3,(IF(C587="RS",4,(IF(C587="RC",5,0)))))))))</f>
        <v>2</v>
      </c>
      <c r="E587" s="33" t="s">
        <v>257</v>
      </c>
      <c r="F587" s="33">
        <f>IF(E587="AM",1,(IF(E587="BE",2,(IF(E587="GV",3,(IF(E587="RA",4,(IF(E587="RM",5,(IF(E587="AC",1,(IF(E587="AT",2,(IF(E587="DS",3,(IF(E587="IP",4,(IF(E587="MA",5,(IF(E587="PT",6,(IF(E587="AE",1,(IF(E587="CM",2,(IF(E587="DP",3,(IF(E587="AN",1,(IF(E587="CO",2,(IF(E587="IM",3,(IF(E587="MI",4,(IF(E587="RP",5,(IF(E587="SC",6,0)))))))))))))))))))))))))))))))))))))))</f>
        <v>1</v>
      </c>
      <c r="G587" s="170">
        <v>2</v>
      </c>
      <c r="H587" s="38" t="s">
        <v>512</v>
      </c>
      <c r="I587" s="27" t="s">
        <v>266</v>
      </c>
      <c r="J587" s="149" t="s">
        <v>314</v>
      </c>
      <c r="K587" s="79" t="s">
        <v>1300</v>
      </c>
      <c r="L587" s="5">
        <f>IF(O587="","",N587*O587*M587)</f>
        <v>75</v>
      </c>
      <c r="M587" s="8">
        <v>1</v>
      </c>
      <c r="N587" s="1">
        <v>1</v>
      </c>
      <c r="O587" s="15">
        <f>IF(SUM(Q587:AF587)&lt;1,"",SUM(Q587:AF587)/COUNTIF(Q587:AF587,"&gt;0"))</f>
        <v>75</v>
      </c>
      <c r="P587" s="16"/>
      <c r="Q587" s="13"/>
      <c r="R587" s="4"/>
      <c r="S587" s="4"/>
      <c r="T587" s="4">
        <v>75</v>
      </c>
      <c r="U587" s="2"/>
      <c r="V587" s="2"/>
      <c r="W587" s="2"/>
      <c r="X587" s="2"/>
      <c r="Y587" s="4"/>
      <c r="Z587" s="2"/>
      <c r="AA587" s="2"/>
      <c r="AB587" s="4"/>
      <c r="AC587" s="4"/>
      <c r="AD587" s="4"/>
      <c r="AE587" s="4"/>
      <c r="AF587" s="4"/>
    </row>
    <row r="588" spans="1:33" s="4" customFormat="1" ht="15.75" customHeight="1" x14ac:dyDescent="0.25">
      <c r="A588" s="33" t="str">
        <f>CONCATENATE(D588,".",F588,"-",G588,".",H588,"")</f>
        <v>2.1-2.2</v>
      </c>
      <c r="B588" s="33" t="s">
        <v>814</v>
      </c>
      <c r="C588" s="39" t="s">
        <v>262</v>
      </c>
      <c r="D588" s="33">
        <f>IF(C588="ID",1,(IF(C588="PR",2,(IF(C588="DE",3,(IF(C588="RS",4,(IF(C588="RC",5,0)))))))))</f>
        <v>2</v>
      </c>
      <c r="E588" s="33" t="s">
        <v>257</v>
      </c>
      <c r="F588" s="33">
        <f>IF(E588="AM",1,(IF(E588="BE",2,(IF(E588="GV",3,(IF(E588="RA",4,(IF(E588="RM",5,(IF(E588="AC",1,(IF(E588="AT",2,(IF(E588="DS",3,(IF(E588="IP",4,(IF(E588="MA",5,(IF(E588="PT",6,(IF(E588="AE",1,(IF(E588="CM",2,(IF(E588="DP",3,(IF(E588="AN",1,(IF(E588="CO",2,(IF(E588="IM",3,(IF(E588="MI",4,(IF(E588="RP",5,(IF(E588="SC",6,0)))))))))))))))))))))))))))))))))))))))</f>
        <v>1</v>
      </c>
      <c r="G588" s="170">
        <v>2</v>
      </c>
      <c r="H588" s="38" t="s">
        <v>512</v>
      </c>
      <c r="I588" s="105" t="s">
        <v>1449</v>
      </c>
      <c r="J588" s="157" t="s">
        <v>1530</v>
      </c>
      <c r="K588" s="34" t="s">
        <v>1531</v>
      </c>
      <c r="L588" s="5">
        <f>IF(O588="","",N588*O588*M588)</f>
        <v>99</v>
      </c>
      <c r="M588" s="8">
        <v>1</v>
      </c>
      <c r="N588" s="1">
        <v>1</v>
      </c>
      <c r="O588" s="15">
        <f>IF(SUM(Q588:AF588)&lt;1,"",SUM(Q588:AF588)/COUNTIF(Q588:AF588,"&gt;0"))</f>
        <v>99</v>
      </c>
      <c r="P588" s="16"/>
      <c r="Q588" s="13"/>
      <c r="T588" s="4">
        <v>99</v>
      </c>
      <c r="U588" s="2"/>
      <c r="V588" s="2"/>
      <c r="W588" s="2"/>
      <c r="X588" s="2"/>
      <c r="Z588" s="2"/>
      <c r="AA588" s="2"/>
      <c r="AF588" s="14"/>
    </row>
    <row r="589" spans="1:33" s="4" customFormat="1" ht="15.75" customHeight="1" x14ac:dyDescent="0.25">
      <c r="A589" s="33" t="str">
        <f>CONCATENATE(D589,".",F589,"-",G589,".",H589,"")</f>
        <v>2.1-3.0</v>
      </c>
      <c r="B589" s="33" t="s">
        <v>814</v>
      </c>
      <c r="C589" s="39" t="s">
        <v>262</v>
      </c>
      <c r="D589" s="33">
        <f>IF(C589="ID",1,(IF(C589="PR",2,(IF(C589="DE",3,(IF(C589="RS",4,(IF(C589="RC",5,0)))))))))</f>
        <v>2</v>
      </c>
      <c r="E589" s="33" t="s">
        <v>257</v>
      </c>
      <c r="F589" s="33">
        <f>IF(E589="AM",1,(IF(E589="BE",2,(IF(E589="GV",3,(IF(E589="RA",4,(IF(E589="RM",5,(IF(E589="AC",1,(IF(E589="AT",2,(IF(E589="DS",3,(IF(E589="IP",4,(IF(E589="MA",5,(IF(E589="PT",6,(IF(E589="AE",1,(IF(E589="CM",2,(IF(E589="DP",3,(IF(E589="AN",1,(IF(E589="CO",2,(IF(E589="IM",3,(IF(E589="MI",4,(IF(E589="RP",5,(IF(E589="SC",6,0)))))))))))))))))))))))))))))))))))))))</f>
        <v>1</v>
      </c>
      <c r="G589" s="170">
        <v>3</v>
      </c>
      <c r="H589" s="38" t="s">
        <v>597</v>
      </c>
      <c r="I589" s="27" t="s">
        <v>1200</v>
      </c>
      <c r="J589" s="149" t="s">
        <v>664</v>
      </c>
      <c r="K589" s="98" t="s">
        <v>374</v>
      </c>
      <c r="L589" s="66">
        <f>IF(O589="","",N589*O589*M589)</f>
        <v>75</v>
      </c>
      <c r="M589" s="8">
        <v>1</v>
      </c>
      <c r="N589" s="1">
        <v>1</v>
      </c>
      <c r="O589" s="15">
        <f>IF(SUM(Q589:AF589)&lt;1,"",SUM(Q589:AF589)/COUNTIF(Q589:AF589,"&gt;0"))</f>
        <v>75</v>
      </c>
      <c r="P589" s="16"/>
      <c r="Q589" s="13"/>
      <c r="T589" s="4">
        <v>75</v>
      </c>
      <c r="U589" s="2"/>
      <c r="V589" s="2"/>
      <c r="W589" s="2"/>
      <c r="X589" s="2"/>
      <c r="Z589" s="2"/>
      <c r="AA589" s="2"/>
      <c r="AF589" s="14"/>
    </row>
    <row r="590" spans="1:33" s="4" customFormat="1" ht="15.75" customHeight="1" x14ac:dyDescent="0.25">
      <c r="A590" s="33" t="str">
        <f>CONCATENATE(D590,".",F590,"-",G590,".",H590,"")</f>
        <v>2.1-3.1</v>
      </c>
      <c r="B590" s="33" t="s">
        <v>814</v>
      </c>
      <c r="C590" s="40" t="s">
        <v>262</v>
      </c>
      <c r="D590" s="33">
        <f>IF(C590="ID",1,(IF(C590="PR",2,(IF(C590="DE",3,(IF(C590="RS",4,(IF(C590="RC",5,0)))))))))</f>
        <v>2</v>
      </c>
      <c r="E590" s="33" t="s">
        <v>257</v>
      </c>
      <c r="F590" s="33">
        <f>IF(E590="AM",1,(IF(E590="BE",2,(IF(E590="GV",3,(IF(E590="RA",4,(IF(E590="RM",5,(IF(E590="AC",1,(IF(E590="AT",2,(IF(E590="DS",3,(IF(E590="IP",4,(IF(E590="MA",5,(IF(E590="PT",6,(IF(E590="AE",1,(IF(E590="CM",2,(IF(E590="DP",3,(IF(E590="AN",1,(IF(E590="CO",2,(IF(E590="IM",3,(IF(E590="MI",4,(IF(E590="RP",5,(IF(E590="SC",6,0)))))))))))))))))))))))))))))))))))))))</f>
        <v>1</v>
      </c>
      <c r="G590" s="171">
        <v>3</v>
      </c>
      <c r="H590" s="38" t="s">
        <v>511</v>
      </c>
      <c r="I590" s="105" t="s">
        <v>821</v>
      </c>
      <c r="J590" s="149">
        <v>8.3000000000000007</v>
      </c>
      <c r="K590" s="79" t="s">
        <v>1283</v>
      </c>
      <c r="L590" s="66">
        <f>IF(O590="","",N590*O590*M590)</f>
        <v>75</v>
      </c>
      <c r="M590" s="81">
        <v>1</v>
      </c>
      <c r="N590" s="3">
        <v>1</v>
      </c>
      <c r="O590" s="67">
        <f>IF(SUM(Q590:AF590)&lt;1,"",SUM(Q590:AF590)/COUNTIF(Q590:AF590,"&gt;0"))</f>
        <v>75</v>
      </c>
      <c r="P590" s="16"/>
      <c r="Q590" s="147"/>
      <c r="T590" s="4">
        <v>75</v>
      </c>
      <c r="AF590" s="14"/>
    </row>
    <row r="591" spans="1:33" s="4" customFormat="1" ht="15.75" customHeight="1" x14ac:dyDescent="0.25">
      <c r="A591" s="33" t="str">
        <f>CONCATENATE(D591,".",F591,"-",G591,".",H591,"")</f>
        <v>2.1-3.1</v>
      </c>
      <c r="B591" s="33" t="s">
        <v>814</v>
      </c>
      <c r="C591" s="39" t="s">
        <v>262</v>
      </c>
      <c r="D591" s="33">
        <f>IF(C591="ID",1,(IF(C591="PR",2,(IF(C591="DE",3,(IF(C591="RS",4,(IF(C591="RC",5,0)))))))))</f>
        <v>2</v>
      </c>
      <c r="E591" s="33" t="s">
        <v>257</v>
      </c>
      <c r="F591" s="33">
        <f>IF(E591="AM",1,(IF(E591="BE",2,(IF(E591="GV",3,(IF(E591="RA",4,(IF(E591="RM",5,(IF(E591="AC",1,(IF(E591="AT",2,(IF(E591="DS",3,(IF(E591="IP",4,(IF(E591="MA",5,(IF(E591="PT",6,(IF(E591="AE",1,(IF(E591="CM",2,(IF(E591="DP",3,(IF(E591="AN",1,(IF(E591="CO",2,(IF(E591="IM",3,(IF(E591="MI",4,(IF(E591="RP",5,(IF(E591="SC",6,0)))))))))))))))))))))))))))))))))))))))</f>
        <v>1</v>
      </c>
      <c r="G591" s="170">
        <v>3</v>
      </c>
      <c r="H591" s="38" t="s">
        <v>511</v>
      </c>
      <c r="I591" s="35" t="s">
        <v>1176</v>
      </c>
      <c r="J591" s="162">
        <v>11.4</v>
      </c>
      <c r="K591" s="4" t="s">
        <v>1095</v>
      </c>
      <c r="L591" s="66">
        <f>IF(O591="","",N591*O591*M591)</f>
        <v>75</v>
      </c>
      <c r="M591" s="8">
        <v>1</v>
      </c>
      <c r="N591" s="3">
        <v>1</v>
      </c>
      <c r="O591" s="15">
        <f>IF(SUM(Q591:AF591)&lt;1,"",SUM(Q591:AF591)/COUNTIF(Q591:AF591,"&gt;0"))</f>
        <v>75</v>
      </c>
      <c r="P591" s="16"/>
      <c r="Q591" s="13"/>
      <c r="T591" s="4">
        <v>75</v>
      </c>
      <c r="U591" s="2"/>
      <c r="V591" s="2"/>
      <c r="W591" s="2"/>
      <c r="X591" s="2"/>
      <c r="Z591" s="2"/>
      <c r="AA591" s="2"/>
      <c r="AF591" s="14"/>
    </row>
    <row r="592" spans="1:33" s="4" customFormat="1" ht="15.75" customHeight="1" x14ac:dyDescent="0.25">
      <c r="A592" s="33" t="str">
        <f>CONCATENATE(D592,".",F592,"-",G592,".",H592,"")</f>
        <v>2.1-3.1</v>
      </c>
      <c r="B592" s="33" t="s">
        <v>814</v>
      </c>
      <c r="C592" s="39" t="s">
        <v>262</v>
      </c>
      <c r="D592" s="33">
        <f>IF(C592="ID",1,(IF(C592="PR",2,(IF(C592="DE",3,(IF(C592="RS",4,(IF(C592="RC",5,0)))))))))</f>
        <v>2</v>
      </c>
      <c r="E592" s="33" t="s">
        <v>257</v>
      </c>
      <c r="F592" s="33">
        <f>IF(E592="AM",1,(IF(E592="BE",2,(IF(E592="GV",3,(IF(E592="RA",4,(IF(E592="RM",5,(IF(E592="AC",1,(IF(E592="AT",2,(IF(E592="DS",3,(IF(E592="IP",4,(IF(E592="MA",5,(IF(E592="PT",6,(IF(E592="AE",1,(IF(E592="CM",2,(IF(E592="DP",3,(IF(E592="AN",1,(IF(E592="CO",2,(IF(E592="IM",3,(IF(E592="MI",4,(IF(E592="RP",5,(IF(E592="SC",6,0)))))))))))))))))))))))))))))))))))))))</f>
        <v>1</v>
      </c>
      <c r="G592" s="170">
        <v>3</v>
      </c>
      <c r="H592" s="38" t="s">
        <v>511</v>
      </c>
      <c r="I592" s="35" t="s">
        <v>1176</v>
      </c>
      <c r="J592" s="162">
        <v>12.6</v>
      </c>
      <c r="K592" s="80" t="s">
        <v>1105</v>
      </c>
      <c r="L592" s="66">
        <f>IF(O592="","",N592*O592*M592)</f>
        <v>75</v>
      </c>
      <c r="M592" s="8">
        <v>1</v>
      </c>
      <c r="N592" s="3">
        <v>1</v>
      </c>
      <c r="O592" s="15">
        <f>IF(SUM(Q592:AF592)&lt;1,"",SUM(Q592:AF592)/COUNTIF(Q592:AF592,"&gt;0"))</f>
        <v>75</v>
      </c>
      <c r="P592" s="16"/>
      <c r="Q592" s="13"/>
      <c r="T592" s="4">
        <v>75</v>
      </c>
      <c r="U592" s="2"/>
      <c r="V592" s="2"/>
      <c r="W592" s="2"/>
      <c r="X592" s="2"/>
      <c r="Z592" s="2"/>
      <c r="AA592" s="2"/>
      <c r="AF592" s="14"/>
    </row>
    <row r="593" spans="1:32" s="4" customFormat="1" ht="15.75" customHeight="1" x14ac:dyDescent="0.25">
      <c r="A593" s="33" t="str">
        <f>CONCATENATE(D593,".",F593,"-",G593,".",H593,"")</f>
        <v>2.1-3.1</v>
      </c>
      <c r="B593" s="33" t="s">
        <v>814</v>
      </c>
      <c r="C593" s="39" t="s">
        <v>262</v>
      </c>
      <c r="D593" s="33">
        <f>IF(C593="ID",1,(IF(C593="PR",2,(IF(C593="DE",3,(IF(C593="RS",4,(IF(C593="RC",5,0)))))))))</f>
        <v>2</v>
      </c>
      <c r="E593" s="33" t="s">
        <v>257</v>
      </c>
      <c r="F593" s="33">
        <f>IF(E593="AM",1,(IF(E593="BE",2,(IF(E593="GV",3,(IF(E593="RA",4,(IF(E593="RM",5,(IF(E593="AC",1,(IF(E593="AT",2,(IF(E593="DS",3,(IF(E593="IP",4,(IF(E593="MA",5,(IF(E593="PT",6,(IF(E593="AE",1,(IF(E593="CM",2,(IF(E593="DP",3,(IF(E593="AN",1,(IF(E593="CO",2,(IF(E593="IM",3,(IF(E593="MI",4,(IF(E593="RP",5,(IF(E593="SC",6,0)))))))))))))))))))))))))))))))))))))))</f>
        <v>1</v>
      </c>
      <c r="G593" s="170">
        <v>3</v>
      </c>
      <c r="H593" s="38" t="s">
        <v>511</v>
      </c>
      <c r="I593" s="105" t="s">
        <v>821</v>
      </c>
      <c r="J593" s="150" t="s">
        <v>235</v>
      </c>
      <c r="K593" s="79" t="s">
        <v>1283</v>
      </c>
      <c r="L593" s="66">
        <f>IF(O593="","",N593*O593*M593)</f>
        <v>75</v>
      </c>
      <c r="M593" s="8">
        <v>1</v>
      </c>
      <c r="N593" s="3">
        <v>1</v>
      </c>
      <c r="O593" s="15">
        <f>IF(SUM(Q593:AF593)&lt;1,"",SUM(Q593:AF593)/COUNTIF(Q593:AF593,"&gt;0"))</f>
        <v>75</v>
      </c>
      <c r="P593" s="16"/>
      <c r="Q593" s="13"/>
      <c r="T593" s="4">
        <v>75</v>
      </c>
      <c r="U593" s="2"/>
      <c r="V593" s="2"/>
      <c r="W593" s="2"/>
      <c r="X593" s="2"/>
      <c r="Z593" s="2"/>
      <c r="AA593" s="2"/>
      <c r="AF593" s="14"/>
    </row>
    <row r="594" spans="1:32" s="4" customFormat="1" ht="15.75" customHeight="1" x14ac:dyDescent="0.25">
      <c r="A594" s="33" t="str">
        <f>CONCATENATE(D594,".",F594,"-",G594,".",H594,"")</f>
        <v>2.1-3.1</v>
      </c>
      <c r="B594" s="33" t="s">
        <v>814</v>
      </c>
      <c r="C594" s="40" t="s">
        <v>262</v>
      </c>
      <c r="D594" s="33">
        <f>IF(C594="ID",1,(IF(C594="PR",2,(IF(C594="DE",3,(IF(C594="RS",4,(IF(C594="RC",5,0)))))))))</f>
        <v>2</v>
      </c>
      <c r="E594" s="33" t="s">
        <v>257</v>
      </c>
      <c r="F594" s="33">
        <f>IF(E594="AM",1,(IF(E594="BE",2,(IF(E594="GV",3,(IF(E594="RA",4,(IF(E594="RM",5,(IF(E594="AC",1,(IF(E594="AT",2,(IF(E594="DS",3,(IF(E594="IP",4,(IF(E594="MA",5,(IF(E594="PT",6,(IF(E594="AE",1,(IF(E594="CM",2,(IF(E594="DP",3,(IF(E594="AN",1,(IF(E594="CO",2,(IF(E594="IM",3,(IF(E594="MI",4,(IF(E594="RP",5,(IF(E594="SC",6,0)))))))))))))))))))))))))))))))))))))))</f>
        <v>1</v>
      </c>
      <c r="G594" s="171">
        <v>3</v>
      </c>
      <c r="H594" s="38" t="s">
        <v>511</v>
      </c>
      <c r="I594" s="27" t="s">
        <v>936</v>
      </c>
      <c r="J594" s="163" t="s">
        <v>868</v>
      </c>
      <c r="K594" s="34" t="s">
        <v>978</v>
      </c>
      <c r="L594" s="66">
        <f>IF(O594="","",N594*O594*M594)</f>
        <v>75</v>
      </c>
      <c r="M594" s="8">
        <v>1</v>
      </c>
      <c r="N594" s="3">
        <v>1</v>
      </c>
      <c r="O594" s="15">
        <f>IF(SUM(Q594:AF594)&lt;1,"",SUM(Q594:AF594)/COUNTIF(Q594:AF594,"&gt;0"))</f>
        <v>75</v>
      </c>
      <c r="P594" s="16"/>
      <c r="Q594" s="13"/>
      <c r="T594" s="4">
        <v>75</v>
      </c>
      <c r="U594" s="2"/>
      <c r="V594" s="2"/>
      <c r="W594" s="2"/>
      <c r="X594" s="2"/>
      <c r="Z594" s="2"/>
      <c r="AA594" s="2"/>
      <c r="AF594" s="14"/>
    </row>
    <row r="595" spans="1:32" s="4" customFormat="1" ht="15.75" customHeight="1" x14ac:dyDescent="0.25">
      <c r="A595" s="33" t="str">
        <f>CONCATENATE(D595,".",F595,"-",G595,".",H595,"")</f>
        <v>2.1-3.1</v>
      </c>
      <c r="B595" s="33" t="s">
        <v>814</v>
      </c>
      <c r="C595" s="40" t="s">
        <v>262</v>
      </c>
      <c r="D595" s="33">
        <f>IF(C595="ID",1,(IF(C595="PR",2,(IF(C595="DE",3,(IF(C595="RS",4,(IF(C595="RC",5,0)))))))))</f>
        <v>2</v>
      </c>
      <c r="E595" s="33" t="s">
        <v>257</v>
      </c>
      <c r="F595" s="33">
        <f>IF(E595="AM",1,(IF(E595="BE",2,(IF(E595="GV",3,(IF(E595="RA",4,(IF(E595="RM",5,(IF(E595="AC",1,(IF(E595="AT",2,(IF(E595="DS",3,(IF(E595="IP",4,(IF(E595="MA",5,(IF(E595="PT",6,(IF(E595="AE",1,(IF(E595="CM",2,(IF(E595="DP",3,(IF(E595="AN",1,(IF(E595="CO",2,(IF(E595="IM",3,(IF(E595="MI",4,(IF(E595="RP",5,(IF(E595="SC",6,0)))))))))))))))))))))))))))))))))))))))</f>
        <v>1</v>
      </c>
      <c r="G595" s="171">
        <v>3</v>
      </c>
      <c r="H595" s="38" t="s">
        <v>511</v>
      </c>
      <c r="I595" s="27" t="s">
        <v>936</v>
      </c>
      <c r="J595" s="163" t="s">
        <v>899</v>
      </c>
      <c r="K595" s="34" t="s">
        <v>981</v>
      </c>
      <c r="L595" s="66">
        <f>IF(O595="","",N595*O595*M595)</f>
        <v>75</v>
      </c>
      <c r="M595" s="8">
        <v>1</v>
      </c>
      <c r="N595" s="3">
        <v>1</v>
      </c>
      <c r="O595" s="15">
        <f>IF(SUM(Q595:AF595)&lt;1,"",SUM(Q595:AF595)/COUNTIF(Q595:AF595,"&gt;0"))</f>
        <v>75</v>
      </c>
      <c r="P595" s="16"/>
      <c r="Q595" s="13"/>
      <c r="T595" s="4">
        <v>75</v>
      </c>
      <c r="U595" s="2"/>
      <c r="V595" s="2"/>
      <c r="W595" s="2"/>
      <c r="X595" s="2"/>
      <c r="Z595" s="2"/>
      <c r="AA595" s="2"/>
      <c r="AF595" s="14"/>
    </row>
    <row r="596" spans="1:32" s="4" customFormat="1" ht="15.75" customHeight="1" x14ac:dyDescent="0.25">
      <c r="A596" s="33" t="str">
        <f>CONCATENATE(D596,".",F596,"-",G596,".",H596,"")</f>
        <v>2.1-3.1</v>
      </c>
      <c r="B596" s="33" t="s">
        <v>814</v>
      </c>
      <c r="C596" s="40" t="s">
        <v>262</v>
      </c>
      <c r="D596" s="33">
        <f>IF(C596="ID",1,(IF(C596="PR",2,(IF(C596="DE",3,(IF(C596="RS",4,(IF(C596="RC",5,0)))))))))</f>
        <v>2</v>
      </c>
      <c r="E596" s="33" t="s">
        <v>257</v>
      </c>
      <c r="F596" s="33">
        <f>IF(E596="AM",1,(IF(E596="BE",2,(IF(E596="GV",3,(IF(E596="RA",4,(IF(E596="RM",5,(IF(E596="AC",1,(IF(E596="AT",2,(IF(E596="DS",3,(IF(E596="IP",4,(IF(E596="MA",5,(IF(E596="PT",6,(IF(E596="AE",1,(IF(E596="CM",2,(IF(E596="DP",3,(IF(E596="AN",1,(IF(E596="CO",2,(IF(E596="IM",3,(IF(E596="MI",4,(IF(E596="RP",5,(IF(E596="SC",6,0)))))))))))))))))))))))))))))))))))))))</f>
        <v>1</v>
      </c>
      <c r="G596" s="171">
        <v>3</v>
      </c>
      <c r="H596" s="38" t="s">
        <v>511</v>
      </c>
      <c r="I596" s="27" t="s">
        <v>936</v>
      </c>
      <c r="J596" s="163" t="s">
        <v>906</v>
      </c>
      <c r="K596" s="34" t="s">
        <v>941</v>
      </c>
      <c r="L596" s="66">
        <f>IF(O596="","",N596*O596*M596)</f>
        <v>75</v>
      </c>
      <c r="M596" s="8">
        <v>1</v>
      </c>
      <c r="N596" s="3">
        <v>1</v>
      </c>
      <c r="O596" s="15">
        <f>IF(SUM(Q596:AF596)&lt;1,"",SUM(Q596:AF596)/COUNTIF(Q596:AF596,"&gt;0"))</f>
        <v>75</v>
      </c>
      <c r="P596" s="16"/>
      <c r="Q596" s="13"/>
      <c r="T596" s="4">
        <v>75</v>
      </c>
      <c r="U596" s="2"/>
      <c r="V596" s="2"/>
      <c r="W596" s="2"/>
      <c r="X596" s="2"/>
      <c r="Z596" s="2"/>
      <c r="AA596" s="2"/>
      <c r="AF596" s="14"/>
    </row>
    <row r="597" spans="1:32" s="4" customFormat="1" ht="15.75" customHeight="1" x14ac:dyDescent="0.25">
      <c r="A597" s="33" t="str">
        <f>CONCATENATE(D597,".",F597,"-",G597,".",H597,"")</f>
        <v>2.1-3.1</v>
      </c>
      <c r="B597" s="33" t="s">
        <v>814</v>
      </c>
      <c r="C597" s="39" t="s">
        <v>262</v>
      </c>
      <c r="D597" s="33">
        <f>IF(C597="ID",1,(IF(C597="PR",2,(IF(C597="DE",3,(IF(C597="RS",4,(IF(C597="RC",5,0)))))))))</f>
        <v>2</v>
      </c>
      <c r="E597" s="33" t="s">
        <v>257</v>
      </c>
      <c r="F597" s="33">
        <f>IF(E597="AM",1,(IF(E597="BE",2,(IF(E597="GV",3,(IF(E597="RA",4,(IF(E597="RM",5,(IF(E597="AC",1,(IF(E597="AT",2,(IF(E597="DS",3,(IF(E597="IP",4,(IF(E597="MA",5,(IF(E597="PT",6,(IF(E597="AE",1,(IF(E597="CM",2,(IF(E597="DP",3,(IF(E597="AN",1,(IF(E597="CO",2,(IF(E597="IM",3,(IF(E597="MI",4,(IF(E597="RP",5,(IF(E597="SC",6,0)))))))))))))))))))))))))))))))))))))))</f>
        <v>1</v>
      </c>
      <c r="G597" s="170">
        <v>3</v>
      </c>
      <c r="H597" s="38" t="s">
        <v>511</v>
      </c>
      <c r="I597" s="105" t="s">
        <v>821</v>
      </c>
      <c r="J597" s="149" t="s">
        <v>103</v>
      </c>
      <c r="K597" s="79" t="s">
        <v>1283</v>
      </c>
      <c r="L597" s="66">
        <f>IF(O597="","",N597*O597*M597)</f>
        <v>75</v>
      </c>
      <c r="M597" s="8">
        <v>1</v>
      </c>
      <c r="N597" s="1">
        <v>1</v>
      </c>
      <c r="O597" s="15">
        <f>IF(SUM(Q597:AF597)&lt;1,"",SUM(Q597:AF597)/COUNTIF(Q597:AF597,"&gt;0"))</f>
        <v>75</v>
      </c>
      <c r="P597" s="16"/>
      <c r="Q597" s="13"/>
      <c r="T597" s="4">
        <v>75</v>
      </c>
      <c r="U597" s="2"/>
      <c r="V597" s="2"/>
      <c r="W597" s="2"/>
      <c r="X597" s="2"/>
      <c r="Z597" s="2"/>
      <c r="AA597" s="2"/>
      <c r="AF597" s="14"/>
    </row>
    <row r="598" spans="1:32" s="4" customFormat="1" ht="15.75" customHeight="1" x14ac:dyDescent="0.25">
      <c r="A598" s="33" t="str">
        <f>CONCATENATE(D598,".",F598,"-",G598,".",H598,"")</f>
        <v>2.1-3.1</v>
      </c>
      <c r="B598" s="33" t="s">
        <v>814</v>
      </c>
      <c r="C598" s="40" t="s">
        <v>262</v>
      </c>
      <c r="D598" s="33">
        <f>IF(C598="ID",1,(IF(C598="PR",2,(IF(C598="DE",3,(IF(C598="RS",4,(IF(C598="RC",5,0)))))))))</f>
        <v>2</v>
      </c>
      <c r="E598" s="33" t="s">
        <v>257</v>
      </c>
      <c r="F598" s="33">
        <f>IF(E598="AM",1,(IF(E598="BE",2,(IF(E598="GV",3,(IF(E598="RA",4,(IF(E598="RM",5,(IF(E598="AC",1,(IF(E598="AT",2,(IF(E598="DS",3,(IF(E598="IP",4,(IF(E598="MA",5,(IF(E598="PT",6,(IF(E598="AE",1,(IF(E598="CM",2,(IF(E598="DP",3,(IF(E598="AN",1,(IF(E598="CO",2,(IF(E598="IM",3,(IF(E598="MI",4,(IF(E598="RP",5,(IF(E598="SC",6,0)))))))))))))))))))))))))))))))))))))))</f>
        <v>1</v>
      </c>
      <c r="G598" s="170">
        <v>3</v>
      </c>
      <c r="H598" s="38" t="s">
        <v>511</v>
      </c>
      <c r="I598" s="105" t="s">
        <v>821</v>
      </c>
      <c r="J598" s="150" t="s">
        <v>828</v>
      </c>
      <c r="K598" s="79" t="s">
        <v>1283</v>
      </c>
      <c r="L598" s="66">
        <f>IF(O598="","",N598*O598*M598)</f>
        <v>75</v>
      </c>
      <c r="M598" s="8">
        <v>1</v>
      </c>
      <c r="N598" s="3">
        <v>1</v>
      </c>
      <c r="O598" s="15">
        <f>IF(SUM(Q598:AF598)&lt;1,"",SUM(Q598:AF598)/COUNTIF(Q598:AF598,"&gt;0"))</f>
        <v>75</v>
      </c>
      <c r="P598" s="16"/>
      <c r="Q598" s="13"/>
      <c r="T598" s="4">
        <v>75</v>
      </c>
      <c r="U598" s="2"/>
      <c r="V598" s="2"/>
      <c r="W598" s="2"/>
      <c r="X598" s="2"/>
      <c r="Z598" s="2"/>
      <c r="AA598" s="2"/>
      <c r="AF598" s="14"/>
    </row>
    <row r="599" spans="1:32" s="4" customFormat="1" ht="15.75" customHeight="1" x14ac:dyDescent="0.25">
      <c r="A599" s="33" t="str">
        <f>CONCATENATE(D599,".",F599,"-",G599,".",H599,"")</f>
        <v>2.1-3.1</v>
      </c>
      <c r="B599" s="33" t="s">
        <v>814</v>
      </c>
      <c r="C599" s="40" t="s">
        <v>262</v>
      </c>
      <c r="D599" s="33">
        <f>IF(C599="ID",1,(IF(C599="PR",2,(IF(C599="DE",3,(IF(C599="RS",4,(IF(C599="RC",5,0)))))))))</f>
        <v>2</v>
      </c>
      <c r="E599" s="33" t="s">
        <v>257</v>
      </c>
      <c r="F599" s="33">
        <f>IF(E599="AM",1,(IF(E599="BE",2,(IF(E599="GV",3,(IF(E599="RA",4,(IF(E599="RM",5,(IF(E599="AC",1,(IF(E599="AT",2,(IF(E599="DS",3,(IF(E599="IP",4,(IF(E599="MA",5,(IF(E599="PT",6,(IF(E599="AE",1,(IF(E599="CM",2,(IF(E599="DP",3,(IF(E599="AN",1,(IF(E599="CO",2,(IF(E599="IM",3,(IF(E599="MI",4,(IF(E599="RP",5,(IF(E599="SC",6,0)))))))))))))))))))))))))))))))))))))))</f>
        <v>1</v>
      </c>
      <c r="G599" s="170">
        <v>3</v>
      </c>
      <c r="H599" s="38" t="s">
        <v>511</v>
      </c>
      <c r="I599" s="105" t="s">
        <v>821</v>
      </c>
      <c r="J599" s="150" t="s">
        <v>829</v>
      </c>
      <c r="K599" s="79" t="s">
        <v>1283</v>
      </c>
      <c r="L599" s="66">
        <f>IF(O599="","",N599*O599*M599)</f>
        <v>75</v>
      </c>
      <c r="M599" s="8">
        <v>1</v>
      </c>
      <c r="N599" s="3">
        <v>1</v>
      </c>
      <c r="O599" s="15">
        <f>IF(SUM(Q599:AF599)&lt;1,"",SUM(Q599:AF599)/COUNTIF(Q599:AF599,"&gt;0"))</f>
        <v>75</v>
      </c>
      <c r="P599" s="16"/>
      <c r="Q599" s="13"/>
      <c r="T599" s="4">
        <v>75</v>
      </c>
      <c r="U599" s="2"/>
      <c r="V599" s="2"/>
      <c r="W599" s="2"/>
      <c r="X599" s="2"/>
      <c r="Z599" s="2"/>
      <c r="AA599" s="2"/>
      <c r="AF599" s="14"/>
    </row>
    <row r="600" spans="1:32" s="4" customFormat="1" ht="15.75" customHeight="1" x14ac:dyDescent="0.25">
      <c r="A600" s="33" t="str">
        <f>CONCATENATE(D600,".",F600,"-",G600,".",H600,"")</f>
        <v>2.1-3.1</v>
      </c>
      <c r="B600" s="33" t="s">
        <v>814</v>
      </c>
      <c r="C600" s="39" t="s">
        <v>262</v>
      </c>
      <c r="D600" s="33">
        <f>IF(C600="ID",1,(IF(C600="PR",2,(IF(C600="DE",3,(IF(C600="RS",4,(IF(C600="RC",5,0)))))))))</f>
        <v>2</v>
      </c>
      <c r="E600" s="33" t="s">
        <v>257</v>
      </c>
      <c r="F600" s="33">
        <f>IF(E600="AM",1,(IF(E600="BE",2,(IF(E600="GV",3,(IF(E600="RA",4,(IF(E600="RM",5,(IF(E600="AC",1,(IF(E600="AT",2,(IF(E600="DS",3,(IF(E600="IP",4,(IF(E600="MA",5,(IF(E600="PT",6,(IF(E600="AE",1,(IF(E600="CM",2,(IF(E600="DP",3,(IF(E600="AN",1,(IF(E600="CO",2,(IF(E600="IM",3,(IF(E600="MI",4,(IF(E600="RP",5,(IF(E600="SC",6,0)))))))))))))))))))))))))))))))))))))))</f>
        <v>1</v>
      </c>
      <c r="G600" s="170">
        <v>3</v>
      </c>
      <c r="H600" s="38" t="s">
        <v>511</v>
      </c>
      <c r="I600" s="105" t="s">
        <v>821</v>
      </c>
      <c r="J600" s="150" t="s">
        <v>174</v>
      </c>
      <c r="K600" s="79" t="s">
        <v>1283</v>
      </c>
      <c r="L600" s="66">
        <f>IF(O600="","",N600*O600*M600)</f>
        <v>75</v>
      </c>
      <c r="M600" s="8">
        <v>1</v>
      </c>
      <c r="N600" s="3">
        <v>1</v>
      </c>
      <c r="O600" s="15">
        <f>IF(SUM(Q600:AF600)&lt;1,"",SUM(Q600:AF600)/COUNTIF(Q600:AF600,"&gt;0"))</f>
        <v>75</v>
      </c>
      <c r="P600" s="16"/>
      <c r="Q600" s="13"/>
      <c r="T600" s="4">
        <v>75</v>
      </c>
      <c r="U600" s="2"/>
      <c r="V600" s="2"/>
      <c r="W600" s="2"/>
      <c r="X600" s="2"/>
      <c r="Z600" s="2"/>
      <c r="AA600" s="2"/>
      <c r="AF600" s="14"/>
    </row>
    <row r="601" spans="1:32" s="4" customFormat="1" ht="15.75" customHeight="1" x14ac:dyDescent="0.25">
      <c r="A601" s="33" t="str">
        <f>CONCATENATE(D601,".",F601,"-",G601,".",H601,"")</f>
        <v>2.1-3.1</v>
      </c>
      <c r="B601" s="33" t="s">
        <v>814</v>
      </c>
      <c r="C601" s="39" t="s">
        <v>262</v>
      </c>
      <c r="D601" s="33">
        <f>IF(C601="ID",1,(IF(C601="PR",2,(IF(C601="DE",3,(IF(C601="RS",4,(IF(C601="RC",5,0)))))))))</f>
        <v>2</v>
      </c>
      <c r="E601" s="33" t="s">
        <v>257</v>
      </c>
      <c r="F601" s="33">
        <f>IF(E601="AM",1,(IF(E601="BE",2,(IF(E601="GV",3,(IF(E601="RA",4,(IF(E601="RM",5,(IF(E601="AC",1,(IF(E601="AT",2,(IF(E601="DS",3,(IF(E601="IP",4,(IF(E601="MA",5,(IF(E601="PT",6,(IF(E601="AE",1,(IF(E601="CM",2,(IF(E601="DP",3,(IF(E601="AN",1,(IF(E601="CO",2,(IF(E601="IM",3,(IF(E601="MI",4,(IF(E601="RP",5,(IF(E601="SC",6,0)))))))))))))))))))))))))))))))))))))))</f>
        <v>1</v>
      </c>
      <c r="G601" s="170">
        <v>3</v>
      </c>
      <c r="H601" s="38" t="s">
        <v>511</v>
      </c>
      <c r="I601" s="27" t="s">
        <v>266</v>
      </c>
      <c r="J601" s="150" t="s">
        <v>3</v>
      </c>
      <c r="K601" s="79" t="s">
        <v>1303</v>
      </c>
      <c r="L601" s="5">
        <f>IF(O601="","",N601*O601*M601)</f>
        <v>75</v>
      </c>
      <c r="M601" s="8">
        <v>1</v>
      </c>
      <c r="N601" s="1">
        <v>1</v>
      </c>
      <c r="O601" s="15">
        <f>IF(SUM(Q601:AF601)&lt;1,"",SUM(Q601:AF601)/COUNTIF(Q601:AF601,"&gt;0"))</f>
        <v>75</v>
      </c>
      <c r="P601" s="16"/>
      <c r="Q601" s="13"/>
      <c r="R601" s="3"/>
      <c r="S601" s="3"/>
      <c r="T601" s="4">
        <v>75</v>
      </c>
      <c r="U601" s="3"/>
      <c r="V601" s="3"/>
      <c r="W601" s="3"/>
      <c r="X601" s="3"/>
      <c r="Y601" s="3"/>
      <c r="Z601" s="3"/>
      <c r="AA601" s="3"/>
      <c r="AB601" s="3"/>
      <c r="AC601" s="3"/>
      <c r="AD601" s="3"/>
      <c r="AE601" s="3"/>
      <c r="AF601" s="104"/>
    </row>
    <row r="602" spans="1:32" s="4" customFormat="1" ht="15.75" customHeight="1" x14ac:dyDescent="0.25">
      <c r="A602" s="33" t="str">
        <f>CONCATENATE(D602,".",F602,"-",G602,".",H602,"")</f>
        <v>2.1-3.1</v>
      </c>
      <c r="B602" s="33" t="s">
        <v>814</v>
      </c>
      <c r="C602" s="41" t="s">
        <v>262</v>
      </c>
      <c r="D602" s="33">
        <f>IF(C602="ID",1,(IF(C602="PR",2,(IF(C602="DE",3,(IF(C602="RS",4,(IF(C602="RC",5,0)))))))))</f>
        <v>2</v>
      </c>
      <c r="E602" s="33" t="s">
        <v>257</v>
      </c>
      <c r="F602" s="33">
        <f>IF(E602="AM",1,(IF(E602="BE",2,(IF(E602="GV",3,(IF(E602="RA",4,(IF(E602="RM",5,(IF(E602="AC",1,(IF(E602="AT",2,(IF(E602="DS",3,(IF(E602="IP",4,(IF(E602="MA",5,(IF(E602="PT",6,(IF(E602="AE",1,(IF(E602="CM",2,(IF(E602="DP",3,(IF(E602="AN",1,(IF(E602="CO",2,(IF(E602="IM",3,(IF(E602="MI",4,(IF(E602="RP",5,(IF(E602="SC",6,0)))))))))))))))))))))))))))))))))))))))</f>
        <v>1</v>
      </c>
      <c r="G602" s="170">
        <v>3</v>
      </c>
      <c r="H602" s="38" t="s">
        <v>511</v>
      </c>
      <c r="I602" s="27" t="s">
        <v>266</v>
      </c>
      <c r="J602" s="149" t="s">
        <v>2</v>
      </c>
      <c r="K602" s="79" t="s">
        <v>1335</v>
      </c>
      <c r="L602" s="5">
        <f>IF(O602="","",N602*O602*M602)</f>
        <v>75</v>
      </c>
      <c r="M602" s="8">
        <v>1</v>
      </c>
      <c r="N602" s="1">
        <v>1</v>
      </c>
      <c r="O602" s="15">
        <f>IF(SUM(Q602:AF602)&lt;1,"",SUM(Q602:AF602)/COUNTIF(Q602:AF602,"&gt;0"))</f>
        <v>75</v>
      </c>
      <c r="P602" s="16"/>
      <c r="Q602" s="13"/>
      <c r="T602" s="4">
        <v>75</v>
      </c>
      <c r="U602" s="2"/>
      <c r="V602" s="2"/>
      <c r="W602" s="2"/>
      <c r="AF602" s="14"/>
    </row>
    <row r="603" spans="1:32" s="4" customFormat="1" ht="15.75" customHeight="1" x14ac:dyDescent="0.25">
      <c r="A603" s="33" t="str">
        <f>CONCATENATE(D603,".",F603,"-",G603,".",H603,"")</f>
        <v>2.1-3.1</v>
      </c>
      <c r="B603" s="33" t="s">
        <v>814</v>
      </c>
      <c r="C603" s="39" t="s">
        <v>262</v>
      </c>
      <c r="D603" s="33">
        <f>IF(C603="ID",1,(IF(C603="PR",2,(IF(C603="DE",3,(IF(C603="RS",4,(IF(C603="RC",5,0)))))))))</f>
        <v>2</v>
      </c>
      <c r="E603" s="33" t="s">
        <v>257</v>
      </c>
      <c r="F603" s="33">
        <f>IF(E603="AM",1,(IF(E603="BE",2,(IF(E603="GV",3,(IF(E603="RA",4,(IF(E603="RM",5,(IF(E603="AC",1,(IF(E603="AT",2,(IF(E603="DS",3,(IF(E603="IP",4,(IF(E603="MA",5,(IF(E603="PT",6,(IF(E603="AE",1,(IF(E603="CM",2,(IF(E603="DP",3,(IF(E603="AN",1,(IF(E603="CO",2,(IF(E603="IM",3,(IF(E603="MI",4,(IF(E603="RP",5,(IF(E603="SC",6,0)))))))))))))))))))))))))))))))))))))))</f>
        <v>1</v>
      </c>
      <c r="G603" s="170">
        <v>3</v>
      </c>
      <c r="H603" s="38" t="s">
        <v>511</v>
      </c>
      <c r="I603" s="27" t="s">
        <v>266</v>
      </c>
      <c r="J603" s="149" t="s">
        <v>74</v>
      </c>
      <c r="K603" s="79" t="s">
        <v>1404</v>
      </c>
      <c r="L603" s="5">
        <f>IF(O603="","",N603*O603*M603)</f>
        <v>75</v>
      </c>
      <c r="M603" s="8">
        <v>1</v>
      </c>
      <c r="N603" s="1">
        <v>1</v>
      </c>
      <c r="O603" s="15">
        <f>IF(SUM(Q603:AF603)&lt;1,"",SUM(Q603:AF603)/COUNTIF(Q603:AF603,"&gt;0"))</f>
        <v>75</v>
      </c>
      <c r="P603" s="16"/>
      <c r="Q603" s="13"/>
      <c r="T603" s="4">
        <v>75</v>
      </c>
      <c r="U603" s="2"/>
      <c r="V603" s="2"/>
      <c r="W603" s="2"/>
      <c r="X603" s="2"/>
      <c r="Z603" s="2"/>
      <c r="AA603" s="2"/>
      <c r="AF603" s="14"/>
    </row>
    <row r="604" spans="1:32" s="4" customFormat="1" ht="15.75" customHeight="1" x14ac:dyDescent="0.25">
      <c r="A604" s="33" t="str">
        <f>CONCATENATE(D604,".",F604,"-",G604,".",H604,"")</f>
        <v>2.1-3.1</v>
      </c>
      <c r="B604" s="33" t="s">
        <v>814</v>
      </c>
      <c r="C604" s="39" t="s">
        <v>262</v>
      </c>
      <c r="D604" s="33">
        <f>IF(C604="ID",1,(IF(C604="PR",2,(IF(C604="DE",3,(IF(C604="RS",4,(IF(C604="RC",5,0)))))))))</f>
        <v>2</v>
      </c>
      <c r="E604" s="33" t="s">
        <v>257</v>
      </c>
      <c r="F604" s="33">
        <f>IF(E604="AM",1,(IF(E604="BE",2,(IF(E604="GV",3,(IF(E604="RA",4,(IF(E604="RM",5,(IF(E604="AC",1,(IF(E604="AT",2,(IF(E604="DS",3,(IF(E604="IP",4,(IF(E604="MA",5,(IF(E604="PT",6,(IF(E604="AE",1,(IF(E604="CM",2,(IF(E604="DP",3,(IF(E604="AN",1,(IF(E604="CO",2,(IF(E604="IM",3,(IF(E604="MI",4,(IF(E604="RP",5,(IF(E604="SC",6,0)))))))))))))))))))))))))))))))))))))))</f>
        <v>1</v>
      </c>
      <c r="G604" s="170">
        <v>3</v>
      </c>
      <c r="H604" s="33">
        <v>1</v>
      </c>
      <c r="I604" s="27" t="s">
        <v>266</v>
      </c>
      <c r="J604" s="150" t="s">
        <v>13</v>
      </c>
      <c r="K604" s="79" t="s">
        <v>1405</v>
      </c>
      <c r="L604" s="5">
        <f>IF(O604="","",N604*O604*M604)</f>
        <v>75</v>
      </c>
      <c r="M604" s="8">
        <v>1</v>
      </c>
      <c r="N604" s="1">
        <v>1</v>
      </c>
      <c r="O604" s="15">
        <f>IF(SUM(Q604:AF604)&lt;1,"",SUM(Q604:AF604)/COUNTIF(Q604:AF604,"&gt;0"))</f>
        <v>75</v>
      </c>
      <c r="P604" s="16"/>
      <c r="Q604" s="13"/>
      <c r="R604" s="3"/>
      <c r="S604" s="3"/>
      <c r="T604" s="4">
        <v>75</v>
      </c>
      <c r="U604" s="3"/>
      <c r="V604" s="3"/>
      <c r="W604" s="3"/>
      <c r="X604" s="3"/>
      <c r="Y604" s="3"/>
      <c r="Z604" s="3"/>
      <c r="AA604" s="3"/>
      <c r="AB604" s="3"/>
      <c r="AC604" s="3"/>
      <c r="AD604" s="3"/>
      <c r="AE604" s="3"/>
      <c r="AF604" s="104"/>
    </row>
    <row r="605" spans="1:32" s="4" customFormat="1" ht="15.75" customHeight="1" x14ac:dyDescent="0.25">
      <c r="A605" s="33" t="str">
        <f>CONCATENATE(D605,".",F605,"-",G605,".",H605,"")</f>
        <v>2.1-3.1</v>
      </c>
      <c r="B605" s="33" t="s">
        <v>814</v>
      </c>
      <c r="C605" s="39" t="s">
        <v>262</v>
      </c>
      <c r="D605" s="33">
        <f>IF(C605="ID",1,(IF(C605="PR",2,(IF(C605="DE",3,(IF(C605="RS",4,(IF(C605="RC",5,0)))))))))</f>
        <v>2</v>
      </c>
      <c r="E605" s="33" t="s">
        <v>257</v>
      </c>
      <c r="F605" s="33">
        <f>IF(E605="AM",1,(IF(E605="BE",2,(IF(E605="GV",3,(IF(E605="RA",4,(IF(E605="RM",5,(IF(E605="AC",1,(IF(E605="AT",2,(IF(E605="DS",3,(IF(E605="IP",4,(IF(E605="MA",5,(IF(E605="PT",6,(IF(E605="AE",1,(IF(E605="CM",2,(IF(E605="DP",3,(IF(E605="AN",1,(IF(E605="CO",2,(IF(E605="IM",3,(IF(E605="MI",4,(IF(E605="RP",5,(IF(E605="SC",6,0)))))))))))))))))))))))))))))))))))))))</f>
        <v>1</v>
      </c>
      <c r="G605" s="170">
        <v>3</v>
      </c>
      <c r="H605" s="33">
        <v>1</v>
      </c>
      <c r="I605" s="27" t="s">
        <v>266</v>
      </c>
      <c r="J605" s="150" t="s">
        <v>13</v>
      </c>
      <c r="K605" s="79" t="s">
        <v>1405</v>
      </c>
      <c r="L605" s="5">
        <f>IF(O605="","",N605*O605*M605)</f>
        <v>75</v>
      </c>
      <c r="M605" s="8">
        <v>1</v>
      </c>
      <c r="N605" s="1">
        <v>1</v>
      </c>
      <c r="O605" s="15">
        <f>IF(SUM(Q605:AF605)&lt;1,"",SUM(Q605:AF605)/COUNTIF(Q605:AF605,"&gt;0"))</f>
        <v>75</v>
      </c>
      <c r="P605" s="16"/>
      <c r="Q605" s="13"/>
      <c r="R605" s="3"/>
      <c r="S605" s="3"/>
      <c r="T605" s="4">
        <v>75</v>
      </c>
      <c r="U605" s="3"/>
      <c r="V605" s="3"/>
      <c r="W605" s="3"/>
      <c r="X605" s="3"/>
      <c r="Y605" s="3"/>
      <c r="Z605" s="3"/>
      <c r="AA605" s="3"/>
      <c r="AB605" s="3"/>
      <c r="AC605" s="3"/>
      <c r="AD605" s="3"/>
      <c r="AE605" s="3"/>
      <c r="AF605" s="104"/>
    </row>
    <row r="606" spans="1:32" s="4" customFormat="1" ht="15.75" customHeight="1" x14ac:dyDescent="0.25">
      <c r="A606" s="33" t="str">
        <f>CONCATENATE(D606,".",F606,"-",G606,".",H606,"")</f>
        <v>2.1-3.1</v>
      </c>
      <c r="B606" s="33" t="s">
        <v>814</v>
      </c>
      <c r="C606" s="39" t="s">
        <v>262</v>
      </c>
      <c r="D606" s="33">
        <f>IF(C606="ID",1,(IF(C606="PR",2,(IF(C606="DE",3,(IF(C606="RS",4,(IF(C606="RC",5,0)))))))))</f>
        <v>2</v>
      </c>
      <c r="E606" s="33" t="s">
        <v>257</v>
      </c>
      <c r="F606" s="33">
        <f>IF(E606="AM",1,(IF(E606="BE",2,(IF(E606="GV",3,(IF(E606="RA",4,(IF(E606="RM",5,(IF(E606="AC",1,(IF(E606="AT",2,(IF(E606="DS",3,(IF(E606="IP",4,(IF(E606="MA",5,(IF(E606="PT",6,(IF(E606="AE",1,(IF(E606="CM",2,(IF(E606="DP",3,(IF(E606="AN",1,(IF(E606="CO",2,(IF(E606="IM",3,(IF(E606="MI",4,(IF(E606="RP",5,(IF(E606="SC",6,0)))))))))))))))))))))))))))))))))))))))</f>
        <v>1</v>
      </c>
      <c r="G606" s="170">
        <v>3</v>
      </c>
      <c r="H606" s="38" t="s">
        <v>511</v>
      </c>
      <c r="I606" s="105" t="s">
        <v>1449</v>
      </c>
      <c r="J606" s="157" t="s">
        <v>1484</v>
      </c>
      <c r="K606" s="34" t="s">
        <v>1485</v>
      </c>
      <c r="L606" s="5">
        <f>IF(O606="","",N606*O606*M606)</f>
        <v>99</v>
      </c>
      <c r="M606" s="8">
        <v>1</v>
      </c>
      <c r="N606" s="1">
        <v>1</v>
      </c>
      <c r="O606" s="15">
        <f>IF(SUM(Q606:AF606)&lt;1,"",SUM(Q606:AF606)/COUNTIF(Q606:AF606,"&gt;0"))</f>
        <v>99</v>
      </c>
      <c r="P606" s="16"/>
      <c r="Q606" s="13"/>
      <c r="T606" s="4">
        <v>99</v>
      </c>
      <c r="U606" s="2"/>
      <c r="V606" s="2"/>
      <c r="W606" s="2"/>
      <c r="X606" s="2"/>
      <c r="Z606" s="2"/>
      <c r="AA606" s="2"/>
      <c r="AF606" s="14"/>
    </row>
    <row r="607" spans="1:32" s="4" customFormat="1" ht="15.75" customHeight="1" x14ac:dyDescent="0.25">
      <c r="A607" s="33" t="str">
        <f>CONCATENATE(D607,".",F607,"-",G607,".",H607,"")</f>
        <v>2.1-3.1</v>
      </c>
      <c r="B607" s="33" t="s">
        <v>814</v>
      </c>
      <c r="C607" s="39" t="s">
        <v>262</v>
      </c>
      <c r="D607" s="33">
        <f>IF(C607="ID",1,(IF(C607="PR",2,(IF(C607="DE",3,(IF(C607="RS",4,(IF(C607="RC",5,0)))))))))</f>
        <v>2</v>
      </c>
      <c r="E607" s="33" t="s">
        <v>257</v>
      </c>
      <c r="F607" s="33">
        <f>IF(E607="AM",1,(IF(E607="BE",2,(IF(E607="GV",3,(IF(E607="RA",4,(IF(E607="RM",5,(IF(E607="AC",1,(IF(E607="AT",2,(IF(E607="DS",3,(IF(E607="IP",4,(IF(E607="MA",5,(IF(E607="PT",6,(IF(E607="AE",1,(IF(E607="CM",2,(IF(E607="DP",3,(IF(E607="AN",1,(IF(E607="CO",2,(IF(E607="IM",3,(IF(E607="MI",4,(IF(E607="RP",5,(IF(E607="SC",6,0)))))))))))))))))))))))))))))))))))))))</f>
        <v>1</v>
      </c>
      <c r="G607" s="170">
        <v>3</v>
      </c>
      <c r="H607" s="38" t="s">
        <v>511</v>
      </c>
      <c r="I607" s="105" t="s">
        <v>1449</v>
      </c>
      <c r="J607" s="157" t="s">
        <v>1508</v>
      </c>
      <c r="K607" s="34" t="s">
        <v>1509</v>
      </c>
      <c r="L607" s="5">
        <f>IF(O607="","",N607*O607*M607)</f>
        <v>99</v>
      </c>
      <c r="M607" s="8">
        <v>1</v>
      </c>
      <c r="N607" s="1">
        <v>1</v>
      </c>
      <c r="O607" s="15">
        <f>IF(SUM(Q607:AF607)&lt;1,"",SUM(Q607:AF607)/COUNTIF(Q607:AF607,"&gt;0"))</f>
        <v>99</v>
      </c>
      <c r="P607" s="16"/>
      <c r="Q607" s="13"/>
      <c r="T607" s="4">
        <v>99</v>
      </c>
      <c r="U607" s="2"/>
      <c r="V607" s="2"/>
      <c r="W607" s="2"/>
      <c r="X607" s="2"/>
      <c r="Z607" s="2"/>
      <c r="AA607" s="2"/>
      <c r="AF607" s="14"/>
    </row>
    <row r="608" spans="1:32" s="4" customFormat="1" ht="15.75" customHeight="1" x14ac:dyDescent="0.25">
      <c r="A608" s="33" t="str">
        <f>CONCATENATE(D608,".",F608,"-",G608,".",H608,"")</f>
        <v>2.1-3.1</v>
      </c>
      <c r="B608" s="33" t="s">
        <v>814</v>
      </c>
      <c r="C608" s="39" t="s">
        <v>262</v>
      </c>
      <c r="D608" s="33">
        <f>IF(C608="ID",1,(IF(C608="PR",2,(IF(C608="DE",3,(IF(C608="RS",4,(IF(C608="RC",5,0)))))))))</f>
        <v>2</v>
      </c>
      <c r="E608" s="33" t="s">
        <v>257</v>
      </c>
      <c r="F608" s="33">
        <f>IF(E608="AM",1,(IF(E608="BE",2,(IF(E608="GV",3,(IF(E608="RA",4,(IF(E608="RM",5,(IF(E608="AC",1,(IF(E608="AT",2,(IF(E608="DS",3,(IF(E608="IP",4,(IF(E608="MA",5,(IF(E608="PT",6,(IF(E608="AE",1,(IF(E608="CM",2,(IF(E608="DP",3,(IF(E608="AN",1,(IF(E608="CO",2,(IF(E608="IM",3,(IF(E608="MI",4,(IF(E608="RP",5,(IF(E608="SC",6,0)))))))))))))))))))))))))))))))))))))))</f>
        <v>1</v>
      </c>
      <c r="G608" s="170">
        <v>3</v>
      </c>
      <c r="H608" s="38" t="s">
        <v>511</v>
      </c>
      <c r="I608" s="105" t="s">
        <v>1449</v>
      </c>
      <c r="J608" s="157" t="s">
        <v>1544</v>
      </c>
      <c r="K608" s="34" t="s">
        <v>1545</v>
      </c>
      <c r="L608" s="5">
        <f>IF(O608="","",N608*O608*M608)</f>
        <v>99</v>
      </c>
      <c r="M608" s="8">
        <v>1</v>
      </c>
      <c r="N608" s="1">
        <v>1</v>
      </c>
      <c r="O608" s="15">
        <f>IF(SUM(Q608:AF608)&lt;1,"",SUM(Q608:AF608)/COUNTIF(Q608:AF608,"&gt;0"))</f>
        <v>99</v>
      </c>
      <c r="P608" s="16"/>
      <c r="Q608" s="13"/>
      <c r="T608" s="4">
        <v>99</v>
      </c>
      <c r="U608" s="2"/>
      <c r="V608" s="2"/>
      <c r="W608" s="2"/>
      <c r="X608" s="2"/>
      <c r="Z608" s="2"/>
      <c r="AA608" s="2"/>
      <c r="AF608" s="14"/>
    </row>
    <row r="609" spans="1:32" s="4" customFormat="1" ht="15.75" customHeight="1" x14ac:dyDescent="0.25">
      <c r="A609" s="33" t="str">
        <f>CONCATENATE(D609,".",F609,"-",G609,".",H609,"")</f>
        <v>2.1-3.1</v>
      </c>
      <c r="B609" s="33" t="s">
        <v>814</v>
      </c>
      <c r="C609" s="39" t="s">
        <v>262</v>
      </c>
      <c r="D609" s="33">
        <f>IF(C609="ID",1,(IF(C609="PR",2,(IF(C609="DE",3,(IF(C609="RS",4,(IF(C609="RC",5,0)))))))))</f>
        <v>2</v>
      </c>
      <c r="E609" s="33" t="s">
        <v>257</v>
      </c>
      <c r="F609" s="33">
        <f>IF(E609="AM",1,(IF(E609="BE",2,(IF(E609="GV",3,(IF(E609="RA",4,(IF(E609="RM",5,(IF(E609="AC",1,(IF(E609="AT",2,(IF(E609="DS",3,(IF(E609="IP",4,(IF(E609="MA",5,(IF(E609="PT",6,(IF(E609="AE",1,(IF(E609="CM",2,(IF(E609="DP",3,(IF(E609="AN",1,(IF(E609="CO",2,(IF(E609="IM",3,(IF(E609="MI",4,(IF(E609="RP",5,(IF(E609="SC",6,0)))))))))))))))))))))))))))))))))))))))</f>
        <v>1</v>
      </c>
      <c r="G609" s="170">
        <v>3</v>
      </c>
      <c r="H609" s="38" t="s">
        <v>511</v>
      </c>
      <c r="I609" s="105" t="s">
        <v>1449</v>
      </c>
      <c r="J609" s="157" t="s">
        <v>1614</v>
      </c>
      <c r="K609" s="34" t="s">
        <v>1615</v>
      </c>
      <c r="L609" s="5">
        <f>IF(O609="","",N609*O609*M609)</f>
        <v>99</v>
      </c>
      <c r="M609" s="8">
        <v>1</v>
      </c>
      <c r="N609" s="1">
        <v>1</v>
      </c>
      <c r="O609" s="15">
        <f>IF(SUM(Q609:AF609)&lt;1,"",SUM(Q609:AF609)/COUNTIF(Q609:AF609,"&gt;0"))</f>
        <v>99</v>
      </c>
      <c r="P609" s="16"/>
      <c r="Q609" s="13"/>
      <c r="T609" s="4">
        <v>99</v>
      </c>
      <c r="U609" s="2"/>
      <c r="V609" s="2"/>
      <c r="W609" s="2"/>
      <c r="X609" s="2"/>
      <c r="Z609" s="2"/>
      <c r="AA609" s="2"/>
      <c r="AF609" s="14"/>
    </row>
    <row r="610" spans="1:32" s="4" customFormat="1" ht="15.75" customHeight="1" x14ac:dyDescent="0.25">
      <c r="A610" s="33" t="str">
        <f>CONCATENATE(D610,".",F610,"-",G610,".",H610,"")</f>
        <v>2.1-3.1</v>
      </c>
      <c r="B610" s="33" t="s">
        <v>814</v>
      </c>
      <c r="C610" s="39" t="s">
        <v>262</v>
      </c>
      <c r="D610" s="33">
        <f>IF(C610="ID",1,(IF(C610="PR",2,(IF(C610="DE",3,(IF(C610="RS",4,(IF(C610="RC",5,0)))))))))</f>
        <v>2</v>
      </c>
      <c r="E610" s="33" t="s">
        <v>257</v>
      </c>
      <c r="F610" s="33">
        <f>IF(E610="AM",1,(IF(E610="BE",2,(IF(E610="GV",3,(IF(E610="RA",4,(IF(E610="RM",5,(IF(E610="AC",1,(IF(E610="AT",2,(IF(E610="DS",3,(IF(E610="IP",4,(IF(E610="MA",5,(IF(E610="PT",6,(IF(E610="AE",1,(IF(E610="CM",2,(IF(E610="DP",3,(IF(E610="AN",1,(IF(E610="CO",2,(IF(E610="IM",3,(IF(E610="MI",4,(IF(E610="RP",5,(IF(E610="SC",6,0)))))))))))))))))))))))))))))))))))))))</f>
        <v>1</v>
      </c>
      <c r="G610" s="170">
        <v>3</v>
      </c>
      <c r="H610" s="38" t="s">
        <v>511</v>
      </c>
      <c r="I610" s="105" t="s">
        <v>1449</v>
      </c>
      <c r="J610" s="157" t="s">
        <v>1656</v>
      </c>
      <c r="K610" s="34" t="s">
        <v>1657</v>
      </c>
      <c r="L610" s="5">
        <f>IF(O610="","",N610*O610*M610)</f>
        <v>99</v>
      </c>
      <c r="M610" s="8">
        <v>1</v>
      </c>
      <c r="N610" s="1">
        <v>1</v>
      </c>
      <c r="O610" s="15">
        <f>IF(SUM(Q610:AF610)&lt;1,"",SUM(Q610:AF610)/COUNTIF(Q610:AF610,"&gt;0"))</f>
        <v>99</v>
      </c>
      <c r="P610" s="16"/>
      <c r="Q610" s="13"/>
      <c r="T610" s="4">
        <v>99</v>
      </c>
      <c r="U610" s="2"/>
      <c r="V610" s="2"/>
      <c r="W610" s="2"/>
      <c r="X610" s="2"/>
      <c r="Z610" s="2"/>
      <c r="AA610" s="2"/>
      <c r="AF610" s="14"/>
    </row>
    <row r="611" spans="1:32" s="4" customFormat="1" ht="15.75" customHeight="1" x14ac:dyDescent="0.25">
      <c r="A611" s="33" t="str">
        <f>CONCATENATE(D611,".",F611,"-",G611,".",H611,"")</f>
        <v>2.1-3.1</v>
      </c>
      <c r="B611" s="33" t="s">
        <v>814</v>
      </c>
      <c r="C611" s="39" t="s">
        <v>262</v>
      </c>
      <c r="D611" s="33">
        <f>IF(C611="ID",1,(IF(C611="PR",2,(IF(C611="DE",3,(IF(C611="RS",4,(IF(C611="RC",5,0)))))))))</f>
        <v>2</v>
      </c>
      <c r="E611" s="33" t="s">
        <v>257</v>
      </c>
      <c r="F611" s="33">
        <f>IF(E611="AM",1,(IF(E611="BE",2,(IF(E611="GV",3,(IF(E611="RA",4,(IF(E611="RM",5,(IF(E611="AC",1,(IF(E611="AT",2,(IF(E611="DS",3,(IF(E611="IP",4,(IF(E611="MA",5,(IF(E611="PT",6,(IF(E611="AE",1,(IF(E611="CM",2,(IF(E611="DP",3,(IF(E611="AN",1,(IF(E611="CO",2,(IF(E611="IM",3,(IF(E611="MI",4,(IF(E611="RP",5,(IF(E611="SC",6,0)))))))))))))))))))))))))))))))))))))))</f>
        <v>1</v>
      </c>
      <c r="G611" s="170">
        <v>3</v>
      </c>
      <c r="H611" s="38" t="s">
        <v>511</v>
      </c>
      <c r="I611" s="105" t="s">
        <v>1449</v>
      </c>
      <c r="J611" s="157" t="s">
        <v>1747</v>
      </c>
      <c r="K611" s="34" t="s">
        <v>1748</v>
      </c>
      <c r="L611" s="5">
        <f>IF(O611="","",N611*O611*M611)</f>
        <v>99</v>
      </c>
      <c r="M611" s="8">
        <v>1</v>
      </c>
      <c r="N611" s="1">
        <v>1</v>
      </c>
      <c r="O611" s="15">
        <f>IF(SUM(Q611:AF611)&lt;1,"",SUM(Q611:AF611)/COUNTIF(Q611:AF611,"&gt;0"))</f>
        <v>99</v>
      </c>
      <c r="P611" s="16"/>
      <c r="Q611" s="13"/>
      <c r="T611" s="4">
        <v>99</v>
      </c>
      <c r="U611" s="2"/>
      <c r="V611" s="2"/>
      <c r="W611" s="2"/>
      <c r="X611" s="2"/>
      <c r="Z611" s="2"/>
      <c r="AA611" s="2"/>
      <c r="AF611" s="14"/>
    </row>
    <row r="612" spans="1:32" s="4" customFormat="1" ht="15.75" customHeight="1" x14ac:dyDescent="0.25">
      <c r="A612" s="33" t="str">
        <f>CONCATENATE(D612,".",F612,"-",G612,".",H612,"")</f>
        <v>2.1-4.0</v>
      </c>
      <c r="B612" s="33" t="s">
        <v>814</v>
      </c>
      <c r="C612" s="39" t="s">
        <v>262</v>
      </c>
      <c r="D612" s="33">
        <f>IF(C612="ID",1,(IF(C612="PR",2,(IF(C612="DE",3,(IF(C612="RS",4,(IF(C612="RC",5,0)))))))))</f>
        <v>2</v>
      </c>
      <c r="E612" s="33" t="s">
        <v>257</v>
      </c>
      <c r="F612" s="33">
        <f>IF(E612="AM",1,(IF(E612="BE",2,(IF(E612="GV",3,(IF(E612="RA",4,(IF(E612="RM",5,(IF(E612="AC",1,(IF(E612="AT",2,(IF(E612="DS",3,(IF(E612="IP",4,(IF(E612="MA",5,(IF(E612="PT",6,(IF(E612="AE",1,(IF(E612="CM",2,(IF(E612="DP",3,(IF(E612="AN",1,(IF(E612="CO",2,(IF(E612="IM",3,(IF(E612="MI",4,(IF(E612="RP",5,(IF(E612="SC",6,0)))))))))))))))))))))))))))))))))))))))</f>
        <v>1</v>
      </c>
      <c r="G612" s="170">
        <v>4</v>
      </c>
      <c r="H612" s="38" t="s">
        <v>597</v>
      </c>
      <c r="I612" s="27" t="s">
        <v>1200</v>
      </c>
      <c r="J612" s="149" t="s">
        <v>665</v>
      </c>
      <c r="K612" s="98" t="s">
        <v>1205</v>
      </c>
      <c r="L612" s="66">
        <f>IF(O612="","",N612*O612*M612)</f>
        <v>75</v>
      </c>
      <c r="M612" s="8">
        <v>1</v>
      </c>
      <c r="N612" s="1">
        <v>1</v>
      </c>
      <c r="O612" s="15">
        <f>IF(SUM(Q612:AF612)&lt;1,"",SUM(Q612:AF612)/COUNTIF(Q612:AF612,"&gt;0"))</f>
        <v>75</v>
      </c>
      <c r="P612" s="16"/>
      <c r="Q612" s="13"/>
      <c r="T612" s="4">
        <v>75</v>
      </c>
      <c r="U612" s="2"/>
      <c r="V612" s="2"/>
      <c r="W612" s="2"/>
      <c r="AF612" s="14"/>
    </row>
    <row r="613" spans="1:32" s="4" customFormat="1" ht="15.75" customHeight="1" x14ac:dyDescent="0.25">
      <c r="A613" s="33" t="str">
        <f>CONCATENATE(D613,".",F613,"-",G613,".",H613,"")</f>
        <v>2.1-4.1</v>
      </c>
      <c r="B613" s="33" t="s">
        <v>814</v>
      </c>
      <c r="C613" s="39" t="s">
        <v>262</v>
      </c>
      <c r="D613" s="33">
        <f>IF(C613="ID",1,(IF(C613="PR",2,(IF(C613="DE",3,(IF(C613="RS",4,(IF(C613="RC",5,0)))))))))</f>
        <v>2</v>
      </c>
      <c r="E613" s="33" t="s">
        <v>257</v>
      </c>
      <c r="F613" s="33">
        <f>IF(E613="AM",1,(IF(E613="BE",2,(IF(E613="GV",3,(IF(E613="RA",4,(IF(E613="RM",5,(IF(E613="AC",1,(IF(E613="AT",2,(IF(E613="DS",3,(IF(E613="IP",4,(IF(E613="MA",5,(IF(E613="PT",6,(IF(E613="AE",1,(IF(E613="CM",2,(IF(E613="DP",3,(IF(E613="AN",1,(IF(E613="CO",2,(IF(E613="IM",3,(IF(E613="MI",4,(IF(E613="RP",5,(IF(E613="SC",6,0)))))))))))))))))))))))))))))))))))))))</f>
        <v>1</v>
      </c>
      <c r="G613" s="170">
        <v>4</v>
      </c>
      <c r="H613" s="38" t="s">
        <v>511</v>
      </c>
      <c r="I613" s="105" t="s">
        <v>821</v>
      </c>
      <c r="J613" s="150">
        <v>2</v>
      </c>
      <c r="K613" s="79" t="s">
        <v>1283</v>
      </c>
      <c r="L613" s="66">
        <f>IF(O613="","",N613*O613*M613)</f>
        <v>75</v>
      </c>
      <c r="M613" s="8">
        <v>1</v>
      </c>
      <c r="N613" s="3">
        <v>1</v>
      </c>
      <c r="O613" s="15">
        <f>IF(SUM(Q613:AF613)&lt;1,"",SUM(Q613:AF613)/COUNTIF(Q613:AF613,"&gt;0"))</f>
        <v>75</v>
      </c>
      <c r="P613" s="16"/>
      <c r="Q613" s="13"/>
      <c r="T613" s="4">
        <v>75</v>
      </c>
      <c r="U613" s="2"/>
      <c r="V613" s="2"/>
      <c r="W613" s="2"/>
      <c r="X613" s="2"/>
      <c r="Z613" s="2"/>
      <c r="AA613" s="2"/>
      <c r="AF613" s="14"/>
    </row>
    <row r="614" spans="1:32" s="4" customFormat="1" ht="15.75" customHeight="1" x14ac:dyDescent="0.25">
      <c r="A614" s="33" t="str">
        <f>CONCATENATE(D614,".",F614,"-",G614,".",H614,"")</f>
        <v>2.1-4.1</v>
      </c>
      <c r="B614" s="33" t="s">
        <v>814</v>
      </c>
      <c r="C614" s="39" t="s">
        <v>262</v>
      </c>
      <c r="D614" s="33">
        <f>IF(C614="ID",1,(IF(C614="PR",2,(IF(C614="DE",3,(IF(C614="RS",4,(IF(C614="RC",5,0)))))))))</f>
        <v>2</v>
      </c>
      <c r="E614" s="33" t="s">
        <v>257</v>
      </c>
      <c r="F614" s="33">
        <f>IF(E614="AM",1,(IF(E614="BE",2,(IF(E614="GV",3,(IF(E614="RA",4,(IF(E614="RM",5,(IF(E614="AC",1,(IF(E614="AT",2,(IF(E614="DS",3,(IF(E614="IP",4,(IF(E614="MA",5,(IF(E614="PT",6,(IF(E614="AE",1,(IF(E614="CM",2,(IF(E614="DP",3,(IF(E614="AN",1,(IF(E614="CO",2,(IF(E614="IM",3,(IF(E614="MI",4,(IF(E614="RP",5,(IF(E614="SC",6,0)))))))))))))))))))))))))))))))))))))))</f>
        <v>1</v>
      </c>
      <c r="G614" s="170">
        <v>4</v>
      </c>
      <c r="H614" s="38" t="s">
        <v>511</v>
      </c>
      <c r="I614" s="105" t="s">
        <v>821</v>
      </c>
      <c r="J614" s="149">
        <v>3.5</v>
      </c>
      <c r="K614" s="79" t="s">
        <v>1283</v>
      </c>
      <c r="L614" s="66">
        <f>IF(O614="","",N614*O614*M614)</f>
        <v>75</v>
      </c>
      <c r="M614" s="8">
        <v>1</v>
      </c>
      <c r="N614" s="1">
        <v>1</v>
      </c>
      <c r="O614" s="15">
        <f>IF(SUM(Q614:AF614)&lt;1,"",SUM(Q614:AF614)/COUNTIF(Q614:AF614,"&gt;0"))</f>
        <v>75</v>
      </c>
      <c r="P614" s="16"/>
      <c r="Q614" s="13"/>
      <c r="T614" s="4">
        <v>75</v>
      </c>
      <c r="U614" s="2"/>
      <c r="V614" s="2"/>
      <c r="W614" s="2"/>
      <c r="X614" s="2"/>
      <c r="Z614" s="2"/>
      <c r="AA614" s="2"/>
      <c r="AF614" s="14"/>
    </row>
    <row r="615" spans="1:32" s="4" customFormat="1" ht="15.75" customHeight="1" x14ac:dyDescent="0.25">
      <c r="A615" s="33" t="str">
        <f>CONCATENATE(D615,".",F615,"-",G615,".",H615,"")</f>
        <v>2.1-4.1</v>
      </c>
      <c r="B615" s="33" t="s">
        <v>814</v>
      </c>
      <c r="C615" s="39" t="s">
        <v>262</v>
      </c>
      <c r="D615" s="33">
        <f>IF(C615="ID",1,(IF(C615="PR",2,(IF(C615="DE",3,(IF(C615="RS",4,(IF(C615="RC",5,0)))))))))</f>
        <v>2</v>
      </c>
      <c r="E615" s="33" t="s">
        <v>257</v>
      </c>
      <c r="F615" s="33">
        <f>IF(E615="AM",1,(IF(E615="BE",2,(IF(E615="GV",3,(IF(E615="RA",4,(IF(E615="RM",5,(IF(E615="AC",1,(IF(E615="AT",2,(IF(E615="DS",3,(IF(E615="IP",4,(IF(E615="MA",5,(IF(E615="PT",6,(IF(E615="AE",1,(IF(E615="CM",2,(IF(E615="DP",3,(IF(E615="AN",1,(IF(E615="CO",2,(IF(E615="IM",3,(IF(E615="MI",4,(IF(E615="RP",5,(IF(E615="SC",6,0)))))))))))))))))))))))))))))))))))))))</f>
        <v>1</v>
      </c>
      <c r="G615" s="170">
        <v>4</v>
      </c>
      <c r="H615" s="38" t="s">
        <v>511</v>
      </c>
      <c r="I615" s="105" t="s">
        <v>821</v>
      </c>
      <c r="J615" s="150">
        <v>8.5</v>
      </c>
      <c r="K615" s="79" t="s">
        <v>1283</v>
      </c>
      <c r="L615" s="66">
        <f>IF(O615="","",N615*O615*M615)</f>
        <v>75</v>
      </c>
      <c r="M615" s="8">
        <v>1</v>
      </c>
      <c r="N615" s="3">
        <v>1</v>
      </c>
      <c r="O615" s="15">
        <f>IF(SUM(Q615:AF615)&lt;1,"",SUM(Q615:AF615)/COUNTIF(Q615:AF615,"&gt;0"))</f>
        <v>75</v>
      </c>
      <c r="P615" s="16"/>
      <c r="Q615" s="13"/>
      <c r="T615" s="4">
        <v>75</v>
      </c>
      <c r="U615" s="2"/>
      <c r="V615" s="2"/>
      <c r="W615" s="2"/>
      <c r="X615" s="2"/>
      <c r="Z615" s="2"/>
      <c r="AA615" s="2"/>
      <c r="AF615" s="14"/>
    </row>
    <row r="616" spans="1:32" s="4" customFormat="1" ht="15.75" customHeight="1" x14ac:dyDescent="0.25">
      <c r="A616" s="33" t="str">
        <f>CONCATENATE(D616,".",F616,"-",G616,".",H616,"")</f>
        <v>2.1-4.1</v>
      </c>
      <c r="B616" s="33" t="s">
        <v>814</v>
      </c>
      <c r="C616" s="39" t="s">
        <v>262</v>
      </c>
      <c r="D616" s="33">
        <f>IF(C616="ID",1,(IF(C616="PR",2,(IF(C616="DE",3,(IF(C616="RS",4,(IF(C616="RC",5,0)))))))))</f>
        <v>2</v>
      </c>
      <c r="E616" s="33" t="s">
        <v>257</v>
      </c>
      <c r="F616" s="33">
        <f>IF(E616="AM",1,(IF(E616="BE",2,(IF(E616="GV",3,(IF(E616="RA",4,(IF(E616="RM",5,(IF(E616="AC",1,(IF(E616="AT",2,(IF(E616="DS",3,(IF(E616="IP",4,(IF(E616="MA",5,(IF(E616="PT",6,(IF(E616="AE",1,(IF(E616="CM",2,(IF(E616="DP",3,(IF(E616="AN",1,(IF(E616="CO",2,(IF(E616="IM",3,(IF(E616="MI",4,(IF(E616="RP",5,(IF(E616="SC",6,0)))))))))))))))))))))))))))))))))))))))</f>
        <v>1</v>
      </c>
      <c r="G616" s="170">
        <v>4</v>
      </c>
      <c r="H616" s="38" t="s">
        <v>511</v>
      </c>
      <c r="I616" s="105" t="s">
        <v>821</v>
      </c>
      <c r="J616" s="150">
        <v>8.6999999999999993</v>
      </c>
      <c r="K616" s="79" t="s">
        <v>1283</v>
      </c>
      <c r="L616" s="66">
        <f>IF(O616="","",N616*O616*M616)</f>
        <v>75</v>
      </c>
      <c r="M616" s="8">
        <v>1</v>
      </c>
      <c r="N616" s="3">
        <v>1</v>
      </c>
      <c r="O616" s="15">
        <f>IF(SUM(Q616:AF616)&lt;1,"",SUM(Q616:AF616)/COUNTIF(Q616:AF616,"&gt;0"))</f>
        <v>75</v>
      </c>
      <c r="P616" s="16"/>
      <c r="Q616" s="13"/>
      <c r="T616" s="4">
        <v>75</v>
      </c>
      <c r="U616" s="2"/>
      <c r="V616" s="2"/>
      <c r="W616" s="2"/>
      <c r="X616" s="2"/>
      <c r="Z616" s="2"/>
      <c r="AA616" s="2"/>
      <c r="AF616" s="14"/>
    </row>
    <row r="617" spans="1:32" s="4" customFormat="1" ht="15.75" customHeight="1" x14ac:dyDescent="0.25">
      <c r="A617" s="33" t="str">
        <f>CONCATENATE(D617,".",F617,"-",G617,".",H617,"")</f>
        <v>2.1-4.1</v>
      </c>
      <c r="B617" s="33" t="s">
        <v>814</v>
      </c>
      <c r="C617" s="39" t="s">
        <v>262</v>
      </c>
      <c r="D617" s="33">
        <f>IF(C617="ID",1,(IF(C617="PR",2,(IF(C617="DE",3,(IF(C617="RS",4,(IF(C617="RC",5,0)))))))))</f>
        <v>2</v>
      </c>
      <c r="E617" s="33" t="s">
        <v>257</v>
      </c>
      <c r="F617" s="33">
        <f>IF(E617="AM",1,(IF(E617="BE",2,(IF(E617="GV",3,(IF(E617="RA",4,(IF(E617="RM",5,(IF(E617="AC",1,(IF(E617="AT",2,(IF(E617="DS",3,(IF(E617="IP",4,(IF(E617="MA",5,(IF(E617="PT",6,(IF(E617="AE",1,(IF(E617="CM",2,(IF(E617="DP",3,(IF(E617="AN",1,(IF(E617="CO",2,(IF(E617="IM",3,(IF(E617="MI",4,(IF(E617="RP",5,(IF(E617="SC",6,0)))))))))))))))))))))))))))))))))))))))</f>
        <v>1</v>
      </c>
      <c r="G617" s="170">
        <v>4</v>
      </c>
      <c r="H617" s="38" t="s">
        <v>511</v>
      </c>
      <c r="I617" s="35" t="s">
        <v>1176</v>
      </c>
      <c r="J617" s="162">
        <v>5</v>
      </c>
      <c r="K617" s="80" t="s">
        <v>1062</v>
      </c>
      <c r="L617" s="66">
        <f>IF(O617="","",N617*O617*M617)</f>
        <v>75</v>
      </c>
      <c r="M617" s="8">
        <v>1</v>
      </c>
      <c r="N617" s="3">
        <v>1</v>
      </c>
      <c r="O617" s="15">
        <f>IF(SUM(Q617:AF617)&lt;1,"",SUM(Q617:AF617)/COUNTIF(Q617:AF617,"&gt;0"))</f>
        <v>75</v>
      </c>
      <c r="P617" s="16"/>
      <c r="Q617" s="13"/>
      <c r="T617" s="4">
        <v>75</v>
      </c>
      <c r="U617" s="2"/>
      <c r="V617" s="2"/>
      <c r="W617" s="2"/>
      <c r="X617" s="2"/>
      <c r="Z617" s="2"/>
      <c r="AA617" s="2"/>
      <c r="AF617" s="14"/>
    </row>
    <row r="618" spans="1:32" s="4" customFormat="1" ht="15.75" customHeight="1" x14ac:dyDescent="0.25">
      <c r="A618" s="33" t="str">
        <f>CONCATENATE(D618,".",F618,"-",G618,".",H618,"")</f>
        <v>2.1-4.1</v>
      </c>
      <c r="B618" s="33" t="s">
        <v>814</v>
      </c>
      <c r="C618" s="39" t="s">
        <v>262</v>
      </c>
      <c r="D618" s="33">
        <f>IF(C618="ID",1,(IF(C618="PR",2,(IF(C618="DE",3,(IF(C618="RS",4,(IF(C618="RC",5,0)))))))))</f>
        <v>2</v>
      </c>
      <c r="E618" s="33" t="s">
        <v>257</v>
      </c>
      <c r="F618" s="33">
        <f>IF(E618="AM",1,(IF(E618="BE",2,(IF(E618="GV",3,(IF(E618="RA",4,(IF(E618="RM",5,(IF(E618="AC",1,(IF(E618="AT",2,(IF(E618="DS",3,(IF(E618="IP",4,(IF(E618="MA",5,(IF(E618="PT",6,(IF(E618="AE",1,(IF(E618="CM",2,(IF(E618="DP",3,(IF(E618="AN",1,(IF(E618="CO",2,(IF(E618="IM",3,(IF(E618="MI",4,(IF(E618="RP",5,(IF(E618="SC",6,0)))))))))))))))))))))))))))))))))))))))</f>
        <v>1</v>
      </c>
      <c r="G618" s="170">
        <v>4</v>
      </c>
      <c r="H618" s="38" t="s">
        <v>511</v>
      </c>
      <c r="I618" s="35" t="s">
        <v>1176</v>
      </c>
      <c r="J618" s="162">
        <v>14.4</v>
      </c>
      <c r="K618" s="80" t="s">
        <v>1122</v>
      </c>
      <c r="L618" s="66">
        <f>IF(O618="","",N618*O618*M618)</f>
        <v>75</v>
      </c>
      <c r="M618" s="8">
        <v>1</v>
      </c>
      <c r="N618" s="3">
        <v>1</v>
      </c>
      <c r="O618" s="15">
        <f>IF(SUM(Q618:AF618)&lt;1,"",SUM(Q618:AF618)/COUNTIF(Q618:AF618,"&gt;0"))</f>
        <v>75</v>
      </c>
      <c r="P618" s="16"/>
      <c r="Q618" s="13"/>
      <c r="T618" s="4">
        <v>75</v>
      </c>
      <c r="U618" s="2"/>
      <c r="V618" s="2"/>
      <c r="W618" s="2"/>
      <c r="X618" s="2"/>
      <c r="Z618" s="2"/>
      <c r="AA618" s="2"/>
      <c r="AF618" s="14"/>
    </row>
    <row r="619" spans="1:32" s="4" customFormat="1" ht="15.75" customHeight="1" x14ac:dyDescent="0.25">
      <c r="A619" s="33" t="str">
        <f>CONCATENATE(D619,".",F619,"-",G619,".",H619,"")</f>
        <v>2.1-4.1</v>
      </c>
      <c r="B619" s="33" t="s">
        <v>814</v>
      </c>
      <c r="C619" s="39" t="s">
        <v>262</v>
      </c>
      <c r="D619" s="33">
        <f>IF(C619="ID",1,(IF(C619="PR",2,(IF(C619="DE",3,(IF(C619="RS",4,(IF(C619="RC",5,0)))))))))</f>
        <v>2</v>
      </c>
      <c r="E619" s="33" t="s">
        <v>257</v>
      </c>
      <c r="F619" s="33">
        <f>IF(E619="AM",1,(IF(E619="BE",2,(IF(E619="GV",3,(IF(E619="RA",4,(IF(E619="RM",5,(IF(E619="AC",1,(IF(E619="AT",2,(IF(E619="DS",3,(IF(E619="IP",4,(IF(E619="MA",5,(IF(E619="PT",6,(IF(E619="AE",1,(IF(E619="CM",2,(IF(E619="DP",3,(IF(E619="AN",1,(IF(E619="CO",2,(IF(E619="IM",3,(IF(E619="MI",4,(IF(E619="RP",5,(IF(E619="SC",6,0)))))))))))))))))))))))))))))))))))))))</f>
        <v>1</v>
      </c>
      <c r="G619" s="170">
        <v>4</v>
      </c>
      <c r="H619" s="38" t="s">
        <v>511</v>
      </c>
      <c r="I619" s="35" t="s">
        <v>1176</v>
      </c>
      <c r="J619" s="162">
        <v>14.6</v>
      </c>
      <c r="K619" s="80" t="s">
        <v>1124</v>
      </c>
      <c r="L619" s="66">
        <f>IF(O619="","",N619*O619*M619)</f>
        <v>75</v>
      </c>
      <c r="M619" s="8">
        <v>1</v>
      </c>
      <c r="N619" s="3">
        <v>1</v>
      </c>
      <c r="O619" s="15">
        <f>IF(SUM(Q619:AF619)&lt;1,"",SUM(Q619:AF619)/COUNTIF(Q619:AF619,"&gt;0"))</f>
        <v>75</v>
      </c>
      <c r="P619" s="16"/>
      <c r="Q619" s="13"/>
      <c r="T619" s="4">
        <v>75</v>
      </c>
      <c r="U619" s="2"/>
      <c r="V619" s="2"/>
      <c r="W619" s="2"/>
      <c r="X619" s="2"/>
      <c r="Z619" s="2"/>
      <c r="AA619" s="2"/>
      <c r="AF619" s="14"/>
    </row>
    <row r="620" spans="1:32" s="4" customFormat="1" ht="15.75" customHeight="1" x14ac:dyDescent="0.25">
      <c r="A620" s="33" t="str">
        <f>CONCATENATE(D620,".",F620,"-",G620,".",H620,"")</f>
        <v>2.1-4.1</v>
      </c>
      <c r="B620" s="33" t="s">
        <v>814</v>
      </c>
      <c r="C620" s="39" t="s">
        <v>262</v>
      </c>
      <c r="D620" s="33">
        <f>IF(C620="ID",1,(IF(C620="PR",2,(IF(C620="DE",3,(IF(C620="RS",4,(IF(C620="RC",5,0)))))))))</f>
        <v>2</v>
      </c>
      <c r="E620" s="33" t="s">
        <v>257</v>
      </c>
      <c r="F620" s="33">
        <f>IF(E620="AM",1,(IF(E620="BE",2,(IF(E620="GV",3,(IF(E620="RA",4,(IF(E620="RM",5,(IF(E620="AC",1,(IF(E620="AT",2,(IF(E620="DS",3,(IF(E620="IP",4,(IF(E620="MA",5,(IF(E620="PT",6,(IF(E620="AE",1,(IF(E620="CM",2,(IF(E620="DP",3,(IF(E620="AN",1,(IF(E620="CO",2,(IF(E620="IM",3,(IF(E620="MI",4,(IF(E620="RP",5,(IF(E620="SC",6,0)))))))))))))))))))))))))))))))))))))))</f>
        <v>1</v>
      </c>
      <c r="G620" s="170">
        <v>4</v>
      </c>
      <c r="H620" s="38" t="s">
        <v>511</v>
      </c>
      <c r="I620" s="35" t="s">
        <v>1176</v>
      </c>
      <c r="J620" s="162">
        <v>16.5</v>
      </c>
      <c r="K620" s="80" t="s">
        <v>1140</v>
      </c>
      <c r="L620" s="66">
        <f>IF(O620="","",N620*O620*M620)</f>
        <v>75</v>
      </c>
      <c r="M620" s="8">
        <v>1</v>
      </c>
      <c r="N620" s="3">
        <v>1</v>
      </c>
      <c r="O620" s="15">
        <f>IF(SUM(Q620:AF620)&lt;1,"",SUM(Q620:AF620)/COUNTIF(Q620:AF620,"&gt;0"))</f>
        <v>75</v>
      </c>
      <c r="P620" s="16"/>
      <c r="Q620" s="13"/>
      <c r="T620" s="4">
        <v>75</v>
      </c>
      <c r="U620" s="2"/>
      <c r="V620" s="2"/>
      <c r="W620" s="2"/>
      <c r="X620" s="2"/>
      <c r="Z620" s="2"/>
      <c r="AA620" s="2"/>
      <c r="AF620" s="14"/>
    </row>
    <row r="621" spans="1:32" s="4" customFormat="1" ht="15.75" customHeight="1" x14ac:dyDescent="0.25">
      <c r="A621" s="33" t="str">
        <f>CONCATENATE(D621,".",F621,"-",G621,".",H621,"")</f>
        <v>2.1-4.1</v>
      </c>
      <c r="B621" s="33" t="s">
        <v>814</v>
      </c>
      <c r="C621" s="39" t="s">
        <v>262</v>
      </c>
      <c r="D621" s="33">
        <f>IF(C621="ID",1,(IF(C621="PR",2,(IF(C621="DE",3,(IF(C621="RS",4,(IF(C621="RC",5,0)))))))))</f>
        <v>2</v>
      </c>
      <c r="E621" s="33" t="s">
        <v>257</v>
      </c>
      <c r="F621" s="33">
        <f>IF(E621="AM",1,(IF(E621="BE",2,(IF(E621="GV",3,(IF(E621="RA",4,(IF(E621="RM",5,(IF(E621="AC",1,(IF(E621="AT",2,(IF(E621="DS",3,(IF(E621="IP",4,(IF(E621="MA",5,(IF(E621="PT",6,(IF(E621="AE",1,(IF(E621="CM",2,(IF(E621="DP",3,(IF(E621="AN",1,(IF(E621="CO",2,(IF(E621="IM",3,(IF(E621="MI",4,(IF(E621="RP",5,(IF(E621="SC",6,0)))))))))))))))))))))))))))))))))))))))</f>
        <v>1</v>
      </c>
      <c r="G621" s="170">
        <v>4</v>
      </c>
      <c r="H621" s="38" t="s">
        <v>511</v>
      </c>
      <c r="I621" s="35" t="s">
        <v>1176</v>
      </c>
      <c r="J621" s="162">
        <v>16.899999999999999</v>
      </c>
      <c r="K621" s="80" t="s">
        <v>1143</v>
      </c>
      <c r="L621" s="66">
        <f>IF(O621="","",N621*O621*M621)</f>
        <v>75</v>
      </c>
      <c r="M621" s="8">
        <v>1</v>
      </c>
      <c r="N621" s="3">
        <v>1</v>
      </c>
      <c r="O621" s="15">
        <f>IF(SUM(Q621:AF621)&lt;1,"",SUM(Q621:AF621)/COUNTIF(Q621:AF621,"&gt;0"))</f>
        <v>75</v>
      </c>
      <c r="P621" s="16"/>
      <c r="Q621" s="13"/>
      <c r="T621" s="4">
        <v>75</v>
      </c>
      <c r="U621" s="2"/>
      <c r="V621" s="2"/>
      <c r="W621" s="2"/>
      <c r="X621" s="2"/>
      <c r="Z621" s="2"/>
      <c r="AA621" s="2"/>
      <c r="AF621" s="14"/>
    </row>
    <row r="622" spans="1:32" s="4" customFormat="1" ht="15.75" customHeight="1" x14ac:dyDescent="0.25">
      <c r="A622" s="33" t="str">
        <f>CONCATENATE(D622,".",F622,"-",G622,".",H622,"")</f>
        <v>2.1-4.1</v>
      </c>
      <c r="B622" s="33" t="s">
        <v>814</v>
      </c>
      <c r="C622" s="39" t="s">
        <v>262</v>
      </c>
      <c r="D622" s="33">
        <f>IF(C622="ID",1,(IF(C622="PR",2,(IF(C622="DE",3,(IF(C622="RS",4,(IF(C622="RC",5,0)))))))))</f>
        <v>2</v>
      </c>
      <c r="E622" s="33" t="s">
        <v>257</v>
      </c>
      <c r="F622" s="33">
        <f>IF(E622="AM",1,(IF(E622="BE",2,(IF(E622="GV",3,(IF(E622="RA",4,(IF(E622="RM",5,(IF(E622="AC",1,(IF(E622="AT",2,(IF(E622="DS",3,(IF(E622="IP",4,(IF(E622="MA",5,(IF(E622="PT",6,(IF(E622="AE",1,(IF(E622="CM",2,(IF(E622="DP",3,(IF(E622="AN",1,(IF(E622="CO",2,(IF(E622="IM",3,(IF(E622="MI",4,(IF(E622="RP",5,(IF(E622="SC",6,0)))))))))))))))))))))))))))))))))))))))</f>
        <v>1</v>
      </c>
      <c r="G622" s="170">
        <v>4</v>
      </c>
      <c r="H622" s="38" t="s">
        <v>511</v>
      </c>
      <c r="I622" s="35" t="s">
        <v>1176</v>
      </c>
      <c r="J622" s="162">
        <v>20.2</v>
      </c>
      <c r="K622" s="80" t="s">
        <v>1170</v>
      </c>
      <c r="L622" s="66">
        <f>IF(O622="","",N622*O622*M622)</f>
        <v>75</v>
      </c>
      <c r="M622" s="8">
        <v>1</v>
      </c>
      <c r="N622" s="3">
        <v>1</v>
      </c>
      <c r="O622" s="15">
        <f>IF(SUM(Q622:AF622)&lt;1,"",SUM(Q622:AF622)/COUNTIF(Q622:AF622,"&gt;0"))</f>
        <v>75</v>
      </c>
      <c r="P622" s="16"/>
      <c r="Q622" s="13"/>
      <c r="T622" s="4">
        <v>75</v>
      </c>
      <c r="U622" s="2"/>
      <c r="V622" s="2"/>
      <c r="W622" s="2"/>
      <c r="X622" s="2"/>
      <c r="Z622" s="2"/>
      <c r="AA622" s="2"/>
      <c r="AF622" s="14"/>
    </row>
    <row r="623" spans="1:32" s="4" customFormat="1" ht="15.75" customHeight="1" x14ac:dyDescent="0.25">
      <c r="A623" s="33" t="str">
        <f>CONCATENATE(D623,".",F623,"-",G623,".",H623,"")</f>
        <v>2.1-4.1</v>
      </c>
      <c r="B623" s="33" t="s">
        <v>814</v>
      </c>
      <c r="C623" s="39" t="s">
        <v>262</v>
      </c>
      <c r="D623" s="33">
        <f>IF(C623="ID",1,(IF(C623="PR",2,(IF(C623="DE",3,(IF(C623="RS",4,(IF(C623="RC",5,0)))))))))</f>
        <v>2</v>
      </c>
      <c r="E623" s="33" t="s">
        <v>257</v>
      </c>
      <c r="F623" s="33">
        <f>IF(E623="AM",1,(IF(E623="BE",2,(IF(E623="GV",3,(IF(E623="RA",4,(IF(E623="RM",5,(IF(E623="AC",1,(IF(E623="AT",2,(IF(E623="DS",3,(IF(E623="IP",4,(IF(E623="MA",5,(IF(E623="PT",6,(IF(E623="AE",1,(IF(E623="CM",2,(IF(E623="DP",3,(IF(E623="AN",1,(IF(E623="CO",2,(IF(E623="IM",3,(IF(E623="MI",4,(IF(E623="RP",5,(IF(E623="SC",6,0)))))))))))))))))))))))))))))))))))))))</f>
        <v>1</v>
      </c>
      <c r="G623" s="170">
        <v>4</v>
      </c>
      <c r="H623" s="38" t="s">
        <v>511</v>
      </c>
      <c r="I623" s="105" t="s">
        <v>821</v>
      </c>
      <c r="J623" s="150" t="s">
        <v>204</v>
      </c>
      <c r="K623" s="79" t="s">
        <v>1283</v>
      </c>
      <c r="L623" s="66">
        <f>IF(O623="","",N623*O623*M623)</f>
        <v>75</v>
      </c>
      <c r="M623" s="8">
        <v>1</v>
      </c>
      <c r="N623" s="3">
        <v>1</v>
      </c>
      <c r="O623" s="15">
        <f>IF(SUM(Q623:AF623)&lt;1,"",SUM(Q623:AF623)/COUNTIF(Q623:AF623,"&gt;0"))</f>
        <v>75</v>
      </c>
      <c r="P623" s="16"/>
      <c r="Q623" s="13"/>
      <c r="T623" s="4">
        <v>75</v>
      </c>
      <c r="U623" s="2"/>
      <c r="V623" s="2"/>
      <c r="W623" s="2"/>
      <c r="X623" s="2"/>
      <c r="Z623" s="2"/>
      <c r="AA623" s="2"/>
      <c r="AF623" s="14"/>
    </row>
    <row r="624" spans="1:32" s="4" customFormat="1" ht="15.75" customHeight="1" x14ac:dyDescent="0.25">
      <c r="A624" s="33" t="str">
        <f>CONCATENATE(D624,".",F624,"-",G624,".",H624,"")</f>
        <v>2.1-4.1</v>
      </c>
      <c r="B624" s="33" t="s">
        <v>814</v>
      </c>
      <c r="C624" s="39" t="s">
        <v>262</v>
      </c>
      <c r="D624" s="33">
        <f>IF(C624="ID",1,(IF(C624="PR",2,(IF(C624="DE",3,(IF(C624="RS",4,(IF(C624="RC",5,0)))))))))</f>
        <v>2</v>
      </c>
      <c r="E624" s="33" t="s">
        <v>257</v>
      </c>
      <c r="F624" s="33">
        <f>IF(E624="AM",1,(IF(E624="BE",2,(IF(E624="GV",3,(IF(E624="RA",4,(IF(E624="RM",5,(IF(E624="AC",1,(IF(E624="AT",2,(IF(E624="DS",3,(IF(E624="IP",4,(IF(E624="MA",5,(IF(E624="PT",6,(IF(E624="AE",1,(IF(E624="CM",2,(IF(E624="DP",3,(IF(E624="AN",1,(IF(E624="CO",2,(IF(E624="IM",3,(IF(E624="MI",4,(IF(E624="RP",5,(IF(E624="SC",6,0)))))))))))))))))))))))))))))))))))))))</f>
        <v>1</v>
      </c>
      <c r="G624" s="170">
        <v>4</v>
      </c>
      <c r="H624" s="38" t="s">
        <v>511</v>
      </c>
      <c r="I624" s="105" t="s">
        <v>821</v>
      </c>
      <c r="J624" s="150" t="s">
        <v>221</v>
      </c>
      <c r="K624" s="79" t="s">
        <v>1283</v>
      </c>
      <c r="L624" s="66">
        <f>IF(O624="","",N624*O624*M624)</f>
        <v>75</v>
      </c>
      <c r="M624" s="8">
        <v>1</v>
      </c>
      <c r="N624" s="3">
        <v>1</v>
      </c>
      <c r="O624" s="15">
        <f>IF(SUM(Q624:AF624)&lt;1,"",SUM(Q624:AF624)/COUNTIF(Q624:AF624,"&gt;0"))</f>
        <v>75</v>
      </c>
      <c r="P624" s="16"/>
      <c r="Q624" s="13"/>
      <c r="T624" s="4">
        <v>75</v>
      </c>
      <c r="U624" s="2"/>
      <c r="V624" s="2"/>
      <c r="W624" s="2"/>
      <c r="X624" s="2"/>
      <c r="Z624" s="2"/>
      <c r="AA624" s="2"/>
      <c r="AF624" s="14"/>
    </row>
    <row r="625" spans="1:32" s="4" customFormat="1" ht="15.75" customHeight="1" x14ac:dyDescent="0.25">
      <c r="A625" s="33" t="str">
        <f>CONCATENATE(D625,".",F625,"-",G625,".",H625,"")</f>
        <v>2.1-4.1</v>
      </c>
      <c r="B625" s="33" t="s">
        <v>814</v>
      </c>
      <c r="C625" s="39" t="s">
        <v>262</v>
      </c>
      <c r="D625" s="33">
        <f>IF(C625="ID",1,(IF(C625="PR",2,(IF(C625="DE",3,(IF(C625="RS",4,(IF(C625="RC",5,0)))))))))</f>
        <v>2</v>
      </c>
      <c r="E625" s="33" t="s">
        <v>257</v>
      </c>
      <c r="F625" s="33">
        <f>IF(E625="AM",1,(IF(E625="BE",2,(IF(E625="GV",3,(IF(E625="RA",4,(IF(E625="RM",5,(IF(E625="AC",1,(IF(E625="AT",2,(IF(E625="DS",3,(IF(E625="IP",4,(IF(E625="MA",5,(IF(E625="PT",6,(IF(E625="AE",1,(IF(E625="CM",2,(IF(E625="DP",3,(IF(E625="AN",1,(IF(E625="CO",2,(IF(E625="IM",3,(IF(E625="MI",4,(IF(E625="RP",5,(IF(E625="SC",6,0)))))))))))))))))))))))))))))))))))))))</f>
        <v>1</v>
      </c>
      <c r="G625" s="170">
        <v>4</v>
      </c>
      <c r="H625" s="38" t="s">
        <v>511</v>
      </c>
      <c r="I625" s="105" t="s">
        <v>821</v>
      </c>
      <c r="J625" s="150" t="s">
        <v>25</v>
      </c>
      <c r="K625" s="79" t="s">
        <v>1283</v>
      </c>
      <c r="L625" s="66">
        <f>IF(O625="","",N625*O625*M625)</f>
        <v>75</v>
      </c>
      <c r="M625" s="8">
        <v>1</v>
      </c>
      <c r="N625" s="3">
        <v>1</v>
      </c>
      <c r="O625" s="15">
        <f>IF(SUM(Q625:AF625)&lt;1,"",SUM(Q625:AF625)/COUNTIF(Q625:AF625,"&gt;0"))</f>
        <v>75</v>
      </c>
      <c r="P625" s="16"/>
      <c r="Q625" s="13"/>
      <c r="T625" s="4">
        <v>75</v>
      </c>
      <c r="U625" s="2"/>
      <c r="V625" s="2"/>
      <c r="W625" s="2"/>
      <c r="X625" s="2"/>
      <c r="Z625" s="2"/>
      <c r="AA625" s="2"/>
      <c r="AF625" s="14"/>
    </row>
    <row r="626" spans="1:32" s="4" customFormat="1" ht="15.75" customHeight="1" x14ac:dyDescent="0.25">
      <c r="A626" s="33" t="str">
        <f>CONCATENATE(D626,".",F626,"-",G626,".",H626,"")</f>
        <v>2.1-4.1</v>
      </c>
      <c r="B626" s="33" t="s">
        <v>814</v>
      </c>
      <c r="C626" s="39" t="s">
        <v>262</v>
      </c>
      <c r="D626" s="33">
        <f>IF(C626="ID",1,(IF(C626="PR",2,(IF(C626="DE",3,(IF(C626="RS",4,(IF(C626="RC",5,0)))))))))</f>
        <v>2</v>
      </c>
      <c r="E626" s="33" t="s">
        <v>257</v>
      </c>
      <c r="F626" s="33">
        <f>IF(E626="AM",1,(IF(E626="BE",2,(IF(E626="GV",3,(IF(E626="RA",4,(IF(E626="RM",5,(IF(E626="AC",1,(IF(E626="AT",2,(IF(E626="DS",3,(IF(E626="IP",4,(IF(E626="MA",5,(IF(E626="PT",6,(IF(E626="AE",1,(IF(E626="CM",2,(IF(E626="DP",3,(IF(E626="AN",1,(IF(E626="CO",2,(IF(E626="IM",3,(IF(E626="MI",4,(IF(E626="RP",5,(IF(E626="SC",6,0)))))))))))))))))))))))))))))))))))))))</f>
        <v>1</v>
      </c>
      <c r="G626" s="170">
        <v>4</v>
      </c>
      <c r="H626" s="38" t="s">
        <v>511</v>
      </c>
      <c r="I626" s="105" t="s">
        <v>821</v>
      </c>
      <c r="J626" s="150" t="s">
        <v>236</v>
      </c>
      <c r="K626" s="79" t="s">
        <v>1283</v>
      </c>
      <c r="L626" s="66">
        <f>IF(O626="","",N626*O626*M626)</f>
        <v>75</v>
      </c>
      <c r="M626" s="8">
        <v>1</v>
      </c>
      <c r="N626" s="3">
        <v>1</v>
      </c>
      <c r="O626" s="15">
        <f>IF(SUM(Q626:AF626)&lt;1,"",SUM(Q626:AF626)/COUNTIF(Q626:AF626,"&gt;0"))</f>
        <v>75</v>
      </c>
      <c r="P626" s="16"/>
      <c r="Q626" s="13"/>
      <c r="T626" s="4">
        <v>75</v>
      </c>
      <c r="U626" s="2"/>
      <c r="V626" s="2"/>
      <c r="W626" s="2"/>
      <c r="X626" s="2"/>
      <c r="Z626" s="2"/>
      <c r="AA626" s="2"/>
      <c r="AF626" s="14"/>
    </row>
    <row r="627" spans="1:32" s="4" customFormat="1" ht="15.75" customHeight="1" x14ac:dyDescent="0.25">
      <c r="A627" s="33" t="str">
        <f>CONCATENATE(D627,".",F627,"-",G627,".",H627,"")</f>
        <v>2.1-4.1</v>
      </c>
      <c r="B627" s="33" t="s">
        <v>814</v>
      </c>
      <c r="C627" s="40" t="s">
        <v>262</v>
      </c>
      <c r="D627" s="33">
        <f>IF(C627="ID",1,(IF(C627="PR",2,(IF(C627="DE",3,(IF(C627="RS",4,(IF(C627="RC",5,0)))))))))</f>
        <v>2</v>
      </c>
      <c r="E627" s="33" t="s">
        <v>257</v>
      </c>
      <c r="F627" s="33">
        <f>IF(E627="AM",1,(IF(E627="BE",2,(IF(E627="GV",3,(IF(E627="RA",4,(IF(E627="RM",5,(IF(E627="AC",1,(IF(E627="AT",2,(IF(E627="DS",3,(IF(E627="IP",4,(IF(E627="MA",5,(IF(E627="PT",6,(IF(E627="AE",1,(IF(E627="CM",2,(IF(E627="DP",3,(IF(E627="AN",1,(IF(E627="CO",2,(IF(E627="IM",3,(IF(E627="MI",4,(IF(E627="RP",5,(IF(E627="SC",6,0)))))))))))))))))))))))))))))))))))))))</f>
        <v>1</v>
      </c>
      <c r="G627" s="171">
        <v>4</v>
      </c>
      <c r="H627" s="38" t="s">
        <v>511</v>
      </c>
      <c r="I627" s="27" t="s">
        <v>936</v>
      </c>
      <c r="J627" s="163" t="s">
        <v>914</v>
      </c>
      <c r="K627" s="4" t="s">
        <v>977</v>
      </c>
      <c r="L627" s="66">
        <f>IF(O627="","",N627*O627*M627)</f>
        <v>75</v>
      </c>
      <c r="M627" s="8">
        <v>1</v>
      </c>
      <c r="N627" s="3">
        <v>1</v>
      </c>
      <c r="O627" s="15">
        <f>IF(SUM(Q627:AF627)&lt;1,"",SUM(Q627:AF627)/COUNTIF(Q627:AF627,"&gt;0"))</f>
        <v>75</v>
      </c>
      <c r="P627" s="16"/>
      <c r="Q627" s="13"/>
      <c r="T627" s="4">
        <v>75</v>
      </c>
      <c r="U627" s="2"/>
      <c r="V627" s="2"/>
      <c r="W627" s="2"/>
      <c r="X627" s="2"/>
      <c r="Z627" s="2"/>
      <c r="AA627" s="2"/>
      <c r="AF627" s="14"/>
    </row>
    <row r="628" spans="1:32" s="4" customFormat="1" ht="15.75" customHeight="1" x14ac:dyDescent="0.25">
      <c r="A628" s="33" t="str">
        <f>CONCATENATE(D628,".",F628,"-",G628,".",H628,"")</f>
        <v>2.1-4.1</v>
      </c>
      <c r="B628" s="33" t="s">
        <v>814</v>
      </c>
      <c r="C628" s="40" t="s">
        <v>262</v>
      </c>
      <c r="D628" s="33">
        <f>IF(C628="ID",1,(IF(C628="PR",2,(IF(C628="DE",3,(IF(C628="RS",4,(IF(C628="RC",5,0)))))))))</f>
        <v>2</v>
      </c>
      <c r="E628" s="33" t="s">
        <v>257</v>
      </c>
      <c r="F628" s="33">
        <f>IF(E628="AM",1,(IF(E628="BE",2,(IF(E628="GV",3,(IF(E628="RA",4,(IF(E628="RM",5,(IF(E628="AC",1,(IF(E628="AT",2,(IF(E628="DS",3,(IF(E628="IP",4,(IF(E628="MA",5,(IF(E628="PT",6,(IF(E628="AE",1,(IF(E628="CM",2,(IF(E628="DP",3,(IF(E628="AN",1,(IF(E628="CO",2,(IF(E628="IM",3,(IF(E628="MI",4,(IF(E628="RP",5,(IF(E628="SC",6,0)))))))))))))))))))))))))))))))))))))))</f>
        <v>1</v>
      </c>
      <c r="G628" s="171">
        <v>4</v>
      </c>
      <c r="H628" s="38" t="s">
        <v>511</v>
      </c>
      <c r="I628" s="27" t="s">
        <v>936</v>
      </c>
      <c r="J628" s="163" t="s">
        <v>868</v>
      </c>
      <c r="K628" s="34" t="s">
        <v>978</v>
      </c>
      <c r="L628" s="66">
        <f>IF(O628="","",N628*O628*M628)</f>
        <v>75</v>
      </c>
      <c r="M628" s="8">
        <v>1</v>
      </c>
      <c r="N628" s="3">
        <v>1</v>
      </c>
      <c r="O628" s="15">
        <f>IF(SUM(Q628:AF628)&lt;1,"",SUM(Q628:AF628)/COUNTIF(Q628:AF628,"&gt;0"))</f>
        <v>75</v>
      </c>
      <c r="P628" s="16"/>
      <c r="Q628" s="13"/>
      <c r="T628" s="4">
        <v>75</v>
      </c>
      <c r="U628" s="2"/>
      <c r="V628" s="2"/>
      <c r="W628" s="2"/>
      <c r="X628" s="2"/>
      <c r="Z628" s="2"/>
      <c r="AA628" s="2"/>
      <c r="AF628" s="14"/>
    </row>
    <row r="629" spans="1:32" s="4" customFormat="1" ht="15.75" customHeight="1" x14ac:dyDescent="0.25">
      <c r="A629" s="33" t="str">
        <f>CONCATENATE(D629,".",F629,"-",G629,".",H629,"")</f>
        <v>2.1-4.1</v>
      </c>
      <c r="B629" s="33" t="s">
        <v>814</v>
      </c>
      <c r="C629" s="40" t="s">
        <v>262</v>
      </c>
      <c r="D629" s="33">
        <f>IF(C629="ID",1,(IF(C629="PR",2,(IF(C629="DE",3,(IF(C629="RS",4,(IF(C629="RC",5,0)))))))))</f>
        <v>2</v>
      </c>
      <c r="E629" s="33" t="s">
        <v>257</v>
      </c>
      <c r="F629" s="33">
        <f>IF(E629="AM",1,(IF(E629="BE",2,(IF(E629="GV",3,(IF(E629="RA",4,(IF(E629="RM",5,(IF(E629="AC",1,(IF(E629="AT",2,(IF(E629="DS",3,(IF(E629="IP",4,(IF(E629="MA",5,(IF(E629="PT",6,(IF(E629="AE",1,(IF(E629="CM",2,(IF(E629="DP",3,(IF(E629="AN",1,(IF(E629="CO",2,(IF(E629="IM",3,(IF(E629="MI",4,(IF(E629="RP",5,(IF(E629="SC",6,0)))))))))))))))))))))))))))))))))))))))</f>
        <v>1</v>
      </c>
      <c r="G629" s="171">
        <v>4</v>
      </c>
      <c r="H629" s="38" t="s">
        <v>511</v>
      </c>
      <c r="I629" s="27" t="s">
        <v>936</v>
      </c>
      <c r="J629" s="163" t="s">
        <v>897</v>
      </c>
      <c r="K629" s="34" t="s">
        <v>979</v>
      </c>
      <c r="L629" s="66">
        <f>IF(O629="","",N629*O629*M629)</f>
        <v>75</v>
      </c>
      <c r="M629" s="8">
        <v>1</v>
      </c>
      <c r="N629" s="3">
        <v>1</v>
      </c>
      <c r="O629" s="15">
        <f>IF(SUM(Q629:AF629)&lt;1,"",SUM(Q629:AF629)/COUNTIF(Q629:AF629,"&gt;0"))</f>
        <v>75</v>
      </c>
      <c r="P629" s="16"/>
      <c r="Q629" s="13"/>
      <c r="T629" s="4">
        <v>75</v>
      </c>
      <c r="U629" s="2"/>
      <c r="V629" s="2"/>
      <c r="W629" s="2"/>
      <c r="X629" s="2"/>
      <c r="Z629" s="2"/>
      <c r="AA629" s="2"/>
      <c r="AF629" s="14"/>
    </row>
    <row r="630" spans="1:32" s="4" customFormat="1" ht="15.75" customHeight="1" x14ac:dyDescent="0.25">
      <c r="A630" s="33" t="str">
        <f>CONCATENATE(D630,".",F630,"-",G630,".",H630,"")</f>
        <v>2.1-4.1</v>
      </c>
      <c r="B630" s="33" t="s">
        <v>814</v>
      </c>
      <c r="C630" s="40" t="s">
        <v>262</v>
      </c>
      <c r="D630" s="33">
        <f>IF(C630="ID",1,(IF(C630="PR",2,(IF(C630="DE",3,(IF(C630="RS",4,(IF(C630="RC",5,0)))))))))</f>
        <v>2</v>
      </c>
      <c r="E630" s="33" t="s">
        <v>257</v>
      </c>
      <c r="F630" s="33">
        <f>IF(E630="AM",1,(IF(E630="BE",2,(IF(E630="GV",3,(IF(E630="RA",4,(IF(E630="RM",5,(IF(E630="AC",1,(IF(E630="AT",2,(IF(E630="DS",3,(IF(E630="IP",4,(IF(E630="MA",5,(IF(E630="PT",6,(IF(E630="AE",1,(IF(E630="CM",2,(IF(E630="DP",3,(IF(E630="AN",1,(IF(E630="CO",2,(IF(E630="IM",3,(IF(E630="MI",4,(IF(E630="RP",5,(IF(E630="SC",6,0)))))))))))))))))))))))))))))))))))))))</f>
        <v>1</v>
      </c>
      <c r="G630" s="171">
        <v>4</v>
      </c>
      <c r="H630" s="38" t="s">
        <v>511</v>
      </c>
      <c r="I630" s="27" t="s">
        <v>936</v>
      </c>
      <c r="J630" s="163" t="s">
        <v>901</v>
      </c>
      <c r="K630" s="34" t="s">
        <v>984</v>
      </c>
      <c r="L630" s="66">
        <f>IF(O630="","",N630*O630*M630)</f>
        <v>75</v>
      </c>
      <c r="M630" s="8">
        <v>1</v>
      </c>
      <c r="N630" s="3">
        <v>1</v>
      </c>
      <c r="O630" s="15">
        <f>IF(SUM(Q630:AF630)&lt;1,"",SUM(Q630:AF630)/COUNTIF(Q630:AF630,"&gt;0"))</f>
        <v>75</v>
      </c>
      <c r="P630" s="16"/>
      <c r="Q630" s="13"/>
      <c r="T630" s="4">
        <v>75</v>
      </c>
      <c r="U630" s="2"/>
      <c r="V630" s="2"/>
      <c r="W630" s="2"/>
      <c r="X630" s="2"/>
      <c r="Z630" s="2"/>
      <c r="AA630" s="2"/>
      <c r="AF630" s="14"/>
    </row>
    <row r="631" spans="1:32" s="4" customFormat="1" ht="15.75" customHeight="1" x14ac:dyDescent="0.25">
      <c r="A631" s="33" t="str">
        <f>CONCATENATE(D631,".",F631,"-",G631,".",H631,"")</f>
        <v>2.1-4.1</v>
      </c>
      <c r="B631" s="33" t="s">
        <v>814</v>
      </c>
      <c r="C631" s="40" t="s">
        <v>262</v>
      </c>
      <c r="D631" s="33">
        <f>IF(C631="ID",1,(IF(C631="PR",2,(IF(C631="DE",3,(IF(C631="RS",4,(IF(C631="RC",5,0)))))))))</f>
        <v>2</v>
      </c>
      <c r="E631" s="33" t="s">
        <v>257</v>
      </c>
      <c r="F631" s="33">
        <f>IF(E631="AM",1,(IF(E631="BE",2,(IF(E631="GV",3,(IF(E631="RA",4,(IF(E631="RM",5,(IF(E631="AC",1,(IF(E631="AT",2,(IF(E631="DS",3,(IF(E631="IP",4,(IF(E631="MA",5,(IF(E631="PT",6,(IF(E631="AE",1,(IF(E631="CM",2,(IF(E631="DP",3,(IF(E631="AN",1,(IF(E631="CO",2,(IF(E631="IM",3,(IF(E631="MI",4,(IF(E631="RP",5,(IF(E631="SC",6,0)))))))))))))))))))))))))))))))))))))))</f>
        <v>1</v>
      </c>
      <c r="G631" s="171">
        <v>4</v>
      </c>
      <c r="H631" s="38" t="s">
        <v>511</v>
      </c>
      <c r="I631" s="27" t="s">
        <v>936</v>
      </c>
      <c r="J631" s="163" t="s">
        <v>887</v>
      </c>
      <c r="K631" s="34" t="s">
        <v>996</v>
      </c>
      <c r="L631" s="66">
        <f>IF(O631="","",N631*O631*M631)</f>
        <v>75</v>
      </c>
      <c r="M631" s="8">
        <v>1</v>
      </c>
      <c r="N631" s="3">
        <v>1</v>
      </c>
      <c r="O631" s="15">
        <f>IF(SUM(Q631:AF631)&lt;1,"",SUM(Q631:AF631)/COUNTIF(Q631:AF631,"&gt;0"))</f>
        <v>75</v>
      </c>
      <c r="P631" s="16"/>
      <c r="Q631" s="13"/>
      <c r="T631" s="4">
        <v>75</v>
      </c>
      <c r="U631" s="2"/>
      <c r="V631" s="2"/>
      <c r="W631" s="2"/>
      <c r="X631" s="2"/>
      <c r="Z631" s="2"/>
      <c r="AA631" s="2"/>
      <c r="AF631" s="14"/>
    </row>
    <row r="632" spans="1:32" s="4" customFormat="1" ht="15.75" customHeight="1" x14ac:dyDescent="0.25">
      <c r="A632" s="33" t="str">
        <f>CONCATENATE(D632,".",F632,"-",G632,".",H632,"")</f>
        <v>2.1-4.1</v>
      </c>
      <c r="B632" s="33" t="s">
        <v>814</v>
      </c>
      <c r="C632" s="40" t="s">
        <v>262</v>
      </c>
      <c r="D632" s="33">
        <f>IF(C632="ID",1,(IF(C632="PR",2,(IF(C632="DE",3,(IF(C632="RS",4,(IF(C632="RC",5,0)))))))))</f>
        <v>2</v>
      </c>
      <c r="E632" s="33" t="s">
        <v>257</v>
      </c>
      <c r="F632" s="33">
        <f>IF(E632="AM",1,(IF(E632="BE",2,(IF(E632="GV",3,(IF(E632="RA",4,(IF(E632="RM",5,(IF(E632="AC",1,(IF(E632="AT",2,(IF(E632="DS",3,(IF(E632="IP",4,(IF(E632="MA",5,(IF(E632="PT",6,(IF(E632="AE",1,(IF(E632="CM",2,(IF(E632="DP",3,(IF(E632="AN",1,(IF(E632="CO",2,(IF(E632="IM",3,(IF(E632="MI",4,(IF(E632="RP",5,(IF(E632="SC",6,0)))))))))))))))))))))))))))))))))))))))</f>
        <v>1</v>
      </c>
      <c r="G632" s="171">
        <v>4</v>
      </c>
      <c r="H632" s="38" t="s">
        <v>511</v>
      </c>
      <c r="I632" s="27" t="s">
        <v>936</v>
      </c>
      <c r="J632" s="163" t="s">
        <v>893</v>
      </c>
      <c r="K632" s="34" t="s">
        <v>939</v>
      </c>
      <c r="L632" s="66">
        <f>IF(O632="","",N632*O632*M632)</f>
        <v>75</v>
      </c>
      <c r="M632" s="8">
        <v>1</v>
      </c>
      <c r="N632" s="3">
        <v>1</v>
      </c>
      <c r="O632" s="15">
        <f>IF(SUM(Q632:AF632)&lt;1,"",SUM(Q632:AF632)/COUNTIF(Q632:AF632,"&gt;0"))</f>
        <v>75</v>
      </c>
      <c r="P632" s="16"/>
      <c r="Q632" s="13"/>
      <c r="T632" s="4">
        <v>75</v>
      </c>
      <c r="U632" s="2"/>
      <c r="V632" s="2"/>
      <c r="W632" s="2"/>
      <c r="X632" s="2"/>
      <c r="Z632" s="2"/>
      <c r="AA632" s="2"/>
      <c r="AF632" s="14"/>
    </row>
    <row r="633" spans="1:32" s="4" customFormat="1" ht="15.75" customHeight="1" x14ac:dyDescent="0.25">
      <c r="A633" s="33" t="str">
        <f>CONCATENATE(D633,".",F633,"-",G633,".",H633,"")</f>
        <v>2.1-4.1</v>
      </c>
      <c r="B633" s="33" t="s">
        <v>814</v>
      </c>
      <c r="C633" s="40" t="s">
        <v>262</v>
      </c>
      <c r="D633" s="33">
        <f>IF(C633="ID",1,(IF(C633="PR",2,(IF(C633="DE",3,(IF(C633="RS",4,(IF(C633="RC",5,0)))))))))</f>
        <v>2</v>
      </c>
      <c r="E633" s="33" t="s">
        <v>257</v>
      </c>
      <c r="F633" s="33">
        <f>IF(E633="AM",1,(IF(E633="BE",2,(IF(E633="GV",3,(IF(E633="RA",4,(IF(E633="RM",5,(IF(E633="AC",1,(IF(E633="AT",2,(IF(E633="DS",3,(IF(E633="IP",4,(IF(E633="MA",5,(IF(E633="PT",6,(IF(E633="AE",1,(IF(E633="CM",2,(IF(E633="DP",3,(IF(E633="AN",1,(IF(E633="CO",2,(IF(E633="IM",3,(IF(E633="MI",4,(IF(E633="RP",5,(IF(E633="SC",6,0)))))))))))))))))))))))))))))))))))))))</f>
        <v>1</v>
      </c>
      <c r="G633" s="171">
        <v>4</v>
      </c>
      <c r="H633" s="38" t="s">
        <v>511</v>
      </c>
      <c r="I633" s="27" t="s">
        <v>936</v>
      </c>
      <c r="J633" s="163" t="s">
        <v>888</v>
      </c>
      <c r="K633" s="34" t="s">
        <v>949</v>
      </c>
      <c r="L633" s="66">
        <f>IF(O633="","",N633*O633*M633)</f>
        <v>75</v>
      </c>
      <c r="M633" s="8">
        <v>1</v>
      </c>
      <c r="N633" s="3">
        <v>1</v>
      </c>
      <c r="O633" s="15">
        <f>IF(SUM(Q633:AF633)&lt;1,"",SUM(Q633:AF633)/COUNTIF(Q633:AF633,"&gt;0"))</f>
        <v>75</v>
      </c>
      <c r="P633" s="16"/>
      <c r="Q633" s="13"/>
      <c r="T633" s="4">
        <v>75</v>
      </c>
      <c r="U633" s="2"/>
      <c r="V633" s="2"/>
      <c r="W633" s="2"/>
      <c r="X633" s="2"/>
      <c r="Z633" s="2"/>
      <c r="AA633" s="2"/>
      <c r="AF633" s="14"/>
    </row>
    <row r="634" spans="1:32" s="4" customFormat="1" ht="15.75" customHeight="1" x14ac:dyDescent="0.25">
      <c r="A634" s="33" t="str">
        <f>CONCATENATE(D634,".",F634,"-",G634,".",H634,"")</f>
        <v>2.1-4.1</v>
      </c>
      <c r="B634" s="33" t="s">
        <v>814</v>
      </c>
      <c r="C634" s="40" t="s">
        <v>262</v>
      </c>
      <c r="D634" s="33">
        <f>IF(C634="ID",1,(IF(C634="PR",2,(IF(C634="DE",3,(IF(C634="RS",4,(IF(C634="RC",5,0)))))))))</f>
        <v>2</v>
      </c>
      <c r="E634" s="33" t="s">
        <v>257</v>
      </c>
      <c r="F634" s="33">
        <f>IF(E634="AM",1,(IF(E634="BE",2,(IF(E634="GV",3,(IF(E634="RA",4,(IF(E634="RM",5,(IF(E634="AC",1,(IF(E634="AT",2,(IF(E634="DS",3,(IF(E634="IP",4,(IF(E634="MA",5,(IF(E634="PT",6,(IF(E634="AE",1,(IF(E634="CM",2,(IF(E634="DP",3,(IF(E634="AN",1,(IF(E634="CO",2,(IF(E634="IM",3,(IF(E634="MI",4,(IF(E634="RP",5,(IF(E634="SC",6,0)))))))))))))))))))))))))))))))))))))))</f>
        <v>1</v>
      </c>
      <c r="G634" s="171">
        <v>4</v>
      </c>
      <c r="H634" s="38" t="s">
        <v>511</v>
      </c>
      <c r="I634" s="27" t="s">
        <v>936</v>
      </c>
      <c r="J634" s="163" t="s">
        <v>903</v>
      </c>
      <c r="K634" s="34" t="s">
        <v>952</v>
      </c>
      <c r="L634" s="66">
        <f>IF(O634="","",N634*O634*M634)</f>
        <v>75</v>
      </c>
      <c r="M634" s="8">
        <v>1</v>
      </c>
      <c r="N634" s="3">
        <v>1</v>
      </c>
      <c r="O634" s="15">
        <f>IF(SUM(Q634:AF634)&lt;1,"",SUM(Q634:AF634)/COUNTIF(Q634:AF634,"&gt;0"))</f>
        <v>75</v>
      </c>
      <c r="P634" s="16"/>
      <c r="Q634" s="13"/>
      <c r="T634" s="4">
        <v>75</v>
      </c>
      <c r="U634" s="2"/>
      <c r="V634" s="2"/>
      <c r="W634" s="2"/>
      <c r="X634" s="2"/>
      <c r="Z634" s="2"/>
      <c r="AA634" s="2"/>
      <c r="AF634" s="14"/>
    </row>
    <row r="635" spans="1:32" s="4" customFormat="1" ht="15.75" customHeight="1" x14ac:dyDescent="0.25">
      <c r="A635" s="33" t="str">
        <f>CONCATENATE(D635,".",F635,"-",G635,".",H635,"")</f>
        <v>2.1-4.1</v>
      </c>
      <c r="B635" s="33" t="s">
        <v>814</v>
      </c>
      <c r="C635" s="40" t="s">
        <v>262</v>
      </c>
      <c r="D635" s="33">
        <f>IF(C635="ID",1,(IF(C635="PR",2,(IF(C635="DE",3,(IF(C635="RS",4,(IF(C635="RC",5,0)))))))))</f>
        <v>2</v>
      </c>
      <c r="E635" s="33" t="s">
        <v>257</v>
      </c>
      <c r="F635" s="33">
        <f>IF(E635="AM",1,(IF(E635="BE",2,(IF(E635="GV",3,(IF(E635="RA",4,(IF(E635="RM",5,(IF(E635="AC",1,(IF(E635="AT",2,(IF(E635="DS",3,(IF(E635="IP",4,(IF(E635="MA",5,(IF(E635="PT",6,(IF(E635="AE",1,(IF(E635="CM",2,(IF(E635="DP",3,(IF(E635="AN",1,(IF(E635="CO",2,(IF(E635="IM",3,(IF(E635="MI",4,(IF(E635="RP",5,(IF(E635="SC",6,0)))))))))))))))))))))))))))))))))))))))</f>
        <v>1</v>
      </c>
      <c r="G635" s="171">
        <v>4</v>
      </c>
      <c r="H635" s="38" t="s">
        <v>511</v>
      </c>
      <c r="I635" s="27" t="s">
        <v>936</v>
      </c>
      <c r="J635" s="163" t="s">
        <v>1016</v>
      </c>
      <c r="K635" s="34" t="s">
        <v>1018</v>
      </c>
      <c r="L635" s="66">
        <f>IF(O635="","",N635*O635*M635)</f>
        <v>75</v>
      </c>
      <c r="M635" s="8">
        <v>1</v>
      </c>
      <c r="N635" s="3">
        <v>1</v>
      </c>
      <c r="O635" s="15">
        <f>IF(SUM(Q635:AF635)&lt;1,"",SUM(Q635:AF635)/COUNTIF(Q635:AF635,"&gt;0"))</f>
        <v>75</v>
      </c>
      <c r="P635" s="16"/>
      <c r="Q635" s="13"/>
      <c r="T635" s="4">
        <v>75</v>
      </c>
      <c r="U635" s="2"/>
      <c r="V635" s="2"/>
      <c r="W635" s="2"/>
      <c r="X635" s="2"/>
      <c r="Z635" s="2"/>
      <c r="AA635" s="2"/>
      <c r="AF635" s="14"/>
    </row>
    <row r="636" spans="1:32" s="4" customFormat="1" ht="15.75" customHeight="1" x14ac:dyDescent="0.25">
      <c r="A636" s="33" t="str">
        <f>CONCATENATE(D636,".",F636,"-",G636,".",H636,"")</f>
        <v>2.1-4.1</v>
      </c>
      <c r="B636" s="33" t="s">
        <v>814</v>
      </c>
      <c r="C636" s="39" t="s">
        <v>262</v>
      </c>
      <c r="D636" s="33">
        <f>IF(C636="ID",1,(IF(C636="PR",2,(IF(C636="DE",3,(IF(C636="RS",4,(IF(C636="RC",5,0)))))))))</f>
        <v>2</v>
      </c>
      <c r="E636" s="33" t="s">
        <v>257</v>
      </c>
      <c r="F636" s="33">
        <f>IF(E636="AM",1,(IF(E636="BE",2,(IF(E636="GV",3,(IF(E636="RA",4,(IF(E636="RM",5,(IF(E636="AC",1,(IF(E636="AT",2,(IF(E636="DS",3,(IF(E636="IP",4,(IF(E636="MA",5,(IF(E636="PT",6,(IF(E636="AE",1,(IF(E636="CM",2,(IF(E636="DP",3,(IF(E636="AN",1,(IF(E636="CO",2,(IF(E636="IM",3,(IF(E636="MI",4,(IF(E636="RP",5,(IF(E636="SC",6,0)))))))))))))))))))))))))))))))))))))))</f>
        <v>1</v>
      </c>
      <c r="G636" s="171">
        <v>4</v>
      </c>
      <c r="H636" s="38" t="s">
        <v>511</v>
      </c>
      <c r="I636" s="105" t="s">
        <v>821</v>
      </c>
      <c r="J636" s="149" t="s">
        <v>88</v>
      </c>
      <c r="K636" s="79" t="s">
        <v>1283</v>
      </c>
      <c r="L636" s="66">
        <f>IF(O636="","",N636*O636*M636)</f>
        <v>75</v>
      </c>
      <c r="M636" s="8">
        <v>1</v>
      </c>
      <c r="N636" s="1">
        <v>1</v>
      </c>
      <c r="O636" s="15">
        <f>IF(SUM(Q636:AF636)&lt;1,"",SUM(Q636:AF636)/COUNTIF(Q636:AF636,"&gt;0"))</f>
        <v>75</v>
      </c>
      <c r="P636" s="16"/>
      <c r="Q636" s="13"/>
      <c r="T636" s="4">
        <v>75</v>
      </c>
      <c r="U636" s="2"/>
      <c r="V636" s="2"/>
      <c r="W636" s="2"/>
      <c r="X636" s="2"/>
      <c r="Z636" s="2"/>
      <c r="AA636" s="2"/>
      <c r="AF636" s="14"/>
    </row>
    <row r="637" spans="1:32" s="4" customFormat="1" ht="15.75" customHeight="1" x14ac:dyDescent="0.25">
      <c r="A637" s="33" t="str">
        <f>CONCATENATE(D637,".",F637,"-",G637,".",H637,"")</f>
        <v>2.1-4.1</v>
      </c>
      <c r="B637" s="33" t="s">
        <v>814</v>
      </c>
      <c r="C637" s="40" t="s">
        <v>262</v>
      </c>
      <c r="D637" s="33">
        <f>IF(C637="ID",1,(IF(C637="PR",2,(IF(C637="DE",3,(IF(C637="RS",4,(IF(C637="RC",5,0)))))))))</f>
        <v>2</v>
      </c>
      <c r="E637" s="33" t="s">
        <v>257</v>
      </c>
      <c r="F637" s="33">
        <f>IF(E637="AM",1,(IF(E637="BE",2,(IF(E637="GV",3,(IF(E637="RA",4,(IF(E637="RM",5,(IF(E637="AC",1,(IF(E637="AT",2,(IF(E637="DS",3,(IF(E637="IP",4,(IF(E637="MA",5,(IF(E637="PT",6,(IF(E637="AE",1,(IF(E637="CM",2,(IF(E637="DP",3,(IF(E637="AN",1,(IF(E637="CO",2,(IF(E637="IM",3,(IF(E637="MI",4,(IF(E637="RP",5,(IF(E637="SC",6,0)))))))))))))))))))))))))))))))))))))))</f>
        <v>1</v>
      </c>
      <c r="G637" s="170">
        <v>4</v>
      </c>
      <c r="H637" s="38" t="s">
        <v>511</v>
      </c>
      <c r="I637" s="105" t="s">
        <v>821</v>
      </c>
      <c r="J637" s="150" t="s">
        <v>826</v>
      </c>
      <c r="K637" s="79" t="s">
        <v>1283</v>
      </c>
      <c r="L637" s="66">
        <f>IF(O637="","",N637*O637*M637)</f>
        <v>75</v>
      </c>
      <c r="M637" s="8">
        <v>1</v>
      </c>
      <c r="N637" s="3">
        <v>1</v>
      </c>
      <c r="O637" s="15">
        <f>IF(SUM(Q637:AF637)&lt;1,"",SUM(Q637:AF637)/COUNTIF(Q637:AF637,"&gt;0"))</f>
        <v>75</v>
      </c>
      <c r="P637" s="16"/>
      <c r="Q637" s="13"/>
      <c r="T637" s="4">
        <v>75</v>
      </c>
      <c r="U637" s="2"/>
      <c r="V637" s="2"/>
      <c r="W637" s="2"/>
      <c r="X637" s="2"/>
      <c r="Z637" s="2"/>
      <c r="AA637" s="2"/>
      <c r="AF637" s="14"/>
    </row>
    <row r="638" spans="1:32" s="4" customFormat="1" ht="15.75" customHeight="1" x14ac:dyDescent="0.25">
      <c r="A638" s="33" t="str">
        <f>CONCATENATE(D638,".",F638,"-",G638,".",H638,"")</f>
        <v>2.1-4.1</v>
      </c>
      <c r="B638" s="33" t="s">
        <v>814</v>
      </c>
      <c r="C638" s="39" t="s">
        <v>262</v>
      </c>
      <c r="D638" s="33">
        <f>IF(C638="ID",1,(IF(C638="PR",2,(IF(C638="DE",3,(IF(C638="RS",4,(IF(C638="RC",5,0)))))))))</f>
        <v>2</v>
      </c>
      <c r="E638" s="33" t="s">
        <v>257</v>
      </c>
      <c r="F638" s="33">
        <f>IF(E638="AM",1,(IF(E638="BE",2,(IF(E638="GV",3,(IF(E638="RA",4,(IF(E638="RM",5,(IF(E638="AC",1,(IF(E638="AT",2,(IF(E638="DS",3,(IF(E638="IP",4,(IF(E638="MA",5,(IF(E638="PT",6,(IF(E638="AE",1,(IF(E638="CM",2,(IF(E638="DP",3,(IF(E638="AN",1,(IF(E638="CO",2,(IF(E638="IM",3,(IF(E638="MI",4,(IF(E638="RP",5,(IF(E638="SC",6,0)))))))))))))))))))))))))))))))))))))))</f>
        <v>1</v>
      </c>
      <c r="G638" s="170">
        <v>4</v>
      </c>
      <c r="H638" s="38" t="s">
        <v>511</v>
      </c>
      <c r="I638" s="105" t="s">
        <v>821</v>
      </c>
      <c r="J638" s="150" t="s">
        <v>26</v>
      </c>
      <c r="K638" s="79" t="s">
        <v>1283</v>
      </c>
      <c r="L638" s="66">
        <f>IF(O638="","",N638*O638*M638)</f>
        <v>75</v>
      </c>
      <c r="M638" s="8">
        <v>1</v>
      </c>
      <c r="N638" s="3">
        <v>1</v>
      </c>
      <c r="O638" s="15">
        <f>IF(SUM(Q638:AF638)&lt;1,"",SUM(Q638:AF638)/COUNTIF(Q638:AF638,"&gt;0"))</f>
        <v>75</v>
      </c>
      <c r="P638" s="16"/>
      <c r="Q638" s="13"/>
      <c r="T638" s="4">
        <v>75</v>
      </c>
      <c r="U638" s="2"/>
      <c r="V638" s="2"/>
      <c r="W638" s="2"/>
      <c r="X638" s="2"/>
      <c r="Z638" s="2"/>
      <c r="AA638" s="2"/>
      <c r="AF638" s="14"/>
    </row>
    <row r="639" spans="1:32" s="4" customFormat="1" ht="15.75" customHeight="1" x14ac:dyDescent="0.25">
      <c r="A639" s="33" t="str">
        <f>CONCATENATE(D639,".",F639,"-",G639,".",H639,"")</f>
        <v>2.1-4.1</v>
      </c>
      <c r="B639" s="33" t="s">
        <v>814</v>
      </c>
      <c r="C639" s="39" t="s">
        <v>262</v>
      </c>
      <c r="D639" s="33">
        <f>IF(C639="ID",1,(IF(C639="PR",2,(IF(C639="DE",3,(IF(C639="RS",4,(IF(C639="RC",5,0)))))))))</f>
        <v>2</v>
      </c>
      <c r="E639" s="33" t="s">
        <v>257</v>
      </c>
      <c r="F639" s="33">
        <f>IF(E639="AM",1,(IF(E639="BE",2,(IF(E639="GV",3,(IF(E639="RA",4,(IF(E639="RM",5,(IF(E639="AC",1,(IF(E639="AT",2,(IF(E639="DS",3,(IF(E639="IP",4,(IF(E639="MA",5,(IF(E639="PT",6,(IF(E639="AE",1,(IF(E639="CM",2,(IF(E639="DP",3,(IF(E639="AN",1,(IF(E639="CO",2,(IF(E639="IM",3,(IF(E639="MI",4,(IF(E639="RP",5,(IF(E639="SC",6,0)))))))))))))))))))))))))))))))))))))))</f>
        <v>1</v>
      </c>
      <c r="G639" s="170">
        <v>4</v>
      </c>
      <c r="H639" s="38" t="s">
        <v>511</v>
      </c>
      <c r="I639" s="105" t="s">
        <v>821</v>
      </c>
      <c r="J639" s="150" t="s">
        <v>97</v>
      </c>
      <c r="K639" s="79" t="s">
        <v>1283</v>
      </c>
      <c r="L639" s="66">
        <f>IF(O639="","",N639*O639*M639)</f>
        <v>75</v>
      </c>
      <c r="M639" s="8">
        <v>1</v>
      </c>
      <c r="N639" s="3">
        <v>1</v>
      </c>
      <c r="O639" s="15">
        <f>IF(SUM(Q639:AF639)&lt;1,"",SUM(Q639:AF639)/COUNTIF(Q639:AF639,"&gt;0"))</f>
        <v>75</v>
      </c>
      <c r="P639" s="16"/>
      <c r="Q639" s="13"/>
      <c r="T639" s="4">
        <v>75</v>
      </c>
      <c r="U639" s="2"/>
      <c r="V639" s="2"/>
      <c r="W639" s="2"/>
      <c r="X639" s="2"/>
      <c r="Z639" s="2"/>
      <c r="AA639" s="2"/>
      <c r="AF639" s="14"/>
    </row>
    <row r="640" spans="1:32" s="4" customFormat="1" ht="15.75" customHeight="1" x14ac:dyDescent="0.25">
      <c r="A640" s="33" t="str">
        <f>CONCATENATE(D640,".",F640,"-",G640,".",H640,"")</f>
        <v>2.1-4.1</v>
      </c>
      <c r="B640" s="33" t="s">
        <v>814</v>
      </c>
      <c r="C640" s="40" t="s">
        <v>262</v>
      </c>
      <c r="D640" s="33">
        <f>IF(C640="ID",1,(IF(C640="PR",2,(IF(C640="DE",3,(IF(C640="RS",4,(IF(C640="RC",5,0)))))))))</f>
        <v>2</v>
      </c>
      <c r="E640" s="33" t="s">
        <v>257</v>
      </c>
      <c r="F640" s="33">
        <f>IF(E640="AM",1,(IF(E640="BE",2,(IF(E640="GV",3,(IF(E640="RA",4,(IF(E640="RM",5,(IF(E640="AC",1,(IF(E640="AT",2,(IF(E640="DS",3,(IF(E640="IP",4,(IF(E640="MA",5,(IF(E640="PT",6,(IF(E640="AE",1,(IF(E640="CM",2,(IF(E640="DP",3,(IF(E640="AN",1,(IF(E640="CO",2,(IF(E640="IM",3,(IF(E640="MI",4,(IF(E640="RP",5,(IF(E640="SC",6,0)))))))))))))))))))))))))))))))))))))))</f>
        <v>1</v>
      </c>
      <c r="G640" s="171">
        <v>4</v>
      </c>
      <c r="H640" s="38" t="s">
        <v>511</v>
      </c>
      <c r="I640" s="105" t="s">
        <v>821</v>
      </c>
      <c r="J640" s="150" t="s">
        <v>98</v>
      </c>
      <c r="K640" s="79" t="s">
        <v>1283</v>
      </c>
      <c r="L640" s="66">
        <f>IF(O640="","",N640*O640*M640)</f>
        <v>75</v>
      </c>
      <c r="M640" s="8">
        <v>1</v>
      </c>
      <c r="N640" s="3">
        <v>1</v>
      </c>
      <c r="O640" s="15">
        <f>IF(SUM(Q640:AF640)&lt;1,"",SUM(Q640:AF640)/COUNTIF(Q640:AF640,"&gt;0"))</f>
        <v>75</v>
      </c>
      <c r="P640" s="16"/>
      <c r="Q640" s="13"/>
      <c r="T640" s="4">
        <v>75</v>
      </c>
      <c r="U640" s="2"/>
      <c r="V640" s="2"/>
      <c r="W640" s="2"/>
      <c r="X640" s="2"/>
      <c r="Z640" s="2"/>
      <c r="AA640" s="2"/>
      <c r="AF640" s="14"/>
    </row>
    <row r="641" spans="1:32" s="4" customFormat="1" ht="15.75" customHeight="1" x14ac:dyDescent="0.25">
      <c r="A641" s="33" t="str">
        <f>CONCATENATE(D641,".",F641,"-",G641,".",H641,"")</f>
        <v>2.1-4.1</v>
      </c>
      <c r="B641" s="33" t="s">
        <v>814</v>
      </c>
      <c r="C641" s="40" t="s">
        <v>262</v>
      </c>
      <c r="D641" s="33">
        <f>IF(C641="ID",1,(IF(C641="PR",2,(IF(C641="DE",3,(IF(C641="RS",4,(IF(C641="RC",5,0)))))))))</f>
        <v>2</v>
      </c>
      <c r="E641" s="33" t="s">
        <v>257</v>
      </c>
      <c r="F641" s="33">
        <f>IF(E641="AM",1,(IF(E641="BE",2,(IF(E641="GV",3,(IF(E641="RA",4,(IF(E641="RM",5,(IF(E641="AC",1,(IF(E641="AT",2,(IF(E641="DS",3,(IF(E641="IP",4,(IF(E641="MA",5,(IF(E641="PT",6,(IF(E641="AE",1,(IF(E641="CM",2,(IF(E641="DP",3,(IF(E641="AN",1,(IF(E641="CO",2,(IF(E641="IM",3,(IF(E641="MI",4,(IF(E641="RP",5,(IF(E641="SC",6,0)))))))))))))))))))))))))))))))))))))))</f>
        <v>1</v>
      </c>
      <c r="G641" s="171">
        <v>4</v>
      </c>
      <c r="H641" s="38" t="s">
        <v>511</v>
      </c>
      <c r="I641" s="105" t="s">
        <v>821</v>
      </c>
      <c r="J641" s="150" t="s">
        <v>99</v>
      </c>
      <c r="K641" s="79" t="s">
        <v>1283</v>
      </c>
      <c r="L641" s="66">
        <f>IF(O641="","",N641*O641*M641)</f>
        <v>75</v>
      </c>
      <c r="M641" s="8">
        <v>1</v>
      </c>
      <c r="N641" s="3">
        <v>1</v>
      </c>
      <c r="O641" s="15">
        <f>IF(SUM(Q641:AF641)&lt;1,"",SUM(Q641:AF641)/COUNTIF(Q641:AF641,"&gt;0"))</f>
        <v>75</v>
      </c>
      <c r="P641" s="16"/>
      <c r="Q641" s="13"/>
      <c r="T641" s="4">
        <v>75</v>
      </c>
      <c r="U641" s="2"/>
      <c r="V641" s="2"/>
      <c r="W641" s="2"/>
      <c r="X641" s="2"/>
      <c r="Z641" s="2"/>
      <c r="AA641" s="2"/>
      <c r="AF641" s="14"/>
    </row>
    <row r="642" spans="1:32" s="4" customFormat="1" ht="15.75" customHeight="1" x14ac:dyDescent="0.25">
      <c r="A642" s="33" t="str">
        <f>CONCATENATE(D642,".",F642,"-",G642,".",H642,"")</f>
        <v>2.1-4.1</v>
      </c>
      <c r="B642" s="33" t="s">
        <v>814</v>
      </c>
      <c r="C642" s="39" t="s">
        <v>262</v>
      </c>
      <c r="D642" s="33">
        <f>IF(C642="ID",1,(IF(C642="PR",2,(IF(C642="DE",3,(IF(C642="RS",4,(IF(C642="RC",5,0)))))))))</f>
        <v>2</v>
      </c>
      <c r="E642" s="33" t="s">
        <v>257</v>
      </c>
      <c r="F642" s="33">
        <f>IF(E642="AM",1,(IF(E642="BE",2,(IF(E642="GV",3,(IF(E642="RA",4,(IF(E642="RM",5,(IF(E642="AC",1,(IF(E642="AT",2,(IF(E642="DS",3,(IF(E642="IP",4,(IF(E642="MA",5,(IF(E642="PT",6,(IF(E642="AE",1,(IF(E642="CM",2,(IF(E642="DP",3,(IF(E642="AN",1,(IF(E642="CO",2,(IF(E642="IM",3,(IF(E642="MI",4,(IF(E642="RP",5,(IF(E642="SC",6,0)))))))))))))))))))))))))))))))))))))))</f>
        <v>1</v>
      </c>
      <c r="G642" s="170">
        <v>4</v>
      </c>
      <c r="H642" s="38" t="s">
        <v>511</v>
      </c>
      <c r="I642" s="105" t="s">
        <v>821</v>
      </c>
      <c r="J642" s="149" t="s">
        <v>100</v>
      </c>
      <c r="K642" s="79" t="s">
        <v>1283</v>
      </c>
      <c r="L642" s="66">
        <f>IF(O642="","",N642*O642*M642)</f>
        <v>75</v>
      </c>
      <c r="M642" s="8">
        <v>1</v>
      </c>
      <c r="N642" s="1">
        <v>1</v>
      </c>
      <c r="O642" s="15">
        <f>IF(SUM(Q642:AF642)&lt;1,"",SUM(Q642:AF642)/COUNTIF(Q642:AF642,"&gt;0"))</f>
        <v>75</v>
      </c>
      <c r="P642" s="16"/>
      <c r="Q642" s="13"/>
      <c r="T642" s="4">
        <v>75</v>
      </c>
      <c r="U642" s="2"/>
      <c r="V642" s="2"/>
      <c r="W642" s="2"/>
      <c r="AF642" s="14"/>
    </row>
    <row r="643" spans="1:32" s="4" customFormat="1" ht="15.75" customHeight="1" x14ac:dyDescent="0.25">
      <c r="A643" s="33" t="str">
        <f>CONCATENATE(D643,".",F643,"-",G643,".",H643,"")</f>
        <v>2.1-4.1</v>
      </c>
      <c r="B643" s="33" t="s">
        <v>814</v>
      </c>
      <c r="C643" s="40" t="s">
        <v>262</v>
      </c>
      <c r="D643" s="33">
        <f>IF(C643="ID",1,(IF(C643="PR",2,(IF(C643="DE",3,(IF(C643="RS",4,(IF(C643="RC",5,0)))))))))</f>
        <v>2</v>
      </c>
      <c r="E643" s="33" t="s">
        <v>257</v>
      </c>
      <c r="F643" s="33">
        <f>IF(E643="AM",1,(IF(E643="BE",2,(IF(E643="GV",3,(IF(E643="RA",4,(IF(E643="RM",5,(IF(E643="AC",1,(IF(E643="AT",2,(IF(E643="DS",3,(IF(E643="IP",4,(IF(E643="MA",5,(IF(E643="PT",6,(IF(E643="AE",1,(IF(E643="CM",2,(IF(E643="DP",3,(IF(E643="AN",1,(IF(E643="CO",2,(IF(E643="IM",3,(IF(E643="MI",4,(IF(E643="RP",5,(IF(E643="SC",6,0)))))))))))))))))))))))))))))))))))))))</f>
        <v>1</v>
      </c>
      <c r="G643" s="171">
        <v>4</v>
      </c>
      <c r="H643" s="38" t="s">
        <v>511</v>
      </c>
      <c r="I643" s="105" t="s">
        <v>821</v>
      </c>
      <c r="J643" s="149" t="s">
        <v>162</v>
      </c>
      <c r="K643" s="79" t="s">
        <v>1283</v>
      </c>
      <c r="L643" s="66">
        <f>IF(O643="","",N643*O643*M643)</f>
        <v>75</v>
      </c>
      <c r="M643" s="8">
        <v>1</v>
      </c>
      <c r="N643" s="1">
        <v>1</v>
      </c>
      <c r="O643" s="15">
        <f>IF(SUM(Q643:AF643)&lt;1,"",SUM(Q643:AF643)/COUNTIF(Q643:AF643,"&gt;0"))</f>
        <v>75</v>
      </c>
      <c r="P643" s="16"/>
      <c r="Q643" s="13"/>
      <c r="T643" s="4">
        <v>75</v>
      </c>
      <c r="U643" s="2"/>
      <c r="V643" s="2"/>
      <c r="W643" s="2"/>
      <c r="X643" s="2"/>
      <c r="Z643" s="2"/>
      <c r="AA643" s="2"/>
      <c r="AF643" s="14"/>
    </row>
    <row r="644" spans="1:32" s="4" customFormat="1" ht="15.75" customHeight="1" x14ac:dyDescent="0.25">
      <c r="A644" s="33" t="str">
        <f>CONCATENATE(D644,".",F644,"-",G644,".",H644,"")</f>
        <v>2.1-4.1</v>
      </c>
      <c r="B644" s="33" t="s">
        <v>814</v>
      </c>
      <c r="C644" s="39" t="s">
        <v>262</v>
      </c>
      <c r="D644" s="33">
        <f>IF(C644="ID",1,(IF(C644="PR",2,(IF(C644="DE",3,(IF(C644="RS",4,(IF(C644="RC",5,0)))))))))</f>
        <v>2</v>
      </c>
      <c r="E644" s="33" t="s">
        <v>257</v>
      </c>
      <c r="F644" s="33">
        <f>IF(E644="AM",1,(IF(E644="BE",2,(IF(E644="GV",3,(IF(E644="RA",4,(IF(E644="RM",5,(IF(E644="AC",1,(IF(E644="AT",2,(IF(E644="DS",3,(IF(E644="IP",4,(IF(E644="MA",5,(IF(E644="PT",6,(IF(E644="AE",1,(IF(E644="CM",2,(IF(E644="DP",3,(IF(E644="AN",1,(IF(E644="CO",2,(IF(E644="IM",3,(IF(E644="MI",4,(IF(E644="RP",5,(IF(E644="SC",6,0)))))))))))))))))))))))))))))))))))))))</f>
        <v>1</v>
      </c>
      <c r="G644" s="170">
        <v>4</v>
      </c>
      <c r="H644" s="38" t="s">
        <v>511</v>
      </c>
      <c r="I644" s="105" t="s">
        <v>821</v>
      </c>
      <c r="J644" s="149" t="s">
        <v>102</v>
      </c>
      <c r="K644" s="79" t="s">
        <v>1283</v>
      </c>
      <c r="L644" s="66">
        <f>IF(O644="","",N644*O644*M644)</f>
        <v>75</v>
      </c>
      <c r="M644" s="8">
        <v>1</v>
      </c>
      <c r="N644" s="1">
        <v>1</v>
      </c>
      <c r="O644" s="15">
        <f>IF(SUM(Q644:AF644)&lt;1,"",SUM(Q644:AF644)/COUNTIF(Q644:AF644,"&gt;0"))</f>
        <v>75</v>
      </c>
      <c r="P644" s="16"/>
      <c r="Q644" s="13"/>
      <c r="T644" s="4">
        <v>75</v>
      </c>
      <c r="U644" s="2"/>
      <c r="V644" s="2"/>
      <c r="W644" s="2"/>
      <c r="X644" s="2"/>
      <c r="Z644" s="2"/>
      <c r="AA644" s="2"/>
      <c r="AF644" s="14"/>
    </row>
    <row r="645" spans="1:32" s="4" customFormat="1" ht="15.75" customHeight="1" x14ac:dyDescent="0.25">
      <c r="A645" s="33" t="str">
        <f>CONCATENATE(D645,".",F645,"-",G645,".",H645,"")</f>
        <v>2.1-4.1</v>
      </c>
      <c r="B645" s="33" t="s">
        <v>814</v>
      </c>
      <c r="C645" s="39" t="s">
        <v>262</v>
      </c>
      <c r="D645" s="33">
        <f>IF(C645="ID",1,(IF(C645="PR",2,(IF(C645="DE",3,(IF(C645="RS",4,(IF(C645="RC",5,0)))))))))</f>
        <v>2</v>
      </c>
      <c r="E645" s="33" t="s">
        <v>257</v>
      </c>
      <c r="F645" s="33">
        <f>IF(E645="AM",1,(IF(E645="BE",2,(IF(E645="GV",3,(IF(E645="RA",4,(IF(E645="RM",5,(IF(E645="AC",1,(IF(E645="AT",2,(IF(E645="DS",3,(IF(E645="IP",4,(IF(E645="MA",5,(IF(E645="PT",6,(IF(E645="AE",1,(IF(E645="CM",2,(IF(E645="DP",3,(IF(E645="AN",1,(IF(E645="CO",2,(IF(E645="IM",3,(IF(E645="MI",4,(IF(E645="RP",5,(IF(E645="SC",6,0)))))))))))))))))))))))))))))))))))))))</f>
        <v>1</v>
      </c>
      <c r="G645" s="170">
        <v>4</v>
      </c>
      <c r="H645" s="38" t="s">
        <v>511</v>
      </c>
      <c r="I645" s="105" t="s">
        <v>821</v>
      </c>
      <c r="J645" s="150" t="s">
        <v>72</v>
      </c>
      <c r="K645" s="79" t="s">
        <v>1283</v>
      </c>
      <c r="L645" s="66">
        <f>IF(O645="","",N645*O645*M645)</f>
        <v>75</v>
      </c>
      <c r="M645" s="8">
        <v>1</v>
      </c>
      <c r="N645" s="3">
        <v>1</v>
      </c>
      <c r="O645" s="15">
        <f>IF(SUM(Q645:AF645)&lt;1,"",SUM(Q645:AF645)/COUNTIF(Q645:AF645,"&gt;0"))</f>
        <v>75</v>
      </c>
      <c r="P645" s="16"/>
      <c r="Q645" s="13"/>
      <c r="T645" s="4">
        <v>75</v>
      </c>
      <c r="U645" s="2"/>
      <c r="V645" s="2"/>
      <c r="W645" s="2"/>
      <c r="X645" s="2"/>
      <c r="Z645" s="2"/>
      <c r="AA645" s="2"/>
      <c r="AF645" s="14"/>
    </row>
    <row r="646" spans="1:32" s="4" customFormat="1" ht="15.75" customHeight="1" x14ac:dyDescent="0.25">
      <c r="A646" s="33" t="str">
        <f>CONCATENATE(D646,".",F646,"-",G646,".",H646,"")</f>
        <v>2.1-4.1</v>
      </c>
      <c r="B646" s="33" t="s">
        <v>814</v>
      </c>
      <c r="C646" s="39" t="s">
        <v>262</v>
      </c>
      <c r="D646" s="33">
        <f>IF(C646="ID",1,(IF(C646="PR",2,(IF(C646="DE",3,(IF(C646="RS",4,(IF(C646="RC",5,0)))))))))</f>
        <v>2</v>
      </c>
      <c r="E646" s="33" t="s">
        <v>257</v>
      </c>
      <c r="F646" s="33">
        <f>IF(E646="AM",1,(IF(E646="BE",2,(IF(E646="GV",3,(IF(E646="RA",4,(IF(E646="RM",5,(IF(E646="AC",1,(IF(E646="AT",2,(IF(E646="DS",3,(IF(E646="IP",4,(IF(E646="MA",5,(IF(E646="PT",6,(IF(E646="AE",1,(IF(E646="CM",2,(IF(E646="DP",3,(IF(E646="AN",1,(IF(E646="CO",2,(IF(E646="IM",3,(IF(E646="MI",4,(IF(E646="RP",5,(IF(E646="SC",6,0)))))))))))))))))))))))))))))))))))))))</f>
        <v>1</v>
      </c>
      <c r="G646" s="170">
        <v>4</v>
      </c>
      <c r="H646" s="38" t="s">
        <v>511</v>
      </c>
      <c r="I646" s="105" t="s">
        <v>821</v>
      </c>
      <c r="J646" s="150" t="s">
        <v>167</v>
      </c>
      <c r="K646" s="79" t="s">
        <v>1283</v>
      </c>
      <c r="L646" s="66">
        <f>IF(O646="","",N646*O646*M646)</f>
        <v>75</v>
      </c>
      <c r="M646" s="8">
        <v>1</v>
      </c>
      <c r="N646" s="3">
        <v>1</v>
      </c>
      <c r="O646" s="15">
        <f>IF(SUM(Q646:AF646)&lt;1,"",SUM(Q646:AF646)/COUNTIF(Q646:AF646,"&gt;0"))</f>
        <v>75</v>
      </c>
      <c r="P646" s="16"/>
      <c r="Q646" s="13"/>
      <c r="T646" s="4">
        <v>75</v>
      </c>
      <c r="U646" s="2"/>
      <c r="V646" s="2"/>
      <c r="W646" s="2"/>
      <c r="X646" s="2"/>
      <c r="Z646" s="2"/>
      <c r="AA646" s="2"/>
      <c r="AF646" s="14"/>
    </row>
    <row r="647" spans="1:32" s="4" customFormat="1" ht="15.75" customHeight="1" x14ac:dyDescent="0.25">
      <c r="A647" s="33" t="str">
        <f>CONCATENATE(D647,".",F647,"-",G647,".",H647,"")</f>
        <v>2.1-4.1</v>
      </c>
      <c r="B647" s="33" t="s">
        <v>814</v>
      </c>
      <c r="C647" s="39" t="s">
        <v>262</v>
      </c>
      <c r="D647" s="33">
        <f>IF(C647="ID",1,(IF(C647="PR",2,(IF(C647="DE",3,(IF(C647="RS",4,(IF(C647="RC",5,0)))))))))</f>
        <v>2</v>
      </c>
      <c r="E647" s="33" t="s">
        <v>257</v>
      </c>
      <c r="F647" s="33">
        <f>IF(E647="AM",1,(IF(E647="BE",2,(IF(E647="GV",3,(IF(E647="RA",4,(IF(E647="RM",5,(IF(E647="AC",1,(IF(E647="AT",2,(IF(E647="DS",3,(IF(E647="IP",4,(IF(E647="MA",5,(IF(E647="PT",6,(IF(E647="AE",1,(IF(E647="CM",2,(IF(E647="DP",3,(IF(E647="AN",1,(IF(E647="CO",2,(IF(E647="IM",3,(IF(E647="MI",4,(IF(E647="RP",5,(IF(E647="SC",6,0)))))))))))))))))))))))))))))))))))))))</f>
        <v>1</v>
      </c>
      <c r="G647" s="170">
        <v>4</v>
      </c>
      <c r="H647" s="38" t="s">
        <v>511</v>
      </c>
      <c r="I647" s="105" t="s">
        <v>821</v>
      </c>
      <c r="J647" s="150" t="s">
        <v>168</v>
      </c>
      <c r="K647" s="79" t="s">
        <v>1283</v>
      </c>
      <c r="L647" s="66">
        <f>IF(O647="","",N647*O647*M647)</f>
        <v>75</v>
      </c>
      <c r="M647" s="8">
        <v>1</v>
      </c>
      <c r="N647" s="3">
        <v>1</v>
      </c>
      <c r="O647" s="15">
        <f>IF(SUM(Q647:AF647)&lt;1,"",SUM(Q647:AF647)/COUNTIF(Q647:AF647,"&gt;0"))</f>
        <v>75</v>
      </c>
      <c r="P647" s="16"/>
      <c r="Q647" s="13"/>
      <c r="T647" s="4">
        <v>75</v>
      </c>
      <c r="U647" s="2"/>
      <c r="V647" s="2"/>
      <c r="W647" s="2"/>
      <c r="X647" s="2"/>
      <c r="Z647" s="2"/>
      <c r="AA647" s="2"/>
      <c r="AF647" s="14"/>
    </row>
    <row r="648" spans="1:32" s="4" customFormat="1" ht="15.75" customHeight="1" x14ac:dyDescent="0.25">
      <c r="A648" s="33" t="str">
        <f>CONCATENATE(D648,".",F648,"-",G648,".",H648,"")</f>
        <v>2.1-4.1</v>
      </c>
      <c r="B648" s="33" t="s">
        <v>814</v>
      </c>
      <c r="C648" s="39" t="s">
        <v>262</v>
      </c>
      <c r="D648" s="33">
        <f>IF(C648="ID",1,(IF(C648="PR",2,(IF(C648="DE",3,(IF(C648="RS",4,(IF(C648="RC",5,0)))))))))</f>
        <v>2</v>
      </c>
      <c r="E648" s="33" t="s">
        <v>257</v>
      </c>
      <c r="F648" s="33">
        <f>IF(E648="AM",1,(IF(E648="BE",2,(IF(E648="GV",3,(IF(E648="RA",4,(IF(E648="RM",5,(IF(E648="AC",1,(IF(E648="AT",2,(IF(E648="DS",3,(IF(E648="IP",4,(IF(E648="MA",5,(IF(E648="PT",6,(IF(E648="AE",1,(IF(E648="CM",2,(IF(E648="DP",3,(IF(E648="AN",1,(IF(E648="CO",2,(IF(E648="IM",3,(IF(E648="MI",4,(IF(E648="RP",5,(IF(E648="SC",6,0)))))))))))))))))))))))))))))))))))))))</f>
        <v>1</v>
      </c>
      <c r="G648" s="170">
        <v>4</v>
      </c>
      <c r="H648" s="38" t="s">
        <v>511</v>
      </c>
      <c r="I648" s="105" t="s">
        <v>821</v>
      </c>
      <c r="J648" s="150" t="s">
        <v>71</v>
      </c>
      <c r="K648" s="79" t="s">
        <v>1283</v>
      </c>
      <c r="L648" s="66">
        <f>IF(O648="","",N648*O648*M648)</f>
        <v>75</v>
      </c>
      <c r="M648" s="8">
        <v>1</v>
      </c>
      <c r="N648" s="3">
        <v>1</v>
      </c>
      <c r="O648" s="15">
        <f>IF(SUM(Q648:AF648)&lt;1,"",SUM(Q648:AF648)/COUNTIF(Q648:AF648,"&gt;0"))</f>
        <v>75</v>
      </c>
      <c r="P648" s="16"/>
      <c r="Q648" s="13"/>
      <c r="T648" s="4">
        <v>75</v>
      </c>
      <c r="U648" s="2"/>
      <c r="V648" s="2"/>
      <c r="W648" s="2"/>
      <c r="X648" s="2"/>
      <c r="Z648" s="2"/>
      <c r="AA648" s="2"/>
      <c r="AF648" s="14"/>
    </row>
    <row r="649" spans="1:32" s="4" customFormat="1" ht="15.75" customHeight="1" x14ac:dyDescent="0.25">
      <c r="A649" s="33" t="str">
        <f>CONCATENATE(D649,".",F649,"-",G649,".",H649,"")</f>
        <v>2.1-4.1</v>
      </c>
      <c r="B649" s="33" t="s">
        <v>814</v>
      </c>
      <c r="C649" s="39" t="s">
        <v>262</v>
      </c>
      <c r="D649" s="33">
        <f>IF(C649="ID",1,(IF(C649="PR",2,(IF(C649="DE",3,(IF(C649="RS",4,(IF(C649="RC",5,0)))))))))</f>
        <v>2</v>
      </c>
      <c r="E649" s="33" t="s">
        <v>257</v>
      </c>
      <c r="F649" s="33">
        <f>IF(E649="AM",1,(IF(E649="BE",2,(IF(E649="GV",3,(IF(E649="RA",4,(IF(E649="RM",5,(IF(E649="AC",1,(IF(E649="AT",2,(IF(E649="DS",3,(IF(E649="IP",4,(IF(E649="MA",5,(IF(E649="PT",6,(IF(E649="AE",1,(IF(E649="CM",2,(IF(E649="DP",3,(IF(E649="AN",1,(IF(E649="CO",2,(IF(E649="IM",3,(IF(E649="MI",4,(IF(E649="RP",5,(IF(E649="SC",6,0)))))))))))))))))))))))))))))))))))))))</f>
        <v>1</v>
      </c>
      <c r="G649" s="170">
        <v>4</v>
      </c>
      <c r="H649" s="38" t="s">
        <v>511</v>
      </c>
      <c r="I649" s="27" t="s">
        <v>266</v>
      </c>
      <c r="J649" s="149" t="s">
        <v>507</v>
      </c>
      <c r="K649" s="79" t="s">
        <v>1431</v>
      </c>
      <c r="L649" s="66">
        <f>IF(O649="","",N649*O649*M649)</f>
        <v>75</v>
      </c>
      <c r="M649" s="8">
        <v>1</v>
      </c>
      <c r="N649" s="1">
        <v>1</v>
      </c>
      <c r="O649" s="15">
        <f>IF(SUM(Q649:AF649)&lt;1,"",SUM(Q649:AF649)/COUNTIF(Q649:AF649,"&gt;0"))</f>
        <v>75</v>
      </c>
      <c r="P649" s="16"/>
      <c r="Q649" s="13"/>
      <c r="T649" s="4">
        <v>75</v>
      </c>
      <c r="U649" s="2"/>
      <c r="V649" s="2"/>
      <c r="W649" s="2"/>
      <c r="X649" s="2"/>
      <c r="Z649" s="2"/>
      <c r="AA649" s="2"/>
      <c r="AF649" s="14"/>
    </row>
    <row r="650" spans="1:32" s="4" customFormat="1" ht="15.75" customHeight="1" x14ac:dyDescent="0.25">
      <c r="A650" s="33" t="str">
        <f>CONCATENATE(D650,".",F650,"-",G650,".",H650,"")</f>
        <v>2.1-4.1</v>
      </c>
      <c r="B650" s="33" t="s">
        <v>814</v>
      </c>
      <c r="C650" s="41" t="s">
        <v>262</v>
      </c>
      <c r="D650" s="33">
        <f>IF(C650="ID",1,(IF(C650="PR",2,(IF(C650="DE",3,(IF(C650="RS",4,(IF(C650="RC",5,0)))))))))</f>
        <v>2</v>
      </c>
      <c r="E650" s="33" t="s">
        <v>257</v>
      </c>
      <c r="F650" s="33">
        <f>IF(E650="AM",1,(IF(E650="BE",2,(IF(E650="GV",3,(IF(E650="RA",4,(IF(E650="RM",5,(IF(E650="AC",1,(IF(E650="AT",2,(IF(E650="DS",3,(IF(E650="IP",4,(IF(E650="MA",5,(IF(E650="PT",6,(IF(E650="AE",1,(IF(E650="CM",2,(IF(E650="DP",3,(IF(E650="AN",1,(IF(E650="CO",2,(IF(E650="IM",3,(IF(E650="MI",4,(IF(E650="RP",5,(IF(E650="SC",6,0)))))))))))))))))))))))))))))))))))))))</f>
        <v>1</v>
      </c>
      <c r="G650" s="170">
        <v>4</v>
      </c>
      <c r="H650" s="38" t="s">
        <v>511</v>
      </c>
      <c r="I650" s="27" t="s">
        <v>266</v>
      </c>
      <c r="J650" s="149" t="s">
        <v>21</v>
      </c>
      <c r="K650" s="79" t="s">
        <v>1432</v>
      </c>
      <c r="L650" s="5">
        <f>IF(O650="","",N650*O650*M650)</f>
        <v>75</v>
      </c>
      <c r="M650" s="8">
        <v>1</v>
      </c>
      <c r="N650" s="1">
        <v>1</v>
      </c>
      <c r="O650" s="15">
        <f>IF(SUM(Q650:AF650)&lt;1,"",SUM(Q650:AF650)/COUNTIF(Q650:AF650,"&gt;0"))</f>
        <v>75</v>
      </c>
      <c r="P650" s="16"/>
      <c r="Q650" s="13"/>
      <c r="T650" s="4">
        <v>75</v>
      </c>
      <c r="U650" s="2"/>
      <c r="V650" s="2"/>
      <c r="W650" s="2"/>
      <c r="X650" s="2"/>
      <c r="Z650" s="2"/>
      <c r="AA650" s="2"/>
      <c r="AF650" s="14"/>
    </row>
    <row r="651" spans="1:32" s="4" customFormat="1" ht="15.75" customHeight="1" x14ac:dyDescent="0.25">
      <c r="A651" s="33" t="str">
        <f>CONCATENATE(D651,".",F651,"-",G651,".",H651,"")</f>
        <v>2.1-4.1</v>
      </c>
      <c r="B651" s="33" t="s">
        <v>814</v>
      </c>
      <c r="C651" s="41" t="s">
        <v>262</v>
      </c>
      <c r="D651" s="33">
        <f>IF(C651="ID",1,(IF(C651="PR",2,(IF(C651="DE",3,(IF(C651="RS",4,(IF(C651="RC",5,0)))))))))</f>
        <v>2</v>
      </c>
      <c r="E651" s="33" t="s">
        <v>257</v>
      </c>
      <c r="F651" s="33">
        <f>IF(E651="AM",1,(IF(E651="BE",2,(IF(E651="GV",3,(IF(E651="RA",4,(IF(E651="RM",5,(IF(E651="AC",1,(IF(E651="AT",2,(IF(E651="DS",3,(IF(E651="IP",4,(IF(E651="MA",5,(IF(E651="PT",6,(IF(E651="AE",1,(IF(E651="CM",2,(IF(E651="DP",3,(IF(E651="AN",1,(IF(E651="CO",2,(IF(E651="IM",3,(IF(E651="MI",4,(IF(E651="RP",5,(IF(E651="SC",6,0)))))))))))))))))))))))))))))))))))))))</f>
        <v>1</v>
      </c>
      <c r="G651" s="170">
        <v>4</v>
      </c>
      <c r="H651" s="38" t="s">
        <v>511</v>
      </c>
      <c r="I651" s="27" t="s">
        <v>266</v>
      </c>
      <c r="J651" s="149" t="s">
        <v>6</v>
      </c>
      <c r="K651" s="79" t="s">
        <v>1433</v>
      </c>
      <c r="L651" s="66">
        <f>IF(O651="","",N651*O651*M651)</f>
        <v>75</v>
      </c>
      <c r="M651" s="8">
        <v>1</v>
      </c>
      <c r="N651" s="1">
        <v>1</v>
      </c>
      <c r="O651" s="15">
        <f>IF(SUM(Q651:AF651)&lt;1,"",SUM(Q651:AF651)/COUNTIF(Q651:AF651,"&gt;0"))</f>
        <v>75</v>
      </c>
      <c r="P651" s="16"/>
      <c r="Q651" s="13"/>
      <c r="T651" s="4">
        <v>75</v>
      </c>
      <c r="U651" s="2"/>
      <c r="V651" s="2"/>
      <c r="W651" s="2"/>
      <c r="AF651" s="14"/>
    </row>
    <row r="652" spans="1:32" s="4" customFormat="1" ht="15.75" customHeight="1" x14ac:dyDescent="0.25">
      <c r="A652" s="33" t="str">
        <f>CONCATENATE(D652,".",F652,"-",G652,".",H652,"")</f>
        <v>2.1-4.1</v>
      </c>
      <c r="B652" s="33" t="s">
        <v>814</v>
      </c>
      <c r="C652" s="39" t="s">
        <v>262</v>
      </c>
      <c r="D652" s="33">
        <f>IF(C652="ID",1,(IF(C652="PR",2,(IF(C652="DE",3,(IF(C652="RS",4,(IF(C652="RC",5,0)))))))))</f>
        <v>2</v>
      </c>
      <c r="E652" s="33" t="s">
        <v>257</v>
      </c>
      <c r="F652" s="33">
        <f>IF(E652="AM",1,(IF(E652="BE",2,(IF(E652="GV",3,(IF(E652="RA",4,(IF(E652="RM",5,(IF(E652="AC",1,(IF(E652="AT",2,(IF(E652="DS",3,(IF(E652="IP",4,(IF(E652="MA",5,(IF(E652="PT",6,(IF(E652="AE",1,(IF(E652="CM",2,(IF(E652="DP",3,(IF(E652="AN",1,(IF(E652="CO",2,(IF(E652="IM",3,(IF(E652="MI",4,(IF(E652="RP",5,(IF(E652="SC",6,0)))))))))))))))))))))))))))))))))))))))</f>
        <v>1</v>
      </c>
      <c r="G652" s="170">
        <v>4</v>
      </c>
      <c r="H652" s="38" t="s">
        <v>511</v>
      </c>
      <c r="I652" s="27" t="s">
        <v>266</v>
      </c>
      <c r="J652" s="149" t="s">
        <v>508</v>
      </c>
      <c r="K652" s="79" t="s">
        <v>1434</v>
      </c>
      <c r="L652" s="66">
        <f>IF(O652="","",N652*O652*M652)</f>
        <v>75</v>
      </c>
      <c r="M652" s="8">
        <v>1</v>
      </c>
      <c r="N652" s="1">
        <v>1</v>
      </c>
      <c r="O652" s="15">
        <f>IF(SUM(Q652:AF652)&lt;1,"",SUM(Q652:AF652)/COUNTIF(Q652:AF652,"&gt;0"))</f>
        <v>75</v>
      </c>
      <c r="P652" s="16"/>
      <c r="Q652" s="13"/>
      <c r="T652" s="4">
        <v>75</v>
      </c>
      <c r="U652" s="2"/>
      <c r="V652" s="2"/>
      <c r="W652" s="2"/>
      <c r="X652" s="2"/>
      <c r="Z652" s="2"/>
      <c r="AA652" s="2"/>
      <c r="AF652" s="14"/>
    </row>
    <row r="653" spans="1:32" s="4" customFormat="1" ht="15.75" customHeight="1" x14ac:dyDescent="0.25">
      <c r="A653" s="33" t="str">
        <f>CONCATENATE(D653,".",F653,"-",G653,".",H653,"")</f>
        <v>2.1-4.1</v>
      </c>
      <c r="B653" s="33" t="s">
        <v>814</v>
      </c>
      <c r="C653" s="39" t="s">
        <v>262</v>
      </c>
      <c r="D653" s="33">
        <f>IF(C653="ID",1,(IF(C653="PR",2,(IF(C653="DE",3,(IF(C653="RS",4,(IF(C653="RC",5,0)))))))))</f>
        <v>2</v>
      </c>
      <c r="E653" s="33" t="s">
        <v>257</v>
      </c>
      <c r="F653" s="33">
        <f>IF(E653="AM",1,(IF(E653="BE",2,(IF(E653="GV",3,(IF(E653="RA",4,(IF(E653="RM",5,(IF(E653="AC",1,(IF(E653="AT",2,(IF(E653="DS",3,(IF(E653="IP",4,(IF(E653="MA",5,(IF(E653="PT",6,(IF(E653="AE",1,(IF(E653="CM",2,(IF(E653="DP",3,(IF(E653="AN",1,(IF(E653="CO",2,(IF(E653="IM",3,(IF(E653="MI",4,(IF(E653="RP",5,(IF(E653="SC",6,0)))))))))))))))))))))))))))))))))))))))</f>
        <v>1</v>
      </c>
      <c r="G653" s="170">
        <v>4</v>
      </c>
      <c r="H653" s="38" t="s">
        <v>511</v>
      </c>
      <c r="I653" s="27" t="s">
        <v>266</v>
      </c>
      <c r="J653" s="149" t="s">
        <v>9</v>
      </c>
      <c r="K653" s="79" t="s">
        <v>1436</v>
      </c>
      <c r="L653" s="5">
        <f>IF(O653="","",N653*O653*M653)</f>
        <v>75</v>
      </c>
      <c r="M653" s="8">
        <v>1</v>
      </c>
      <c r="N653" s="1">
        <v>1</v>
      </c>
      <c r="O653" s="15">
        <f>IF(SUM(Q653:AF653)&lt;1,"",SUM(Q653:AF653)/COUNTIF(Q653:AF653,"&gt;0"))</f>
        <v>75</v>
      </c>
      <c r="P653" s="16"/>
      <c r="Q653" s="13"/>
      <c r="T653" s="4">
        <v>75</v>
      </c>
      <c r="U653" s="2"/>
      <c r="V653" s="2"/>
      <c r="W653" s="2"/>
      <c r="X653" s="2"/>
      <c r="Z653" s="2"/>
      <c r="AA653" s="2"/>
      <c r="AF653" s="14"/>
    </row>
    <row r="654" spans="1:32" s="4" customFormat="1" ht="15.75" customHeight="1" x14ac:dyDescent="0.25">
      <c r="A654" s="33" t="str">
        <f>CONCATENATE(D654,".",F654,"-",G654,".",H654,"")</f>
        <v>2.1-4.1</v>
      </c>
      <c r="B654" s="33" t="s">
        <v>814</v>
      </c>
      <c r="C654" s="39" t="s">
        <v>262</v>
      </c>
      <c r="D654" s="33">
        <f>IF(C654="ID",1,(IF(C654="PR",2,(IF(C654="DE",3,(IF(C654="RS",4,(IF(C654="RC",5,0)))))))))</f>
        <v>2</v>
      </c>
      <c r="E654" s="33" t="s">
        <v>257</v>
      </c>
      <c r="F654" s="33">
        <f>IF(E654="AM",1,(IF(E654="BE",2,(IF(E654="GV",3,(IF(E654="RA",4,(IF(E654="RM",5,(IF(E654="AC",1,(IF(E654="AT",2,(IF(E654="DS",3,(IF(E654="IP",4,(IF(E654="MA",5,(IF(E654="PT",6,(IF(E654="AE",1,(IF(E654="CM",2,(IF(E654="DP",3,(IF(E654="AN",1,(IF(E654="CO",2,(IF(E654="IM",3,(IF(E654="MI",4,(IF(E654="RP",5,(IF(E654="SC",6,0)))))))))))))))))))))))))))))))))))))))</f>
        <v>1</v>
      </c>
      <c r="G654" s="170">
        <v>4</v>
      </c>
      <c r="H654" s="33">
        <v>1</v>
      </c>
      <c r="I654" s="27" t="s">
        <v>266</v>
      </c>
      <c r="J654" s="150" t="s">
        <v>15</v>
      </c>
      <c r="K654" s="79" t="s">
        <v>1437</v>
      </c>
      <c r="L654" s="5">
        <f>IF(O654="","",N654*O654*M654)</f>
        <v>75</v>
      </c>
      <c r="M654" s="8">
        <v>1</v>
      </c>
      <c r="N654" s="1">
        <v>1</v>
      </c>
      <c r="O654" s="15">
        <f>IF(SUM(Q654:AF654)&lt;1,"",SUM(Q654:AF654)/COUNTIF(Q654:AF654,"&gt;0"))</f>
        <v>75</v>
      </c>
      <c r="P654" s="16"/>
      <c r="Q654" s="13"/>
      <c r="R654" s="3"/>
      <c r="S654" s="3"/>
      <c r="T654" s="4">
        <v>75</v>
      </c>
      <c r="U654" s="3"/>
      <c r="V654" s="3"/>
      <c r="W654" s="3"/>
      <c r="X654" s="3"/>
      <c r="Y654" s="3"/>
      <c r="Z654" s="3"/>
      <c r="AA654" s="3"/>
      <c r="AB654" s="3"/>
      <c r="AC654" s="3"/>
      <c r="AD654" s="3"/>
      <c r="AE654" s="3"/>
      <c r="AF654" s="104"/>
    </row>
    <row r="655" spans="1:32" s="4" customFormat="1" ht="15.75" customHeight="1" x14ac:dyDescent="0.25">
      <c r="A655" s="33" t="str">
        <f>CONCATENATE(D655,".",F655,"-",G655,".",H655,"")</f>
        <v>2.1-4.1</v>
      </c>
      <c r="B655" s="33" t="s">
        <v>1232</v>
      </c>
      <c r="C655" s="40" t="s">
        <v>262</v>
      </c>
      <c r="D655" s="33">
        <f>IF(C655="ID",1,(IF(C655="PR",2,(IF(C655="DE",3,(IF(C655="RS",4,(IF(C655="RC",5,0)))))))))</f>
        <v>2</v>
      </c>
      <c r="E655" s="33" t="s">
        <v>257</v>
      </c>
      <c r="F655" s="33">
        <f>IF(E655="AM",1,(IF(E655="BE",2,(IF(E655="GV",3,(IF(E655="RA",4,(IF(E655="RM",5,(IF(E655="AC",1,(IF(E655="AT",2,(IF(E655="DS",3,(IF(E655="IP",4,(IF(E655="MA",5,(IF(E655="PT",6,(IF(E655="AE",1,(IF(E655="CM",2,(IF(E655="DP",3,(IF(E655="AN",1,(IF(E655="CO",2,(IF(E655="IM",3,(IF(E655="MI",4,(IF(E655="RP",5,(IF(E655="SC",6,0)))))))))))))))))))))))))))))))))))))))</f>
        <v>1</v>
      </c>
      <c r="G655" s="170">
        <v>4</v>
      </c>
      <c r="H655" s="38" t="s">
        <v>511</v>
      </c>
      <c r="I655" s="105" t="s">
        <v>821</v>
      </c>
      <c r="J655" s="150" t="s">
        <v>833</v>
      </c>
      <c r="K655" s="79" t="s">
        <v>1283</v>
      </c>
      <c r="L655" s="66">
        <f>IF(O655="","",N655*O655*M655)</f>
        <v>75</v>
      </c>
      <c r="M655" s="8">
        <v>1</v>
      </c>
      <c r="N655" s="3">
        <v>1</v>
      </c>
      <c r="O655" s="15">
        <f>IF(SUM(Q655:AF655)&lt;1,"",SUM(Q655:AF655)/COUNTIF(Q655:AF655,"&gt;0"))</f>
        <v>75</v>
      </c>
      <c r="P655" s="16"/>
      <c r="Q655" s="13"/>
      <c r="T655" s="4">
        <v>75</v>
      </c>
      <c r="U655" s="2"/>
      <c r="V655" s="2"/>
      <c r="W655" s="2"/>
      <c r="X655" s="2"/>
      <c r="Z655" s="2"/>
      <c r="AA655" s="2"/>
      <c r="AF655" s="14"/>
    </row>
    <row r="656" spans="1:32" s="4" customFormat="1" ht="15.75" customHeight="1" x14ac:dyDescent="0.25">
      <c r="A656" s="33" t="str">
        <f>CONCATENATE(D656,".",F656,"-",G656,".",H656,"")</f>
        <v>2.1-4.1</v>
      </c>
      <c r="B656" s="33" t="s">
        <v>1232</v>
      </c>
      <c r="C656" s="40" t="s">
        <v>262</v>
      </c>
      <c r="D656" s="33">
        <f>IF(C656="ID",1,(IF(C656="PR",2,(IF(C656="DE",3,(IF(C656="RS",4,(IF(C656="RC",5,0)))))))))</f>
        <v>2</v>
      </c>
      <c r="E656" s="33" t="s">
        <v>257</v>
      </c>
      <c r="F656" s="33">
        <f>IF(E656="AM",1,(IF(E656="BE",2,(IF(E656="GV",3,(IF(E656="RA",4,(IF(E656="RM",5,(IF(E656="AC",1,(IF(E656="AT",2,(IF(E656="DS",3,(IF(E656="IP",4,(IF(E656="MA",5,(IF(E656="PT",6,(IF(E656="AE",1,(IF(E656="CM",2,(IF(E656="DP",3,(IF(E656="AN",1,(IF(E656="CO",2,(IF(E656="IM",3,(IF(E656="MI",4,(IF(E656="RP",5,(IF(E656="SC",6,0)))))))))))))))))))))))))))))))))))))))</f>
        <v>1</v>
      </c>
      <c r="G656" s="170">
        <v>4</v>
      </c>
      <c r="H656" s="38" t="s">
        <v>511</v>
      </c>
      <c r="I656" s="105" t="s">
        <v>821</v>
      </c>
      <c r="J656" s="150" t="s">
        <v>859</v>
      </c>
      <c r="K656" s="79" t="s">
        <v>1283</v>
      </c>
      <c r="L656" s="66">
        <f>IF(O656="","",N656*O656*M656)</f>
        <v>75</v>
      </c>
      <c r="M656" s="8">
        <v>1</v>
      </c>
      <c r="N656" s="3">
        <v>1</v>
      </c>
      <c r="O656" s="15">
        <f>IF(SUM(Q656:AF656)&lt;1,"",SUM(Q656:AF656)/COUNTIF(Q656:AF656,"&gt;0"))</f>
        <v>75</v>
      </c>
      <c r="P656" s="16"/>
      <c r="Q656" s="13"/>
      <c r="T656" s="4">
        <v>75</v>
      </c>
      <c r="U656" s="2"/>
      <c r="V656" s="2"/>
      <c r="W656" s="2"/>
      <c r="X656" s="2"/>
      <c r="Z656" s="2"/>
      <c r="AA656" s="2"/>
      <c r="AF656" s="14"/>
    </row>
    <row r="657" spans="1:32" s="4" customFormat="1" ht="15.75" customHeight="1" x14ac:dyDescent="0.25">
      <c r="A657" s="33" t="str">
        <f>CONCATENATE(D657,".",F657,"-",G657,".",H657,"")</f>
        <v>2.1-4.1</v>
      </c>
      <c r="B657" s="33" t="s">
        <v>1232</v>
      </c>
      <c r="C657" s="40" t="s">
        <v>262</v>
      </c>
      <c r="D657" s="33">
        <f>IF(C657="ID",1,(IF(C657="PR",2,(IF(C657="DE",3,(IF(C657="RS",4,(IF(C657="RC",5,0)))))))))</f>
        <v>2</v>
      </c>
      <c r="E657" s="33" t="s">
        <v>257</v>
      </c>
      <c r="F657" s="33">
        <f>IF(E657="AM",1,(IF(E657="BE",2,(IF(E657="GV",3,(IF(E657="RA",4,(IF(E657="RM",5,(IF(E657="AC",1,(IF(E657="AT",2,(IF(E657="DS",3,(IF(E657="IP",4,(IF(E657="MA",5,(IF(E657="PT",6,(IF(E657="AE",1,(IF(E657="CM",2,(IF(E657="DP",3,(IF(E657="AN",1,(IF(E657="CO",2,(IF(E657="IM",3,(IF(E657="MI",4,(IF(E657="RP",5,(IF(E657="SC",6,0)))))))))))))))))))))))))))))))))))))))</f>
        <v>1</v>
      </c>
      <c r="G657" s="170">
        <v>4</v>
      </c>
      <c r="H657" s="38" t="s">
        <v>511</v>
      </c>
      <c r="I657" s="105" t="s">
        <v>821</v>
      </c>
      <c r="J657" s="150" t="s">
        <v>860</v>
      </c>
      <c r="K657" s="79" t="s">
        <v>1283</v>
      </c>
      <c r="L657" s="66">
        <f>IF(O657="","",N657*O657*M657)</f>
        <v>75</v>
      </c>
      <c r="M657" s="8">
        <v>1</v>
      </c>
      <c r="N657" s="3">
        <v>1</v>
      </c>
      <c r="O657" s="15">
        <f>IF(SUM(Q657:AF657)&lt;1,"",SUM(Q657:AF657)/COUNTIF(Q657:AF657,"&gt;0"))</f>
        <v>75</v>
      </c>
      <c r="P657" s="16"/>
      <c r="Q657" s="13"/>
      <c r="T657" s="4">
        <v>75</v>
      </c>
      <c r="U657" s="2"/>
      <c r="V657" s="2"/>
      <c r="W657" s="2"/>
      <c r="X657" s="2"/>
      <c r="Z657" s="2"/>
      <c r="AA657" s="2"/>
      <c r="AF657" s="14"/>
    </row>
    <row r="658" spans="1:32" s="4" customFormat="1" ht="15.75" customHeight="1" x14ac:dyDescent="0.25">
      <c r="A658" s="33" t="str">
        <f>CONCATENATE(D658,".",F658,"-",G658,".",H658,"")</f>
        <v>2.1-4.1</v>
      </c>
      <c r="B658" s="33" t="s">
        <v>814</v>
      </c>
      <c r="C658" s="40" t="s">
        <v>262</v>
      </c>
      <c r="D658" s="33">
        <f>IF(C658="ID",1,(IF(C658="PR",2,(IF(C658="DE",3,(IF(C658="RS",4,(IF(C658="RC",5,0)))))))))</f>
        <v>2</v>
      </c>
      <c r="E658" s="33" t="s">
        <v>257</v>
      </c>
      <c r="F658" s="33">
        <f>IF(E658="AM",1,(IF(E658="BE",2,(IF(E658="GV",3,(IF(E658="RA",4,(IF(E658="RM",5,(IF(E658="AC",1,(IF(E658="AT",2,(IF(E658="DS",3,(IF(E658="IP",4,(IF(E658="MA",5,(IF(E658="PT",6,(IF(E658="AE",1,(IF(E658="CM",2,(IF(E658="DP",3,(IF(E658="AN",1,(IF(E658="CO",2,(IF(E658="IM",3,(IF(E658="MI",4,(IF(E658="RP",5,(IF(E658="SC",6,0)))))))))))))))))))))))))))))))))))))))</f>
        <v>1</v>
      </c>
      <c r="G658" s="171">
        <v>4</v>
      </c>
      <c r="H658" s="38" t="s">
        <v>511</v>
      </c>
      <c r="I658" s="27" t="s">
        <v>936</v>
      </c>
      <c r="J658" s="148" t="s">
        <v>969</v>
      </c>
      <c r="K658" t="s">
        <v>928</v>
      </c>
      <c r="L658" s="66">
        <f>IF(O658="","",N658*O658*M658)</f>
        <v>75</v>
      </c>
      <c r="M658" s="8">
        <v>1</v>
      </c>
      <c r="N658" s="3">
        <v>1</v>
      </c>
      <c r="O658" s="15">
        <f>IF(SUM(Q658:AF658)&lt;1,"",SUM(Q658:AF658)/COUNTIF(Q658:AF658,"&gt;0"))</f>
        <v>75</v>
      </c>
      <c r="P658" s="16"/>
      <c r="Q658" s="13"/>
      <c r="T658" s="4">
        <v>75</v>
      </c>
      <c r="U658" s="2"/>
      <c r="V658" s="2"/>
      <c r="W658" s="2"/>
      <c r="X658" s="2"/>
      <c r="Z658" s="2"/>
      <c r="AA658" s="2"/>
      <c r="AF658" s="14"/>
    </row>
    <row r="659" spans="1:32" s="4" customFormat="1" ht="15.75" customHeight="1" x14ac:dyDescent="0.25">
      <c r="A659" s="33" t="str">
        <f>CONCATENATE(D659,".",F659,"-",G659,".",H659,"")</f>
        <v>2.1-4.1</v>
      </c>
      <c r="B659" s="33" t="s">
        <v>814</v>
      </c>
      <c r="C659" s="39" t="s">
        <v>262</v>
      </c>
      <c r="D659" s="33">
        <f>IF(C659="ID",1,(IF(C659="PR",2,(IF(C659="DE",3,(IF(C659="RS",4,(IF(C659="RC",5,0)))))))))</f>
        <v>2</v>
      </c>
      <c r="E659" s="33" t="s">
        <v>257</v>
      </c>
      <c r="F659" s="33">
        <f>IF(E659="AM",1,(IF(E659="BE",2,(IF(E659="GV",3,(IF(E659="RA",4,(IF(E659="RM",5,(IF(E659="AC",1,(IF(E659="AT",2,(IF(E659="DS",3,(IF(E659="IP",4,(IF(E659="MA",5,(IF(E659="PT",6,(IF(E659="AE",1,(IF(E659="CM",2,(IF(E659="DP",3,(IF(E659="AN",1,(IF(E659="CO",2,(IF(E659="IM",3,(IF(E659="MI",4,(IF(E659="RP",5,(IF(E659="SC",6,0)))))))))))))))))))))))))))))))))))))))</f>
        <v>1</v>
      </c>
      <c r="G659" s="170">
        <v>4</v>
      </c>
      <c r="H659" s="38" t="s">
        <v>511</v>
      </c>
      <c r="I659" s="105" t="s">
        <v>1449</v>
      </c>
      <c r="J659" s="157" t="s">
        <v>1466</v>
      </c>
      <c r="K659" s="34" t="s">
        <v>1467</v>
      </c>
      <c r="L659" s="5">
        <f>IF(O659="","",N659*O659*M659)</f>
        <v>99</v>
      </c>
      <c r="M659" s="8">
        <v>1</v>
      </c>
      <c r="N659" s="1">
        <v>1</v>
      </c>
      <c r="O659" s="15">
        <f>IF(SUM(Q659:AF659)&lt;1,"",SUM(Q659:AF659)/COUNTIF(Q659:AF659,"&gt;0"))</f>
        <v>99</v>
      </c>
      <c r="P659" s="16"/>
      <c r="Q659" s="13"/>
      <c r="T659" s="4">
        <v>99</v>
      </c>
      <c r="U659" s="2"/>
      <c r="V659" s="2"/>
      <c r="W659" s="2"/>
      <c r="X659" s="2"/>
      <c r="Z659" s="2"/>
      <c r="AA659" s="2"/>
      <c r="AF659" s="14"/>
    </row>
    <row r="660" spans="1:32" s="4" customFormat="1" ht="15.75" customHeight="1" x14ac:dyDescent="0.25">
      <c r="A660" s="33" t="str">
        <f>CONCATENATE(D660,".",F660,"-",G660,".",H660,"")</f>
        <v>2.1-4.1</v>
      </c>
      <c r="B660" s="33" t="s">
        <v>814</v>
      </c>
      <c r="C660" s="39" t="s">
        <v>262</v>
      </c>
      <c r="D660" s="33">
        <f>IF(C660="ID",1,(IF(C660="PR",2,(IF(C660="DE",3,(IF(C660="RS",4,(IF(C660="RC",5,0)))))))))</f>
        <v>2</v>
      </c>
      <c r="E660" s="33" t="s">
        <v>257</v>
      </c>
      <c r="F660" s="33">
        <f>IF(E660="AM",1,(IF(E660="BE",2,(IF(E660="GV",3,(IF(E660="RA",4,(IF(E660="RM",5,(IF(E660="AC",1,(IF(E660="AT",2,(IF(E660="DS",3,(IF(E660="IP",4,(IF(E660="MA",5,(IF(E660="PT",6,(IF(E660="AE",1,(IF(E660="CM",2,(IF(E660="DP",3,(IF(E660="AN",1,(IF(E660="CO",2,(IF(E660="IM",3,(IF(E660="MI",4,(IF(E660="RP",5,(IF(E660="SC",6,0)))))))))))))))))))))))))))))))))))))))</f>
        <v>1</v>
      </c>
      <c r="G660" s="170">
        <v>4</v>
      </c>
      <c r="H660" s="38" t="s">
        <v>511</v>
      </c>
      <c r="I660" s="105" t="s">
        <v>1449</v>
      </c>
      <c r="J660" s="157" t="s">
        <v>1468</v>
      </c>
      <c r="K660" s="34" t="s">
        <v>1469</v>
      </c>
      <c r="L660" s="5">
        <f>IF(O660="","",N660*O660*M660)</f>
        <v>99</v>
      </c>
      <c r="M660" s="8">
        <v>1</v>
      </c>
      <c r="N660" s="1">
        <v>1</v>
      </c>
      <c r="O660" s="15">
        <f>IF(SUM(Q660:AF660)&lt;1,"",SUM(Q660:AF660)/COUNTIF(Q660:AF660,"&gt;0"))</f>
        <v>99</v>
      </c>
      <c r="P660" s="16"/>
      <c r="Q660" s="13"/>
      <c r="T660" s="4">
        <v>99</v>
      </c>
      <c r="U660" s="2"/>
      <c r="V660" s="2"/>
      <c r="W660" s="2"/>
      <c r="X660" s="2"/>
      <c r="Z660" s="2"/>
      <c r="AA660" s="2"/>
      <c r="AF660" s="14"/>
    </row>
    <row r="661" spans="1:32" s="4" customFormat="1" ht="15.75" customHeight="1" x14ac:dyDescent="0.25">
      <c r="A661" s="33" t="str">
        <f>CONCATENATE(D661,".",F661,"-",G661,".",H661,"")</f>
        <v>2.1-4.1</v>
      </c>
      <c r="B661" s="33" t="s">
        <v>814</v>
      </c>
      <c r="C661" s="39" t="s">
        <v>262</v>
      </c>
      <c r="D661" s="33">
        <f>IF(C661="ID",1,(IF(C661="PR",2,(IF(C661="DE",3,(IF(C661="RS",4,(IF(C661="RC",5,0)))))))))</f>
        <v>2</v>
      </c>
      <c r="E661" s="33" t="s">
        <v>257</v>
      </c>
      <c r="F661" s="33">
        <f>IF(E661="AM",1,(IF(E661="BE",2,(IF(E661="GV",3,(IF(E661="RA",4,(IF(E661="RM",5,(IF(E661="AC",1,(IF(E661="AT",2,(IF(E661="DS",3,(IF(E661="IP",4,(IF(E661="MA",5,(IF(E661="PT",6,(IF(E661="AE",1,(IF(E661="CM",2,(IF(E661="DP",3,(IF(E661="AN",1,(IF(E661="CO",2,(IF(E661="IM",3,(IF(E661="MI",4,(IF(E661="RP",5,(IF(E661="SC",6,0)))))))))))))))))))))))))))))))))))))))</f>
        <v>1</v>
      </c>
      <c r="G661" s="170">
        <v>4</v>
      </c>
      <c r="H661" s="38" t="s">
        <v>511</v>
      </c>
      <c r="I661" s="105" t="s">
        <v>1449</v>
      </c>
      <c r="J661" s="157" t="s">
        <v>1470</v>
      </c>
      <c r="K661" s="34" t="s">
        <v>1471</v>
      </c>
      <c r="L661" s="5">
        <f>IF(O661="","",N661*O661*M661)</f>
        <v>99</v>
      </c>
      <c r="M661" s="8">
        <v>1</v>
      </c>
      <c r="N661" s="1">
        <v>1</v>
      </c>
      <c r="O661" s="15">
        <f>IF(SUM(Q661:AF661)&lt;1,"",SUM(Q661:AF661)/COUNTIF(Q661:AF661,"&gt;0"))</f>
        <v>99</v>
      </c>
      <c r="P661" s="16"/>
      <c r="Q661" s="13"/>
      <c r="T661" s="4">
        <v>99</v>
      </c>
      <c r="U661" s="2"/>
      <c r="V661" s="2"/>
      <c r="W661" s="2"/>
      <c r="X661" s="2"/>
      <c r="Z661" s="2"/>
      <c r="AA661" s="2"/>
      <c r="AF661" s="14"/>
    </row>
    <row r="662" spans="1:32" s="4" customFormat="1" ht="15.75" customHeight="1" x14ac:dyDescent="0.25">
      <c r="A662" s="33" t="str">
        <f>CONCATENATE(D662,".",F662,"-",G662,".",H662,"")</f>
        <v>2.1-4.1</v>
      </c>
      <c r="B662" s="33" t="s">
        <v>814</v>
      </c>
      <c r="C662" s="39" t="s">
        <v>262</v>
      </c>
      <c r="D662" s="33">
        <f>IF(C662="ID",1,(IF(C662="PR",2,(IF(C662="DE",3,(IF(C662="RS",4,(IF(C662="RC",5,0)))))))))</f>
        <v>2</v>
      </c>
      <c r="E662" s="33" t="s">
        <v>257</v>
      </c>
      <c r="F662" s="33">
        <f>IF(E662="AM",1,(IF(E662="BE",2,(IF(E662="GV",3,(IF(E662="RA",4,(IF(E662="RM",5,(IF(E662="AC",1,(IF(E662="AT",2,(IF(E662="DS",3,(IF(E662="IP",4,(IF(E662="MA",5,(IF(E662="PT",6,(IF(E662="AE",1,(IF(E662="CM",2,(IF(E662="DP",3,(IF(E662="AN",1,(IF(E662="CO",2,(IF(E662="IM",3,(IF(E662="MI",4,(IF(E662="RP",5,(IF(E662="SC",6,0)))))))))))))))))))))))))))))))))))))))</f>
        <v>1</v>
      </c>
      <c r="G662" s="170">
        <v>4</v>
      </c>
      <c r="H662" s="38" t="s">
        <v>511</v>
      </c>
      <c r="I662" s="105" t="s">
        <v>1449</v>
      </c>
      <c r="J662" s="157" t="s">
        <v>1474</v>
      </c>
      <c r="K662" s="34" t="s">
        <v>1475</v>
      </c>
      <c r="L662" s="5">
        <f>IF(O662="","",N662*O662*M662)</f>
        <v>99</v>
      </c>
      <c r="M662" s="8">
        <v>1</v>
      </c>
      <c r="N662" s="1">
        <v>1</v>
      </c>
      <c r="O662" s="15">
        <f>IF(SUM(Q662:AF662)&lt;1,"",SUM(Q662:AF662)/COUNTIF(Q662:AF662,"&gt;0"))</f>
        <v>99</v>
      </c>
      <c r="P662" s="16"/>
      <c r="Q662" s="13"/>
      <c r="T662" s="4">
        <v>99</v>
      </c>
      <c r="U662" s="2"/>
      <c r="V662" s="2"/>
      <c r="W662" s="2"/>
      <c r="X662" s="2"/>
      <c r="Z662" s="2"/>
      <c r="AA662" s="2"/>
      <c r="AF662" s="14"/>
    </row>
    <row r="663" spans="1:32" s="4" customFormat="1" ht="15.75" customHeight="1" x14ac:dyDescent="0.25">
      <c r="A663" s="33" t="str">
        <f>CONCATENATE(D663,".",F663,"-",G663,".",H663,"")</f>
        <v>2.1-4.1</v>
      </c>
      <c r="B663" s="33" t="s">
        <v>814</v>
      </c>
      <c r="C663" s="39" t="s">
        <v>262</v>
      </c>
      <c r="D663" s="33">
        <f>IF(C663="ID",1,(IF(C663="PR",2,(IF(C663="DE",3,(IF(C663="RS",4,(IF(C663="RC",5,0)))))))))</f>
        <v>2</v>
      </c>
      <c r="E663" s="33" t="s">
        <v>257</v>
      </c>
      <c r="F663" s="33">
        <f>IF(E663="AM",1,(IF(E663="BE",2,(IF(E663="GV",3,(IF(E663="RA",4,(IF(E663="RM",5,(IF(E663="AC",1,(IF(E663="AT",2,(IF(E663="DS",3,(IF(E663="IP",4,(IF(E663="MA",5,(IF(E663="PT",6,(IF(E663="AE",1,(IF(E663="CM",2,(IF(E663="DP",3,(IF(E663="AN",1,(IF(E663="CO",2,(IF(E663="IM",3,(IF(E663="MI",4,(IF(E663="RP",5,(IF(E663="SC",6,0)))))))))))))))))))))))))))))))))))))))</f>
        <v>1</v>
      </c>
      <c r="G663" s="170">
        <v>4</v>
      </c>
      <c r="H663" s="38" t="s">
        <v>511</v>
      </c>
      <c r="I663" s="105" t="s">
        <v>1449</v>
      </c>
      <c r="J663" s="157" t="s">
        <v>1492</v>
      </c>
      <c r="K663" s="34" t="s">
        <v>1493</v>
      </c>
      <c r="L663" s="5">
        <f>IF(O663="","",N663*O663*M663)</f>
        <v>99</v>
      </c>
      <c r="M663" s="8">
        <v>1</v>
      </c>
      <c r="N663" s="1">
        <v>1</v>
      </c>
      <c r="O663" s="15">
        <f>IF(SUM(Q663:AF663)&lt;1,"",SUM(Q663:AF663)/COUNTIF(Q663:AF663,"&gt;0"))</f>
        <v>99</v>
      </c>
      <c r="P663" s="16"/>
      <c r="Q663" s="13"/>
      <c r="T663" s="4">
        <v>99</v>
      </c>
      <c r="U663" s="2"/>
      <c r="V663" s="2"/>
      <c r="W663" s="2"/>
      <c r="X663" s="2"/>
      <c r="Z663" s="2"/>
      <c r="AA663" s="2"/>
      <c r="AF663" s="14"/>
    </row>
    <row r="664" spans="1:32" s="4" customFormat="1" ht="15.75" customHeight="1" x14ac:dyDescent="0.25">
      <c r="A664" s="33" t="str">
        <f>CONCATENATE(D664,".",F664,"-",G664,".",H664,"")</f>
        <v>2.1-4.1</v>
      </c>
      <c r="B664" s="33" t="s">
        <v>814</v>
      </c>
      <c r="C664" s="39" t="s">
        <v>262</v>
      </c>
      <c r="D664" s="33">
        <f>IF(C664="ID",1,(IF(C664="PR",2,(IF(C664="DE",3,(IF(C664="RS",4,(IF(C664="RC",5,0)))))))))</f>
        <v>2</v>
      </c>
      <c r="E664" s="33" t="s">
        <v>257</v>
      </c>
      <c r="F664" s="33">
        <f>IF(E664="AM",1,(IF(E664="BE",2,(IF(E664="GV",3,(IF(E664="RA",4,(IF(E664="RM",5,(IF(E664="AC",1,(IF(E664="AT",2,(IF(E664="DS",3,(IF(E664="IP",4,(IF(E664="MA",5,(IF(E664="PT",6,(IF(E664="AE",1,(IF(E664="CM",2,(IF(E664="DP",3,(IF(E664="AN",1,(IF(E664="CO",2,(IF(E664="IM",3,(IF(E664="MI",4,(IF(E664="RP",5,(IF(E664="SC",6,0)))))))))))))))))))))))))))))))))))))))</f>
        <v>1</v>
      </c>
      <c r="G664" s="170">
        <v>4</v>
      </c>
      <c r="H664" s="38" t="s">
        <v>511</v>
      </c>
      <c r="I664" s="105" t="s">
        <v>1449</v>
      </c>
      <c r="J664" s="157" t="s">
        <v>1520</v>
      </c>
      <c r="K664" s="34" t="s">
        <v>1521</v>
      </c>
      <c r="L664" s="5">
        <f>IF(O664="","",N664*O664*M664)</f>
        <v>99</v>
      </c>
      <c r="M664" s="8">
        <v>1</v>
      </c>
      <c r="N664" s="1">
        <v>1</v>
      </c>
      <c r="O664" s="15">
        <f>IF(SUM(Q664:AF664)&lt;1,"",SUM(Q664:AF664)/COUNTIF(Q664:AF664,"&gt;0"))</f>
        <v>99</v>
      </c>
      <c r="P664" s="16"/>
      <c r="Q664" s="13"/>
      <c r="T664" s="4">
        <v>99</v>
      </c>
      <c r="U664" s="2"/>
      <c r="V664" s="2"/>
      <c r="W664" s="2"/>
      <c r="X664" s="2"/>
      <c r="Z664" s="2"/>
      <c r="AA664" s="2"/>
      <c r="AF664" s="14"/>
    </row>
    <row r="665" spans="1:32" s="4" customFormat="1" ht="15.75" customHeight="1" x14ac:dyDescent="0.25">
      <c r="A665" s="33" t="str">
        <f>CONCATENATE(D665,".",F665,"-",G665,".",H665,"")</f>
        <v>2.1-4.1</v>
      </c>
      <c r="B665" s="33" t="s">
        <v>814</v>
      </c>
      <c r="C665" s="39" t="s">
        <v>262</v>
      </c>
      <c r="D665" s="33">
        <f>IF(C665="ID",1,(IF(C665="PR",2,(IF(C665="DE",3,(IF(C665="RS",4,(IF(C665="RC",5,0)))))))))</f>
        <v>2</v>
      </c>
      <c r="E665" s="33" t="s">
        <v>257</v>
      </c>
      <c r="F665" s="33">
        <f>IF(E665="AM",1,(IF(E665="BE",2,(IF(E665="GV",3,(IF(E665="RA",4,(IF(E665="RM",5,(IF(E665="AC",1,(IF(E665="AT",2,(IF(E665="DS",3,(IF(E665="IP",4,(IF(E665="MA",5,(IF(E665="PT",6,(IF(E665="AE",1,(IF(E665="CM",2,(IF(E665="DP",3,(IF(E665="AN",1,(IF(E665="CO",2,(IF(E665="IM",3,(IF(E665="MI",4,(IF(E665="RP",5,(IF(E665="SC",6,0)))))))))))))))))))))))))))))))))))))))</f>
        <v>1</v>
      </c>
      <c r="G665" s="170">
        <v>4</v>
      </c>
      <c r="H665" s="38" t="s">
        <v>511</v>
      </c>
      <c r="I665" s="105" t="s">
        <v>1449</v>
      </c>
      <c r="J665" s="157" t="s">
        <v>1568</v>
      </c>
      <c r="K665" s="34" t="s">
        <v>1569</v>
      </c>
      <c r="L665" s="5">
        <f>IF(O665="","",N665*O665*M665)</f>
        <v>99</v>
      </c>
      <c r="M665" s="8">
        <v>1</v>
      </c>
      <c r="N665" s="1">
        <v>1</v>
      </c>
      <c r="O665" s="15">
        <f>IF(SUM(Q665:AF665)&lt;1,"",SUM(Q665:AF665)/COUNTIF(Q665:AF665,"&gt;0"))</f>
        <v>99</v>
      </c>
      <c r="P665" s="16"/>
      <c r="Q665" s="13"/>
      <c r="T665" s="4">
        <v>99</v>
      </c>
      <c r="U665" s="2"/>
      <c r="V665" s="2"/>
      <c r="W665" s="2"/>
      <c r="X665" s="2"/>
      <c r="Z665" s="2"/>
      <c r="AA665" s="2"/>
      <c r="AF665" s="14"/>
    </row>
    <row r="666" spans="1:32" s="4" customFormat="1" ht="15.75" customHeight="1" x14ac:dyDescent="0.25">
      <c r="A666" s="33" t="str">
        <f>CONCATENATE(D666,".",F666,"-",G666,".",H666,"")</f>
        <v>2.1-4.1</v>
      </c>
      <c r="B666" s="33" t="s">
        <v>814</v>
      </c>
      <c r="C666" s="39" t="s">
        <v>262</v>
      </c>
      <c r="D666" s="33">
        <f>IF(C666="ID",1,(IF(C666="PR",2,(IF(C666="DE",3,(IF(C666="RS",4,(IF(C666="RC",5,0)))))))))</f>
        <v>2</v>
      </c>
      <c r="E666" s="33" t="s">
        <v>257</v>
      </c>
      <c r="F666" s="33">
        <f>IF(E666="AM",1,(IF(E666="BE",2,(IF(E666="GV",3,(IF(E666="RA",4,(IF(E666="RM",5,(IF(E666="AC",1,(IF(E666="AT",2,(IF(E666="DS",3,(IF(E666="IP",4,(IF(E666="MA",5,(IF(E666="PT",6,(IF(E666="AE",1,(IF(E666="CM",2,(IF(E666="DP",3,(IF(E666="AN",1,(IF(E666="CO",2,(IF(E666="IM",3,(IF(E666="MI",4,(IF(E666="RP",5,(IF(E666="SC",6,0)))))))))))))))))))))))))))))))))))))))</f>
        <v>1</v>
      </c>
      <c r="G666" s="170">
        <v>4</v>
      </c>
      <c r="H666" s="38" t="s">
        <v>511</v>
      </c>
      <c r="I666" s="105" t="s">
        <v>1449</v>
      </c>
      <c r="J666" s="157" t="s">
        <v>1574</v>
      </c>
      <c r="K666" s="34" t="s">
        <v>1575</v>
      </c>
      <c r="L666" s="5">
        <f>IF(O666="","",N666*O666*M666)</f>
        <v>99</v>
      </c>
      <c r="M666" s="8">
        <v>1</v>
      </c>
      <c r="N666" s="1">
        <v>1</v>
      </c>
      <c r="O666" s="15">
        <f>IF(SUM(Q666:AF666)&lt;1,"",SUM(Q666:AF666)/COUNTIF(Q666:AF666,"&gt;0"))</f>
        <v>99</v>
      </c>
      <c r="P666" s="16"/>
      <c r="Q666" s="13"/>
      <c r="T666" s="4">
        <v>99</v>
      </c>
      <c r="U666" s="2"/>
      <c r="V666" s="2"/>
      <c r="W666" s="2"/>
      <c r="X666" s="2"/>
      <c r="Z666" s="2"/>
      <c r="AA666" s="2"/>
      <c r="AF666" s="14"/>
    </row>
    <row r="667" spans="1:32" s="4" customFormat="1" ht="15.75" customHeight="1" x14ac:dyDescent="0.25">
      <c r="A667" s="33" t="str">
        <f>CONCATENATE(D667,".",F667,"-",G667,".",H667,"")</f>
        <v>2.1-4.1</v>
      </c>
      <c r="B667" s="33" t="s">
        <v>814</v>
      </c>
      <c r="C667" s="39" t="s">
        <v>262</v>
      </c>
      <c r="D667" s="33">
        <f>IF(C667="ID",1,(IF(C667="PR",2,(IF(C667="DE",3,(IF(C667="RS",4,(IF(C667="RC",5,0)))))))))</f>
        <v>2</v>
      </c>
      <c r="E667" s="33" t="s">
        <v>257</v>
      </c>
      <c r="F667" s="33">
        <f>IF(E667="AM",1,(IF(E667="BE",2,(IF(E667="GV",3,(IF(E667="RA",4,(IF(E667="RM",5,(IF(E667="AC",1,(IF(E667="AT",2,(IF(E667="DS",3,(IF(E667="IP",4,(IF(E667="MA",5,(IF(E667="PT",6,(IF(E667="AE",1,(IF(E667="CM",2,(IF(E667="DP",3,(IF(E667="AN",1,(IF(E667="CO",2,(IF(E667="IM",3,(IF(E667="MI",4,(IF(E667="RP",5,(IF(E667="SC",6,0)))))))))))))))))))))))))))))))))))))))</f>
        <v>1</v>
      </c>
      <c r="G667" s="170">
        <v>4</v>
      </c>
      <c r="H667" s="38" t="s">
        <v>511</v>
      </c>
      <c r="I667" s="105" t="s">
        <v>1449</v>
      </c>
      <c r="J667" s="157" t="s">
        <v>1576</v>
      </c>
      <c r="K667" s="34" t="s">
        <v>1577</v>
      </c>
      <c r="L667" s="5">
        <f>IF(O667="","",N667*O667*M667)</f>
        <v>99</v>
      </c>
      <c r="M667" s="8">
        <v>1</v>
      </c>
      <c r="N667" s="1">
        <v>1</v>
      </c>
      <c r="O667" s="15">
        <f>IF(SUM(Q667:AF667)&lt;1,"",SUM(Q667:AF667)/COUNTIF(Q667:AF667,"&gt;0"))</f>
        <v>99</v>
      </c>
      <c r="P667" s="16"/>
      <c r="Q667" s="13"/>
      <c r="T667" s="4">
        <v>99</v>
      </c>
      <c r="U667" s="2"/>
      <c r="V667" s="2"/>
      <c r="W667" s="2"/>
      <c r="X667" s="2"/>
      <c r="Z667" s="2"/>
      <c r="AA667" s="2"/>
      <c r="AF667" s="14"/>
    </row>
    <row r="668" spans="1:32" s="4" customFormat="1" ht="15.75" customHeight="1" x14ac:dyDescent="0.25">
      <c r="A668" s="33" t="str">
        <f>CONCATENATE(D668,".",F668,"-",G668,".",H668,"")</f>
        <v>2.1-4.1</v>
      </c>
      <c r="B668" s="33" t="s">
        <v>814</v>
      </c>
      <c r="C668" s="39" t="s">
        <v>262</v>
      </c>
      <c r="D668" s="33">
        <f>IF(C668="ID",1,(IF(C668="PR",2,(IF(C668="DE",3,(IF(C668="RS",4,(IF(C668="RC",5,0)))))))))</f>
        <v>2</v>
      </c>
      <c r="E668" s="33" t="s">
        <v>257</v>
      </c>
      <c r="F668" s="33">
        <f>IF(E668="AM",1,(IF(E668="BE",2,(IF(E668="GV",3,(IF(E668="RA",4,(IF(E668="RM",5,(IF(E668="AC",1,(IF(E668="AT",2,(IF(E668="DS",3,(IF(E668="IP",4,(IF(E668="MA",5,(IF(E668="PT",6,(IF(E668="AE",1,(IF(E668="CM",2,(IF(E668="DP",3,(IF(E668="AN",1,(IF(E668="CO",2,(IF(E668="IM",3,(IF(E668="MI",4,(IF(E668="RP",5,(IF(E668="SC",6,0)))))))))))))))))))))))))))))))))))))))</f>
        <v>1</v>
      </c>
      <c r="G668" s="170">
        <v>4</v>
      </c>
      <c r="H668" s="38" t="s">
        <v>511</v>
      </c>
      <c r="I668" s="105" t="s">
        <v>1449</v>
      </c>
      <c r="J668" s="157" t="s">
        <v>1632</v>
      </c>
      <c r="K668" s="34" t="s">
        <v>1633</v>
      </c>
      <c r="L668" s="5">
        <f>IF(O668="","",N668*O668*M668)</f>
        <v>99</v>
      </c>
      <c r="M668" s="8">
        <v>1</v>
      </c>
      <c r="N668" s="1">
        <v>1</v>
      </c>
      <c r="O668" s="15">
        <f>IF(SUM(Q668:AF668)&lt;1,"",SUM(Q668:AF668)/COUNTIF(Q668:AF668,"&gt;0"))</f>
        <v>99</v>
      </c>
      <c r="P668" s="16"/>
      <c r="Q668" s="13"/>
      <c r="T668" s="4">
        <v>99</v>
      </c>
      <c r="U668" s="2"/>
      <c r="V668" s="2"/>
      <c r="W668" s="2"/>
      <c r="X668" s="2"/>
      <c r="Z668" s="2"/>
      <c r="AA668" s="2"/>
      <c r="AF668" s="14"/>
    </row>
    <row r="669" spans="1:32" s="4" customFormat="1" ht="15.75" customHeight="1" x14ac:dyDescent="0.25">
      <c r="A669" s="33" t="str">
        <f>CONCATENATE(D669,".",F669,"-",G669,".",H669,"")</f>
        <v>2.1-4.1</v>
      </c>
      <c r="B669" s="33" t="s">
        <v>814</v>
      </c>
      <c r="C669" s="39" t="s">
        <v>262</v>
      </c>
      <c r="D669" s="33">
        <f>IF(C669="ID",1,(IF(C669="PR",2,(IF(C669="DE",3,(IF(C669="RS",4,(IF(C669="RC",5,0)))))))))</f>
        <v>2</v>
      </c>
      <c r="E669" s="33" t="s">
        <v>257</v>
      </c>
      <c r="F669" s="33">
        <f>IF(E669="AM",1,(IF(E669="BE",2,(IF(E669="GV",3,(IF(E669="RA",4,(IF(E669="RM",5,(IF(E669="AC",1,(IF(E669="AT",2,(IF(E669="DS",3,(IF(E669="IP",4,(IF(E669="MA",5,(IF(E669="PT",6,(IF(E669="AE",1,(IF(E669="CM",2,(IF(E669="DP",3,(IF(E669="AN",1,(IF(E669="CO",2,(IF(E669="IM",3,(IF(E669="MI",4,(IF(E669="RP",5,(IF(E669="SC",6,0)))))))))))))))))))))))))))))))))))))))</f>
        <v>1</v>
      </c>
      <c r="G669" s="170">
        <v>4</v>
      </c>
      <c r="H669" s="38" t="s">
        <v>511</v>
      </c>
      <c r="I669" s="105" t="s">
        <v>1449</v>
      </c>
      <c r="J669" s="157" t="s">
        <v>1634</v>
      </c>
      <c r="K669" s="34" t="s">
        <v>1635</v>
      </c>
      <c r="L669" s="5">
        <f>IF(O669="","",N669*O669*M669)</f>
        <v>99</v>
      </c>
      <c r="M669" s="8">
        <v>1</v>
      </c>
      <c r="N669" s="1">
        <v>1</v>
      </c>
      <c r="O669" s="15">
        <f>IF(SUM(Q669:AF669)&lt;1,"",SUM(Q669:AF669)/COUNTIF(Q669:AF669,"&gt;0"))</f>
        <v>99</v>
      </c>
      <c r="P669" s="16"/>
      <c r="Q669" s="13"/>
      <c r="T669" s="4">
        <v>99</v>
      </c>
      <c r="U669" s="2"/>
      <c r="V669" s="2"/>
      <c r="W669" s="2"/>
      <c r="X669" s="2"/>
      <c r="Z669" s="2"/>
      <c r="AA669" s="2"/>
      <c r="AF669" s="14"/>
    </row>
    <row r="670" spans="1:32" s="4" customFormat="1" ht="15.75" customHeight="1" x14ac:dyDescent="0.25">
      <c r="A670" s="33" t="str">
        <f>CONCATENATE(D670,".",F670,"-",G670,".",H670,"")</f>
        <v>2.1-4.1</v>
      </c>
      <c r="B670" s="33" t="s">
        <v>814</v>
      </c>
      <c r="C670" s="39" t="s">
        <v>262</v>
      </c>
      <c r="D670" s="33">
        <f>IF(C670="ID",1,(IF(C670="PR",2,(IF(C670="DE",3,(IF(C670="RS",4,(IF(C670="RC",5,0)))))))))</f>
        <v>2</v>
      </c>
      <c r="E670" s="33" t="s">
        <v>257</v>
      </c>
      <c r="F670" s="33">
        <f>IF(E670="AM",1,(IF(E670="BE",2,(IF(E670="GV",3,(IF(E670="RA",4,(IF(E670="RM",5,(IF(E670="AC",1,(IF(E670="AT",2,(IF(E670="DS",3,(IF(E670="IP",4,(IF(E670="MA",5,(IF(E670="PT",6,(IF(E670="AE",1,(IF(E670="CM",2,(IF(E670="DP",3,(IF(E670="AN",1,(IF(E670="CO",2,(IF(E670="IM",3,(IF(E670="MI",4,(IF(E670="RP",5,(IF(E670="SC",6,0)))))))))))))))))))))))))))))))))))))))</f>
        <v>1</v>
      </c>
      <c r="G670" s="170">
        <v>4</v>
      </c>
      <c r="H670" s="38" t="s">
        <v>511</v>
      </c>
      <c r="I670" s="105" t="s">
        <v>1449</v>
      </c>
      <c r="J670" s="157" t="s">
        <v>1636</v>
      </c>
      <c r="K670" s="34" t="s">
        <v>1637</v>
      </c>
      <c r="L670" s="5">
        <f>IF(O670="","",N670*O670*M670)</f>
        <v>99</v>
      </c>
      <c r="M670" s="8">
        <v>1</v>
      </c>
      <c r="N670" s="1">
        <v>1</v>
      </c>
      <c r="O670" s="15">
        <f>IF(SUM(Q670:AF670)&lt;1,"",SUM(Q670:AF670)/COUNTIF(Q670:AF670,"&gt;0"))</f>
        <v>99</v>
      </c>
      <c r="P670" s="16"/>
      <c r="Q670" s="13"/>
      <c r="T670" s="4">
        <v>99</v>
      </c>
      <c r="U670" s="2"/>
      <c r="V670" s="2"/>
      <c r="W670" s="2"/>
      <c r="X670" s="2"/>
      <c r="Z670" s="2"/>
      <c r="AA670" s="2"/>
      <c r="AF670" s="14"/>
    </row>
    <row r="671" spans="1:32" s="4" customFormat="1" ht="15.75" customHeight="1" x14ac:dyDescent="0.25">
      <c r="A671" s="33" t="str">
        <f>CONCATENATE(D671,".",F671,"-",G671,".",H671,"")</f>
        <v>2.1-4.1</v>
      </c>
      <c r="B671" s="33" t="s">
        <v>814</v>
      </c>
      <c r="C671" s="39" t="s">
        <v>262</v>
      </c>
      <c r="D671" s="33">
        <f>IF(C671="ID",1,(IF(C671="PR",2,(IF(C671="DE",3,(IF(C671="RS",4,(IF(C671="RC",5,0)))))))))</f>
        <v>2</v>
      </c>
      <c r="E671" s="33" t="s">
        <v>257</v>
      </c>
      <c r="F671" s="33">
        <f>IF(E671="AM",1,(IF(E671="BE",2,(IF(E671="GV",3,(IF(E671="RA",4,(IF(E671="RM",5,(IF(E671="AC",1,(IF(E671="AT",2,(IF(E671="DS",3,(IF(E671="IP",4,(IF(E671="MA",5,(IF(E671="PT",6,(IF(E671="AE",1,(IF(E671="CM",2,(IF(E671="DP",3,(IF(E671="AN",1,(IF(E671="CO",2,(IF(E671="IM",3,(IF(E671="MI",4,(IF(E671="RP",5,(IF(E671="SC",6,0)))))))))))))))))))))))))))))))))))))))</f>
        <v>1</v>
      </c>
      <c r="G671" s="170">
        <v>4</v>
      </c>
      <c r="H671" s="38" t="s">
        <v>511</v>
      </c>
      <c r="I671" s="105" t="s">
        <v>1449</v>
      </c>
      <c r="J671" s="157" t="s">
        <v>1638</v>
      </c>
      <c r="K671" s="34" t="s">
        <v>1639</v>
      </c>
      <c r="L671" s="5">
        <f>IF(O671="","",N671*O671*M671)</f>
        <v>99</v>
      </c>
      <c r="M671" s="8">
        <v>1</v>
      </c>
      <c r="N671" s="1">
        <v>1</v>
      </c>
      <c r="O671" s="15">
        <f>IF(SUM(Q671:AF671)&lt;1,"",SUM(Q671:AF671)/COUNTIF(Q671:AF671,"&gt;0"))</f>
        <v>99</v>
      </c>
      <c r="P671" s="16"/>
      <c r="Q671" s="13"/>
      <c r="T671" s="4">
        <v>99</v>
      </c>
      <c r="U671" s="2"/>
      <c r="V671" s="2"/>
      <c r="W671" s="2"/>
      <c r="X671" s="2"/>
      <c r="Z671" s="2"/>
      <c r="AA671" s="2"/>
      <c r="AF671" s="14"/>
    </row>
    <row r="672" spans="1:32" s="4" customFormat="1" ht="15.75" customHeight="1" x14ac:dyDescent="0.25">
      <c r="A672" s="33" t="str">
        <f>CONCATENATE(D672,".",F672,"-",G672,".",H672,"")</f>
        <v>2.1-4.1</v>
      </c>
      <c r="B672" s="33" t="s">
        <v>814</v>
      </c>
      <c r="C672" s="39" t="s">
        <v>262</v>
      </c>
      <c r="D672" s="33">
        <f>IF(C672="ID",1,(IF(C672="PR",2,(IF(C672="DE",3,(IF(C672="RS",4,(IF(C672="RC",5,0)))))))))</f>
        <v>2</v>
      </c>
      <c r="E672" s="33" t="s">
        <v>257</v>
      </c>
      <c r="F672" s="33">
        <f>IF(E672="AM",1,(IF(E672="BE",2,(IF(E672="GV",3,(IF(E672="RA",4,(IF(E672="RM",5,(IF(E672="AC",1,(IF(E672="AT",2,(IF(E672="DS",3,(IF(E672="IP",4,(IF(E672="MA",5,(IF(E672="PT",6,(IF(E672="AE",1,(IF(E672="CM",2,(IF(E672="DP",3,(IF(E672="AN",1,(IF(E672="CO",2,(IF(E672="IM",3,(IF(E672="MI",4,(IF(E672="RP",5,(IF(E672="SC",6,0)))))))))))))))))))))))))))))))))))))))</f>
        <v>1</v>
      </c>
      <c r="G672" s="170">
        <v>4</v>
      </c>
      <c r="H672" s="38" t="s">
        <v>511</v>
      </c>
      <c r="I672" s="105" t="s">
        <v>1449</v>
      </c>
      <c r="J672" s="157" t="s">
        <v>1644</v>
      </c>
      <c r="K672" s="34" t="s">
        <v>1645</v>
      </c>
      <c r="L672" s="5">
        <f>IF(O672="","",N672*O672*M672)</f>
        <v>99</v>
      </c>
      <c r="M672" s="8">
        <v>1</v>
      </c>
      <c r="N672" s="1">
        <v>1</v>
      </c>
      <c r="O672" s="15">
        <f>IF(SUM(Q672:AF672)&lt;1,"",SUM(Q672:AF672)/COUNTIF(Q672:AF672,"&gt;0"))</f>
        <v>99</v>
      </c>
      <c r="P672" s="16"/>
      <c r="Q672" s="13"/>
      <c r="T672" s="4">
        <v>99</v>
      </c>
      <c r="U672" s="2"/>
      <c r="V672" s="2"/>
      <c r="W672" s="2"/>
      <c r="X672" s="2"/>
      <c r="Z672" s="2"/>
      <c r="AA672" s="2"/>
      <c r="AF672" s="14"/>
    </row>
    <row r="673" spans="1:32" s="4" customFormat="1" ht="15.75" customHeight="1" x14ac:dyDescent="0.25">
      <c r="A673" s="33" t="str">
        <f>CONCATENATE(D673,".",F673,"-",G673,".",H673,"")</f>
        <v>2.1-4.1</v>
      </c>
      <c r="B673" s="33" t="s">
        <v>814</v>
      </c>
      <c r="C673" s="39" t="s">
        <v>262</v>
      </c>
      <c r="D673" s="33">
        <f>IF(C673="ID",1,(IF(C673="PR",2,(IF(C673="DE",3,(IF(C673="RS",4,(IF(C673="RC",5,0)))))))))</f>
        <v>2</v>
      </c>
      <c r="E673" s="33" t="s">
        <v>257</v>
      </c>
      <c r="F673" s="33">
        <f>IF(E673="AM",1,(IF(E673="BE",2,(IF(E673="GV",3,(IF(E673="RA",4,(IF(E673="RM",5,(IF(E673="AC",1,(IF(E673="AT",2,(IF(E673="DS",3,(IF(E673="IP",4,(IF(E673="MA",5,(IF(E673="PT",6,(IF(E673="AE",1,(IF(E673="CM",2,(IF(E673="DP",3,(IF(E673="AN",1,(IF(E673="CO",2,(IF(E673="IM",3,(IF(E673="MI",4,(IF(E673="RP",5,(IF(E673="SC",6,0)))))))))))))))))))))))))))))))))))))))</f>
        <v>1</v>
      </c>
      <c r="G673" s="170">
        <v>4</v>
      </c>
      <c r="H673" s="38" t="s">
        <v>511</v>
      </c>
      <c r="I673" s="105" t="s">
        <v>1449</v>
      </c>
      <c r="J673" s="157" t="s">
        <v>1646</v>
      </c>
      <c r="K673" s="34" t="s">
        <v>1647</v>
      </c>
      <c r="L673" s="5">
        <f>IF(O673="","",N673*O673*M673)</f>
        <v>99</v>
      </c>
      <c r="M673" s="8">
        <v>1</v>
      </c>
      <c r="N673" s="1">
        <v>1</v>
      </c>
      <c r="O673" s="15">
        <f>IF(SUM(Q673:AF673)&lt;1,"",SUM(Q673:AF673)/COUNTIF(Q673:AF673,"&gt;0"))</f>
        <v>99</v>
      </c>
      <c r="P673" s="16"/>
      <c r="Q673" s="13"/>
      <c r="T673" s="4">
        <v>99</v>
      </c>
      <c r="U673" s="2"/>
      <c r="V673" s="2"/>
      <c r="W673" s="2"/>
      <c r="X673" s="2"/>
      <c r="Z673" s="2"/>
      <c r="AA673" s="2"/>
      <c r="AF673" s="14"/>
    </row>
    <row r="674" spans="1:32" s="4" customFormat="1" ht="15.75" customHeight="1" x14ac:dyDescent="0.25">
      <c r="A674" s="33" t="str">
        <f>CONCATENATE(D674,".",F674,"-",G674,".",H674,"")</f>
        <v>2.1-4.1</v>
      </c>
      <c r="B674" s="33" t="s">
        <v>814</v>
      </c>
      <c r="C674" s="39" t="s">
        <v>262</v>
      </c>
      <c r="D674" s="33">
        <f>IF(C674="ID",1,(IF(C674="PR",2,(IF(C674="DE",3,(IF(C674="RS",4,(IF(C674="RC",5,0)))))))))</f>
        <v>2</v>
      </c>
      <c r="E674" s="33" t="s">
        <v>257</v>
      </c>
      <c r="F674" s="33">
        <f>IF(E674="AM",1,(IF(E674="BE",2,(IF(E674="GV",3,(IF(E674="RA",4,(IF(E674="RM",5,(IF(E674="AC",1,(IF(E674="AT",2,(IF(E674="DS",3,(IF(E674="IP",4,(IF(E674="MA",5,(IF(E674="PT",6,(IF(E674="AE",1,(IF(E674="CM",2,(IF(E674="DP",3,(IF(E674="AN",1,(IF(E674="CO",2,(IF(E674="IM",3,(IF(E674="MI",4,(IF(E674="RP",5,(IF(E674="SC",6,0)))))))))))))))))))))))))))))))))))))))</f>
        <v>1</v>
      </c>
      <c r="G674" s="170">
        <v>4</v>
      </c>
      <c r="H674" s="38" t="s">
        <v>511</v>
      </c>
      <c r="I674" s="105" t="s">
        <v>1449</v>
      </c>
      <c r="J674" s="157" t="s">
        <v>1650</v>
      </c>
      <c r="K674" s="34" t="s">
        <v>1651</v>
      </c>
      <c r="L674" s="5">
        <f>IF(O674="","",N674*O674*M674)</f>
        <v>99</v>
      </c>
      <c r="M674" s="8">
        <v>1</v>
      </c>
      <c r="N674" s="1">
        <v>1</v>
      </c>
      <c r="O674" s="15">
        <f>IF(SUM(Q674:AF674)&lt;1,"",SUM(Q674:AF674)/COUNTIF(Q674:AF674,"&gt;0"))</f>
        <v>99</v>
      </c>
      <c r="P674" s="16"/>
      <c r="Q674" s="13"/>
      <c r="T674" s="4">
        <v>99</v>
      </c>
      <c r="U674" s="2"/>
      <c r="V674" s="2"/>
      <c r="W674" s="2"/>
      <c r="X674" s="2"/>
      <c r="Z674" s="2"/>
      <c r="AA674" s="2"/>
      <c r="AF674" s="14"/>
    </row>
    <row r="675" spans="1:32" s="4" customFormat="1" ht="15.75" customHeight="1" x14ac:dyDescent="0.25">
      <c r="A675" s="33" t="str">
        <f>CONCATENATE(D675,".",F675,"-",G675,".",H675,"")</f>
        <v>2.1-4.1</v>
      </c>
      <c r="B675" s="33" t="s">
        <v>814</v>
      </c>
      <c r="C675" s="39" t="s">
        <v>262</v>
      </c>
      <c r="D675" s="33">
        <f>IF(C675="ID",1,(IF(C675="PR",2,(IF(C675="DE",3,(IF(C675="RS",4,(IF(C675="RC",5,0)))))))))</f>
        <v>2</v>
      </c>
      <c r="E675" s="33" t="s">
        <v>257</v>
      </c>
      <c r="F675" s="33">
        <f>IF(E675="AM",1,(IF(E675="BE",2,(IF(E675="GV",3,(IF(E675="RA",4,(IF(E675="RM",5,(IF(E675="AC",1,(IF(E675="AT",2,(IF(E675="DS",3,(IF(E675="IP",4,(IF(E675="MA",5,(IF(E675="PT",6,(IF(E675="AE",1,(IF(E675="CM",2,(IF(E675="DP",3,(IF(E675="AN",1,(IF(E675="CO",2,(IF(E675="IM",3,(IF(E675="MI",4,(IF(E675="RP",5,(IF(E675="SC",6,0)))))))))))))))))))))))))))))))))))))))</f>
        <v>1</v>
      </c>
      <c r="G675" s="170">
        <v>4</v>
      </c>
      <c r="H675" s="38" t="s">
        <v>511</v>
      </c>
      <c r="I675" s="105" t="s">
        <v>1449</v>
      </c>
      <c r="J675" s="157" t="s">
        <v>1733</v>
      </c>
      <c r="K675" s="34" t="s">
        <v>1734</v>
      </c>
      <c r="L675" s="5">
        <f>IF(O675="","",N675*O675*M675)</f>
        <v>99</v>
      </c>
      <c r="M675" s="8">
        <v>1</v>
      </c>
      <c r="N675" s="1">
        <v>1</v>
      </c>
      <c r="O675" s="15">
        <f>IF(SUM(Q675:AF675)&lt;1,"",SUM(Q675:AF675)/COUNTIF(Q675:AF675,"&gt;0"))</f>
        <v>99</v>
      </c>
      <c r="P675" s="16"/>
      <c r="Q675" s="13"/>
      <c r="T675" s="4">
        <v>99</v>
      </c>
      <c r="U675" s="2"/>
      <c r="V675" s="2"/>
      <c r="W675" s="2"/>
      <c r="X675" s="2"/>
      <c r="Z675" s="2"/>
      <c r="AA675" s="2"/>
      <c r="AF675" s="14"/>
    </row>
    <row r="676" spans="1:32" s="4" customFormat="1" ht="15.75" customHeight="1" x14ac:dyDescent="0.25">
      <c r="A676" s="33" t="str">
        <f>CONCATENATE(D676,".",F676,"-",G676,".",H676,"")</f>
        <v>2.1-4.2</v>
      </c>
      <c r="B676" s="33" t="s">
        <v>814</v>
      </c>
      <c r="C676" s="41" t="s">
        <v>262</v>
      </c>
      <c r="D676" s="33">
        <f>IF(C676="ID",1,(IF(C676="PR",2,(IF(C676="DE",3,(IF(C676="RS",4,(IF(C676="RC",5,0)))))))))</f>
        <v>2</v>
      </c>
      <c r="E676" s="33" t="s">
        <v>257</v>
      </c>
      <c r="F676" s="33">
        <f>IF(E676="AM",1,(IF(E676="BE",2,(IF(E676="GV",3,(IF(E676="RA",4,(IF(E676="RM",5,(IF(E676="AC",1,(IF(E676="AT",2,(IF(E676="DS",3,(IF(E676="IP",4,(IF(E676="MA",5,(IF(E676="PT",6,(IF(E676="AE",1,(IF(E676="CM",2,(IF(E676="DP",3,(IF(E676="AN",1,(IF(E676="CO",2,(IF(E676="IM",3,(IF(E676="MI",4,(IF(E676="RP",5,(IF(E676="SC",6,0)))))))))))))))))))))))))))))))))))))))</f>
        <v>1</v>
      </c>
      <c r="G676" s="170">
        <v>4</v>
      </c>
      <c r="H676" s="38" t="s">
        <v>512</v>
      </c>
      <c r="I676" s="27" t="s">
        <v>266</v>
      </c>
      <c r="J676" s="149" t="s">
        <v>14</v>
      </c>
      <c r="K676" s="79" t="s">
        <v>1399</v>
      </c>
      <c r="L676" s="5">
        <f>IF(O676="","",N676*O676*M676)</f>
        <v>75</v>
      </c>
      <c r="M676" s="8">
        <v>1</v>
      </c>
      <c r="N676" s="1">
        <v>1</v>
      </c>
      <c r="O676" s="15">
        <f>IF(SUM(Q676:AF676)&lt;1,"",SUM(Q676:AF676)/COUNTIF(Q676:AF676,"&gt;0"))</f>
        <v>75</v>
      </c>
      <c r="P676" s="16"/>
      <c r="Q676" s="13"/>
      <c r="T676" s="4">
        <v>75</v>
      </c>
      <c r="U676" s="2"/>
      <c r="V676" s="2"/>
      <c r="W676" s="2"/>
      <c r="X676" s="2"/>
      <c r="Z676" s="2"/>
      <c r="AA676" s="2"/>
      <c r="AF676" s="14"/>
    </row>
    <row r="677" spans="1:32" s="4" customFormat="1" ht="15.75" customHeight="1" x14ac:dyDescent="0.25">
      <c r="A677" s="33" t="str">
        <f>CONCATENATE(D677,".",F677,"-",G677,".",H677,"")</f>
        <v>2.1-4.2</v>
      </c>
      <c r="B677" s="33" t="s">
        <v>814</v>
      </c>
      <c r="C677" s="39" t="s">
        <v>262</v>
      </c>
      <c r="D677" s="33">
        <f>IF(C677="ID",1,(IF(C677="PR",2,(IF(C677="DE",3,(IF(C677="RS",4,(IF(C677="RC",5,0)))))))))</f>
        <v>2</v>
      </c>
      <c r="E677" s="33" t="s">
        <v>257</v>
      </c>
      <c r="F677" s="33">
        <f>IF(E677="AM",1,(IF(E677="BE",2,(IF(E677="GV",3,(IF(E677="RA",4,(IF(E677="RM",5,(IF(E677="AC",1,(IF(E677="AT",2,(IF(E677="DS",3,(IF(E677="IP",4,(IF(E677="MA",5,(IF(E677="PT",6,(IF(E677="AE",1,(IF(E677="CM",2,(IF(E677="DP",3,(IF(E677="AN",1,(IF(E677="CO",2,(IF(E677="IM",3,(IF(E677="MI",4,(IF(E677="RP",5,(IF(E677="SC",6,0)))))))))))))))))))))))))))))))))))))))</f>
        <v>1</v>
      </c>
      <c r="G677" s="170">
        <v>4</v>
      </c>
      <c r="H677" s="33">
        <v>2</v>
      </c>
      <c r="I677" s="27" t="s">
        <v>266</v>
      </c>
      <c r="J677" s="150" t="s">
        <v>268</v>
      </c>
      <c r="K677" s="79" t="s">
        <v>1409</v>
      </c>
      <c r="L677" s="5">
        <f>IF(O677="","",N677*O677*M677)</f>
        <v>75</v>
      </c>
      <c r="M677" s="8">
        <v>1</v>
      </c>
      <c r="N677" s="1">
        <v>1</v>
      </c>
      <c r="O677" s="15">
        <f>IF(SUM(Q677:AF677)&lt;1,"",SUM(Q677:AF677)/COUNTIF(Q677:AF677,"&gt;0"))</f>
        <v>75</v>
      </c>
      <c r="P677" s="16"/>
      <c r="Q677" s="13"/>
      <c r="R677" s="3"/>
      <c r="S677" s="3"/>
      <c r="T677" s="4">
        <v>75</v>
      </c>
      <c r="U677" s="3"/>
      <c r="V677" s="3"/>
      <c r="W677" s="3"/>
      <c r="X677" s="3"/>
      <c r="Y677" s="3"/>
      <c r="Z677" s="3"/>
      <c r="AA677" s="3"/>
      <c r="AB677" s="3"/>
      <c r="AC677" s="3"/>
      <c r="AD677" s="3"/>
      <c r="AE677" s="3"/>
      <c r="AF677" s="104"/>
    </row>
    <row r="678" spans="1:32" s="4" customFormat="1" ht="15.75" customHeight="1" x14ac:dyDescent="0.25">
      <c r="A678" s="33" t="str">
        <f>CONCATENATE(D678,".",F678,"-",G678,".",H678,"")</f>
        <v>2.1-4.2</v>
      </c>
      <c r="B678" s="33" t="s">
        <v>814</v>
      </c>
      <c r="C678" s="39" t="s">
        <v>262</v>
      </c>
      <c r="D678" s="33">
        <f>IF(C678="ID",1,(IF(C678="PR",2,(IF(C678="DE",3,(IF(C678="RS",4,(IF(C678="RC",5,0)))))))))</f>
        <v>2</v>
      </c>
      <c r="E678" s="33" t="s">
        <v>257</v>
      </c>
      <c r="F678" s="33">
        <f>IF(E678="AM",1,(IF(E678="BE",2,(IF(E678="GV",3,(IF(E678="RA",4,(IF(E678="RM",5,(IF(E678="AC",1,(IF(E678="AT",2,(IF(E678="DS",3,(IF(E678="IP",4,(IF(E678="MA",5,(IF(E678="PT",6,(IF(E678="AE",1,(IF(E678="CM",2,(IF(E678="DP",3,(IF(E678="AN",1,(IF(E678="CO",2,(IF(E678="IM",3,(IF(E678="MI",4,(IF(E678="RP",5,(IF(E678="SC",6,0)))))))))))))))))))))))))))))))))))))))</f>
        <v>1</v>
      </c>
      <c r="G678" s="170">
        <v>4</v>
      </c>
      <c r="H678" s="38" t="s">
        <v>512</v>
      </c>
      <c r="I678" s="27" t="s">
        <v>266</v>
      </c>
      <c r="J678" s="149" t="s">
        <v>302</v>
      </c>
      <c r="K678" s="79" t="s">
        <v>1438</v>
      </c>
      <c r="L678" s="66">
        <f>IF(O678="","",N678*O678*M678)</f>
        <v>75</v>
      </c>
      <c r="M678" s="8">
        <v>1</v>
      </c>
      <c r="N678" s="1">
        <v>1</v>
      </c>
      <c r="O678" s="15">
        <f>IF(SUM(Q678:AF678)&lt;1,"",SUM(Q678:AF678)/COUNTIF(Q678:AF678,"&gt;0"))</f>
        <v>75</v>
      </c>
      <c r="P678" s="16"/>
      <c r="Q678" s="13"/>
      <c r="T678" s="4">
        <v>75</v>
      </c>
      <c r="U678" s="2"/>
      <c r="V678" s="2"/>
      <c r="W678" s="2"/>
      <c r="X678" s="2"/>
      <c r="Z678" s="2"/>
      <c r="AA678" s="2"/>
      <c r="AF678" s="14"/>
    </row>
    <row r="679" spans="1:32" s="4" customFormat="1" ht="15.75" customHeight="1" x14ac:dyDescent="0.25">
      <c r="A679" s="33" t="str">
        <f>CONCATENATE(D679,".",F679,"-",G679,".",H679,"")</f>
        <v>2.1-4.2</v>
      </c>
      <c r="B679" s="33" t="s">
        <v>814</v>
      </c>
      <c r="C679" s="39" t="s">
        <v>262</v>
      </c>
      <c r="D679" s="33">
        <f>IF(C679="ID",1,(IF(C679="PR",2,(IF(C679="DE",3,(IF(C679="RS",4,(IF(C679="RC",5,0)))))))))</f>
        <v>2</v>
      </c>
      <c r="E679" s="33" t="s">
        <v>257</v>
      </c>
      <c r="F679" s="33">
        <f>IF(E679="AM",1,(IF(E679="BE",2,(IF(E679="GV",3,(IF(E679="RA",4,(IF(E679="RM",5,(IF(E679="AC",1,(IF(E679="AT",2,(IF(E679="DS",3,(IF(E679="IP",4,(IF(E679="MA",5,(IF(E679="PT",6,(IF(E679="AE",1,(IF(E679="CM",2,(IF(E679="DP",3,(IF(E679="AN",1,(IF(E679="CO",2,(IF(E679="IM",3,(IF(E679="MI",4,(IF(E679="RP",5,(IF(E679="SC",6,0)))))))))))))))))))))))))))))))))))))))</f>
        <v>1</v>
      </c>
      <c r="G679" s="170">
        <v>4</v>
      </c>
      <c r="H679" s="38" t="s">
        <v>512</v>
      </c>
      <c r="I679" s="27" t="s">
        <v>266</v>
      </c>
      <c r="J679" s="149" t="s">
        <v>510</v>
      </c>
      <c r="K679" s="79" t="s">
        <v>1443</v>
      </c>
      <c r="L679" s="66">
        <f>IF(O679="","",N679*O679*M679)</f>
        <v>75</v>
      </c>
      <c r="M679" s="8">
        <v>1</v>
      </c>
      <c r="N679" s="1">
        <v>1</v>
      </c>
      <c r="O679" s="15">
        <f>IF(SUM(Q679:AF679)&lt;1,"",SUM(Q679:AF679)/COUNTIF(Q679:AF679,"&gt;0"))</f>
        <v>75</v>
      </c>
      <c r="P679" s="16"/>
      <c r="Q679" s="13"/>
      <c r="T679" s="4">
        <v>75</v>
      </c>
      <c r="U679" s="2"/>
      <c r="V679" s="2"/>
      <c r="W679" s="2"/>
      <c r="X679" s="2"/>
      <c r="Z679" s="2"/>
      <c r="AA679" s="2"/>
      <c r="AF679" s="14"/>
    </row>
    <row r="680" spans="1:32" s="4" customFormat="1" ht="15.75" customHeight="1" x14ac:dyDescent="0.25">
      <c r="A680" s="33" t="str">
        <f>CONCATENATE(D680,".",F680,"-",G680,".",H680,"")</f>
        <v>2.1-4.2</v>
      </c>
      <c r="B680" s="33" t="s">
        <v>814</v>
      </c>
      <c r="C680" s="41" t="s">
        <v>262</v>
      </c>
      <c r="D680" s="33">
        <f>IF(C680="ID",1,(IF(C680="PR",2,(IF(C680="DE",3,(IF(C680="RS",4,(IF(C680="RC",5,0)))))))))</f>
        <v>2</v>
      </c>
      <c r="E680" s="33" t="s">
        <v>257</v>
      </c>
      <c r="F680" s="33">
        <f>IF(E680="AM",1,(IF(E680="BE",2,(IF(E680="GV",3,(IF(E680="RA",4,(IF(E680="RM",5,(IF(E680="AC",1,(IF(E680="AT",2,(IF(E680="DS",3,(IF(E680="IP",4,(IF(E680="MA",5,(IF(E680="PT",6,(IF(E680="AE",1,(IF(E680="CM",2,(IF(E680="DP",3,(IF(E680="AN",1,(IF(E680="CO",2,(IF(E680="IM",3,(IF(E680="MI",4,(IF(E680="RP",5,(IF(E680="SC",6,0)))))))))))))))))))))))))))))))))))))))</f>
        <v>1</v>
      </c>
      <c r="G680" s="170">
        <v>4</v>
      </c>
      <c r="H680" s="38" t="s">
        <v>512</v>
      </c>
      <c r="I680" s="27" t="s">
        <v>266</v>
      </c>
      <c r="J680" s="149" t="s">
        <v>16</v>
      </c>
      <c r="K680" s="79" t="s">
        <v>1444</v>
      </c>
      <c r="L680" s="5">
        <f>IF(O680="","",N680*O680*M680)</f>
        <v>75</v>
      </c>
      <c r="M680" s="8">
        <v>1</v>
      </c>
      <c r="N680" s="1">
        <v>1</v>
      </c>
      <c r="O680" s="15">
        <f>IF(SUM(Q680:AF680)&lt;1,"",SUM(Q680:AF680)/COUNTIF(Q680:AF680,"&gt;0"))</f>
        <v>75</v>
      </c>
      <c r="P680" s="16"/>
      <c r="Q680" s="13"/>
      <c r="T680" s="4">
        <v>75</v>
      </c>
      <c r="U680" s="2"/>
      <c r="V680" s="2"/>
      <c r="W680" s="2"/>
      <c r="X680" s="2"/>
      <c r="Z680" s="2"/>
      <c r="AA680" s="2"/>
      <c r="AF680" s="14"/>
    </row>
    <row r="681" spans="1:32" s="4" customFormat="1" ht="15.75" customHeight="1" x14ac:dyDescent="0.25">
      <c r="A681" s="33" t="str">
        <f>CONCATENATE(D681,".",F681,"-",G681,".",H681,"")</f>
        <v>2.1-4.2</v>
      </c>
      <c r="B681" s="33" t="s">
        <v>814</v>
      </c>
      <c r="C681" s="39" t="s">
        <v>262</v>
      </c>
      <c r="D681" s="33">
        <f>IF(C681="ID",1,(IF(C681="PR",2,(IF(C681="DE",3,(IF(C681="RS",4,(IF(C681="RC",5,0)))))))))</f>
        <v>2</v>
      </c>
      <c r="E681" s="33" t="s">
        <v>257</v>
      </c>
      <c r="F681" s="33">
        <f>IF(E681="AM",1,(IF(E681="BE",2,(IF(E681="GV",3,(IF(E681="RA",4,(IF(E681="RM",5,(IF(E681="AC",1,(IF(E681="AT",2,(IF(E681="DS",3,(IF(E681="IP",4,(IF(E681="MA",5,(IF(E681="PT",6,(IF(E681="AE",1,(IF(E681="CM",2,(IF(E681="DP",3,(IF(E681="AN",1,(IF(E681="CO",2,(IF(E681="IM",3,(IF(E681="MI",4,(IF(E681="RP",5,(IF(E681="SC",6,0)))))))))))))))))))))))))))))))))))))))</f>
        <v>1</v>
      </c>
      <c r="G681" s="170">
        <v>4</v>
      </c>
      <c r="H681" s="38" t="s">
        <v>512</v>
      </c>
      <c r="I681" s="105" t="s">
        <v>1449</v>
      </c>
      <c r="J681" s="157" t="s">
        <v>1580</v>
      </c>
      <c r="K681" s="34" t="s">
        <v>1581</v>
      </c>
      <c r="L681" s="5">
        <f>IF(O681="","",N681*O681*M681)</f>
        <v>99</v>
      </c>
      <c r="M681" s="8">
        <v>1</v>
      </c>
      <c r="N681" s="1">
        <v>1</v>
      </c>
      <c r="O681" s="15">
        <f>IF(SUM(Q681:AF681)&lt;1,"",SUM(Q681:AF681)/COUNTIF(Q681:AF681,"&gt;0"))</f>
        <v>99</v>
      </c>
      <c r="P681" s="16"/>
      <c r="Q681" s="13"/>
      <c r="T681" s="4">
        <v>99</v>
      </c>
      <c r="U681" s="2"/>
      <c r="V681" s="2"/>
      <c r="W681" s="2"/>
      <c r="X681" s="2"/>
      <c r="Z681" s="2"/>
      <c r="AA681" s="2"/>
      <c r="AF681" s="14"/>
    </row>
    <row r="682" spans="1:32" s="4" customFormat="1" ht="15.75" customHeight="1" x14ac:dyDescent="0.25">
      <c r="A682" s="33" t="str">
        <f>CONCATENATE(D682,".",F682,"-",G682,".",H682,"")</f>
        <v>2.1-4.2</v>
      </c>
      <c r="B682" s="33" t="s">
        <v>814</v>
      </c>
      <c r="C682" s="39" t="s">
        <v>262</v>
      </c>
      <c r="D682" s="33">
        <f>IF(C682="ID",1,(IF(C682="PR",2,(IF(C682="DE",3,(IF(C682="RS",4,(IF(C682="RC",5,0)))))))))</f>
        <v>2</v>
      </c>
      <c r="E682" s="33" t="s">
        <v>257</v>
      </c>
      <c r="F682" s="33">
        <f>IF(E682="AM",1,(IF(E682="BE",2,(IF(E682="GV",3,(IF(E682="RA",4,(IF(E682="RM",5,(IF(E682="AC",1,(IF(E682="AT",2,(IF(E682="DS",3,(IF(E682="IP",4,(IF(E682="MA",5,(IF(E682="PT",6,(IF(E682="AE",1,(IF(E682="CM",2,(IF(E682="DP",3,(IF(E682="AN",1,(IF(E682="CO",2,(IF(E682="IM",3,(IF(E682="MI",4,(IF(E682="RP",5,(IF(E682="SC",6,0)))))))))))))))))))))))))))))))))))))))</f>
        <v>1</v>
      </c>
      <c r="G682" s="170">
        <v>4</v>
      </c>
      <c r="H682" s="38" t="s">
        <v>512</v>
      </c>
      <c r="I682" s="105" t="s">
        <v>1449</v>
      </c>
      <c r="J682" s="157" t="s">
        <v>1630</v>
      </c>
      <c r="K682" s="34" t="s">
        <v>1631</v>
      </c>
      <c r="L682" s="5">
        <f>IF(O682="","",N682*O682*M682)</f>
        <v>99</v>
      </c>
      <c r="M682" s="8">
        <v>1</v>
      </c>
      <c r="N682" s="1">
        <v>1</v>
      </c>
      <c r="O682" s="15">
        <f>IF(SUM(Q682:AF682)&lt;1,"",SUM(Q682:AF682)/COUNTIF(Q682:AF682,"&gt;0"))</f>
        <v>99</v>
      </c>
      <c r="P682" s="16"/>
      <c r="Q682" s="13"/>
      <c r="T682" s="4">
        <v>99</v>
      </c>
      <c r="U682" s="2"/>
      <c r="V682" s="2"/>
      <c r="W682" s="2"/>
      <c r="X682" s="2"/>
      <c r="Z682" s="2"/>
      <c r="AA682" s="2"/>
      <c r="AF682" s="14"/>
    </row>
    <row r="683" spans="1:32" s="4" customFormat="1" ht="15.75" customHeight="1" x14ac:dyDescent="0.25">
      <c r="A683" s="33" t="str">
        <f>CONCATENATE(D683,".",F683,"-",G683,".",H683,"")</f>
        <v>2.1-4.9</v>
      </c>
      <c r="B683" s="33" t="s">
        <v>814</v>
      </c>
      <c r="C683" s="39" t="s">
        <v>262</v>
      </c>
      <c r="D683" s="33">
        <f>IF(C683="ID",1,(IF(C683="PR",2,(IF(C683="DE",3,(IF(C683="RS",4,(IF(C683="RC",5,0)))))))))</f>
        <v>2</v>
      </c>
      <c r="E683" s="33" t="s">
        <v>257</v>
      </c>
      <c r="F683" s="33">
        <f>IF(E683="AM",1,(IF(E683="BE",2,(IF(E683="GV",3,(IF(E683="RA",4,(IF(E683="RM",5,(IF(E683="AC",1,(IF(E683="AT",2,(IF(E683="DS",3,(IF(E683="IP",4,(IF(E683="MA",5,(IF(E683="PT",6,(IF(E683="AE",1,(IF(E683="CM",2,(IF(E683="DP",3,(IF(E683="AN",1,(IF(E683="CO",2,(IF(E683="IM",3,(IF(E683="MI",4,(IF(E683="RP",5,(IF(E683="SC",6,0)))))))))))))))))))))))))))))))))))))))</f>
        <v>1</v>
      </c>
      <c r="G683" s="170">
        <v>4</v>
      </c>
      <c r="H683" s="38" t="s">
        <v>596</v>
      </c>
      <c r="I683" s="105" t="s">
        <v>1449</v>
      </c>
      <c r="J683" s="157" t="s">
        <v>1462</v>
      </c>
      <c r="K683" s="34" t="s">
        <v>1463</v>
      </c>
      <c r="L683" s="5">
        <f>IF(O683="","",N683*O683*M683)</f>
        <v>99</v>
      </c>
      <c r="M683" s="8">
        <v>1</v>
      </c>
      <c r="N683" s="1">
        <v>1</v>
      </c>
      <c r="O683" s="15">
        <f>IF(SUM(Q683:AF683)&lt;1,"",SUM(Q683:AF683)/COUNTIF(Q683:AF683,"&gt;0"))</f>
        <v>99</v>
      </c>
      <c r="P683" s="16"/>
      <c r="Q683" s="13"/>
      <c r="T683" s="4">
        <v>99</v>
      </c>
      <c r="U683" s="2"/>
      <c r="V683" s="2"/>
      <c r="W683" s="2"/>
      <c r="X683" s="2"/>
      <c r="Z683" s="2"/>
      <c r="AA683" s="2"/>
      <c r="AF683" s="14"/>
    </row>
    <row r="684" spans="1:32" s="4" customFormat="1" ht="15.75" customHeight="1" x14ac:dyDescent="0.25">
      <c r="A684" s="33" t="str">
        <f>CONCATENATE(D684,".",F684,"-",G684,".",H684,"")</f>
        <v>2.1-4.9</v>
      </c>
      <c r="B684" s="33" t="s">
        <v>814</v>
      </c>
      <c r="C684" s="39" t="s">
        <v>262</v>
      </c>
      <c r="D684" s="33">
        <f>IF(C684="ID",1,(IF(C684="PR",2,(IF(C684="DE",3,(IF(C684="RS",4,(IF(C684="RC",5,0)))))))))</f>
        <v>2</v>
      </c>
      <c r="E684" s="33" t="s">
        <v>257</v>
      </c>
      <c r="F684" s="33">
        <f>IF(E684="AM",1,(IF(E684="BE",2,(IF(E684="GV",3,(IF(E684="RA",4,(IF(E684="RM",5,(IF(E684="AC",1,(IF(E684="AT",2,(IF(E684="DS",3,(IF(E684="IP",4,(IF(E684="MA",5,(IF(E684="PT",6,(IF(E684="AE",1,(IF(E684="CM",2,(IF(E684="DP",3,(IF(E684="AN",1,(IF(E684="CO",2,(IF(E684="IM",3,(IF(E684="MI",4,(IF(E684="RP",5,(IF(E684="SC",6,0)))))))))))))))))))))))))))))))))))))))</f>
        <v>1</v>
      </c>
      <c r="G684" s="170">
        <v>4</v>
      </c>
      <c r="H684" s="38" t="s">
        <v>596</v>
      </c>
      <c r="I684" s="105" t="s">
        <v>1449</v>
      </c>
      <c r="J684" s="157" t="s">
        <v>1534</v>
      </c>
      <c r="K684" s="34" t="s">
        <v>1535</v>
      </c>
      <c r="L684" s="5">
        <f>IF(O684="","",N684*O684*M684)</f>
        <v>99</v>
      </c>
      <c r="M684" s="8">
        <v>1</v>
      </c>
      <c r="N684" s="1">
        <v>1</v>
      </c>
      <c r="O684" s="15">
        <f>IF(SUM(Q684:AF684)&lt;1,"",SUM(Q684:AF684)/COUNTIF(Q684:AF684,"&gt;0"))</f>
        <v>99</v>
      </c>
      <c r="P684" s="16"/>
      <c r="Q684" s="13"/>
      <c r="T684" s="4">
        <v>99</v>
      </c>
      <c r="U684" s="2"/>
      <c r="V684" s="2"/>
      <c r="W684" s="2"/>
      <c r="X684" s="2"/>
      <c r="Z684" s="2"/>
      <c r="AA684" s="2"/>
      <c r="AF684" s="14"/>
    </row>
    <row r="685" spans="1:32" s="4" customFormat="1" ht="15.75" customHeight="1" x14ac:dyDescent="0.25">
      <c r="A685" s="33" t="str">
        <f>CONCATENATE(D685,".",F685,"-",G685,".",H685,"")</f>
        <v>2.1-4.9</v>
      </c>
      <c r="B685" s="33"/>
      <c r="C685" s="39" t="s">
        <v>262</v>
      </c>
      <c r="D685" s="33">
        <f>IF(C685="ID",1,(IF(C685="PR",2,(IF(C685="DE",3,(IF(C685="RS",4,(IF(C685="RC",5,0)))))))))</f>
        <v>2</v>
      </c>
      <c r="E685" s="33" t="s">
        <v>257</v>
      </c>
      <c r="F685" s="33">
        <f>IF(E685="AM",1,(IF(E685="BE",2,(IF(E685="GV",3,(IF(E685="RA",4,(IF(E685="RM",5,(IF(E685="AC",1,(IF(E685="AT",2,(IF(E685="DS",3,(IF(E685="IP",4,(IF(E685="MA",5,(IF(E685="PT",6,(IF(E685="AE",1,(IF(E685="CM",2,(IF(E685="DP",3,(IF(E685="AN",1,(IF(E685="CO",2,(IF(E685="IM",3,(IF(E685="MI",4,(IF(E685="RP",5,(IF(E685="SC",6,0)))))))))))))))))))))))))))))))))))))))</f>
        <v>1</v>
      </c>
      <c r="G685" s="170">
        <v>4</v>
      </c>
      <c r="H685" s="38" t="s">
        <v>596</v>
      </c>
      <c r="I685" s="105" t="s">
        <v>1449</v>
      </c>
      <c r="J685" s="157" t="s">
        <v>2469</v>
      </c>
      <c r="K685" s="34" t="s">
        <v>2470</v>
      </c>
      <c r="L685" s="5">
        <f>IF(O685="","",N685*O685*M685)</f>
        <v>99</v>
      </c>
      <c r="M685" s="8">
        <v>1</v>
      </c>
      <c r="N685" s="1">
        <v>1</v>
      </c>
      <c r="O685" s="15">
        <f>IF(SUM(Q685:AF685)&lt;1,"",SUM(Q685:AF685)/COUNTIF(Q685:AF685,"&gt;0"))</f>
        <v>99</v>
      </c>
      <c r="P685" s="16"/>
      <c r="Q685" s="13"/>
      <c r="T685" s="4">
        <v>99</v>
      </c>
      <c r="U685" s="2"/>
      <c r="V685" s="2"/>
      <c r="W685" s="2"/>
      <c r="X685" s="2"/>
      <c r="Z685" s="2"/>
      <c r="AA685" s="2"/>
      <c r="AF685" s="14"/>
    </row>
    <row r="686" spans="1:32" s="4" customFormat="1" ht="15.75" customHeight="1" x14ac:dyDescent="0.25">
      <c r="A686" s="33" t="str">
        <f>CONCATENATE(D686,".",F686,"-",G686,".",H686,"")</f>
        <v>2.1-4.9</v>
      </c>
      <c r="B686" s="33"/>
      <c r="C686" s="39" t="s">
        <v>262</v>
      </c>
      <c r="D686" s="33">
        <f>IF(C686="ID",1,(IF(C686="PR",2,(IF(C686="DE",3,(IF(C686="RS",4,(IF(C686="RC",5,0)))))))))</f>
        <v>2</v>
      </c>
      <c r="E686" s="33" t="s">
        <v>257</v>
      </c>
      <c r="F686" s="33">
        <f>IF(E686="AM",1,(IF(E686="BE",2,(IF(E686="GV",3,(IF(E686="RA",4,(IF(E686="RM",5,(IF(E686="AC",1,(IF(E686="AT",2,(IF(E686="DS",3,(IF(E686="IP",4,(IF(E686="MA",5,(IF(E686="PT",6,(IF(E686="AE",1,(IF(E686="CM",2,(IF(E686="DP",3,(IF(E686="AN",1,(IF(E686="CO",2,(IF(E686="IM",3,(IF(E686="MI",4,(IF(E686="RP",5,(IF(E686="SC",6,0)))))))))))))))))))))))))))))))))))))))</f>
        <v>1</v>
      </c>
      <c r="G686" s="170">
        <v>4</v>
      </c>
      <c r="H686" s="38" t="s">
        <v>596</v>
      </c>
      <c r="I686" s="105" t="s">
        <v>1449</v>
      </c>
      <c r="J686" s="157" t="s">
        <v>2483</v>
      </c>
      <c r="K686" s="34" t="s">
        <v>2484</v>
      </c>
      <c r="L686" s="5">
        <f>IF(O686="","",N686*O686*M686)</f>
        <v>99</v>
      </c>
      <c r="M686" s="8">
        <v>1</v>
      </c>
      <c r="N686" s="1">
        <v>1</v>
      </c>
      <c r="O686" s="15">
        <f>IF(SUM(Q686:AF686)&lt;1,"",SUM(Q686:AF686)/COUNTIF(Q686:AF686,"&gt;0"))</f>
        <v>99</v>
      </c>
      <c r="P686" s="16"/>
      <c r="Q686" s="13"/>
      <c r="T686" s="4">
        <v>99</v>
      </c>
      <c r="U686" s="2"/>
      <c r="V686" s="2"/>
      <c r="W686" s="2"/>
      <c r="X686" s="2"/>
      <c r="Z686" s="2"/>
      <c r="AA686" s="2"/>
      <c r="AF686" s="14"/>
    </row>
    <row r="687" spans="1:32" s="4" customFormat="1" ht="15.75" customHeight="1" x14ac:dyDescent="0.25">
      <c r="A687" s="33" t="str">
        <f>CONCATENATE(D687,".",F687,"-",G687,".",H687,"")</f>
        <v>2.1-5.0</v>
      </c>
      <c r="B687" s="33" t="s">
        <v>814</v>
      </c>
      <c r="C687" s="39" t="s">
        <v>262</v>
      </c>
      <c r="D687" s="33">
        <f>IF(C687="ID",1,(IF(C687="PR",2,(IF(C687="DE",3,(IF(C687="RS",4,(IF(C687="RC",5,0)))))))))</f>
        <v>2</v>
      </c>
      <c r="E687" s="33" t="s">
        <v>257</v>
      </c>
      <c r="F687" s="33">
        <f>IF(E687="AM",1,(IF(E687="BE",2,(IF(E687="GV",3,(IF(E687="RA",4,(IF(E687="RM",5,(IF(E687="AC",1,(IF(E687="AT",2,(IF(E687="DS",3,(IF(E687="IP",4,(IF(E687="MA",5,(IF(E687="PT",6,(IF(E687="AE",1,(IF(E687="CM",2,(IF(E687="DP",3,(IF(E687="AN",1,(IF(E687="CO",2,(IF(E687="IM",3,(IF(E687="MI",4,(IF(E687="RP",5,(IF(E687="SC",6,0)))))))))))))))))))))))))))))))))))))))</f>
        <v>1</v>
      </c>
      <c r="G687" s="170">
        <v>5</v>
      </c>
      <c r="H687" s="38" t="s">
        <v>597</v>
      </c>
      <c r="I687" s="27" t="s">
        <v>1200</v>
      </c>
      <c r="J687" s="149" t="s">
        <v>666</v>
      </c>
      <c r="K687" s="98" t="s">
        <v>375</v>
      </c>
      <c r="L687" s="66">
        <f>IF(O687="","",N687*O687*M687)</f>
        <v>75</v>
      </c>
      <c r="M687" s="8">
        <v>1</v>
      </c>
      <c r="N687" s="1">
        <v>1</v>
      </c>
      <c r="O687" s="15">
        <f>IF(SUM(Q687:AF687)&lt;1,"",SUM(Q687:AF687)/COUNTIF(Q687:AF687,"&gt;0"))</f>
        <v>75</v>
      </c>
      <c r="P687" s="16"/>
      <c r="Q687" s="13"/>
      <c r="T687" s="4">
        <v>75</v>
      </c>
      <c r="U687" s="2"/>
      <c r="V687" s="2"/>
      <c r="W687" s="2"/>
      <c r="X687" s="2"/>
      <c r="Z687" s="2"/>
      <c r="AA687" s="2"/>
      <c r="AF687" s="14"/>
    </row>
    <row r="688" spans="1:32" s="4" customFormat="1" ht="15.75" customHeight="1" x14ac:dyDescent="0.25">
      <c r="A688" s="33" t="str">
        <f>CONCATENATE(D688,".",F688,"-",G688,".",H688,"")</f>
        <v>2.1-5.1</v>
      </c>
      <c r="B688" s="33" t="s">
        <v>814</v>
      </c>
      <c r="C688" s="39" t="s">
        <v>262</v>
      </c>
      <c r="D688" s="33">
        <f>IF(C688="ID",1,(IF(C688="PR",2,(IF(C688="DE",3,(IF(C688="RS",4,(IF(C688="RC",5,0)))))))))</f>
        <v>2</v>
      </c>
      <c r="E688" s="33" t="s">
        <v>257</v>
      </c>
      <c r="F688" s="33">
        <f>IF(E688="AM",1,(IF(E688="BE",2,(IF(E688="GV",3,(IF(E688="RA",4,(IF(E688="RM",5,(IF(E688="AC",1,(IF(E688="AT",2,(IF(E688="DS",3,(IF(E688="IP",4,(IF(E688="MA",5,(IF(E688="PT",6,(IF(E688="AE",1,(IF(E688="CM",2,(IF(E688="DP",3,(IF(E688="AN",1,(IF(E688="CO",2,(IF(E688="IM",3,(IF(E688="MI",4,(IF(E688="RP",5,(IF(E688="SC",6,0)))))))))))))))))))))))))))))))))))))))</f>
        <v>1</v>
      </c>
      <c r="G688" s="170">
        <v>5</v>
      </c>
      <c r="H688" s="38" t="s">
        <v>511</v>
      </c>
      <c r="I688" s="105" t="s">
        <v>821</v>
      </c>
      <c r="J688" s="150">
        <v>1</v>
      </c>
      <c r="K688" s="79" t="s">
        <v>1283</v>
      </c>
      <c r="L688" s="66">
        <f>IF(O688="","",N688*O688*M688)</f>
        <v>75</v>
      </c>
      <c r="M688" s="8">
        <v>1</v>
      </c>
      <c r="N688" s="3">
        <v>1</v>
      </c>
      <c r="O688" s="15">
        <f>IF(SUM(Q688:AF688)&lt;1,"",SUM(Q688:AF688)/COUNTIF(Q688:AF688,"&gt;0"))</f>
        <v>75</v>
      </c>
      <c r="P688" s="16"/>
      <c r="Q688" s="13"/>
      <c r="T688" s="4">
        <v>75</v>
      </c>
      <c r="U688" s="2"/>
      <c r="V688" s="2"/>
      <c r="W688" s="2"/>
      <c r="X688" s="2"/>
      <c r="Z688" s="2"/>
      <c r="AA688" s="2"/>
      <c r="AF688" s="14"/>
    </row>
    <row r="689" spans="1:33" s="4" customFormat="1" ht="15.75" customHeight="1" x14ac:dyDescent="0.25">
      <c r="A689" s="33" t="str">
        <f>CONCATENATE(D689,".",F689,"-",G689,".",H689,"")</f>
        <v>2.1-5.1</v>
      </c>
      <c r="B689" s="33" t="s">
        <v>814</v>
      </c>
      <c r="C689" s="39" t="s">
        <v>262</v>
      </c>
      <c r="D689" s="33">
        <f>IF(C689="ID",1,(IF(C689="PR",2,(IF(C689="DE",3,(IF(C689="RS",4,(IF(C689="RC",5,0)))))))))</f>
        <v>2</v>
      </c>
      <c r="E689" s="33" t="s">
        <v>257</v>
      </c>
      <c r="F689" s="33">
        <f>IF(E689="AM",1,(IF(E689="BE",2,(IF(E689="GV",3,(IF(E689="RA",4,(IF(E689="RM",5,(IF(E689="AC",1,(IF(E689="AT",2,(IF(E689="DS",3,(IF(E689="IP",4,(IF(E689="MA",5,(IF(E689="PT",6,(IF(E689="AE",1,(IF(E689="CM",2,(IF(E689="DP",3,(IF(E689="AN",1,(IF(E689="CO",2,(IF(E689="IM",3,(IF(E689="MI",4,(IF(E689="RP",5,(IF(E689="SC",6,0)))))))))))))))))))))))))))))))))))))))</f>
        <v>1</v>
      </c>
      <c r="G689" s="170">
        <v>5</v>
      </c>
      <c r="H689" s="38" t="s">
        <v>511</v>
      </c>
      <c r="I689" s="105" t="s">
        <v>821</v>
      </c>
      <c r="J689" s="150">
        <v>1.1000000000000001</v>
      </c>
      <c r="K689" s="79" t="s">
        <v>1283</v>
      </c>
      <c r="L689" s="66">
        <f>IF(O689="","",N689*O689*M689)</f>
        <v>75</v>
      </c>
      <c r="M689" s="8">
        <v>1</v>
      </c>
      <c r="N689" s="3">
        <v>1</v>
      </c>
      <c r="O689" s="15">
        <f>IF(SUM(Q689:AF689)&lt;1,"",SUM(Q689:AF689)/COUNTIF(Q689:AF689,"&gt;0"))</f>
        <v>75</v>
      </c>
      <c r="P689" s="16"/>
      <c r="Q689" s="13"/>
      <c r="T689" s="4">
        <v>75</v>
      </c>
      <c r="U689" s="2"/>
      <c r="V689" s="2"/>
      <c r="W689" s="2"/>
      <c r="X689" s="2"/>
      <c r="Z689" s="2"/>
      <c r="AA689" s="2"/>
      <c r="AF689" s="14"/>
    </row>
    <row r="690" spans="1:33" s="4" customFormat="1" ht="15.75" customHeight="1" x14ac:dyDescent="0.25">
      <c r="A690" s="33" t="str">
        <f>CONCATENATE(D690,".",F690,"-",G690,".",H690,"")</f>
        <v>2.1-5.1</v>
      </c>
      <c r="B690" s="33" t="s">
        <v>814</v>
      </c>
      <c r="C690" s="40" t="s">
        <v>262</v>
      </c>
      <c r="D690" s="33">
        <f>IF(C690="ID",1,(IF(C690="PR",2,(IF(C690="DE",3,(IF(C690="RS",4,(IF(C690="RC",5,0)))))))))</f>
        <v>2</v>
      </c>
      <c r="E690" s="33" t="s">
        <v>257</v>
      </c>
      <c r="F690" s="33">
        <f>IF(E690="AM",1,(IF(E690="BE",2,(IF(E690="GV",3,(IF(E690="RA",4,(IF(E690="RM",5,(IF(E690="AC",1,(IF(E690="AT",2,(IF(E690="DS",3,(IF(E690="IP",4,(IF(E690="MA",5,(IF(E690="PT",6,(IF(E690="AE",1,(IF(E690="CM",2,(IF(E690="DP",3,(IF(E690="AN",1,(IF(E690="CO",2,(IF(E690="IM",3,(IF(E690="MI",4,(IF(E690="RP",5,(IF(E690="SC",6,0)))))))))))))))))))))))))))))))))))))))</f>
        <v>1</v>
      </c>
      <c r="G690" s="171">
        <v>5</v>
      </c>
      <c r="H690" s="38" t="s">
        <v>511</v>
      </c>
      <c r="I690" s="105" t="s">
        <v>821</v>
      </c>
      <c r="J690" s="150">
        <v>1.2</v>
      </c>
      <c r="K690" s="79" t="s">
        <v>1283</v>
      </c>
      <c r="L690" s="66">
        <f>IF(O690="","",N690*O690*M690)</f>
        <v>75</v>
      </c>
      <c r="M690" s="8">
        <v>1</v>
      </c>
      <c r="N690" s="3">
        <v>1</v>
      </c>
      <c r="O690" s="15">
        <f>IF(SUM(Q690:AF690)&lt;1,"",SUM(Q690:AF690)/COUNTIF(Q690:AF690,"&gt;0"))</f>
        <v>75</v>
      </c>
      <c r="P690" s="16"/>
      <c r="Q690" s="13"/>
      <c r="T690" s="4">
        <v>75</v>
      </c>
      <c r="U690" s="2"/>
      <c r="V690" s="2"/>
      <c r="W690" s="2"/>
      <c r="X690" s="2"/>
      <c r="Z690" s="2"/>
      <c r="AA690" s="2"/>
      <c r="AF690" s="14"/>
    </row>
    <row r="691" spans="1:33" s="4" customFormat="1" ht="15.75" customHeight="1" x14ac:dyDescent="0.25">
      <c r="A691" s="33" t="str">
        <f>CONCATENATE(D691,".",F691,"-",G691,".",H691,"")</f>
        <v>2.1-5.1</v>
      </c>
      <c r="B691" s="33" t="s">
        <v>814</v>
      </c>
      <c r="C691" s="39" t="s">
        <v>262</v>
      </c>
      <c r="D691" s="33">
        <f>IF(C691="ID",1,(IF(C691="PR",2,(IF(C691="DE",3,(IF(C691="RS",4,(IF(C691="RC",5,0)))))))))</f>
        <v>2</v>
      </c>
      <c r="E691" s="33" t="s">
        <v>257</v>
      </c>
      <c r="F691" s="33">
        <f>IF(E691="AM",1,(IF(E691="BE",2,(IF(E691="GV",3,(IF(E691="RA",4,(IF(E691="RM",5,(IF(E691="AC",1,(IF(E691="AT",2,(IF(E691="DS",3,(IF(E691="IP",4,(IF(E691="MA",5,(IF(E691="PT",6,(IF(E691="AE",1,(IF(E691="CM",2,(IF(E691="DP",3,(IF(E691="AN",1,(IF(E691="CO",2,(IF(E691="IM",3,(IF(E691="MI",4,(IF(E691="RP",5,(IF(E691="SC",6,0)))))))))))))))))))))))))))))))))))))))</f>
        <v>1</v>
      </c>
      <c r="G691" s="170">
        <v>5</v>
      </c>
      <c r="H691" s="38" t="s">
        <v>511</v>
      </c>
      <c r="I691" s="35" t="s">
        <v>1176</v>
      </c>
      <c r="J691" s="162">
        <v>2.4</v>
      </c>
      <c r="K691" s="80" t="s">
        <v>1049</v>
      </c>
      <c r="L691" s="66">
        <f>IF(O691="","",N691*O691*M691)</f>
        <v>75</v>
      </c>
      <c r="M691" s="8">
        <v>1</v>
      </c>
      <c r="N691" s="3">
        <v>1</v>
      </c>
      <c r="O691" s="15">
        <f>IF(SUM(Q691:AF691)&lt;1,"",SUM(Q691:AF691)/COUNTIF(Q691:AF691,"&gt;0"))</f>
        <v>75</v>
      </c>
      <c r="P691" s="16"/>
      <c r="Q691" s="13"/>
      <c r="T691" s="4">
        <v>75</v>
      </c>
      <c r="U691" s="2"/>
      <c r="V691" s="2"/>
      <c r="W691" s="2"/>
      <c r="X691" s="2"/>
      <c r="Z691" s="2"/>
      <c r="AA691" s="2"/>
      <c r="AF691" s="14"/>
    </row>
    <row r="692" spans="1:33" ht="15.75" customHeight="1" x14ac:dyDescent="0.25">
      <c r="A692" s="33" t="str">
        <f>CONCATENATE(D692,".",F692,"-",G692,".",H692,"")</f>
        <v>2.1-5.1</v>
      </c>
      <c r="B692" s="33" t="s">
        <v>814</v>
      </c>
      <c r="C692" s="40" t="s">
        <v>262</v>
      </c>
      <c r="D692" s="33">
        <f>IF(C692="ID",1,(IF(C692="PR",2,(IF(C692="DE",3,(IF(C692="RS",4,(IF(C692="RC",5,0)))))))))</f>
        <v>2</v>
      </c>
      <c r="E692" s="37" t="s">
        <v>257</v>
      </c>
      <c r="F692" s="33">
        <f>IF(E692="AM",1,(IF(E692="BE",2,(IF(E692="GV",3,(IF(E692="RA",4,(IF(E692="RM",5,(IF(E692="AC",1,(IF(E692="AT",2,(IF(E692="DS",3,(IF(E692="IP",4,(IF(E692="MA",5,(IF(E692="PT",6,(IF(E692="AE",1,(IF(E692="CM",2,(IF(E692="DP",3,(IF(E692="AN",1,(IF(E692="CO",2,(IF(E692="IM",3,(IF(E692="MI",4,(IF(E692="RP",5,(IF(E692="SC",6,0)))))))))))))))))))))))))))))))))))))))</f>
        <v>1</v>
      </c>
      <c r="G692" s="170">
        <v>5</v>
      </c>
      <c r="H692" s="38" t="s">
        <v>511</v>
      </c>
      <c r="I692" s="35" t="s">
        <v>1176</v>
      </c>
      <c r="J692" s="162">
        <v>9.4</v>
      </c>
      <c r="K692" s="80" t="s">
        <v>801</v>
      </c>
      <c r="L692" s="66">
        <f>IF(O692="","",N692*O692*M692)</f>
        <v>75</v>
      </c>
      <c r="M692" s="8">
        <v>1</v>
      </c>
      <c r="N692" s="3">
        <v>1</v>
      </c>
      <c r="O692" s="15">
        <f>IF(SUM(Q692:AF692)&lt;1,"",SUM(Q692:AF692)/COUNTIF(Q692:AF692,"&gt;0"))</f>
        <v>75</v>
      </c>
      <c r="P692" s="16"/>
      <c r="Q692" s="13"/>
      <c r="R692" s="4"/>
      <c r="S692" s="4"/>
      <c r="T692" s="4">
        <v>75</v>
      </c>
      <c r="U692" s="2"/>
      <c r="V692" s="2"/>
      <c r="W692" s="2"/>
      <c r="X692" s="2"/>
      <c r="Y692" s="4"/>
      <c r="Z692" s="2"/>
      <c r="AA692" s="2"/>
      <c r="AB692" s="4"/>
      <c r="AC692" s="4"/>
      <c r="AD692" s="4"/>
      <c r="AE692" s="4"/>
      <c r="AF692" s="14"/>
      <c r="AG692" s="3"/>
    </row>
    <row r="693" spans="1:33" s="4" customFormat="1" ht="15.75" customHeight="1" x14ac:dyDescent="0.25">
      <c r="A693" s="33" t="str">
        <f>CONCATENATE(D693,".",F693,"-",G693,".",H693,"")</f>
        <v>2.1-5.1</v>
      </c>
      <c r="B693" s="33" t="s">
        <v>814</v>
      </c>
      <c r="C693" s="40" t="s">
        <v>262</v>
      </c>
      <c r="D693" s="33">
        <f>IF(C693="ID",1,(IF(C693="PR",2,(IF(C693="DE",3,(IF(C693="RS",4,(IF(C693="RC",5,0)))))))))</f>
        <v>2</v>
      </c>
      <c r="E693" s="37" t="s">
        <v>257</v>
      </c>
      <c r="F693" s="33">
        <f>IF(E693="AM",1,(IF(E693="BE",2,(IF(E693="GV",3,(IF(E693="RA",4,(IF(E693="RM",5,(IF(E693="AC",1,(IF(E693="AT",2,(IF(E693="DS",3,(IF(E693="IP",4,(IF(E693="MA",5,(IF(E693="PT",6,(IF(E693="AE",1,(IF(E693="CM",2,(IF(E693="DP",3,(IF(E693="AN",1,(IF(E693="CO",2,(IF(E693="IM",3,(IF(E693="MI",4,(IF(E693="RP",5,(IF(E693="SC",6,0)))))))))))))))))))))))))))))))))))))))</f>
        <v>1</v>
      </c>
      <c r="G693" s="170">
        <v>5</v>
      </c>
      <c r="H693" s="38" t="s">
        <v>511</v>
      </c>
      <c r="I693" s="35" t="s">
        <v>1176</v>
      </c>
      <c r="J693" s="162">
        <v>9.6</v>
      </c>
      <c r="K693" s="80" t="s">
        <v>1086</v>
      </c>
      <c r="L693" s="66">
        <f>IF(O693="","",N693*O693*M693)</f>
        <v>75</v>
      </c>
      <c r="M693" s="8">
        <v>1</v>
      </c>
      <c r="N693" s="3">
        <v>1</v>
      </c>
      <c r="O693" s="15">
        <f>IF(SUM(Q693:AF693)&lt;1,"",SUM(Q693:AF693)/COUNTIF(Q693:AF693,"&gt;0"))</f>
        <v>75</v>
      </c>
      <c r="P693" s="16"/>
      <c r="Q693" s="13"/>
      <c r="T693" s="4">
        <v>75</v>
      </c>
      <c r="U693" s="2"/>
      <c r="V693" s="2"/>
      <c r="W693" s="2"/>
      <c r="X693" s="2"/>
      <c r="Z693" s="2"/>
      <c r="AA693" s="2"/>
      <c r="AF693" s="14"/>
    </row>
    <row r="694" spans="1:33" s="4" customFormat="1" ht="15.75" customHeight="1" x14ac:dyDescent="0.25">
      <c r="A694" s="33" t="str">
        <f>CONCATENATE(D694,".",F694,"-",G694,".",H694,"")</f>
        <v>2.1-5.1</v>
      </c>
      <c r="B694" s="33" t="s">
        <v>814</v>
      </c>
      <c r="C694" s="39" t="s">
        <v>262</v>
      </c>
      <c r="D694" s="33">
        <f>IF(C694="ID",1,(IF(C694="PR",2,(IF(C694="DE",3,(IF(C694="RS",4,(IF(C694="RC",5,0)))))))))</f>
        <v>2</v>
      </c>
      <c r="E694" s="33" t="s">
        <v>257</v>
      </c>
      <c r="F694" s="33">
        <f>IF(E694="AM",1,(IF(E694="BE",2,(IF(E694="GV",3,(IF(E694="RA",4,(IF(E694="RM",5,(IF(E694="AC",1,(IF(E694="AT",2,(IF(E694="DS",3,(IF(E694="IP",4,(IF(E694="MA",5,(IF(E694="PT",6,(IF(E694="AE",1,(IF(E694="CM",2,(IF(E694="DP",3,(IF(E694="AN",1,(IF(E694="CO",2,(IF(E694="IM",3,(IF(E694="MI",4,(IF(E694="RP",5,(IF(E694="SC",6,0)))))))))))))))))))))))))))))))))))))))</f>
        <v>1</v>
      </c>
      <c r="G694" s="170">
        <v>5</v>
      </c>
      <c r="H694" s="38" t="s">
        <v>511</v>
      </c>
      <c r="I694" s="35" t="s">
        <v>1176</v>
      </c>
      <c r="J694" s="162">
        <v>11.5</v>
      </c>
      <c r="K694" s="4" t="s">
        <v>1096</v>
      </c>
      <c r="L694" s="66">
        <f>IF(O694="","",N694*O694*M694)</f>
        <v>75</v>
      </c>
      <c r="M694" s="8">
        <v>1</v>
      </c>
      <c r="N694" s="3">
        <v>1</v>
      </c>
      <c r="O694" s="15">
        <f>IF(SUM(Q694:AF694)&lt;1,"",SUM(Q694:AF694)/COUNTIF(Q694:AF694,"&gt;0"))</f>
        <v>75</v>
      </c>
      <c r="P694" s="16"/>
      <c r="Q694" s="13"/>
      <c r="T694" s="4">
        <v>75</v>
      </c>
      <c r="U694" s="2"/>
      <c r="V694" s="2"/>
      <c r="W694" s="2"/>
      <c r="X694" s="2"/>
      <c r="Z694" s="2"/>
      <c r="AA694" s="2"/>
      <c r="AF694" s="14"/>
    </row>
    <row r="695" spans="1:33" s="4" customFormat="1" ht="15.75" customHeight="1" x14ac:dyDescent="0.25">
      <c r="A695" s="33" t="str">
        <f>CONCATENATE(D695,".",F695,"-",G695,".",H695,"")</f>
        <v>2.1-5.1</v>
      </c>
      <c r="B695" s="33" t="s">
        <v>814</v>
      </c>
      <c r="C695" s="39" t="s">
        <v>262</v>
      </c>
      <c r="D695" s="33">
        <f>IF(C695="ID",1,(IF(C695="PR",2,(IF(C695="DE",3,(IF(C695="RS",4,(IF(C695="RC",5,0)))))))))</f>
        <v>2</v>
      </c>
      <c r="E695" s="33" t="s">
        <v>257</v>
      </c>
      <c r="F695" s="33">
        <f>IF(E695="AM",1,(IF(E695="BE",2,(IF(E695="GV",3,(IF(E695="RA",4,(IF(E695="RM",5,(IF(E695="AC",1,(IF(E695="AT",2,(IF(E695="DS",3,(IF(E695="IP",4,(IF(E695="MA",5,(IF(E695="PT",6,(IF(E695="AE",1,(IF(E695="CM",2,(IF(E695="DP",3,(IF(E695="AN",1,(IF(E695="CO",2,(IF(E695="IM",3,(IF(E695="MI",4,(IF(E695="RP",5,(IF(E695="SC",6,0)))))))))))))))))))))))))))))))))))))))</f>
        <v>1</v>
      </c>
      <c r="G695" s="170">
        <v>5</v>
      </c>
      <c r="H695" s="38" t="s">
        <v>511</v>
      </c>
      <c r="I695" s="35" t="s">
        <v>1176</v>
      </c>
      <c r="J695" s="162">
        <v>14.1</v>
      </c>
      <c r="K695" t="s">
        <v>1120</v>
      </c>
      <c r="L695" s="66">
        <f>IF(O695="","",N695*O695*M695)</f>
        <v>75</v>
      </c>
      <c r="M695" s="8">
        <v>1</v>
      </c>
      <c r="N695" s="3">
        <v>1</v>
      </c>
      <c r="O695" s="15">
        <f>IF(SUM(Q695:AF695)&lt;1,"",SUM(Q695:AF695)/COUNTIF(Q695:AF695,"&gt;0"))</f>
        <v>75</v>
      </c>
      <c r="P695" s="16"/>
      <c r="Q695" s="13"/>
      <c r="T695" s="4">
        <v>75</v>
      </c>
      <c r="U695" s="2"/>
      <c r="V695" s="2"/>
      <c r="W695" s="2"/>
      <c r="X695" s="2"/>
      <c r="Z695" s="2"/>
      <c r="AA695" s="2"/>
      <c r="AF695" s="14"/>
    </row>
    <row r="696" spans="1:33" s="4" customFormat="1" ht="15.75" customHeight="1" x14ac:dyDescent="0.25">
      <c r="A696" s="33" t="str">
        <f>CONCATENATE(D696,".",F696,"-",G696,".",H696,"")</f>
        <v>2.1-5.1</v>
      </c>
      <c r="B696" s="33" t="s">
        <v>814</v>
      </c>
      <c r="C696" s="39" t="s">
        <v>262</v>
      </c>
      <c r="D696" s="33">
        <f>IF(C696="ID",1,(IF(C696="PR",2,(IF(C696="DE",3,(IF(C696="RS",4,(IF(C696="RC",5,0)))))))))</f>
        <v>2</v>
      </c>
      <c r="E696" s="33" t="s">
        <v>257</v>
      </c>
      <c r="F696" s="33">
        <f>IF(E696="AM",1,(IF(E696="BE",2,(IF(E696="GV",3,(IF(E696="RA",4,(IF(E696="RM",5,(IF(E696="AC",1,(IF(E696="AT",2,(IF(E696="DS",3,(IF(E696="IP",4,(IF(E696="MA",5,(IF(E696="PT",6,(IF(E696="AE",1,(IF(E696="CM",2,(IF(E696="DP",3,(IF(E696="AN",1,(IF(E696="CO",2,(IF(E696="IM",3,(IF(E696="MI",4,(IF(E696="RP",5,(IF(E696="SC",6,0)))))))))))))))))))))))))))))))))))))))</f>
        <v>1</v>
      </c>
      <c r="G696" s="170">
        <v>5</v>
      </c>
      <c r="H696" s="38" t="s">
        <v>511</v>
      </c>
      <c r="I696" s="35" t="s">
        <v>1176</v>
      </c>
      <c r="J696" s="162">
        <v>14.3</v>
      </c>
      <c r="K696" t="s">
        <v>1235</v>
      </c>
      <c r="L696" s="66">
        <f>IF(O696="","",N696*O696*M696)</f>
        <v>75</v>
      </c>
      <c r="M696" s="8">
        <v>1</v>
      </c>
      <c r="N696" s="3">
        <v>1</v>
      </c>
      <c r="O696" s="15">
        <f>IF(SUM(Q696:AF696)&lt;1,"",SUM(Q696:AF696)/COUNTIF(Q696:AF696,"&gt;0"))</f>
        <v>75</v>
      </c>
      <c r="P696" s="16"/>
      <c r="Q696" s="13"/>
      <c r="T696" s="4">
        <v>75</v>
      </c>
      <c r="U696" s="2"/>
      <c r="V696" s="2"/>
      <c r="W696" s="2"/>
      <c r="X696" s="2"/>
      <c r="Z696" s="2"/>
      <c r="AA696" s="2"/>
      <c r="AF696" s="14"/>
    </row>
    <row r="697" spans="1:33" s="4" customFormat="1" ht="15.75" customHeight="1" x14ac:dyDescent="0.25">
      <c r="A697" s="33" t="str">
        <f>CONCATENATE(D697,".",F697,"-",G697,".",H697,"")</f>
        <v>2.1-5.1</v>
      </c>
      <c r="B697" s="33" t="s">
        <v>814</v>
      </c>
      <c r="C697" s="39" t="s">
        <v>262</v>
      </c>
      <c r="D697" s="33">
        <f>IF(C697="ID",1,(IF(C697="PR",2,(IF(C697="DE",3,(IF(C697="RS",4,(IF(C697="RC",5,0)))))))))</f>
        <v>2</v>
      </c>
      <c r="E697" s="33" t="s">
        <v>257</v>
      </c>
      <c r="F697" s="33">
        <f>IF(E697="AM",1,(IF(E697="BE",2,(IF(E697="GV",3,(IF(E697="RA",4,(IF(E697="RM",5,(IF(E697="AC",1,(IF(E697="AT",2,(IF(E697="DS",3,(IF(E697="IP",4,(IF(E697="MA",5,(IF(E697="PT",6,(IF(E697="AE",1,(IF(E697="CM",2,(IF(E697="DP",3,(IF(E697="AN",1,(IF(E697="CO",2,(IF(E697="IM",3,(IF(E697="MI",4,(IF(E697="RP",5,(IF(E697="SC",6,0)))))))))))))))))))))))))))))))))))))))</f>
        <v>1</v>
      </c>
      <c r="G697" s="170">
        <v>5</v>
      </c>
      <c r="H697" s="38" t="s">
        <v>511</v>
      </c>
      <c r="I697" s="35" t="s">
        <v>1176</v>
      </c>
      <c r="J697" s="162">
        <v>15.9</v>
      </c>
      <c r="K697" s="80" t="s">
        <v>1134</v>
      </c>
      <c r="L697" s="66">
        <f>IF(O697="","",N697*O697*M697)</f>
        <v>75</v>
      </c>
      <c r="M697" s="8">
        <v>1</v>
      </c>
      <c r="N697" s="3">
        <v>1</v>
      </c>
      <c r="O697" s="15">
        <f>IF(SUM(Q697:AF697)&lt;1,"",SUM(Q697:AF697)/COUNTIF(Q697:AF697,"&gt;0"))</f>
        <v>75</v>
      </c>
      <c r="P697" s="16"/>
      <c r="Q697" s="13"/>
      <c r="T697" s="4">
        <v>75</v>
      </c>
      <c r="U697" s="2"/>
      <c r="V697" s="2"/>
      <c r="W697" s="2"/>
      <c r="X697" s="2"/>
      <c r="Z697" s="2"/>
      <c r="AA697" s="2"/>
      <c r="AF697" s="14"/>
    </row>
    <row r="698" spans="1:33" s="4" customFormat="1" ht="15.75" customHeight="1" x14ac:dyDescent="0.25">
      <c r="A698" s="33" t="str">
        <f>CONCATENATE(D698,".",F698,"-",G698,".",H698,"")</f>
        <v>2.1-5.1</v>
      </c>
      <c r="B698" s="33" t="s">
        <v>814</v>
      </c>
      <c r="C698" s="39" t="s">
        <v>262</v>
      </c>
      <c r="D698" s="33">
        <f>IF(C698="ID",1,(IF(C698="PR",2,(IF(C698="DE",3,(IF(C698="RS",4,(IF(C698="RC",5,0)))))))))</f>
        <v>2</v>
      </c>
      <c r="E698" s="33" t="s">
        <v>257</v>
      </c>
      <c r="F698" s="33">
        <f>IF(E698="AM",1,(IF(E698="BE",2,(IF(E698="GV",3,(IF(E698="RA",4,(IF(E698="RM",5,(IF(E698="AC",1,(IF(E698="AT",2,(IF(E698="DS",3,(IF(E698="IP",4,(IF(E698="MA",5,(IF(E698="PT",6,(IF(E698="AE",1,(IF(E698="CM",2,(IF(E698="DP",3,(IF(E698="AN",1,(IF(E698="CO",2,(IF(E698="IM",3,(IF(E698="MI",4,(IF(E698="RP",5,(IF(E698="SC",6,0)))))))))))))))))))))))))))))))))))))))</f>
        <v>1</v>
      </c>
      <c r="G698" s="170">
        <v>5</v>
      </c>
      <c r="H698" s="38" t="s">
        <v>511</v>
      </c>
      <c r="I698" s="105" t="s">
        <v>821</v>
      </c>
      <c r="J698" s="150" t="s">
        <v>89</v>
      </c>
      <c r="K698" s="79" t="s">
        <v>1283</v>
      </c>
      <c r="L698" s="66">
        <f>IF(O698="","",N698*O698*M698)</f>
        <v>75</v>
      </c>
      <c r="M698" s="8">
        <v>1</v>
      </c>
      <c r="N698" s="3">
        <v>1</v>
      </c>
      <c r="O698" s="15">
        <f>IF(SUM(Q698:AF698)&lt;1,"",SUM(Q698:AF698)/COUNTIF(Q698:AF698,"&gt;0"))</f>
        <v>75</v>
      </c>
      <c r="P698" s="16"/>
      <c r="Q698" s="13"/>
      <c r="T698" s="4">
        <v>75</v>
      </c>
      <c r="U698" s="2"/>
      <c r="V698" s="2"/>
      <c r="W698" s="2"/>
      <c r="X698" s="2"/>
      <c r="Z698" s="2"/>
      <c r="AA698" s="2"/>
      <c r="AF698" s="14"/>
    </row>
    <row r="699" spans="1:33" ht="15.75" customHeight="1" x14ac:dyDescent="0.25">
      <c r="A699" s="33" t="str">
        <f>CONCATENATE(D699,".",F699,"-",G699,".",H699,"")</f>
        <v>2.1-5.1</v>
      </c>
      <c r="B699" s="33" t="s">
        <v>814</v>
      </c>
      <c r="C699" s="40" t="s">
        <v>262</v>
      </c>
      <c r="D699" s="33">
        <f>IF(C699="ID",1,(IF(C699="PR",2,(IF(C699="DE",3,(IF(C699="RS",4,(IF(C699="RC",5,0)))))))))</f>
        <v>2</v>
      </c>
      <c r="E699" s="33" t="s">
        <v>257</v>
      </c>
      <c r="F699" s="33">
        <f>IF(E699="AM",1,(IF(E699="BE",2,(IF(E699="GV",3,(IF(E699="RA",4,(IF(E699="RM",5,(IF(E699="AC",1,(IF(E699="AT",2,(IF(E699="DS",3,(IF(E699="IP",4,(IF(E699="MA",5,(IF(E699="PT",6,(IF(E699="AE",1,(IF(E699="CM",2,(IF(E699="DP",3,(IF(E699="AN",1,(IF(E699="CO",2,(IF(E699="IM",3,(IF(E699="MI",4,(IF(E699="RP",5,(IF(E699="SC",6,0)))))))))))))))))))))))))))))))))))))))</f>
        <v>1</v>
      </c>
      <c r="G699" s="171">
        <v>5</v>
      </c>
      <c r="H699" s="38" t="s">
        <v>511</v>
      </c>
      <c r="I699" s="105" t="s">
        <v>821</v>
      </c>
      <c r="J699" s="149" t="s">
        <v>113</v>
      </c>
      <c r="K699" s="79" t="s">
        <v>1283</v>
      </c>
      <c r="L699" s="66">
        <f>IF(O699="","",N699*O699*M699)</f>
        <v>75</v>
      </c>
      <c r="M699" s="8">
        <v>1</v>
      </c>
      <c r="N699" s="1">
        <v>1</v>
      </c>
      <c r="O699" s="15">
        <f>IF(SUM(Q699:AF699)&lt;1,"",SUM(Q699:AF699)/COUNTIF(Q699:AF699,"&gt;0"))</f>
        <v>75</v>
      </c>
      <c r="P699" s="16"/>
      <c r="Q699" s="13"/>
      <c r="R699" s="4"/>
      <c r="S699" s="4"/>
      <c r="T699" s="4">
        <v>75</v>
      </c>
      <c r="U699" s="2"/>
      <c r="V699" s="2"/>
      <c r="W699" s="2"/>
      <c r="X699" s="2"/>
      <c r="Y699" s="4"/>
      <c r="Z699" s="2"/>
      <c r="AA699" s="2"/>
      <c r="AB699" s="4"/>
      <c r="AC699" s="4"/>
      <c r="AD699" s="4"/>
      <c r="AE699" s="4"/>
      <c r="AF699" s="14"/>
      <c r="AG699" s="3"/>
    </row>
    <row r="700" spans="1:33" s="4" customFormat="1" ht="15.75" customHeight="1" x14ac:dyDescent="0.25">
      <c r="A700" s="33" t="str">
        <f>CONCATENATE(D700,".",F700,"-",G700,".",H700,"")</f>
        <v>2.1-5.1</v>
      </c>
      <c r="B700" s="33" t="s">
        <v>814</v>
      </c>
      <c r="C700" s="40" t="s">
        <v>262</v>
      </c>
      <c r="D700" s="33">
        <f>IF(C700="ID",1,(IF(C700="PR",2,(IF(C700="DE",3,(IF(C700="RS",4,(IF(C700="RC",5,0)))))))))</f>
        <v>2</v>
      </c>
      <c r="E700" s="33" t="s">
        <v>257</v>
      </c>
      <c r="F700" s="33">
        <f>IF(E700="AM",1,(IF(E700="BE",2,(IF(E700="GV",3,(IF(E700="RA",4,(IF(E700="RM",5,(IF(E700="AC",1,(IF(E700="AT",2,(IF(E700="DS",3,(IF(E700="IP",4,(IF(E700="MA",5,(IF(E700="PT",6,(IF(E700="AE",1,(IF(E700="CM",2,(IF(E700="DP",3,(IF(E700="AN",1,(IF(E700="CO",2,(IF(E700="IM",3,(IF(E700="MI",4,(IF(E700="RP",5,(IF(E700="SC",6,0)))))))))))))))))))))))))))))))))))))))</f>
        <v>1</v>
      </c>
      <c r="G700" s="171">
        <v>5</v>
      </c>
      <c r="H700" s="38" t="s">
        <v>511</v>
      </c>
      <c r="I700" s="105" t="s">
        <v>821</v>
      </c>
      <c r="J700" s="149" t="s">
        <v>114</v>
      </c>
      <c r="K700" s="79" t="s">
        <v>1283</v>
      </c>
      <c r="L700" s="66">
        <f>IF(O700="","",N700*O700*M700)</f>
        <v>75</v>
      </c>
      <c r="M700" s="8">
        <v>1</v>
      </c>
      <c r="N700" s="1">
        <v>1</v>
      </c>
      <c r="O700" s="15">
        <f>IF(SUM(Q700:AF700)&lt;1,"",SUM(Q700:AF700)/COUNTIF(Q700:AF700,"&gt;0"))</f>
        <v>75</v>
      </c>
      <c r="P700" s="16"/>
      <c r="Q700" s="13"/>
      <c r="T700" s="4">
        <v>75</v>
      </c>
      <c r="U700" s="2"/>
      <c r="V700" s="2"/>
      <c r="W700" s="2"/>
      <c r="X700" s="2"/>
      <c r="Z700" s="2"/>
      <c r="AA700" s="2"/>
      <c r="AF700" s="14"/>
    </row>
    <row r="701" spans="1:33" s="4" customFormat="1" ht="15.75" customHeight="1" x14ac:dyDescent="0.25">
      <c r="A701" s="33" t="str">
        <f>CONCATENATE(D701,".",F701,"-",G701,".",H701,"")</f>
        <v>2.1-5.1</v>
      </c>
      <c r="B701" s="33" t="s">
        <v>814</v>
      </c>
      <c r="C701" s="40" t="s">
        <v>262</v>
      </c>
      <c r="D701" s="33">
        <f>IF(C701="ID",1,(IF(C701="PR",2,(IF(C701="DE",3,(IF(C701="RS",4,(IF(C701="RC",5,0)))))))))</f>
        <v>2</v>
      </c>
      <c r="E701" s="33" t="s">
        <v>257</v>
      </c>
      <c r="F701" s="33">
        <f>IF(E701="AM",1,(IF(E701="BE",2,(IF(E701="GV",3,(IF(E701="RA",4,(IF(E701="RM",5,(IF(E701="AC",1,(IF(E701="AT",2,(IF(E701="DS",3,(IF(E701="IP",4,(IF(E701="MA",5,(IF(E701="PT",6,(IF(E701="AE",1,(IF(E701="CM",2,(IF(E701="DP",3,(IF(E701="AN",1,(IF(E701="CO",2,(IF(E701="IM",3,(IF(E701="MI",4,(IF(E701="RP",5,(IF(E701="SC",6,0)))))))))))))))))))))))))))))))))))))))</f>
        <v>1</v>
      </c>
      <c r="G701" s="171">
        <v>5</v>
      </c>
      <c r="H701" s="38" t="s">
        <v>511</v>
      </c>
      <c r="I701" s="105" t="s">
        <v>821</v>
      </c>
      <c r="J701" s="149" t="s">
        <v>115</v>
      </c>
      <c r="K701" s="79" t="s">
        <v>1283</v>
      </c>
      <c r="L701" s="66">
        <f>IF(O701="","",N701*O701*M701)</f>
        <v>75</v>
      </c>
      <c r="M701" s="8">
        <v>1</v>
      </c>
      <c r="N701" s="1">
        <v>1</v>
      </c>
      <c r="O701" s="15">
        <f>IF(SUM(Q701:AF701)&lt;1,"",SUM(Q701:AF701)/COUNTIF(Q701:AF701,"&gt;0"))</f>
        <v>75</v>
      </c>
      <c r="P701" s="16"/>
      <c r="Q701" s="13"/>
      <c r="T701" s="4">
        <v>75</v>
      </c>
      <c r="U701" s="2"/>
      <c r="V701" s="2"/>
      <c r="W701" s="2"/>
      <c r="AF701" s="14"/>
    </row>
    <row r="702" spans="1:33" s="4" customFormat="1" ht="15.75" customHeight="1" x14ac:dyDescent="0.25">
      <c r="A702" s="33" t="str">
        <f>CONCATENATE(D702,".",F702,"-",G702,".",H702,"")</f>
        <v>2.1-5.1</v>
      </c>
      <c r="B702" s="33" t="s">
        <v>814</v>
      </c>
      <c r="C702" s="39" t="s">
        <v>262</v>
      </c>
      <c r="D702" s="33">
        <f>IF(C702="ID",1,(IF(C702="PR",2,(IF(C702="DE",3,(IF(C702="RS",4,(IF(C702="RC",5,0)))))))))</f>
        <v>2</v>
      </c>
      <c r="E702" s="33" t="s">
        <v>257</v>
      </c>
      <c r="F702" s="33">
        <f>IF(E702="AM",1,(IF(E702="BE",2,(IF(E702="GV",3,(IF(E702="RA",4,(IF(E702="RM",5,(IF(E702="AC",1,(IF(E702="AT",2,(IF(E702="DS",3,(IF(E702="IP",4,(IF(E702="MA",5,(IF(E702="PT",6,(IF(E702="AE",1,(IF(E702="CM",2,(IF(E702="DP",3,(IF(E702="AN",1,(IF(E702="CO",2,(IF(E702="IM",3,(IF(E702="MI",4,(IF(E702="RP",5,(IF(E702="SC",6,0)))))))))))))))))))))))))))))))))))))))</f>
        <v>1</v>
      </c>
      <c r="G702" s="170">
        <v>5</v>
      </c>
      <c r="H702" s="38" t="s">
        <v>511</v>
      </c>
      <c r="I702" s="105" t="s">
        <v>821</v>
      </c>
      <c r="J702" s="150" t="s">
        <v>119</v>
      </c>
      <c r="K702" s="79" t="s">
        <v>1283</v>
      </c>
      <c r="L702" s="66">
        <f>IF(O702="","",N702*O702*M702)</f>
        <v>75</v>
      </c>
      <c r="M702" s="8">
        <v>1</v>
      </c>
      <c r="N702" s="3">
        <v>1</v>
      </c>
      <c r="O702" s="15">
        <f>IF(SUM(Q702:AF702)&lt;1,"",SUM(Q702:AF702)/COUNTIF(Q702:AF702,"&gt;0"))</f>
        <v>75</v>
      </c>
      <c r="P702" s="16"/>
      <c r="Q702" s="13"/>
      <c r="T702" s="4">
        <v>75</v>
      </c>
      <c r="U702" s="2"/>
      <c r="V702" s="2"/>
      <c r="W702" s="2"/>
      <c r="X702" s="2"/>
      <c r="Z702" s="2"/>
      <c r="AA702" s="2"/>
      <c r="AF702" s="14"/>
    </row>
    <row r="703" spans="1:33" s="4" customFormat="1" ht="15.75" customHeight="1" x14ac:dyDescent="0.25">
      <c r="A703" s="33" t="str">
        <f>CONCATENATE(D703,".",F703,"-",G703,".",H703,"")</f>
        <v>2.1-5.1</v>
      </c>
      <c r="B703" s="33" t="s">
        <v>814</v>
      </c>
      <c r="C703" s="40" t="s">
        <v>262</v>
      </c>
      <c r="D703" s="33">
        <f>IF(C703="ID",1,(IF(C703="PR",2,(IF(C703="DE",3,(IF(C703="RS",4,(IF(C703="RC",5,0)))))))))</f>
        <v>2</v>
      </c>
      <c r="E703" s="33" t="s">
        <v>257</v>
      </c>
      <c r="F703" s="33">
        <f>IF(E703="AM",1,(IF(E703="BE",2,(IF(E703="GV",3,(IF(E703="RA",4,(IF(E703="RM",5,(IF(E703="AC",1,(IF(E703="AT",2,(IF(E703="DS",3,(IF(E703="IP",4,(IF(E703="MA",5,(IF(E703="PT",6,(IF(E703="AE",1,(IF(E703="CM",2,(IF(E703="DP",3,(IF(E703="AN",1,(IF(E703="CO",2,(IF(E703="IM",3,(IF(E703="MI",4,(IF(E703="RP",5,(IF(E703="SC",6,0)))))))))))))))))))))))))))))))))))))))</f>
        <v>1</v>
      </c>
      <c r="G703" s="170">
        <v>5</v>
      </c>
      <c r="H703" s="38" t="s">
        <v>511</v>
      </c>
      <c r="I703" s="105" t="s">
        <v>821</v>
      </c>
      <c r="J703" s="150" t="s">
        <v>823</v>
      </c>
      <c r="K703" s="79" t="s">
        <v>1283</v>
      </c>
      <c r="L703" s="66">
        <f>IF(O703="","",N703*O703*M703)</f>
        <v>75</v>
      </c>
      <c r="M703" s="8">
        <v>1</v>
      </c>
      <c r="N703" s="3">
        <v>1</v>
      </c>
      <c r="O703" s="15">
        <f>IF(SUM(Q703:AF703)&lt;1,"",SUM(Q703:AF703)/COUNTIF(Q703:AF703,"&gt;0"))</f>
        <v>75</v>
      </c>
      <c r="P703" s="16"/>
      <c r="Q703" s="13"/>
      <c r="T703" s="4">
        <v>75</v>
      </c>
      <c r="U703" s="2"/>
      <c r="V703" s="2"/>
      <c r="W703" s="2"/>
      <c r="X703" s="2"/>
      <c r="Z703" s="2"/>
      <c r="AA703" s="2"/>
      <c r="AF703" s="14"/>
    </row>
    <row r="704" spans="1:33" s="4" customFormat="1" ht="15.75" customHeight="1" x14ac:dyDescent="0.25">
      <c r="A704" s="33" t="str">
        <f>CONCATENATE(D704,".",F704,"-",G704,".",H704,"")</f>
        <v>2.1-5.1</v>
      </c>
      <c r="B704" s="33" t="s">
        <v>814</v>
      </c>
      <c r="C704" s="39" t="s">
        <v>262</v>
      </c>
      <c r="D704" s="33">
        <f>IF(C704="ID",1,(IF(C704="PR",2,(IF(C704="DE",3,(IF(C704="RS",4,(IF(C704="RC",5,0)))))))))</f>
        <v>2</v>
      </c>
      <c r="E704" s="33" t="s">
        <v>257</v>
      </c>
      <c r="F704" s="33">
        <f>IF(E704="AM",1,(IF(E704="BE",2,(IF(E704="GV",3,(IF(E704="RA",4,(IF(E704="RM",5,(IF(E704="AC",1,(IF(E704="AT",2,(IF(E704="DS",3,(IF(E704="IP",4,(IF(E704="MA",5,(IF(E704="PT",6,(IF(E704="AE",1,(IF(E704="CM",2,(IF(E704="DP",3,(IF(E704="AN",1,(IF(E704="CO",2,(IF(E704="IM",3,(IF(E704="MI",4,(IF(E704="RP",5,(IF(E704="SC",6,0)))))))))))))))))))))))))))))))))))))))</f>
        <v>1</v>
      </c>
      <c r="G704" s="170">
        <v>5</v>
      </c>
      <c r="H704" s="38" t="s">
        <v>511</v>
      </c>
      <c r="I704" s="105" t="s">
        <v>821</v>
      </c>
      <c r="J704" s="150" t="s">
        <v>233</v>
      </c>
      <c r="K704" s="79" t="s">
        <v>1283</v>
      </c>
      <c r="L704" s="66">
        <f>IF(O704="","",N704*O704*M704)</f>
        <v>75</v>
      </c>
      <c r="M704" s="8">
        <v>1</v>
      </c>
      <c r="N704" s="3">
        <v>1</v>
      </c>
      <c r="O704" s="15">
        <f>IF(SUM(Q704:AF704)&lt;1,"",SUM(Q704:AF704)/COUNTIF(Q704:AF704,"&gt;0"))</f>
        <v>75</v>
      </c>
      <c r="P704" s="16"/>
      <c r="Q704" s="13"/>
      <c r="T704" s="4">
        <v>75</v>
      </c>
      <c r="U704" s="2"/>
      <c r="V704" s="2"/>
      <c r="W704" s="2"/>
      <c r="X704" s="2"/>
      <c r="Z704" s="2"/>
      <c r="AA704" s="2"/>
      <c r="AF704" s="14"/>
    </row>
    <row r="705" spans="1:32" s="4" customFormat="1" ht="15.75" customHeight="1" x14ac:dyDescent="0.25">
      <c r="A705" s="33" t="str">
        <f>CONCATENATE(D705,".",F705,"-",G705,".",H705,"")</f>
        <v>2.1-5.1</v>
      </c>
      <c r="B705" s="33" t="s">
        <v>814</v>
      </c>
      <c r="C705" s="39" t="s">
        <v>262</v>
      </c>
      <c r="D705" s="33">
        <f>IF(C705="ID",1,(IF(C705="PR",2,(IF(C705="DE",3,(IF(C705="RS",4,(IF(C705="RC",5,0)))))))))</f>
        <v>2</v>
      </c>
      <c r="E705" s="33" t="s">
        <v>257</v>
      </c>
      <c r="F705" s="33">
        <f>IF(E705="AM",1,(IF(E705="BE",2,(IF(E705="GV",3,(IF(E705="RA",4,(IF(E705="RM",5,(IF(E705="AC",1,(IF(E705="AT",2,(IF(E705="DS",3,(IF(E705="IP",4,(IF(E705="MA",5,(IF(E705="PT",6,(IF(E705="AE",1,(IF(E705="CM",2,(IF(E705="DP",3,(IF(E705="AN",1,(IF(E705="CO",2,(IF(E705="IM",3,(IF(E705="MI",4,(IF(E705="RP",5,(IF(E705="SC",6,0)))))))))))))))))))))))))))))))))))))))</f>
        <v>1</v>
      </c>
      <c r="G705" s="170">
        <v>5</v>
      </c>
      <c r="H705" s="33">
        <v>1</v>
      </c>
      <c r="I705" s="27" t="s">
        <v>266</v>
      </c>
      <c r="J705" s="150" t="s">
        <v>7</v>
      </c>
      <c r="K705" s="79" t="s">
        <v>1331</v>
      </c>
      <c r="L705" s="5">
        <f>IF(O705="","",N705*O705*M705)</f>
        <v>75</v>
      </c>
      <c r="M705" s="8">
        <v>1</v>
      </c>
      <c r="N705" s="1">
        <v>1</v>
      </c>
      <c r="O705" s="15">
        <f>IF(SUM(Q705:AF705)&lt;1,"",SUM(Q705:AF705)/COUNTIF(Q705:AF705,"&gt;0"))</f>
        <v>75</v>
      </c>
      <c r="P705" s="16"/>
      <c r="Q705" s="13"/>
      <c r="R705" s="3"/>
      <c r="S705" s="3"/>
      <c r="T705" s="4">
        <v>75</v>
      </c>
      <c r="U705" s="3"/>
      <c r="V705" s="3"/>
      <c r="W705" s="3"/>
      <c r="X705" s="3"/>
      <c r="Y705" s="3"/>
      <c r="Z705" s="3"/>
      <c r="AA705" s="3"/>
      <c r="AB705" s="3"/>
      <c r="AC705" s="3"/>
      <c r="AD705" s="3"/>
      <c r="AE705" s="3"/>
      <c r="AF705" s="104"/>
    </row>
    <row r="706" spans="1:32" s="4" customFormat="1" ht="15.75" customHeight="1" x14ac:dyDescent="0.25">
      <c r="A706" s="33" t="str">
        <f>CONCATENATE(D706,".",F706,"-",G706,".",H706,"")</f>
        <v>2.1-5.1</v>
      </c>
      <c r="B706" s="33" t="s">
        <v>814</v>
      </c>
      <c r="C706" s="39" t="s">
        <v>262</v>
      </c>
      <c r="D706" s="33">
        <f>IF(C706="ID",1,(IF(C706="PR",2,(IF(C706="DE",3,(IF(C706="RS",4,(IF(C706="RC",5,0)))))))))</f>
        <v>2</v>
      </c>
      <c r="E706" s="33" t="s">
        <v>257</v>
      </c>
      <c r="F706" s="33">
        <f>IF(E706="AM",1,(IF(E706="BE",2,(IF(E706="GV",3,(IF(E706="RA",4,(IF(E706="RM",5,(IF(E706="AC",1,(IF(E706="AT",2,(IF(E706="DS",3,(IF(E706="IP",4,(IF(E706="MA",5,(IF(E706="PT",6,(IF(E706="AE",1,(IF(E706="CM",2,(IF(E706="DP",3,(IF(E706="AN",1,(IF(E706="CO",2,(IF(E706="IM",3,(IF(E706="MI",4,(IF(E706="RP",5,(IF(E706="SC",6,0)))))))))))))))))))))))))))))))))))))))</f>
        <v>1</v>
      </c>
      <c r="G706" s="170">
        <v>5</v>
      </c>
      <c r="H706" s="33">
        <v>1</v>
      </c>
      <c r="I706" s="27" t="s">
        <v>266</v>
      </c>
      <c r="J706" s="150" t="s">
        <v>19</v>
      </c>
      <c r="K706" s="79" t="s">
        <v>1342</v>
      </c>
      <c r="L706" s="5">
        <f>IF(O706="","",N706*O706*M706)</f>
        <v>75</v>
      </c>
      <c r="M706" s="8">
        <v>1</v>
      </c>
      <c r="N706" s="1">
        <v>1</v>
      </c>
      <c r="O706" s="15">
        <f>IF(SUM(Q706:AF706)&lt;1,"",SUM(Q706:AF706)/COUNTIF(Q706:AF706,"&gt;0"))</f>
        <v>75</v>
      </c>
      <c r="P706" s="16"/>
      <c r="Q706" s="13"/>
      <c r="R706" s="3"/>
      <c r="S706" s="3"/>
      <c r="T706" s="4">
        <v>75</v>
      </c>
      <c r="U706" s="3"/>
      <c r="V706" s="3"/>
      <c r="W706" s="3"/>
      <c r="X706" s="3"/>
      <c r="Y706" s="3"/>
      <c r="Z706" s="3"/>
      <c r="AA706" s="3"/>
      <c r="AB706" s="3"/>
      <c r="AC706" s="3"/>
      <c r="AD706" s="3"/>
      <c r="AE706" s="3"/>
      <c r="AF706" s="104"/>
    </row>
    <row r="707" spans="1:32" s="4" customFormat="1" ht="15.75" customHeight="1" x14ac:dyDescent="0.25">
      <c r="A707" s="33" t="str">
        <f>CONCATENATE(D707,".",F707,"-",G707,".",H707,"")</f>
        <v>2.1-5.1</v>
      </c>
      <c r="B707" s="33" t="s">
        <v>814</v>
      </c>
      <c r="C707" s="39" t="s">
        <v>262</v>
      </c>
      <c r="D707" s="33">
        <f>IF(C707="ID",1,(IF(C707="PR",2,(IF(C707="DE",3,(IF(C707="RS",4,(IF(C707="RC",5,0)))))))))</f>
        <v>2</v>
      </c>
      <c r="E707" s="33" t="s">
        <v>257</v>
      </c>
      <c r="F707" s="33">
        <f>IF(E707="AM",1,(IF(E707="BE",2,(IF(E707="GV",3,(IF(E707="RA",4,(IF(E707="RM",5,(IF(E707="AC",1,(IF(E707="AT",2,(IF(E707="DS",3,(IF(E707="IP",4,(IF(E707="MA",5,(IF(E707="PT",6,(IF(E707="AE",1,(IF(E707="CM",2,(IF(E707="DP",3,(IF(E707="AN",1,(IF(E707="CO",2,(IF(E707="IM",3,(IF(E707="MI",4,(IF(E707="RP",5,(IF(E707="SC",6,0)))))))))))))))))))))))))))))))))))))))</f>
        <v>1</v>
      </c>
      <c r="G707" s="170">
        <v>5</v>
      </c>
      <c r="H707" s="33">
        <v>1</v>
      </c>
      <c r="I707" s="27" t="s">
        <v>266</v>
      </c>
      <c r="J707" s="150" t="s">
        <v>20</v>
      </c>
      <c r="K707" s="79" t="s">
        <v>1343</v>
      </c>
      <c r="L707" s="5">
        <f>IF(O707="","",N707*O707*M707)</f>
        <v>75</v>
      </c>
      <c r="M707" s="8">
        <v>1</v>
      </c>
      <c r="N707" s="1">
        <v>1</v>
      </c>
      <c r="O707" s="15">
        <f>IF(SUM(Q707:AF707)&lt;1,"",SUM(Q707:AF707)/COUNTIF(Q707:AF707,"&gt;0"))</f>
        <v>75</v>
      </c>
      <c r="P707" s="16"/>
      <c r="Q707" s="13"/>
      <c r="R707" s="3"/>
      <c r="S707" s="3"/>
      <c r="T707" s="4">
        <v>75</v>
      </c>
      <c r="U707" s="3"/>
      <c r="V707" s="3"/>
      <c r="W707" s="3"/>
      <c r="X707" s="3"/>
      <c r="Y707" s="3"/>
      <c r="Z707" s="3"/>
      <c r="AA707" s="3"/>
      <c r="AB707" s="3"/>
      <c r="AC707" s="3"/>
      <c r="AD707" s="3"/>
      <c r="AE707" s="3"/>
      <c r="AF707" s="104"/>
    </row>
    <row r="708" spans="1:32" s="4" customFormat="1" ht="15.75" customHeight="1" x14ac:dyDescent="0.25">
      <c r="A708" s="33" t="str">
        <f>CONCATENATE(D708,".",F708,"-",G708,".",H708,"")</f>
        <v>2.1-5.1</v>
      </c>
      <c r="B708" s="33" t="s">
        <v>1232</v>
      </c>
      <c r="C708" s="40" t="s">
        <v>262</v>
      </c>
      <c r="D708" s="33">
        <f>IF(C708="ID",1,(IF(C708="PR",2,(IF(C708="DE",3,(IF(C708="RS",4,(IF(C708="RC",5,0)))))))))</f>
        <v>2</v>
      </c>
      <c r="E708" s="33" t="s">
        <v>257</v>
      </c>
      <c r="F708" s="33">
        <f>IF(E708="AM",1,(IF(E708="BE",2,(IF(E708="GV",3,(IF(E708="RA",4,(IF(E708="RM",5,(IF(E708="AC",1,(IF(E708="AT",2,(IF(E708="DS",3,(IF(E708="IP",4,(IF(E708="MA",5,(IF(E708="PT",6,(IF(E708="AE",1,(IF(E708="CM",2,(IF(E708="DP",3,(IF(E708="AN",1,(IF(E708="CO",2,(IF(E708="IM",3,(IF(E708="MI",4,(IF(E708="RP",5,(IF(E708="SC",6,0)))))))))))))))))))))))))))))))))))))))</f>
        <v>1</v>
      </c>
      <c r="G708" s="170">
        <v>5</v>
      </c>
      <c r="H708" s="38" t="s">
        <v>511</v>
      </c>
      <c r="I708" s="105" t="s">
        <v>821</v>
      </c>
      <c r="J708" s="150" t="s">
        <v>849</v>
      </c>
      <c r="K708" s="79" t="s">
        <v>1283</v>
      </c>
      <c r="L708" s="66">
        <f>IF(O708="","",N708*O708*M708)</f>
        <v>75</v>
      </c>
      <c r="M708" s="8">
        <v>1</v>
      </c>
      <c r="N708" s="3">
        <v>1</v>
      </c>
      <c r="O708" s="15">
        <f>IF(SUM(Q708:AF708)&lt;1,"",SUM(Q708:AF708)/COUNTIF(Q708:AF708,"&gt;0"))</f>
        <v>75</v>
      </c>
      <c r="P708" s="16"/>
      <c r="Q708" s="13"/>
      <c r="T708" s="4">
        <v>75</v>
      </c>
      <c r="U708" s="2"/>
      <c r="V708" s="2"/>
      <c r="W708" s="2"/>
      <c r="X708" s="2"/>
      <c r="Z708" s="2"/>
      <c r="AA708" s="2"/>
      <c r="AF708" s="14"/>
    </row>
    <row r="709" spans="1:32" s="4" customFormat="1" ht="15.75" customHeight="1" x14ac:dyDescent="0.25">
      <c r="A709" s="33" t="str">
        <f>CONCATENATE(D709,".",F709,"-",G709,".",H709,"")</f>
        <v>2.1-5.1</v>
      </c>
      <c r="B709" s="33" t="s">
        <v>814</v>
      </c>
      <c r="C709" s="39" t="s">
        <v>262</v>
      </c>
      <c r="D709" s="33">
        <f>IF(C709="ID",1,(IF(C709="PR",2,(IF(C709="DE",3,(IF(C709="RS",4,(IF(C709="RC",5,0)))))))))</f>
        <v>2</v>
      </c>
      <c r="E709" s="33" t="s">
        <v>257</v>
      </c>
      <c r="F709" s="33">
        <f>IF(E709="AM",1,(IF(E709="BE",2,(IF(E709="GV",3,(IF(E709="RA",4,(IF(E709="RM",5,(IF(E709="AC",1,(IF(E709="AT",2,(IF(E709="DS",3,(IF(E709="IP",4,(IF(E709="MA",5,(IF(E709="PT",6,(IF(E709="AE",1,(IF(E709="CM",2,(IF(E709="DP",3,(IF(E709="AN",1,(IF(E709="CO",2,(IF(E709="IM",3,(IF(E709="MI",4,(IF(E709="RP",5,(IF(E709="SC",6,0)))))))))))))))))))))))))))))))))))))))</f>
        <v>1</v>
      </c>
      <c r="G709" s="170">
        <v>5</v>
      </c>
      <c r="H709" s="38" t="s">
        <v>511</v>
      </c>
      <c r="I709" s="105" t="s">
        <v>1449</v>
      </c>
      <c r="J709" s="157" t="s">
        <v>1498</v>
      </c>
      <c r="K709" s="34" t="s">
        <v>1499</v>
      </c>
      <c r="L709" s="5">
        <f>IF(O709="","",N709*O709*M709)</f>
        <v>99</v>
      </c>
      <c r="M709" s="8">
        <v>1</v>
      </c>
      <c r="N709" s="1">
        <v>1</v>
      </c>
      <c r="O709" s="15">
        <f>IF(SUM(Q709:AF709)&lt;1,"",SUM(Q709:AF709)/COUNTIF(Q709:AF709,"&gt;0"))</f>
        <v>99</v>
      </c>
      <c r="P709" s="16"/>
      <c r="Q709" s="13"/>
      <c r="T709" s="4">
        <v>99</v>
      </c>
      <c r="U709" s="2"/>
      <c r="V709" s="2"/>
      <c r="W709" s="2"/>
      <c r="X709" s="2"/>
      <c r="Z709" s="2"/>
      <c r="AA709" s="2"/>
      <c r="AF709" s="14"/>
    </row>
    <row r="710" spans="1:32" s="4" customFormat="1" ht="15.75" customHeight="1" x14ac:dyDescent="0.25">
      <c r="A710" s="33" t="str">
        <f>CONCATENATE(D710,".",F710,"-",G710,".",H710,"")</f>
        <v>2.1-5.1</v>
      </c>
      <c r="B710" s="33" t="s">
        <v>814</v>
      </c>
      <c r="C710" s="39" t="s">
        <v>262</v>
      </c>
      <c r="D710" s="33">
        <f>IF(C710="ID",1,(IF(C710="PR",2,(IF(C710="DE",3,(IF(C710="RS",4,(IF(C710="RC",5,0)))))))))</f>
        <v>2</v>
      </c>
      <c r="E710" s="33" t="s">
        <v>257</v>
      </c>
      <c r="F710" s="33">
        <f>IF(E710="AM",1,(IF(E710="BE",2,(IF(E710="GV",3,(IF(E710="RA",4,(IF(E710="RM",5,(IF(E710="AC",1,(IF(E710="AT",2,(IF(E710="DS",3,(IF(E710="IP",4,(IF(E710="MA",5,(IF(E710="PT",6,(IF(E710="AE",1,(IF(E710="CM",2,(IF(E710="DP",3,(IF(E710="AN",1,(IF(E710="CO",2,(IF(E710="IM",3,(IF(E710="MI",4,(IF(E710="RP",5,(IF(E710="SC",6,0)))))))))))))))))))))))))))))))))))))))</f>
        <v>1</v>
      </c>
      <c r="G710" s="170">
        <v>5</v>
      </c>
      <c r="H710" s="38" t="s">
        <v>511</v>
      </c>
      <c r="I710" s="105" t="s">
        <v>1449</v>
      </c>
      <c r="J710" s="157" t="s">
        <v>1546</v>
      </c>
      <c r="K710" s="34" t="s">
        <v>1547</v>
      </c>
      <c r="L710" s="5">
        <f>IF(O710="","",N710*O710*M710)</f>
        <v>99</v>
      </c>
      <c r="M710" s="8">
        <v>1</v>
      </c>
      <c r="N710" s="1">
        <v>1</v>
      </c>
      <c r="O710" s="15">
        <f>IF(SUM(Q710:AF710)&lt;1,"",SUM(Q710:AF710)/COUNTIF(Q710:AF710,"&gt;0"))</f>
        <v>99</v>
      </c>
      <c r="P710" s="16"/>
      <c r="Q710" s="13"/>
      <c r="T710" s="4">
        <v>99</v>
      </c>
      <c r="U710" s="2"/>
      <c r="V710" s="2"/>
      <c r="W710" s="2"/>
      <c r="X710" s="2"/>
      <c r="Z710" s="2"/>
      <c r="AA710" s="2"/>
      <c r="AF710" s="14"/>
    </row>
    <row r="711" spans="1:32" s="4" customFormat="1" ht="15.75" customHeight="1" x14ac:dyDescent="0.25">
      <c r="A711" s="33" t="str">
        <f>CONCATENATE(D711,".",F711,"-",G711,".",H711,"")</f>
        <v>2.1-5.1</v>
      </c>
      <c r="B711" s="33" t="s">
        <v>814</v>
      </c>
      <c r="C711" s="39" t="s">
        <v>262</v>
      </c>
      <c r="D711" s="33">
        <f>IF(C711="ID",1,(IF(C711="PR",2,(IF(C711="DE",3,(IF(C711="RS",4,(IF(C711="RC",5,0)))))))))</f>
        <v>2</v>
      </c>
      <c r="E711" s="33" t="s">
        <v>257</v>
      </c>
      <c r="F711" s="33">
        <f>IF(E711="AM",1,(IF(E711="BE",2,(IF(E711="GV",3,(IF(E711="RA",4,(IF(E711="RM",5,(IF(E711="AC",1,(IF(E711="AT",2,(IF(E711="DS",3,(IF(E711="IP",4,(IF(E711="MA",5,(IF(E711="PT",6,(IF(E711="AE",1,(IF(E711="CM",2,(IF(E711="DP",3,(IF(E711="AN",1,(IF(E711="CO",2,(IF(E711="IM",3,(IF(E711="MI",4,(IF(E711="RP",5,(IF(E711="SC",6,0)))))))))))))))))))))))))))))))))))))))</f>
        <v>1</v>
      </c>
      <c r="G711" s="170">
        <v>5</v>
      </c>
      <c r="H711" s="38" t="s">
        <v>511</v>
      </c>
      <c r="I711" s="105" t="s">
        <v>1449</v>
      </c>
      <c r="J711" s="157" t="s">
        <v>1548</v>
      </c>
      <c r="K711" s="34" t="s">
        <v>1549</v>
      </c>
      <c r="L711" s="5">
        <f>IF(O711="","",N711*O711*M711)</f>
        <v>99</v>
      </c>
      <c r="M711" s="8">
        <v>1</v>
      </c>
      <c r="N711" s="1">
        <v>1</v>
      </c>
      <c r="O711" s="15">
        <f>IF(SUM(Q711:AF711)&lt;1,"",SUM(Q711:AF711)/COUNTIF(Q711:AF711,"&gt;0"))</f>
        <v>99</v>
      </c>
      <c r="P711" s="16"/>
      <c r="Q711" s="13"/>
      <c r="T711" s="4">
        <v>99</v>
      </c>
      <c r="U711" s="2"/>
      <c r="V711" s="2"/>
      <c r="W711" s="2"/>
      <c r="X711" s="2"/>
      <c r="Z711" s="2"/>
      <c r="AA711" s="2"/>
      <c r="AF711" s="14"/>
    </row>
    <row r="712" spans="1:32" s="4" customFormat="1" ht="15.75" customHeight="1" x14ac:dyDescent="0.25">
      <c r="A712" s="33" t="str">
        <f>CONCATENATE(D712,".",F712,"-",G712,".",H712,"")</f>
        <v>2.1-5.1</v>
      </c>
      <c r="B712" s="33" t="s">
        <v>814</v>
      </c>
      <c r="C712" s="39" t="s">
        <v>262</v>
      </c>
      <c r="D712" s="33">
        <f>IF(C712="ID",1,(IF(C712="PR",2,(IF(C712="DE",3,(IF(C712="RS",4,(IF(C712="RC",5,0)))))))))</f>
        <v>2</v>
      </c>
      <c r="E712" s="33" t="s">
        <v>257</v>
      </c>
      <c r="F712" s="33">
        <f>IF(E712="AM",1,(IF(E712="BE",2,(IF(E712="GV",3,(IF(E712="RA",4,(IF(E712="RM",5,(IF(E712="AC",1,(IF(E712="AT",2,(IF(E712="DS",3,(IF(E712="IP",4,(IF(E712="MA",5,(IF(E712="PT",6,(IF(E712="AE",1,(IF(E712="CM",2,(IF(E712="DP",3,(IF(E712="AN",1,(IF(E712="CO",2,(IF(E712="IM",3,(IF(E712="MI",4,(IF(E712="RP",5,(IF(E712="SC",6,0)))))))))))))))))))))))))))))))))))))))</f>
        <v>1</v>
      </c>
      <c r="G712" s="170">
        <v>5</v>
      </c>
      <c r="H712" s="38" t="s">
        <v>511</v>
      </c>
      <c r="I712" s="105" t="s">
        <v>1449</v>
      </c>
      <c r="J712" s="157" t="s">
        <v>1608</v>
      </c>
      <c r="K712" s="34" t="s">
        <v>1609</v>
      </c>
      <c r="L712" s="5">
        <f>IF(O712="","",N712*O712*M712)</f>
        <v>99</v>
      </c>
      <c r="M712" s="8">
        <v>1</v>
      </c>
      <c r="N712" s="1">
        <v>1</v>
      </c>
      <c r="O712" s="15">
        <f>IF(SUM(Q712:AF712)&lt;1,"",SUM(Q712:AF712)/COUNTIF(Q712:AF712,"&gt;0"))</f>
        <v>99</v>
      </c>
      <c r="P712" s="16"/>
      <c r="Q712" s="13"/>
      <c r="T712" s="4">
        <v>99</v>
      </c>
      <c r="U712" s="2"/>
      <c r="V712" s="2"/>
      <c r="W712" s="2"/>
      <c r="X712" s="2"/>
      <c r="Z712" s="2"/>
      <c r="AA712" s="2"/>
      <c r="AF712" s="14"/>
    </row>
    <row r="713" spans="1:32" s="4" customFormat="1" ht="15.75" customHeight="1" x14ac:dyDescent="0.25">
      <c r="A713" s="33" t="str">
        <f>CONCATENATE(D713,".",F713,"-",G713,".",H713,"")</f>
        <v>2.1-5.1</v>
      </c>
      <c r="B713" s="33" t="s">
        <v>814</v>
      </c>
      <c r="C713" s="39" t="s">
        <v>262</v>
      </c>
      <c r="D713" s="33">
        <f>IF(C713="ID",1,(IF(C713="PR",2,(IF(C713="DE",3,(IF(C713="RS",4,(IF(C713="RC",5,0)))))))))</f>
        <v>2</v>
      </c>
      <c r="E713" s="33" t="s">
        <v>257</v>
      </c>
      <c r="F713" s="33">
        <f>IF(E713="AM",1,(IF(E713="BE",2,(IF(E713="GV",3,(IF(E713="RA",4,(IF(E713="RM",5,(IF(E713="AC",1,(IF(E713="AT",2,(IF(E713="DS",3,(IF(E713="IP",4,(IF(E713="MA",5,(IF(E713="PT",6,(IF(E713="AE",1,(IF(E713="CM",2,(IF(E713="DP",3,(IF(E713="AN",1,(IF(E713="CO",2,(IF(E713="IM",3,(IF(E713="MI",4,(IF(E713="RP",5,(IF(E713="SC",6,0)))))))))))))))))))))))))))))))))))))))</f>
        <v>1</v>
      </c>
      <c r="G713" s="170">
        <v>5</v>
      </c>
      <c r="H713" s="38" t="s">
        <v>511</v>
      </c>
      <c r="I713" s="105" t="s">
        <v>1449</v>
      </c>
      <c r="J713" s="157" t="s">
        <v>1612</v>
      </c>
      <c r="K713" s="34" t="s">
        <v>1613</v>
      </c>
      <c r="L713" s="5">
        <f>IF(O713="","",N713*O713*M713)</f>
        <v>99</v>
      </c>
      <c r="M713" s="8">
        <v>1</v>
      </c>
      <c r="N713" s="1">
        <v>1</v>
      </c>
      <c r="O713" s="15">
        <f>IF(SUM(Q713:AF713)&lt;1,"",SUM(Q713:AF713)/COUNTIF(Q713:AF713,"&gt;0"))</f>
        <v>99</v>
      </c>
      <c r="P713" s="16"/>
      <c r="Q713" s="13"/>
      <c r="T713" s="4">
        <v>99</v>
      </c>
      <c r="U713" s="2"/>
      <c r="V713" s="2"/>
      <c r="W713" s="2"/>
      <c r="X713" s="2"/>
      <c r="Z713" s="2"/>
      <c r="AA713" s="2"/>
      <c r="AF713" s="14"/>
    </row>
    <row r="714" spans="1:32" s="4" customFormat="1" ht="15.75" customHeight="1" x14ac:dyDescent="0.25">
      <c r="A714" s="33" t="str">
        <f>CONCATENATE(D714,".",F714,"-",G714,".",H714,"")</f>
        <v>2.1-5.1</v>
      </c>
      <c r="B714" s="33" t="s">
        <v>814</v>
      </c>
      <c r="C714" s="39" t="s">
        <v>262</v>
      </c>
      <c r="D714" s="33">
        <f>IF(C714="ID",1,(IF(C714="PR",2,(IF(C714="DE",3,(IF(C714="RS",4,(IF(C714="RC",5,0)))))))))</f>
        <v>2</v>
      </c>
      <c r="E714" s="33" t="s">
        <v>257</v>
      </c>
      <c r="F714" s="33">
        <f>IF(E714="AM",1,(IF(E714="BE",2,(IF(E714="GV",3,(IF(E714="RA",4,(IF(E714="RM",5,(IF(E714="AC",1,(IF(E714="AT",2,(IF(E714="DS",3,(IF(E714="IP",4,(IF(E714="MA",5,(IF(E714="PT",6,(IF(E714="AE",1,(IF(E714="CM",2,(IF(E714="DP",3,(IF(E714="AN",1,(IF(E714="CO",2,(IF(E714="IM",3,(IF(E714="MI",4,(IF(E714="RP",5,(IF(E714="SC",6,0)))))))))))))))))))))))))))))))))))))))</f>
        <v>1</v>
      </c>
      <c r="G714" s="170">
        <v>5</v>
      </c>
      <c r="H714" s="38" t="s">
        <v>511</v>
      </c>
      <c r="I714" s="105" t="s">
        <v>1449</v>
      </c>
      <c r="J714" s="157" t="s">
        <v>1642</v>
      </c>
      <c r="K714" s="34" t="s">
        <v>1643</v>
      </c>
      <c r="L714" s="5">
        <f>IF(O714="","",N714*O714*M714)</f>
        <v>99</v>
      </c>
      <c r="M714" s="8">
        <v>1</v>
      </c>
      <c r="N714" s="1">
        <v>1</v>
      </c>
      <c r="O714" s="15">
        <f>IF(SUM(Q714:AF714)&lt;1,"",SUM(Q714:AF714)/COUNTIF(Q714:AF714,"&gt;0"))</f>
        <v>99</v>
      </c>
      <c r="P714" s="16"/>
      <c r="Q714" s="13"/>
      <c r="T714" s="4">
        <v>99</v>
      </c>
      <c r="U714" s="2"/>
      <c r="V714" s="2"/>
      <c r="W714" s="2"/>
      <c r="X714" s="2"/>
      <c r="Z714" s="2"/>
      <c r="AA714" s="2"/>
      <c r="AF714" s="14"/>
    </row>
    <row r="715" spans="1:32" s="4" customFormat="1" ht="15.75" customHeight="1" x14ac:dyDescent="0.25">
      <c r="A715" s="33" t="str">
        <f>CONCATENATE(D715,".",F715,"-",G715,".",H715,"")</f>
        <v>2.1-5.1</v>
      </c>
      <c r="B715" s="33"/>
      <c r="C715" s="39" t="s">
        <v>262</v>
      </c>
      <c r="D715" s="33">
        <f>IF(C715="ID",1,(IF(C715="PR",2,(IF(C715="DE",3,(IF(C715="RS",4,(IF(C715="RC",5,0)))))))))</f>
        <v>2</v>
      </c>
      <c r="E715" s="33" t="s">
        <v>257</v>
      </c>
      <c r="F715" s="33">
        <f>IF(E715="AM",1,(IF(E715="BE",2,(IF(E715="GV",3,(IF(E715="RA",4,(IF(E715="RM",5,(IF(E715="AC",1,(IF(E715="AT",2,(IF(E715="DS",3,(IF(E715="IP",4,(IF(E715="MA",5,(IF(E715="PT",6,(IF(E715="AE",1,(IF(E715="CM",2,(IF(E715="DP",3,(IF(E715="AN",1,(IF(E715="CO",2,(IF(E715="IM",3,(IF(E715="MI",4,(IF(E715="RP",5,(IF(E715="SC",6,0)))))))))))))))))))))))))))))))))))))))</f>
        <v>1</v>
      </c>
      <c r="G715" s="170">
        <v>5</v>
      </c>
      <c r="H715" s="38" t="s">
        <v>511</v>
      </c>
      <c r="I715" s="105" t="s">
        <v>1449</v>
      </c>
      <c r="J715" s="157" t="s">
        <v>1837</v>
      </c>
      <c r="K715" s="34" t="s">
        <v>1838</v>
      </c>
      <c r="L715" s="5">
        <f>IF(O715="","",N715*O715*M715)</f>
        <v>99</v>
      </c>
      <c r="M715" s="8">
        <v>1</v>
      </c>
      <c r="N715" s="1">
        <v>1</v>
      </c>
      <c r="O715" s="15">
        <f>IF(SUM(Q715:AF715)&lt;1,"",SUM(Q715:AF715)/COUNTIF(Q715:AF715,"&gt;0"))</f>
        <v>99</v>
      </c>
      <c r="P715" s="16"/>
      <c r="Q715" s="13"/>
      <c r="T715" s="4">
        <v>99</v>
      </c>
      <c r="U715" s="2"/>
      <c r="V715" s="2"/>
      <c r="W715" s="2"/>
      <c r="X715" s="2"/>
      <c r="Z715" s="2"/>
      <c r="AA715" s="2"/>
      <c r="AF715" s="14"/>
    </row>
    <row r="716" spans="1:32" s="4" customFormat="1" ht="15.75" customHeight="1" x14ac:dyDescent="0.25">
      <c r="A716" s="33" t="str">
        <f>CONCATENATE(D716,".",F716,"-",G716,".",H716,"")</f>
        <v>2.1-5.1</v>
      </c>
      <c r="B716" s="33"/>
      <c r="C716" s="39" t="s">
        <v>262</v>
      </c>
      <c r="D716" s="33">
        <f>IF(C716="ID",1,(IF(C716="PR",2,(IF(C716="DE",3,(IF(C716="RS",4,(IF(C716="RC",5,0)))))))))</f>
        <v>2</v>
      </c>
      <c r="E716" s="33" t="s">
        <v>257</v>
      </c>
      <c r="F716" s="33">
        <f>IF(E716="AM",1,(IF(E716="BE",2,(IF(E716="GV",3,(IF(E716="RA",4,(IF(E716="RM",5,(IF(E716="AC",1,(IF(E716="AT",2,(IF(E716="DS",3,(IF(E716="IP",4,(IF(E716="MA",5,(IF(E716="PT",6,(IF(E716="AE",1,(IF(E716="CM",2,(IF(E716="DP",3,(IF(E716="AN",1,(IF(E716="CO",2,(IF(E716="IM",3,(IF(E716="MI",4,(IF(E716="RP",5,(IF(E716="SC",6,0)))))))))))))))))))))))))))))))))))))))</f>
        <v>1</v>
      </c>
      <c r="G716" s="170">
        <v>5</v>
      </c>
      <c r="H716" s="38" t="s">
        <v>511</v>
      </c>
      <c r="I716" s="105" t="s">
        <v>1449</v>
      </c>
      <c r="J716" s="157" t="s">
        <v>1841</v>
      </c>
      <c r="K716" s="34" t="s">
        <v>1842</v>
      </c>
      <c r="L716" s="5">
        <f>IF(O716="","",N716*O716*M716)</f>
        <v>99</v>
      </c>
      <c r="M716" s="8">
        <v>1</v>
      </c>
      <c r="N716" s="1">
        <v>1</v>
      </c>
      <c r="O716" s="15">
        <f>IF(SUM(Q716:AF716)&lt;1,"",SUM(Q716:AF716)/COUNTIF(Q716:AF716,"&gt;0"))</f>
        <v>99</v>
      </c>
      <c r="P716" s="16"/>
      <c r="Q716" s="13"/>
      <c r="T716" s="4">
        <v>99</v>
      </c>
      <c r="U716" s="2"/>
      <c r="V716" s="2"/>
      <c r="W716" s="2"/>
      <c r="X716" s="2"/>
      <c r="Z716" s="2"/>
      <c r="AA716" s="2"/>
      <c r="AF716" s="14"/>
    </row>
    <row r="717" spans="1:32" s="4" customFormat="1" ht="15.75" customHeight="1" x14ac:dyDescent="0.25">
      <c r="A717" s="33" t="str">
        <f>CONCATENATE(D717,".",F717,"-",G717,".",H717,"")</f>
        <v>2.1-5.1</v>
      </c>
      <c r="B717" s="33"/>
      <c r="C717" s="39" t="s">
        <v>262</v>
      </c>
      <c r="D717" s="33">
        <f>IF(C717="ID",1,(IF(C717="PR",2,(IF(C717="DE",3,(IF(C717="RS",4,(IF(C717="RC",5,0)))))))))</f>
        <v>2</v>
      </c>
      <c r="E717" s="33" t="s">
        <v>257</v>
      </c>
      <c r="F717" s="33">
        <f>IF(E717="AM",1,(IF(E717="BE",2,(IF(E717="GV",3,(IF(E717="RA",4,(IF(E717="RM",5,(IF(E717="AC",1,(IF(E717="AT",2,(IF(E717="DS",3,(IF(E717="IP",4,(IF(E717="MA",5,(IF(E717="PT",6,(IF(E717="AE",1,(IF(E717="CM",2,(IF(E717="DP",3,(IF(E717="AN",1,(IF(E717="CO",2,(IF(E717="IM",3,(IF(E717="MI",4,(IF(E717="RP",5,(IF(E717="SC",6,0)))))))))))))))))))))))))))))))))))))))</f>
        <v>1</v>
      </c>
      <c r="G717" s="170">
        <v>5</v>
      </c>
      <c r="H717" s="38" t="s">
        <v>511</v>
      </c>
      <c r="I717" s="105" t="s">
        <v>1449</v>
      </c>
      <c r="J717" s="157" t="s">
        <v>2921</v>
      </c>
      <c r="K717" s="34" t="s">
        <v>2922</v>
      </c>
      <c r="L717" s="5">
        <f>IF(O717="","",N717*O717*M717)</f>
        <v>99</v>
      </c>
      <c r="M717" s="8">
        <v>1</v>
      </c>
      <c r="N717" s="1">
        <v>1</v>
      </c>
      <c r="O717" s="15">
        <f>IF(SUM(Q717:AF717)&lt;1,"",SUM(Q717:AF717)/COUNTIF(Q717:AF717,"&gt;0"))</f>
        <v>99</v>
      </c>
      <c r="P717" s="16"/>
      <c r="Q717" s="13"/>
      <c r="T717" s="4">
        <v>99</v>
      </c>
      <c r="U717" s="2"/>
      <c r="V717" s="2"/>
      <c r="W717" s="2"/>
      <c r="X717" s="2"/>
      <c r="Z717" s="2"/>
      <c r="AA717" s="2"/>
      <c r="AF717" s="14"/>
    </row>
    <row r="718" spans="1:32" s="4" customFormat="1" ht="15.75" customHeight="1" x14ac:dyDescent="0.25">
      <c r="A718" s="33" t="str">
        <f>CONCATENATE(D718,".",F718,"-",G718,".",H718,"")</f>
        <v>2.1-5.1</v>
      </c>
      <c r="B718" s="33"/>
      <c r="C718" s="39" t="s">
        <v>262</v>
      </c>
      <c r="D718" s="33">
        <f>IF(C718="ID",1,(IF(C718="PR",2,(IF(C718="DE",3,(IF(C718="RS",4,(IF(C718="RC",5,0)))))))))</f>
        <v>2</v>
      </c>
      <c r="E718" s="33" t="s">
        <v>257</v>
      </c>
      <c r="F718" s="33">
        <f>IF(E718="AM",1,(IF(E718="BE",2,(IF(E718="GV",3,(IF(E718="RA",4,(IF(E718="RM",5,(IF(E718="AC",1,(IF(E718="AT",2,(IF(E718="DS",3,(IF(E718="IP",4,(IF(E718="MA",5,(IF(E718="PT",6,(IF(E718="AE",1,(IF(E718="CM",2,(IF(E718="DP",3,(IF(E718="AN",1,(IF(E718="CO",2,(IF(E718="IM",3,(IF(E718="MI",4,(IF(E718="RP",5,(IF(E718="SC",6,0)))))))))))))))))))))))))))))))))))))))</f>
        <v>1</v>
      </c>
      <c r="G718" s="170">
        <v>5</v>
      </c>
      <c r="H718" s="38" t="s">
        <v>511</v>
      </c>
      <c r="I718" s="105" t="s">
        <v>1449</v>
      </c>
      <c r="J718" s="157" t="s">
        <v>2925</v>
      </c>
      <c r="K718" s="34" t="s">
        <v>2926</v>
      </c>
      <c r="L718" s="5">
        <f>IF(O718="","",N718*O718*M718)</f>
        <v>99</v>
      </c>
      <c r="M718" s="8">
        <v>1</v>
      </c>
      <c r="N718" s="1">
        <v>1</v>
      </c>
      <c r="O718" s="15">
        <f>IF(SUM(Q718:AF718)&lt;1,"",SUM(Q718:AF718)/COUNTIF(Q718:AF718,"&gt;0"))</f>
        <v>99</v>
      </c>
      <c r="P718" s="16"/>
      <c r="Q718" s="13"/>
      <c r="T718" s="4">
        <v>99</v>
      </c>
      <c r="U718" s="2"/>
      <c r="V718" s="2"/>
      <c r="W718" s="2"/>
      <c r="X718" s="2"/>
      <c r="Z718" s="2"/>
      <c r="AA718" s="2"/>
      <c r="AF718" s="14"/>
    </row>
    <row r="719" spans="1:32" s="4" customFormat="1" ht="15.75" customHeight="1" x14ac:dyDescent="0.25">
      <c r="A719" s="33" t="str">
        <f>CONCATENATE(D719,".",F719,"-",G719,".",H719,"")</f>
        <v>2.1-5.1</v>
      </c>
      <c r="B719" s="33"/>
      <c r="C719" s="39" t="s">
        <v>262</v>
      </c>
      <c r="D719" s="33">
        <f>IF(C719="ID",1,(IF(C719="PR",2,(IF(C719="DE",3,(IF(C719="RS",4,(IF(C719="RC",5,0)))))))))</f>
        <v>2</v>
      </c>
      <c r="E719" s="33" t="s">
        <v>257</v>
      </c>
      <c r="F719" s="33">
        <f>IF(E719="AM",1,(IF(E719="BE",2,(IF(E719="GV",3,(IF(E719="RA",4,(IF(E719="RM",5,(IF(E719="AC",1,(IF(E719="AT",2,(IF(E719="DS",3,(IF(E719="IP",4,(IF(E719="MA",5,(IF(E719="PT",6,(IF(E719="AE",1,(IF(E719="CM",2,(IF(E719="DP",3,(IF(E719="AN",1,(IF(E719="CO",2,(IF(E719="IM",3,(IF(E719="MI",4,(IF(E719="RP",5,(IF(E719="SC",6,0)))))))))))))))))))))))))))))))))))))))</f>
        <v>1</v>
      </c>
      <c r="G719" s="170">
        <v>5</v>
      </c>
      <c r="H719" s="38" t="s">
        <v>511</v>
      </c>
      <c r="I719" s="105" t="s">
        <v>1449</v>
      </c>
      <c r="J719" s="157" t="s">
        <v>2927</v>
      </c>
      <c r="K719" s="34" t="s">
        <v>2928</v>
      </c>
      <c r="L719" s="5">
        <f>IF(O719="","",N719*O719*M719)</f>
        <v>99</v>
      </c>
      <c r="M719" s="8">
        <v>1</v>
      </c>
      <c r="N719" s="1">
        <v>1</v>
      </c>
      <c r="O719" s="15">
        <f>IF(SUM(Q719:AF719)&lt;1,"",SUM(Q719:AF719)/COUNTIF(Q719:AF719,"&gt;0"))</f>
        <v>99</v>
      </c>
      <c r="P719" s="16"/>
      <c r="Q719" s="13"/>
      <c r="T719" s="4">
        <v>99</v>
      </c>
      <c r="U719" s="2"/>
      <c r="V719" s="2"/>
      <c r="W719" s="2"/>
      <c r="X719" s="2"/>
      <c r="Z719" s="2"/>
      <c r="AA719" s="2"/>
      <c r="AF719" s="14"/>
    </row>
    <row r="720" spans="1:32" s="4" customFormat="1" ht="15.75" customHeight="1" x14ac:dyDescent="0.25">
      <c r="A720" s="33" t="str">
        <f>CONCATENATE(D720,".",F720,"-",G720,".",H720,"")</f>
        <v>2.1-5.1</v>
      </c>
      <c r="B720" s="33"/>
      <c r="C720" s="39" t="s">
        <v>262</v>
      </c>
      <c r="D720" s="33">
        <f>IF(C720="ID",1,(IF(C720="PR",2,(IF(C720="DE",3,(IF(C720="RS",4,(IF(C720="RC",5,0)))))))))</f>
        <v>2</v>
      </c>
      <c r="E720" s="33" t="s">
        <v>257</v>
      </c>
      <c r="F720" s="33">
        <f>IF(E720="AM",1,(IF(E720="BE",2,(IF(E720="GV",3,(IF(E720="RA",4,(IF(E720="RM",5,(IF(E720="AC",1,(IF(E720="AT",2,(IF(E720="DS",3,(IF(E720="IP",4,(IF(E720="MA",5,(IF(E720="PT",6,(IF(E720="AE",1,(IF(E720="CM",2,(IF(E720="DP",3,(IF(E720="AN",1,(IF(E720="CO",2,(IF(E720="IM",3,(IF(E720="MI",4,(IF(E720="RP",5,(IF(E720="SC",6,0)))))))))))))))))))))))))))))))))))))))</f>
        <v>1</v>
      </c>
      <c r="G720" s="170">
        <v>5</v>
      </c>
      <c r="H720" s="38" t="s">
        <v>511</v>
      </c>
      <c r="I720" s="105" t="s">
        <v>1449</v>
      </c>
      <c r="J720" s="157" t="s">
        <v>2929</v>
      </c>
      <c r="K720" s="34" t="s">
        <v>2930</v>
      </c>
      <c r="L720" s="5">
        <f>IF(O720="","",N720*O720*M720)</f>
        <v>99</v>
      </c>
      <c r="M720" s="8">
        <v>1</v>
      </c>
      <c r="N720" s="1">
        <v>1</v>
      </c>
      <c r="O720" s="15">
        <f>IF(SUM(Q720:AF720)&lt;1,"",SUM(Q720:AF720)/COUNTIF(Q720:AF720,"&gt;0"))</f>
        <v>99</v>
      </c>
      <c r="P720" s="16"/>
      <c r="Q720" s="13"/>
      <c r="T720" s="4">
        <v>99</v>
      </c>
      <c r="U720" s="2"/>
      <c r="V720" s="2"/>
      <c r="W720" s="2"/>
      <c r="X720" s="2"/>
      <c r="Z720" s="2"/>
      <c r="AA720" s="2"/>
      <c r="AF720" s="14"/>
    </row>
    <row r="721" spans="1:33" s="4" customFormat="1" ht="15.75" customHeight="1" x14ac:dyDescent="0.25">
      <c r="A721" s="33" t="str">
        <f>CONCATENATE(D721,".",F721,"-",G721,".",H721,"")</f>
        <v>2.1-5.1</v>
      </c>
      <c r="B721" s="33"/>
      <c r="C721" s="39" t="s">
        <v>262</v>
      </c>
      <c r="D721" s="33">
        <f>IF(C721="ID",1,(IF(C721="PR",2,(IF(C721="DE",3,(IF(C721="RS",4,(IF(C721="RC",5,0)))))))))</f>
        <v>2</v>
      </c>
      <c r="E721" s="33" t="s">
        <v>257</v>
      </c>
      <c r="F721" s="33">
        <f>IF(E721="AM",1,(IF(E721="BE",2,(IF(E721="GV",3,(IF(E721="RA",4,(IF(E721="RM",5,(IF(E721="AC",1,(IF(E721="AT",2,(IF(E721="DS",3,(IF(E721="IP",4,(IF(E721="MA",5,(IF(E721="PT",6,(IF(E721="AE",1,(IF(E721="CM",2,(IF(E721="DP",3,(IF(E721="AN",1,(IF(E721="CO",2,(IF(E721="IM",3,(IF(E721="MI",4,(IF(E721="RP",5,(IF(E721="SC",6,0)))))))))))))))))))))))))))))))))))))))</f>
        <v>1</v>
      </c>
      <c r="G721" s="170">
        <v>5</v>
      </c>
      <c r="H721" s="38" t="s">
        <v>511</v>
      </c>
      <c r="I721" s="105" t="s">
        <v>1449</v>
      </c>
      <c r="J721" s="157" t="s">
        <v>2931</v>
      </c>
      <c r="K721" s="34" t="s">
        <v>2932</v>
      </c>
      <c r="L721" s="5">
        <f>IF(O721="","",N721*O721*M721)</f>
        <v>99</v>
      </c>
      <c r="M721" s="8">
        <v>1</v>
      </c>
      <c r="N721" s="1">
        <v>1</v>
      </c>
      <c r="O721" s="15">
        <f>IF(SUM(Q721:AF721)&lt;1,"",SUM(Q721:AF721)/COUNTIF(Q721:AF721,"&gt;0"))</f>
        <v>99</v>
      </c>
      <c r="P721" s="16"/>
      <c r="Q721" s="13"/>
      <c r="T721" s="4">
        <v>99</v>
      </c>
      <c r="U721" s="2"/>
      <c r="V721" s="2"/>
      <c r="W721" s="2"/>
      <c r="X721" s="2"/>
      <c r="Z721" s="2"/>
      <c r="AA721" s="2"/>
      <c r="AF721" s="14"/>
    </row>
    <row r="722" spans="1:33" s="4" customFormat="1" ht="15.75" customHeight="1" x14ac:dyDescent="0.25">
      <c r="A722" s="33" t="str">
        <f>CONCATENATE(D722,".",F722,"-",G722,".",H722,"")</f>
        <v>2.1-5.1</v>
      </c>
      <c r="B722" s="33"/>
      <c r="C722" s="39" t="s">
        <v>262</v>
      </c>
      <c r="D722" s="33">
        <f>IF(C722="ID",1,(IF(C722="PR",2,(IF(C722="DE",3,(IF(C722="RS",4,(IF(C722="RC",5,0)))))))))</f>
        <v>2</v>
      </c>
      <c r="E722" s="33" t="s">
        <v>257</v>
      </c>
      <c r="F722" s="33">
        <f>IF(E722="AM",1,(IF(E722="BE",2,(IF(E722="GV",3,(IF(E722="RA",4,(IF(E722="RM",5,(IF(E722="AC",1,(IF(E722="AT",2,(IF(E722="DS",3,(IF(E722="IP",4,(IF(E722="MA",5,(IF(E722="PT",6,(IF(E722="AE",1,(IF(E722="CM",2,(IF(E722="DP",3,(IF(E722="AN",1,(IF(E722="CO",2,(IF(E722="IM",3,(IF(E722="MI",4,(IF(E722="RP",5,(IF(E722="SC",6,0)))))))))))))))))))))))))))))))))))))))</f>
        <v>1</v>
      </c>
      <c r="G722" s="170">
        <v>5</v>
      </c>
      <c r="H722" s="38" t="s">
        <v>511</v>
      </c>
      <c r="I722" s="105" t="s">
        <v>1449</v>
      </c>
      <c r="J722" s="157" t="s">
        <v>2933</v>
      </c>
      <c r="K722" s="34" t="s">
        <v>2934</v>
      </c>
      <c r="L722" s="5">
        <f>IF(O722="","",N722*O722*M722)</f>
        <v>99</v>
      </c>
      <c r="M722" s="8">
        <v>1</v>
      </c>
      <c r="N722" s="1">
        <v>1</v>
      </c>
      <c r="O722" s="15">
        <f>IF(SUM(Q722:AF722)&lt;1,"",SUM(Q722:AF722)/COUNTIF(Q722:AF722,"&gt;0"))</f>
        <v>99</v>
      </c>
      <c r="P722" s="16"/>
      <c r="Q722" s="13"/>
      <c r="T722" s="4">
        <v>99</v>
      </c>
      <c r="U722" s="2"/>
      <c r="V722" s="2"/>
      <c r="W722" s="2"/>
      <c r="X722" s="2"/>
      <c r="Z722" s="2"/>
      <c r="AA722" s="2"/>
      <c r="AF722" s="14"/>
    </row>
    <row r="723" spans="1:33" s="4" customFormat="1" ht="15.75" customHeight="1" x14ac:dyDescent="0.25">
      <c r="A723" s="33" t="str">
        <f>CONCATENATE(D723,".",F723,"-",G723,".",H723,"")</f>
        <v>2.1-5.1</v>
      </c>
      <c r="B723" s="33"/>
      <c r="C723" s="39" t="s">
        <v>262</v>
      </c>
      <c r="D723" s="33">
        <f>IF(C723="ID",1,(IF(C723="PR",2,(IF(C723="DE",3,(IF(C723="RS",4,(IF(C723="RC",5,0)))))))))</f>
        <v>2</v>
      </c>
      <c r="E723" s="33" t="s">
        <v>257</v>
      </c>
      <c r="F723" s="33">
        <f>IF(E723="AM",1,(IF(E723="BE",2,(IF(E723="GV",3,(IF(E723="RA",4,(IF(E723="RM",5,(IF(E723="AC",1,(IF(E723="AT",2,(IF(E723="DS",3,(IF(E723="IP",4,(IF(E723="MA",5,(IF(E723="PT",6,(IF(E723="AE",1,(IF(E723="CM",2,(IF(E723="DP",3,(IF(E723="AN",1,(IF(E723="CO",2,(IF(E723="IM",3,(IF(E723="MI",4,(IF(E723="RP",5,(IF(E723="SC",6,0)))))))))))))))))))))))))))))))))))))))</f>
        <v>1</v>
      </c>
      <c r="G723" s="170">
        <v>5</v>
      </c>
      <c r="H723" s="38" t="s">
        <v>511</v>
      </c>
      <c r="I723" s="105" t="s">
        <v>1449</v>
      </c>
      <c r="J723" s="157" t="s">
        <v>2935</v>
      </c>
      <c r="K723" s="34" t="s">
        <v>2936</v>
      </c>
      <c r="L723" s="5">
        <f>IF(O723="","",N723*O723*M723)</f>
        <v>99</v>
      </c>
      <c r="M723" s="8">
        <v>1</v>
      </c>
      <c r="N723" s="1">
        <v>1</v>
      </c>
      <c r="O723" s="15">
        <f>IF(SUM(Q723:AF723)&lt;1,"",SUM(Q723:AF723)/COUNTIF(Q723:AF723,"&gt;0"))</f>
        <v>99</v>
      </c>
      <c r="P723" s="16"/>
      <c r="Q723" s="13"/>
      <c r="T723" s="4">
        <v>99</v>
      </c>
      <c r="U723" s="2"/>
      <c r="V723" s="2"/>
      <c r="W723" s="2"/>
      <c r="X723" s="2"/>
      <c r="Z723" s="2"/>
      <c r="AA723" s="2"/>
      <c r="AF723" s="14"/>
    </row>
    <row r="724" spans="1:33" s="4" customFormat="1" ht="15.75" customHeight="1" x14ac:dyDescent="0.25">
      <c r="A724" s="33" t="str">
        <f>CONCATENATE(D724,".",F724,"-",G724,".",H724,"")</f>
        <v>2.1-5.1</v>
      </c>
      <c r="B724" s="33"/>
      <c r="C724" s="39" t="s">
        <v>262</v>
      </c>
      <c r="D724" s="33">
        <f>IF(C724="ID",1,(IF(C724="PR",2,(IF(C724="DE",3,(IF(C724="RS",4,(IF(C724="RC",5,0)))))))))</f>
        <v>2</v>
      </c>
      <c r="E724" s="33" t="s">
        <v>257</v>
      </c>
      <c r="F724" s="33">
        <f>IF(E724="AM",1,(IF(E724="BE",2,(IF(E724="GV",3,(IF(E724="RA",4,(IF(E724="RM",5,(IF(E724="AC",1,(IF(E724="AT",2,(IF(E724="DS",3,(IF(E724="IP",4,(IF(E724="MA",5,(IF(E724="PT",6,(IF(E724="AE",1,(IF(E724="CM",2,(IF(E724="DP",3,(IF(E724="AN",1,(IF(E724="CO",2,(IF(E724="IM",3,(IF(E724="MI",4,(IF(E724="RP",5,(IF(E724="SC",6,0)))))))))))))))))))))))))))))))))))))))</f>
        <v>1</v>
      </c>
      <c r="G724" s="170">
        <v>5</v>
      </c>
      <c r="H724" s="38" t="s">
        <v>511</v>
      </c>
      <c r="I724" s="105" t="s">
        <v>1449</v>
      </c>
      <c r="J724" s="157" t="s">
        <v>2937</v>
      </c>
      <c r="K724" s="34" t="s">
        <v>2938</v>
      </c>
      <c r="L724" s="5">
        <f>IF(O724="","",N724*O724*M724)</f>
        <v>99</v>
      </c>
      <c r="M724" s="8">
        <v>1</v>
      </c>
      <c r="N724" s="1">
        <v>1</v>
      </c>
      <c r="O724" s="15">
        <f>IF(SUM(Q724:AF724)&lt;1,"",SUM(Q724:AF724)/COUNTIF(Q724:AF724,"&gt;0"))</f>
        <v>99</v>
      </c>
      <c r="P724" s="16"/>
      <c r="Q724" s="13"/>
      <c r="T724" s="4">
        <v>99</v>
      </c>
      <c r="U724" s="2"/>
      <c r="V724" s="2"/>
      <c r="W724" s="2"/>
      <c r="X724" s="2"/>
      <c r="Z724" s="2"/>
      <c r="AA724" s="2"/>
      <c r="AF724" s="14"/>
    </row>
    <row r="725" spans="1:33" ht="15.75" customHeight="1" x14ac:dyDescent="0.25">
      <c r="A725" s="33" t="str">
        <f>CONCATENATE(D725,".",F725,"-",G725,".",H725,"")</f>
        <v>2.1-5.1</v>
      </c>
      <c r="C725" s="39" t="s">
        <v>262</v>
      </c>
      <c r="D725" s="33">
        <f>IF(C725="ID",1,(IF(C725="PR",2,(IF(C725="DE",3,(IF(C725="RS",4,(IF(C725="RC",5,0)))))))))</f>
        <v>2</v>
      </c>
      <c r="E725" s="33" t="s">
        <v>257</v>
      </c>
      <c r="F725" s="33">
        <f>IF(E725="AM",1,(IF(E725="BE",2,(IF(E725="GV",3,(IF(E725="RA",4,(IF(E725="RM",5,(IF(E725="AC",1,(IF(E725="AT",2,(IF(E725="DS",3,(IF(E725="IP",4,(IF(E725="MA",5,(IF(E725="PT",6,(IF(E725="AE",1,(IF(E725="CM",2,(IF(E725="DP",3,(IF(E725="AN",1,(IF(E725="CO",2,(IF(E725="IM",3,(IF(E725="MI",4,(IF(E725="RP",5,(IF(E725="SC",6,0)))))))))))))))))))))))))))))))))))))))</f>
        <v>1</v>
      </c>
      <c r="G725" s="170">
        <v>5</v>
      </c>
      <c r="H725" s="38" t="s">
        <v>511</v>
      </c>
      <c r="I725" s="105" t="s">
        <v>1449</v>
      </c>
      <c r="J725" s="157" t="s">
        <v>2939</v>
      </c>
      <c r="K725" s="34" t="s">
        <v>2940</v>
      </c>
      <c r="L725" s="5">
        <f>IF(O725="","",N725*O725*M725)</f>
        <v>99</v>
      </c>
      <c r="M725" s="8">
        <v>1</v>
      </c>
      <c r="N725" s="1">
        <v>1</v>
      </c>
      <c r="O725" s="15">
        <f>IF(SUM(Q725:AF725)&lt;1,"",SUM(Q725:AF725)/COUNTIF(Q725:AF725,"&gt;0"))</f>
        <v>99</v>
      </c>
      <c r="P725" s="16"/>
      <c r="Q725" s="13"/>
      <c r="R725" s="4"/>
      <c r="S725" s="4"/>
      <c r="T725" s="4">
        <v>99</v>
      </c>
      <c r="U725" s="2"/>
      <c r="V725" s="2"/>
      <c r="W725" s="2"/>
      <c r="X725" s="2"/>
      <c r="Y725" s="4"/>
      <c r="Z725" s="2"/>
      <c r="AA725" s="2"/>
      <c r="AB725" s="4"/>
      <c r="AC725" s="4"/>
      <c r="AD725" s="4"/>
      <c r="AE725" s="4"/>
      <c r="AF725" s="14"/>
      <c r="AG725" s="3"/>
    </row>
    <row r="726" spans="1:33" ht="15.75" customHeight="1" x14ac:dyDescent="0.25">
      <c r="A726" s="33" t="str">
        <f>CONCATENATE(D726,".",F726,"-",G726,".",H726,"")</f>
        <v>2.1-5.1</v>
      </c>
      <c r="C726" s="39" t="s">
        <v>262</v>
      </c>
      <c r="D726" s="33">
        <f>IF(C726="ID",1,(IF(C726="PR",2,(IF(C726="DE",3,(IF(C726="RS",4,(IF(C726="RC",5,0)))))))))</f>
        <v>2</v>
      </c>
      <c r="E726" s="33" t="s">
        <v>257</v>
      </c>
      <c r="F726" s="33">
        <f>IF(E726="AM",1,(IF(E726="BE",2,(IF(E726="GV",3,(IF(E726="RA",4,(IF(E726="RM",5,(IF(E726="AC",1,(IF(E726="AT",2,(IF(E726="DS",3,(IF(E726="IP",4,(IF(E726="MA",5,(IF(E726="PT",6,(IF(E726="AE",1,(IF(E726="CM",2,(IF(E726="DP",3,(IF(E726="AN",1,(IF(E726="CO",2,(IF(E726="IM",3,(IF(E726="MI",4,(IF(E726="RP",5,(IF(E726="SC",6,0)))))))))))))))))))))))))))))))))))))))</f>
        <v>1</v>
      </c>
      <c r="G726" s="170">
        <v>5</v>
      </c>
      <c r="H726" s="38" t="s">
        <v>511</v>
      </c>
      <c r="I726" s="105" t="s">
        <v>1449</v>
      </c>
      <c r="J726" s="157" t="s">
        <v>2941</v>
      </c>
      <c r="K726" s="34" t="s">
        <v>2942</v>
      </c>
      <c r="L726" s="5">
        <f>IF(O726="","",N726*O726*M726)</f>
        <v>99</v>
      </c>
      <c r="M726" s="8">
        <v>1</v>
      </c>
      <c r="N726" s="1">
        <v>1</v>
      </c>
      <c r="O726" s="15">
        <f>IF(SUM(Q726:AF726)&lt;1,"",SUM(Q726:AF726)/COUNTIF(Q726:AF726,"&gt;0"))</f>
        <v>99</v>
      </c>
      <c r="P726" s="16"/>
      <c r="Q726" s="13"/>
      <c r="R726" s="4"/>
      <c r="S726" s="4"/>
      <c r="T726" s="4">
        <v>99</v>
      </c>
      <c r="U726" s="2"/>
      <c r="V726" s="2"/>
      <c r="W726" s="2"/>
      <c r="X726" s="2"/>
      <c r="Y726" s="4"/>
      <c r="Z726" s="2"/>
      <c r="AA726" s="2"/>
      <c r="AB726" s="4"/>
      <c r="AC726" s="4"/>
      <c r="AD726" s="4"/>
      <c r="AE726" s="4"/>
      <c r="AF726" s="14"/>
      <c r="AG726" s="3"/>
    </row>
    <row r="727" spans="1:33" ht="15.75" customHeight="1" x14ac:dyDescent="0.25">
      <c r="A727" s="33" t="str">
        <f>CONCATENATE(D727,".",F727,"-",G727,".",H727,"")</f>
        <v>2.1-5.1</v>
      </c>
      <c r="C727" s="39" t="s">
        <v>262</v>
      </c>
      <c r="D727" s="33">
        <f>IF(C727="ID",1,(IF(C727="PR",2,(IF(C727="DE",3,(IF(C727="RS",4,(IF(C727="RC",5,0)))))))))</f>
        <v>2</v>
      </c>
      <c r="E727" s="33" t="s">
        <v>257</v>
      </c>
      <c r="F727" s="33">
        <f>IF(E727="AM",1,(IF(E727="BE",2,(IF(E727="GV",3,(IF(E727="RA",4,(IF(E727="RM",5,(IF(E727="AC",1,(IF(E727="AT",2,(IF(E727="DS",3,(IF(E727="IP",4,(IF(E727="MA",5,(IF(E727="PT",6,(IF(E727="AE",1,(IF(E727="CM",2,(IF(E727="DP",3,(IF(E727="AN",1,(IF(E727="CO",2,(IF(E727="IM",3,(IF(E727="MI",4,(IF(E727="RP",5,(IF(E727="SC",6,0)))))))))))))))))))))))))))))))))))))))</f>
        <v>1</v>
      </c>
      <c r="G727" s="170">
        <v>5</v>
      </c>
      <c r="H727" s="38" t="s">
        <v>511</v>
      </c>
      <c r="I727" s="105" t="s">
        <v>1449</v>
      </c>
      <c r="J727" s="157" t="s">
        <v>2943</v>
      </c>
      <c r="K727" s="34" t="s">
        <v>2944</v>
      </c>
      <c r="L727" s="5">
        <f>IF(O727="","",N727*O727*M727)</f>
        <v>99</v>
      </c>
      <c r="M727" s="8">
        <v>1</v>
      </c>
      <c r="N727" s="1">
        <v>1</v>
      </c>
      <c r="O727" s="15">
        <f>IF(SUM(Q727:AF727)&lt;1,"",SUM(Q727:AF727)/COUNTIF(Q727:AF727,"&gt;0"))</f>
        <v>99</v>
      </c>
      <c r="P727" s="16"/>
      <c r="Q727" s="13"/>
      <c r="R727" s="4"/>
      <c r="S727" s="4"/>
      <c r="T727" s="4">
        <v>99</v>
      </c>
      <c r="U727" s="2"/>
      <c r="V727" s="2"/>
      <c r="W727" s="2"/>
      <c r="X727" s="2"/>
      <c r="Y727" s="4"/>
      <c r="Z727" s="2"/>
      <c r="AA727" s="2"/>
      <c r="AB727" s="4"/>
      <c r="AC727" s="4"/>
      <c r="AD727" s="4"/>
      <c r="AE727" s="4"/>
      <c r="AF727" s="14"/>
      <c r="AG727" s="3"/>
    </row>
    <row r="728" spans="1:33" ht="15.75" customHeight="1" x14ac:dyDescent="0.25">
      <c r="A728" s="33" t="str">
        <f>CONCATENATE(D728,".",F728,"-",G728,".",H728,"")</f>
        <v>2.1-5.1</v>
      </c>
      <c r="C728" s="39" t="s">
        <v>262</v>
      </c>
      <c r="D728" s="33">
        <f>IF(C728="ID",1,(IF(C728="PR",2,(IF(C728="DE",3,(IF(C728="RS",4,(IF(C728="RC",5,0)))))))))</f>
        <v>2</v>
      </c>
      <c r="E728" s="33" t="s">
        <v>257</v>
      </c>
      <c r="F728" s="33">
        <f>IF(E728="AM",1,(IF(E728="BE",2,(IF(E728="GV",3,(IF(E728="RA",4,(IF(E728="RM",5,(IF(E728="AC",1,(IF(E728="AT",2,(IF(E728="DS",3,(IF(E728="IP",4,(IF(E728="MA",5,(IF(E728="PT",6,(IF(E728="AE",1,(IF(E728="CM",2,(IF(E728="DP",3,(IF(E728="AN",1,(IF(E728="CO",2,(IF(E728="IM",3,(IF(E728="MI",4,(IF(E728="RP",5,(IF(E728="SC",6,0)))))))))))))))))))))))))))))))))))))))</f>
        <v>1</v>
      </c>
      <c r="G728" s="170">
        <v>5</v>
      </c>
      <c r="H728" s="38" t="s">
        <v>511</v>
      </c>
      <c r="I728" s="105" t="s">
        <v>1449</v>
      </c>
      <c r="J728" s="157" t="s">
        <v>2947</v>
      </c>
      <c r="K728" s="34" t="s">
        <v>2948</v>
      </c>
      <c r="L728" s="5">
        <f>IF(O728="","",N728*O728*M728)</f>
        <v>99</v>
      </c>
      <c r="M728" s="8">
        <v>1</v>
      </c>
      <c r="N728" s="1">
        <v>1</v>
      </c>
      <c r="O728" s="15">
        <f>IF(SUM(Q728:AF728)&lt;1,"",SUM(Q728:AF728)/COUNTIF(Q728:AF728,"&gt;0"))</f>
        <v>99</v>
      </c>
      <c r="P728" s="16"/>
      <c r="Q728" s="13"/>
      <c r="R728" s="4"/>
      <c r="S728" s="4"/>
      <c r="T728" s="4">
        <v>99</v>
      </c>
      <c r="U728" s="2"/>
      <c r="V728" s="2"/>
      <c r="W728" s="2"/>
      <c r="X728" s="2"/>
      <c r="Y728" s="4"/>
      <c r="Z728" s="2"/>
      <c r="AA728" s="2"/>
      <c r="AB728" s="4"/>
      <c r="AC728" s="4"/>
      <c r="AD728" s="4"/>
      <c r="AE728" s="4"/>
      <c r="AF728" s="14"/>
      <c r="AG728" s="3"/>
    </row>
    <row r="729" spans="1:33" s="4" customFormat="1" ht="15.75" customHeight="1" x14ac:dyDescent="0.25">
      <c r="A729" s="33" t="str">
        <f>CONCATENATE(D729,".",F729,"-",G729,".",H729,"")</f>
        <v>2.1-5.1</v>
      </c>
      <c r="B729" s="33"/>
      <c r="C729" s="39" t="s">
        <v>262</v>
      </c>
      <c r="D729" s="33">
        <f>IF(C729="ID",1,(IF(C729="PR",2,(IF(C729="DE",3,(IF(C729="RS",4,(IF(C729="RC",5,0)))))))))</f>
        <v>2</v>
      </c>
      <c r="E729" s="33" t="s">
        <v>257</v>
      </c>
      <c r="F729" s="33">
        <f>IF(E729="AM",1,(IF(E729="BE",2,(IF(E729="GV",3,(IF(E729="RA",4,(IF(E729="RM",5,(IF(E729="AC",1,(IF(E729="AT",2,(IF(E729="DS",3,(IF(E729="IP",4,(IF(E729="MA",5,(IF(E729="PT",6,(IF(E729="AE",1,(IF(E729="CM",2,(IF(E729="DP",3,(IF(E729="AN",1,(IF(E729="CO",2,(IF(E729="IM",3,(IF(E729="MI",4,(IF(E729="RP",5,(IF(E729="SC",6,0)))))))))))))))))))))))))))))))))))))))</f>
        <v>1</v>
      </c>
      <c r="G729" s="170">
        <v>5</v>
      </c>
      <c r="H729" s="38" t="s">
        <v>511</v>
      </c>
      <c r="I729" s="105" t="s">
        <v>1449</v>
      </c>
      <c r="J729" s="157" t="s">
        <v>2949</v>
      </c>
      <c r="K729" s="34" t="s">
        <v>2950</v>
      </c>
      <c r="L729" s="5">
        <f>IF(O729="","",N729*O729*M729)</f>
        <v>99</v>
      </c>
      <c r="M729" s="8">
        <v>1</v>
      </c>
      <c r="N729" s="1">
        <v>1</v>
      </c>
      <c r="O729" s="15">
        <f>IF(SUM(Q729:AF729)&lt;1,"",SUM(Q729:AF729)/COUNTIF(Q729:AF729,"&gt;0"))</f>
        <v>99</v>
      </c>
      <c r="P729" s="16"/>
      <c r="Q729" s="13"/>
      <c r="T729" s="4">
        <v>99</v>
      </c>
      <c r="U729" s="2"/>
      <c r="V729" s="2"/>
      <c r="W729" s="2"/>
      <c r="X729" s="2"/>
      <c r="Z729" s="2"/>
      <c r="AA729" s="2"/>
      <c r="AF729" s="14"/>
    </row>
    <row r="730" spans="1:33" s="4" customFormat="1" ht="15.75" customHeight="1" x14ac:dyDescent="0.25">
      <c r="A730" s="33" t="str">
        <f>CONCATENATE(D730,".",F730,"-",G730,".",H730,"")</f>
        <v>2.1-5.1</v>
      </c>
      <c r="B730" s="33"/>
      <c r="C730" s="39" t="s">
        <v>262</v>
      </c>
      <c r="D730" s="33">
        <f>IF(C730="ID",1,(IF(C730="PR",2,(IF(C730="DE",3,(IF(C730="RS",4,(IF(C730="RC",5,0)))))))))</f>
        <v>2</v>
      </c>
      <c r="E730" s="33" t="s">
        <v>257</v>
      </c>
      <c r="F730" s="33">
        <f>IF(E730="AM",1,(IF(E730="BE",2,(IF(E730="GV",3,(IF(E730="RA",4,(IF(E730="RM",5,(IF(E730="AC",1,(IF(E730="AT",2,(IF(E730="DS",3,(IF(E730="IP",4,(IF(E730="MA",5,(IF(E730="PT",6,(IF(E730="AE",1,(IF(E730="CM",2,(IF(E730="DP",3,(IF(E730="AN",1,(IF(E730="CO",2,(IF(E730="IM",3,(IF(E730="MI",4,(IF(E730="RP",5,(IF(E730="SC",6,0)))))))))))))))))))))))))))))))))))))))</f>
        <v>1</v>
      </c>
      <c r="G730" s="170">
        <v>5</v>
      </c>
      <c r="H730" s="38" t="s">
        <v>511</v>
      </c>
      <c r="I730" s="105" t="s">
        <v>1449</v>
      </c>
      <c r="J730" s="157" t="s">
        <v>2951</v>
      </c>
      <c r="K730" s="34" t="s">
        <v>2952</v>
      </c>
      <c r="L730" s="5">
        <f>IF(O730="","",N730*O730*M730)</f>
        <v>99</v>
      </c>
      <c r="M730" s="8">
        <v>1</v>
      </c>
      <c r="N730" s="1">
        <v>1</v>
      </c>
      <c r="O730" s="15">
        <f>IF(SUM(Q730:AF730)&lt;1,"",SUM(Q730:AF730)/COUNTIF(Q730:AF730,"&gt;0"))</f>
        <v>99</v>
      </c>
      <c r="P730" s="16"/>
      <c r="Q730" s="13"/>
      <c r="T730" s="4">
        <v>99</v>
      </c>
      <c r="U730" s="2"/>
      <c r="V730" s="2"/>
      <c r="W730" s="2"/>
      <c r="X730" s="2"/>
      <c r="Z730" s="2"/>
      <c r="AA730" s="2"/>
      <c r="AF730" s="14"/>
    </row>
    <row r="731" spans="1:33" s="4" customFormat="1" ht="15.75" customHeight="1" x14ac:dyDescent="0.25">
      <c r="A731" s="33" t="str">
        <f>CONCATENATE(D731,".",F731,"-",G731,".",H731,"")</f>
        <v>2.1-5.1</v>
      </c>
      <c r="B731" s="33"/>
      <c r="C731" s="39" t="s">
        <v>262</v>
      </c>
      <c r="D731" s="33">
        <f>IF(C731="ID",1,(IF(C731="PR",2,(IF(C731="DE",3,(IF(C731="RS",4,(IF(C731="RC",5,0)))))))))</f>
        <v>2</v>
      </c>
      <c r="E731" s="33" t="s">
        <v>257</v>
      </c>
      <c r="F731" s="33">
        <f>IF(E731="AM",1,(IF(E731="BE",2,(IF(E731="GV",3,(IF(E731="RA",4,(IF(E731="RM",5,(IF(E731="AC",1,(IF(E731="AT",2,(IF(E731="DS",3,(IF(E731="IP",4,(IF(E731="MA",5,(IF(E731="PT",6,(IF(E731="AE",1,(IF(E731="CM",2,(IF(E731="DP",3,(IF(E731="AN",1,(IF(E731="CO",2,(IF(E731="IM",3,(IF(E731="MI",4,(IF(E731="RP",5,(IF(E731="SC",6,0)))))))))))))))))))))))))))))))))))))))</f>
        <v>1</v>
      </c>
      <c r="G731" s="170">
        <v>5</v>
      </c>
      <c r="H731" s="38" t="s">
        <v>511</v>
      </c>
      <c r="I731" s="105" t="s">
        <v>1449</v>
      </c>
      <c r="J731" s="157" t="s">
        <v>2953</v>
      </c>
      <c r="K731" s="34" t="s">
        <v>2954</v>
      </c>
      <c r="L731" s="5">
        <f>IF(O731="","",N731*O731*M731)</f>
        <v>99</v>
      </c>
      <c r="M731" s="8">
        <v>1</v>
      </c>
      <c r="N731" s="1">
        <v>1</v>
      </c>
      <c r="O731" s="15">
        <f>IF(SUM(Q731:AF731)&lt;1,"",SUM(Q731:AF731)/COUNTIF(Q731:AF731,"&gt;0"))</f>
        <v>99</v>
      </c>
      <c r="P731" s="16"/>
      <c r="Q731" s="13"/>
      <c r="T731" s="4">
        <v>99</v>
      </c>
      <c r="U731" s="2"/>
      <c r="V731" s="2"/>
      <c r="W731" s="2"/>
      <c r="X731" s="2"/>
      <c r="Z731" s="2"/>
      <c r="AA731" s="2"/>
      <c r="AF731" s="14"/>
    </row>
    <row r="732" spans="1:33" s="4" customFormat="1" ht="15.75" customHeight="1" x14ac:dyDescent="0.25">
      <c r="A732" s="33" t="str">
        <f>CONCATENATE(D732,".",F732,"-",G732,".",H732,"")</f>
        <v>2.1-5.1</v>
      </c>
      <c r="B732" s="33"/>
      <c r="C732" s="39" t="s">
        <v>262</v>
      </c>
      <c r="D732" s="33">
        <f>IF(C732="ID",1,(IF(C732="PR",2,(IF(C732="DE",3,(IF(C732="RS",4,(IF(C732="RC",5,0)))))))))</f>
        <v>2</v>
      </c>
      <c r="E732" s="33" t="s">
        <v>257</v>
      </c>
      <c r="F732" s="33">
        <f>IF(E732="AM",1,(IF(E732="BE",2,(IF(E732="GV",3,(IF(E732="RA",4,(IF(E732="RM",5,(IF(E732="AC",1,(IF(E732="AT",2,(IF(E732="DS",3,(IF(E732="IP",4,(IF(E732="MA",5,(IF(E732="PT",6,(IF(E732="AE",1,(IF(E732="CM",2,(IF(E732="DP",3,(IF(E732="AN",1,(IF(E732="CO",2,(IF(E732="IM",3,(IF(E732="MI",4,(IF(E732="RP",5,(IF(E732="SC",6,0)))))))))))))))))))))))))))))))))))))))</f>
        <v>1</v>
      </c>
      <c r="G732" s="170">
        <v>5</v>
      </c>
      <c r="H732" s="38" t="s">
        <v>511</v>
      </c>
      <c r="I732" s="105" t="s">
        <v>1449</v>
      </c>
      <c r="J732" s="157" t="s">
        <v>2955</v>
      </c>
      <c r="K732" s="34" t="s">
        <v>2956</v>
      </c>
      <c r="L732" s="5">
        <f>IF(O732="","",N732*O732*M732)</f>
        <v>99</v>
      </c>
      <c r="M732" s="8">
        <v>1</v>
      </c>
      <c r="N732" s="1">
        <v>1</v>
      </c>
      <c r="O732" s="15">
        <f>IF(SUM(Q732:AF732)&lt;1,"",SUM(Q732:AF732)/COUNTIF(Q732:AF732,"&gt;0"))</f>
        <v>99</v>
      </c>
      <c r="P732" s="16"/>
      <c r="Q732" s="13"/>
      <c r="T732" s="4">
        <v>99</v>
      </c>
      <c r="U732" s="2"/>
      <c r="V732" s="2"/>
      <c r="W732" s="2"/>
      <c r="X732" s="2"/>
      <c r="Z732" s="2"/>
      <c r="AA732" s="2"/>
      <c r="AF732" s="14"/>
    </row>
    <row r="733" spans="1:33" s="4" customFormat="1" ht="15.75" customHeight="1" x14ac:dyDescent="0.25">
      <c r="A733" s="33" t="str">
        <f>CONCATENATE(D733,".",F733,"-",G733,".",H733,"")</f>
        <v>2.1-5.1</v>
      </c>
      <c r="B733" s="33"/>
      <c r="C733" s="39" t="s">
        <v>262</v>
      </c>
      <c r="D733" s="33">
        <f>IF(C733="ID",1,(IF(C733="PR",2,(IF(C733="DE",3,(IF(C733="RS",4,(IF(C733="RC",5,0)))))))))</f>
        <v>2</v>
      </c>
      <c r="E733" s="33" t="s">
        <v>257</v>
      </c>
      <c r="F733" s="33">
        <f>IF(E733="AM",1,(IF(E733="BE",2,(IF(E733="GV",3,(IF(E733="RA",4,(IF(E733="RM",5,(IF(E733="AC",1,(IF(E733="AT",2,(IF(E733="DS",3,(IF(E733="IP",4,(IF(E733="MA",5,(IF(E733="PT",6,(IF(E733="AE",1,(IF(E733="CM",2,(IF(E733="DP",3,(IF(E733="AN",1,(IF(E733="CO",2,(IF(E733="IM",3,(IF(E733="MI",4,(IF(E733="RP",5,(IF(E733="SC",6,0)))))))))))))))))))))))))))))))))))))))</f>
        <v>1</v>
      </c>
      <c r="G733" s="170">
        <v>5</v>
      </c>
      <c r="H733" s="38" t="s">
        <v>511</v>
      </c>
      <c r="I733" s="105" t="s">
        <v>1449</v>
      </c>
      <c r="J733" s="157" t="s">
        <v>2957</v>
      </c>
      <c r="K733" s="34" t="s">
        <v>2958</v>
      </c>
      <c r="L733" s="5">
        <f>IF(O733="","",N733*O733*M733)</f>
        <v>99</v>
      </c>
      <c r="M733" s="8">
        <v>1</v>
      </c>
      <c r="N733" s="1">
        <v>1</v>
      </c>
      <c r="O733" s="15">
        <f>IF(SUM(Q733:AF733)&lt;1,"",SUM(Q733:AF733)/COUNTIF(Q733:AF733,"&gt;0"))</f>
        <v>99</v>
      </c>
      <c r="P733" s="16"/>
      <c r="Q733" s="13"/>
      <c r="T733" s="4">
        <v>99</v>
      </c>
      <c r="U733" s="2"/>
      <c r="V733" s="2"/>
      <c r="W733" s="2"/>
      <c r="X733" s="2"/>
      <c r="Z733" s="2"/>
      <c r="AA733" s="2"/>
      <c r="AF733" s="14"/>
    </row>
    <row r="734" spans="1:33" s="4" customFormat="1" ht="15.75" customHeight="1" x14ac:dyDescent="0.25">
      <c r="A734" s="33" t="str">
        <f>CONCATENATE(D734,".",F734,"-",G734,".",H734,"")</f>
        <v>2.1-5.1</v>
      </c>
      <c r="B734" s="33"/>
      <c r="C734" s="39" t="s">
        <v>262</v>
      </c>
      <c r="D734" s="33">
        <f>IF(C734="ID",1,(IF(C734="PR",2,(IF(C734="DE",3,(IF(C734="RS",4,(IF(C734="RC",5,0)))))))))</f>
        <v>2</v>
      </c>
      <c r="E734" s="33" t="s">
        <v>257</v>
      </c>
      <c r="F734" s="33">
        <f>IF(E734="AM",1,(IF(E734="BE",2,(IF(E734="GV",3,(IF(E734="RA",4,(IF(E734="RM",5,(IF(E734="AC",1,(IF(E734="AT",2,(IF(E734="DS",3,(IF(E734="IP",4,(IF(E734="MA",5,(IF(E734="PT",6,(IF(E734="AE",1,(IF(E734="CM",2,(IF(E734="DP",3,(IF(E734="AN",1,(IF(E734="CO",2,(IF(E734="IM",3,(IF(E734="MI",4,(IF(E734="RP",5,(IF(E734="SC",6,0)))))))))))))))))))))))))))))))))))))))</f>
        <v>1</v>
      </c>
      <c r="G734" s="170">
        <v>5</v>
      </c>
      <c r="H734" s="38" t="s">
        <v>511</v>
      </c>
      <c r="I734" s="105" t="s">
        <v>1449</v>
      </c>
      <c r="J734" s="157" t="s">
        <v>2959</v>
      </c>
      <c r="K734" s="34" t="s">
        <v>2960</v>
      </c>
      <c r="L734" s="5">
        <f>IF(O734="","",N734*O734*M734)</f>
        <v>99</v>
      </c>
      <c r="M734" s="8">
        <v>1</v>
      </c>
      <c r="N734" s="1">
        <v>1</v>
      </c>
      <c r="O734" s="15">
        <f>IF(SUM(Q734:AF734)&lt;1,"",SUM(Q734:AF734)/COUNTIF(Q734:AF734,"&gt;0"))</f>
        <v>99</v>
      </c>
      <c r="P734" s="16"/>
      <c r="Q734" s="13"/>
      <c r="T734" s="4">
        <v>99</v>
      </c>
      <c r="U734" s="2"/>
      <c r="V734" s="2"/>
      <c r="W734" s="2"/>
      <c r="X734" s="2"/>
      <c r="Z734" s="2"/>
      <c r="AA734" s="2"/>
      <c r="AF734" s="14"/>
    </row>
    <row r="735" spans="1:33" s="4" customFormat="1" ht="15.75" customHeight="1" x14ac:dyDescent="0.25">
      <c r="A735" s="33" t="str">
        <f>CONCATENATE(D735,".",F735,"-",G735,".",H735,"")</f>
        <v>2.1-5.1</v>
      </c>
      <c r="B735" s="33"/>
      <c r="C735" s="39" t="s">
        <v>262</v>
      </c>
      <c r="D735" s="33">
        <f>IF(C735="ID",1,(IF(C735="PR",2,(IF(C735="DE",3,(IF(C735="RS",4,(IF(C735="RC",5,0)))))))))</f>
        <v>2</v>
      </c>
      <c r="E735" s="33" t="s">
        <v>257</v>
      </c>
      <c r="F735" s="33">
        <f>IF(E735="AM",1,(IF(E735="BE",2,(IF(E735="GV",3,(IF(E735="RA",4,(IF(E735="RM",5,(IF(E735="AC",1,(IF(E735="AT",2,(IF(E735="DS",3,(IF(E735="IP",4,(IF(E735="MA",5,(IF(E735="PT",6,(IF(E735="AE",1,(IF(E735="CM",2,(IF(E735="DP",3,(IF(E735="AN",1,(IF(E735="CO",2,(IF(E735="IM",3,(IF(E735="MI",4,(IF(E735="RP",5,(IF(E735="SC",6,0)))))))))))))))))))))))))))))))))))))))</f>
        <v>1</v>
      </c>
      <c r="G735" s="170">
        <v>5</v>
      </c>
      <c r="H735" s="38" t="s">
        <v>511</v>
      </c>
      <c r="I735" s="105" t="s">
        <v>1449</v>
      </c>
      <c r="J735" s="157" t="s">
        <v>2963</v>
      </c>
      <c r="K735" s="34" t="s">
        <v>2964</v>
      </c>
      <c r="L735" s="5">
        <f>IF(O735="","",N735*O735*M735)</f>
        <v>99</v>
      </c>
      <c r="M735" s="8">
        <v>1</v>
      </c>
      <c r="N735" s="1">
        <v>1</v>
      </c>
      <c r="O735" s="15">
        <f>IF(SUM(Q735:AF735)&lt;1,"",SUM(Q735:AF735)/COUNTIF(Q735:AF735,"&gt;0"))</f>
        <v>99</v>
      </c>
      <c r="P735" s="16"/>
      <c r="Q735" s="13"/>
      <c r="T735" s="4">
        <v>99</v>
      </c>
      <c r="U735" s="2"/>
      <c r="V735" s="2"/>
      <c r="W735" s="2"/>
      <c r="X735" s="2"/>
      <c r="Z735" s="2"/>
      <c r="AA735" s="2"/>
      <c r="AF735" s="14"/>
    </row>
    <row r="736" spans="1:33" s="4" customFormat="1" ht="15.75" customHeight="1" x14ac:dyDescent="0.25">
      <c r="A736" s="33" t="str">
        <f>CONCATENATE(D736,".",F736,"-",G736,".",H736,"")</f>
        <v>2.1-5.1</v>
      </c>
      <c r="B736" s="33"/>
      <c r="C736" s="39" t="s">
        <v>262</v>
      </c>
      <c r="D736" s="33">
        <f>IF(C736="ID",1,(IF(C736="PR",2,(IF(C736="DE",3,(IF(C736="RS",4,(IF(C736="RC",5,0)))))))))</f>
        <v>2</v>
      </c>
      <c r="E736" s="33" t="s">
        <v>257</v>
      </c>
      <c r="F736" s="33">
        <f>IF(E736="AM",1,(IF(E736="BE",2,(IF(E736="GV",3,(IF(E736="RA",4,(IF(E736="RM",5,(IF(E736="AC",1,(IF(E736="AT",2,(IF(E736="DS",3,(IF(E736="IP",4,(IF(E736="MA",5,(IF(E736="PT",6,(IF(E736="AE",1,(IF(E736="CM",2,(IF(E736="DP",3,(IF(E736="AN",1,(IF(E736="CO",2,(IF(E736="IM",3,(IF(E736="MI",4,(IF(E736="RP",5,(IF(E736="SC",6,0)))))))))))))))))))))))))))))))))))))))</f>
        <v>1</v>
      </c>
      <c r="G736" s="170">
        <v>5</v>
      </c>
      <c r="H736" s="38" t="s">
        <v>511</v>
      </c>
      <c r="I736" s="105" t="s">
        <v>1449</v>
      </c>
      <c r="J736" s="157" t="s">
        <v>2965</v>
      </c>
      <c r="K736" s="34" t="s">
        <v>2966</v>
      </c>
      <c r="L736" s="5">
        <f>IF(O736="","",N736*O736*M736)</f>
        <v>99</v>
      </c>
      <c r="M736" s="8">
        <v>1</v>
      </c>
      <c r="N736" s="1">
        <v>1</v>
      </c>
      <c r="O736" s="15">
        <f>IF(SUM(Q736:AF736)&lt;1,"",SUM(Q736:AF736)/COUNTIF(Q736:AF736,"&gt;0"))</f>
        <v>99</v>
      </c>
      <c r="P736" s="16"/>
      <c r="Q736" s="13"/>
      <c r="T736" s="4">
        <v>99</v>
      </c>
      <c r="U736" s="2"/>
      <c r="V736" s="2"/>
      <c r="W736" s="2"/>
      <c r="X736" s="2"/>
      <c r="Z736" s="2"/>
      <c r="AA736" s="2"/>
      <c r="AF736" s="14"/>
    </row>
    <row r="737" spans="1:32" s="4" customFormat="1" ht="15.75" customHeight="1" x14ac:dyDescent="0.25">
      <c r="A737" s="33" t="str">
        <f>CONCATENATE(D737,".",F737,"-",G737,".",H737,"")</f>
        <v>2.1-5.1</v>
      </c>
      <c r="B737" s="33"/>
      <c r="C737" s="39" t="s">
        <v>262</v>
      </c>
      <c r="D737" s="33">
        <f>IF(C737="ID",1,(IF(C737="PR",2,(IF(C737="DE",3,(IF(C737="RS",4,(IF(C737="RC",5,0)))))))))</f>
        <v>2</v>
      </c>
      <c r="E737" s="33" t="s">
        <v>257</v>
      </c>
      <c r="F737" s="33">
        <f>IF(E737="AM",1,(IF(E737="BE",2,(IF(E737="GV",3,(IF(E737="RA",4,(IF(E737="RM",5,(IF(E737="AC",1,(IF(E737="AT",2,(IF(E737="DS",3,(IF(E737="IP",4,(IF(E737="MA",5,(IF(E737="PT",6,(IF(E737="AE",1,(IF(E737="CM",2,(IF(E737="DP",3,(IF(E737="AN",1,(IF(E737="CO",2,(IF(E737="IM",3,(IF(E737="MI",4,(IF(E737="RP",5,(IF(E737="SC",6,0)))))))))))))))))))))))))))))))))))))))</f>
        <v>1</v>
      </c>
      <c r="G737" s="170">
        <v>5</v>
      </c>
      <c r="H737" s="38" t="s">
        <v>511</v>
      </c>
      <c r="I737" s="105" t="s">
        <v>1449</v>
      </c>
      <c r="J737" s="157" t="s">
        <v>2967</v>
      </c>
      <c r="K737" s="34" t="s">
        <v>2968</v>
      </c>
      <c r="L737" s="5">
        <f>IF(O737="","",N737*O737*M737)</f>
        <v>99</v>
      </c>
      <c r="M737" s="8">
        <v>1</v>
      </c>
      <c r="N737" s="1">
        <v>1</v>
      </c>
      <c r="O737" s="15">
        <f>IF(SUM(Q737:AF737)&lt;1,"",SUM(Q737:AF737)/COUNTIF(Q737:AF737,"&gt;0"))</f>
        <v>99</v>
      </c>
      <c r="P737" s="16"/>
      <c r="Q737" s="13"/>
      <c r="T737" s="4">
        <v>99</v>
      </c>
      <c r="U737" s="2"/>
      <c r="V737" s="2"/>
      <c r="W737" s="2"/>
      <c r="X737" s="2"/>
      <c r="Z737" s="2"/>
      <c r="AA737" s="2"/>
      <c r="AF737" s="14"/>
    </row>
    <row r="738" spans="1:32" s="4" customFormat="1" ht="15.75" customHeight="1" x14ac:dyDescent="0.25">
      <c r="A738" s="33" t="str">
        <f>CONCATENATE(D738,".",F738,"-",G738,".",H738,"")</f>
        <v>2.1-5.2</v>
      </c>
      <c r="B738" s="33" t="s">
        <v>814</v>
      </c>
      <c r="C738" s="39" t="s">
        <v>262</v>
      </c>
      <c r="D738" s="33">
        <f>IF(C738="ID",1,(IF(C738="PR",2,(IF(C738="DE",3,(IF(C738="RS",4,(IF(C738="RC",5,0)))))))))</f>
        <v>2</v>
      </c>
      <c r="E738" s="33" t="s">
        <v>257</v>
      </c>
      <c r="F738" s="33">
        <f>IF(E738="AM",1,(IF(E738="BE",2,(IF(E738="GV",3,(IF(E738="RA",4,(IF(E738="RM",5,(IF(E738="AC",1,(IF(E738="AT",2,(IF(E738="DS",3,(IF(E738="IP",4,(IF(E738="MA",5,(IF(E738="PT",6,(IF(E738="AE",1,(IF(E738="CM",2,(IF(E738="DP",3,(IF(E738="AN",1,(IF(E738="CO",2,(IF(E738="IM",3,(IF(E738="MI",4,(IF(E738="RP",5,(IF(E738="SC",6,0)))))))))))))))))))))))))))))))))))))))</f>
        <v>1</v>
      </c>
      <c r="G738" s="170">
        <v>5</v>
      </c>
      <c r="H738" s="33">
        <v>2</v>
      </c>
      <c r="I738" s="27" t="s">
        <v>266</v>
      </c>
      <c r="J738" s="150" t="s">
        <v>18</v>
      </c>
      <c r="K738" s="79" t="s">
        <v>1333</v>
      </c>
      <c r="L738" s="5">
        <f>IF(O738="","",N738*O738*M738)</f>
        <v>75</v>
      </c>
      <c r="M738" s="8">
        <v>1</v>
      </c>
      <c r="N738" s="1">
        <v>1</v>
      </c>
      <c r="O738" s="15">
        <f>IF(SUM(Q738:AF738)&lt;1,"",SUM(Q738:AF738)/COUNTIF(Q738:AF738,"&gt;0"))</f>
        <v>75</v>
      </c>
      <c r="P738" s="16"/>
      <c r="Q738" s="13"/>
      <c r="R738" s="3"/>
      <c r="S738" s="3"/>
      <c r="T738" s="4">
        <v>75</v>
      </c>
      <c r="U738" s="3"/>
      <c r="V738" s="3"/>
      <c r="W738" s="3"/>
      <c r="X738" s="3"/>
      <c r="Y738" s="3"/>
      <c r="Z738" s="3"/>
      <c r="AA738" s="3"/>
      <c r="AB738" s="3"/>
      <c r="AC738" s="3"/>
      <c r="AD738" s="3"/>
      <c r="AE738" s="3"/>
      <c r="AF738" s="104"/>
    </row>
    <row r="739" spans="1:32" s="4" customFormat="1" ht="15.75" customHeight="1" x14ac:dyDescent="0.25">
      <c r="A739" s="33" t="str">
        <f>CONCATENATE(D739,".",F739,"-",G739,".",H739,"")</f>
        <v>2.1-5.2</v>
      </c>
      <c r="B739" s="33"/>
      <c r="C739" s="39" t="s">
        <v>262</v>
      </c>
      <c r="D739" s="33">
        <f>IF(C739="ID",1,(IF(C739="PR",2,(IF(C739="DE",3,(IF(C739="RS",4,(IF(C739="RC",5,0)))))))))</f>
        <v>2</v>
      </c>
      <c r="E739" s="33" t="s">
        <v>257</v>
      </c>
      <c r="F739" s="33">
        <f>IF(E739="AM",1,(IF(E739="BE",2,(IF(E739="GV",3,(IF(E739="RA",4,(IF(E739="RM",5,(IF(E739="AC",1,(IF(E739="AT",2,(IF(E739="DS",3,(IF(E739="IP",4,(IF(E739="MA",5,(IF(E739="PT",6,(IF(E739="AE",1,(IF(E739="CM",2,(IF(E739="DP",3,(IF(E739="AN",1,(IF(E739="CO",2,(IF(E739="IM",3,(IF(E739="MI",4,(IF(E739="RP",5,(IF(E739="SC",6,0)))))))))))))))))))))))))))))))))))))))</f>
        <v>1</v>
      </c>
      <c r="G739" s="170">
        <v>5</v>
      </c>
      <c r="H739" s="38" t="s">
        <v>512</v>
      </c>
      <c r="I739" s="105" t="s">
        <v>1449</v>
      </c>
      <c r="J739" s="157" t="s">
        <v>1839</v>
      </c>
      <c r="K739" s="34" t="s">
        <v>1840</v>
      </c>
      <c r="L739" s="5">
        <f>IF(O739="","",N739*O739*M739)</f>
        <v>99</v>
      </c>
      <c r="M739" s="8">
        <v>1</v>
      </c>
      <c r="N739" s="1">
        <v>1</v>
      </c>
      <c r="O739" s="15">
        <f>IF(SUM(Q739:AF739)&lt;1,"",SUM(Q739:AF739)/COUNTIF(Q739:AF739,"&gt;0"))</f>
        <v>99</v>
      </c>
      <c r="P739" s="16"/>
      <c r="Q739" s="13"/>
      <c r="T739" s="4">
        <v>99</v>
      </c>
      <c r="U739" s="2"/>
      <c r="V739" s="2"/>
      <c r="W739" s="2"/>
      <c r="X739" s="2"/>
      <c r="Z739" s="2"/>
      <c r="AA739" s="2"/>
      <c r="AF739" s="14"/>
    </row>
    <row r="740" spans="1:32" s="4" customFormat="1" ht="15.75" customHeight="1" x14ac:dyDescent="0.25">
      <c r="A740" s="33" t="str">
        <f>CONCATENATE(D740,".",F740,"-",G740,".",H740,"")</f>
        <v>2.1-5.3</v>
      </c>
      <c r="B740" s="33" t="s">
        <v>814</v>
      </c>
      <c r="C740" s="39" t="s">
        <v>262</v>
      </c>
      <c r="D740" s="33">
        <f>IF(C740="ID",1,(IF(C740="PR",2,(IF(C740="DE",3,(IF(C740="RS",4,(IF(C740="RC",5,0)))))))))</f>
        <v>2</v>
      </c>
      <c r="E740" s="33" t="s">
        <v>257</v>
      </c>
      <c r="F740" s="33">
        <f>IF(E740="AM",1,(IF(E740="BE",2,(IF(E740="GV",3,(IF(E740="RA",4,(IF(E740="RM",5,(IF(E740="AC",1,(IF(E740="AT",2,(IF(E740="DS",3,(IF(E740="IP",4,(IF(E740="MA",5,(IF(E740="PT",6,(IF(E740="AE",1,(IF(E740="CM",2,(IF(E740="DP",3,(IF(E740="AN",1,(IF(E740="CO",2,(IF(E740="IM",3,(IF(E740="MI",4,(IF(E740="RP",5,(IF(E740="SC",6,0)))))))))))))))))))))))))))))))))))))))</f>
        <v>1</v>
      </c>
      <c r="G740" s="170">
        <v>5</v>
      </c>
      <c r="H740" s="33">
        <v>3</v>
      </c>
      <c r="I740" s="27" t="s">
        <v>266</v>
      </c>
      <c r="J740" s="150" t="s">
        <v>2</v>
      </c>
      <c r="K740" s="79" t="s">
        <v>1335</v>
      </c>
      <c r="L740" s="5">
        <f>IF(O740="","",N740*O740*M740)</f>
        <v>75</v>
      </c>
      <c r="M740" s="8">
        <v>1</v>
      </c>
      <c r="N740" s="1">
        <v>1</v>
      </c>
      <c r="O740" s="15">
        <f>IF(SUM(Q740:AF740)&lt;1,"",SUM(Q740:AF740)/COUNTIF(Q740:AF740,"&gt;0"))</f>
        <v>75</v>
      </c>
      <c r="P740" s="16"/>
      <c r="Q740" s="13"/>
      <c r="R740" s="3"/>
      <c r="S740" s="3"/>
      <c r="T740" s="4">
        <v>75</v>
      </c>
      <c r="U740" s="3"/>
      <c r="V740" s="3"/>
      <c r="W740" s="3"/>
      <c r="X740" s="3"/>
      <c r="Y740" s="3"/>
      <c r="Z740" s="3"/>
      <c r="AA740" s="3"/>
      <c r="AB740" s="3"/>
      <c r="AC740" s="3"/>
      <c r="AD740" s="3"/>
      <c r="AE740" s="3"/>
      <c r="AF740" s="104"/>
    </row>
    <row r="741" spans="1:32" s="4" customFormat="1" ht="15.75" customHeight="1" x14ac:dyDescent="0.25">
      <c r="A741" s="33" t="str">
        <f>CONCATENATE(D741,".",F741,"-",G741,".",H741,"")</f>
        <v>2.1-5.3</v>
      </c>
      <c r="B741" s="33" t="s">
        <v>814</v>
      </c>
      <c r="C741" s="39" t="s">
        <v>262</v>
      </c>
      <c r="D741" s="33">
        <f>IF(C741="ID",1,(IF(C741="PR",2,(IF(C741="DE",3,(IF(C741="RS",4,(IF(C741="RC",5,0)))))))))</f>
        <v>2</v>
      </c>
      <c r="E741" s="33" t="s">
        <v>257</v>
      </c>
      <c r="F741" s="33">
        <f>IF(E741="AM",1,(IF(E741="BE",2,(IF(E741="GV",3,(IF(E741="RA",4,(IF(E741="RM",5,(IF(E741="AC",1,(IF(E741="AT",2,(IF(E741="DS",3,(IF(E741="IP",4,(IF(E741="MA",5,(IF(E741="PT",6,(IF(E741="AE",1,(IF(E741="CM",2,(IF(E741="DP",3,(IF(E741="AN",1,(IF(E741="CO",2,(IF(E741="IM",3,(IF(E741="MI",4,(IF(E741="RP",5,(IF(E741="SC",6,0)))))))))))))))))))))))))))))))))))))))</f>
        <v>1</v>
      </c>
      <c r="G741" s="170">
        <v>5</v>
      </c>
      <c r="H741" s="33">
        <v>3</v>
      </c>
      <c r="I741" s="27" t="s">
        <v>266</v>
      </c>
      <c r="J741" s="150" t="s">
        <v>20</v>
      </c>
      <c r="K741" s="79" t="s">
        <v>1343</v>
      </c>
      <c r="L741" s="5">
        <f>IF(O741="","",N741*O741*M741)</f>
        <v>75</v>
      </c>
      <c r="M741" s="8">
        <v>1</v>
      </c>
      <c r="N741" s="1">
        <v>1</v>
      </c>
      <c r="O741" s="15">
        <f>IF(SUM(Q741:AF741)&lt;1,"",SUM(Q741:AF741)/COUNTIF(Q741:AF741,"&gt;0"))</f>
        <v>75</v>
      </c>
      <c r="P741" s="16"/>
      <c r="Q741" s="13"/>
      <c r="R741" s="3"/>
      <c r="S741" s="3"/>
      <c r="T741" s="4">
        <v>75</v>
      </c>
      <c r="U741" s="3"/>
      <c r="V741" s="3"/>
      <c r="W741" s="3"/>
      <c r="X741" s="3"/>
      <c r="Y741" s="3"/>
      <c r="Z741" s="3"/>
      <c r="AA741" s="3"/>
      <c r="AB741" s="3"/>
      <c r="AC741" s="3"/>
      <c r="AD741" s="3"/>
      <c r="AE741" s="3"/>
      <c r="AF741" s="104"/>
    </row>
    <row r="742" spans="1:32" s="4" customFormat="1" ht="15.75" customHeight="1" x14ac:dyDescent="0.25">
      <c r="A742" s="33" t="str">
        <f>CONCATENATE(D742,".",F742,"-",G742,".",H742,"")</f>
        <v>2.1-5.3</v>
      </c>
      <c r="B742" s="33"/>
      <c r="C742" s="39" t="s">
        <v>262</v>
      </c>
      <c r="D742" s="33">
        <f>IF(C742="ID",1,(IF(C742="PR",2,(IF(C742="DE",3,(IF(C742="RS",4,(IF(C742="RC",5,0)))))))))</f>
        <v>2</v>
      </c>
      <c r="E742" s="33" t="s">
        <v>257</v>
      </c>
      <c r="F742" s="33">
        <f>IF(E742="AM",1,(IF(E742="BE",2,(IF(E742="GV",3,(IF(E742="RA",4,(IF(E742="RM",5,(IF(E742="AC",1,(IF(E742="AT",2,(IF(E742="DS",3,(IF(E742="IP",4,(IF(E742="MA",5,(IF(E742="PT",6,(IF(E742="AE",1,(IF(E742="CM",2,(IF(E742="DP",3,(IF(E742="AN",1,(IF(E742="CO",2,(IF(E742="IM",3,(IF(E742="MI",4,(IF(E742="RP",5,(IF(E742="SC",6,0)))))))))))))))))))))))))))))))))))))))</f>
        <v>1</v>
      </c>
      <c r="G742" s="170">
        <v>5</v>
      </c>
      <c r="H742" s="38" t="s">
        <v>513</v>
      </c>
      <c r="I742" s="105" t="s">
        <v>1449</v>
      </c>
      <c r="J742" s="157" t="s">
        <v>1845</v>
      </c>
      <c r="K742" s="34" t="s">
        <v>1846</v>
      </c>
      <c r="L742" s="5">
        <f>IF(O742="","",N742*O742*M742)</f>
        <v>99</v>
      </c>
      <c r="M742" s="8">
        <v>1</v>
      </c>
      <c r="N742" s="1">
        <v>1</v>
      </c>
      <c r="O742" s="15">
        <f>IF(SUM(Q742:AF742)&lt;1,"",SUM(Q742:AF742)/COUNTIF(Q742:AF742,"&gt;0"))</f>
        <v>99</v>
      </c>
      <c r="P742" s="16"/>
      <c r="Q742" s="13"/>
      <c r="T742" s="4">
        <v>99</v>
      </c>
      <c r="U742" s="2"/>
      <c r="V742" s="2"/>
      <c r="W742" s="2"/>
      <c r="X742" s="2"/>
      <c r="Z742" s="2"/>
      <c r="AA742" s="2"/>
      <c r="AF742" s="14"/>
    </row>
    <row r="743" spans="1:32" s="4" customFormat="1" ht="15.75" customHeight="1" x14ac:dyDescent="0.25">
      <c r="A743" s="33" t="str">
        <f>CONCATENATE(D743,".",F743,"-",G743,".",H743,"")</f>
        <v>2.1-5.9</v>
      </c>
      <c r="B743" s="33"/>
      <c r="C743" s="39" t="s">
        <v>262</v>
      </c>
      <c r="D743" s="33">
        <f>IF(C743="ID",1,(IF(C743="PR",2,(IF(C743="DE",3,(IF(C743="RS",4,(IF(C743="RC",5,0)))))))))</f>
        <v>2</v>
      </c>
      <c r="E743" s="33" t="s">
        <v>257</v>
      </c>
      <c r="F743" s="33">
        <f>IF(E743="AM",1,(IF(E743="BE",2,(IF(E743="GV",3,(IF(E743="RA",4,(IF(E743="RM",5,(IF(E743="AC",1,(IF(E743="AT",2,(IF(E743="DS",3,(IF(E743="IP",4,(IF(E743="MA",5,(IF(E743="PT",6,(IF(E743="AE",1,(IF(E743="CM",2,(IF(E743="DP",3,(IF(E743="AN",1,(IF(E743="CO",2,(IF(E743="IM",3,(IF(E743="MI",4,(IF(E743="RP",5,(IF(E743="SC",6,0)))))))))))))))))))))))))))))))))))))))</f>
        <v>1</v>
      </c>
      <c r="G743" s="170">
        <v>5</v>
      </c>
      <c r="H743" s="38" t="s">
        <v>596</v>
      </c>
      <c r="I743" s="105" t="s">
        <v>1449</v>
      </c>
      <c r="J743" s="157" t="s">
        <v>1843</v>
      </c>
      <c r="K743" s="34" t="s">
        <v>1844</v>
      </c>
      <c r="L743" s="5">
        <f>IF(O743="","",N743*O743*M743)</f>
        <v>99</v>
      </c>
      <c r="M743" s="8">
        <v>1</v>
      </c>
      <c r="N743" s="1">
        <v>1</v>
      </c>
      <c r="O743" s="15">
        <f>IF(SUM(Q743:AF743)&lt;1,"",SUM(Q743:AF743)/COUNTIF(Q743:AF743,"&gt;0"))</f>
        <v>99</v>
      </c>
      <c r="P743" s="16"/>
      <c r="Q743" s="13"/>
      <c r="T743" s="4">
        <v>99</v>
      </c>
      <c r="U743" s="2"/>
      <c r="V743" s="2"/>
      <c r="W743" s="2"/>
      <c r="X743" s="2"/>
      <c r="Z743" s="2"/>
      <c r="AA743" s="2"/>
      <c r="AF743" s="14"/>
    </row>
    <row r="744" spans="1:32" s="4" customFormat="1" ht="15.75" customHeight="1" x14ac:dyDescent="0.25">
      <c r="A744" s="33" t="str">
        <f>CONCATENATE(D744,".",F744,"-",G744,".",H744,"")</f>
        <v>2.1-5.9</v>
      </c>
      <c r="B744" s="33"/>
      <c r="C744" s="39" t="s">
        <v>262</v>
      </c>
      <c r="D744" s="33">
        <f>IF(C744="ID",1,(IF(C744="PR",2,(IF(C744="DE",3,(IF(C744="RS",4,(IF(C744="RC",5,0)))))))))</f>
        <v>2</v>
      </c>
      <c r="E744" s="33" t="s">
        <v>257</v>
      </c>
      <c r="F744" s="33">
        <f>IF(E744="AM",1,(IF(E744="BE",2,(IF(E744="GV",3,(IF(E744="RA",4,(IF(E744="RM",5,(IF(E744="AC",1,(IF(E744="AT",2,(IF(E744="DS",3,(IF(E744="IP",4,(IF(E744="MA",5,(IF(E744="PT",6,(IF(E744="AE",1,(IF(E744="CM",2,(IF(E744="DP",3,(IF(E744="AN",1,(IF(E744="CO",2,(IF(E744="IM",3,(IF(E744="MI",4,(IF(E744="RP",5,(IF(E744="SC",6,0)))))))))))))))))))))))))))))))))))))))</f>
        <v>1</v>
      </c>
      <c r="G744" s="170">
        <v>5</v>
      </c>
      <c r="H744" s="38" t="s">
        <v>596</v>
      </c>
      <c r="I744" s="105" t="s">
        <v>1449</v>
      </c>
      <c r="J744" s="157" t="s">
        <v>2743</v>
      </c>
      <c r="K744" s="34" t="s">
        <v>2744</v>
      </c>
      <c r="L744" s="5">
        <f>IF(O744="","",N744*O744*M744)</f>
        <v>99</v>
      </c>
      <c r="M744" s="8">
        <v>1</v>
      </c>
      <c r="N744" s="1">
        <v>1</v>
      </c>
      <c r="O744" s="15">
        <f>IF(SUM(Q744:AF744)&lt;1,"",SUM(Q744:AF744)/COUNTIF(Q744:AF744,"&gt;0"))</f>
        <v>99</v>
      </c>
      <c r="P744" s="16"/>
      <c r="Q744" s="13"/>
      <c r="T744" s="4">
        <v>99</v>
      </c>
      <c r="U744" s="2"/>
      <c r="V744" s="2"/>
      <c r="W744" s="2"/>
      <c r="X744" s="2"/>
      <c r="Z744" s="2"/>
      <c r="AA744" s="2"/>
      <c r="AF744" s="14"/>
    </row>
    <row r="745" spans="1:32" s="4" customFormat="1" ht="15.75" customHeight="1" x14ac:dyDescent="0.25">
      <c r="A745" s="33" t="str">
        <f>CONCATENATE(D745,".",F745,"-",G745,".",H745,"")</f>
        <v>2.1-5.9</v>
      </c>
      <c r="B745" s="33"/>
      <c r="C745" s="39" t="s">
        <v>262</v>
      </c>
      <c r="D745" s="33">
        <f>IF(C745="ID",1,(IF(C745="PR",2,(IF(C745="DE",3,(IF(C745="RS",4,(IF(C745="RC",5,0)))))))))</f>
        <v>2</v>
      </c>
      <c r="E745" s="33" t="s">
        <v>257</v>
      </c>
      <c r="F745" s="33">
        <f>IF(E745="AM",1,(IF(E745="BE",2,(IF(E745="GV",3,(IF(E745="RA",4,(IF(E745="RM",5,(IF(E745="AC",1,(IF(E745="AT",2,(IF(E745="DS",3,(IF(E745="IP",4,(IF(E745="MA",5,(IF(E745="PT",6,(IF(E745="AE",1,(IF(E745="CM",2,(IF(E745="DP",3,(IF(E745="AN",1,(IF(E745="CO",2,(IF(E745="IM",3,(IF(E745="MI",4,(IF(E745="RP",5,(IF(E745="SC",6,0)))))))))))))))))))))))))))))))))))))))</f>
        <v>1</v>
      </c>
      <c r="G745" s="170">
        <v>5</v>
      </c>
      <c r="H745" s="38" t="s">
        <v>596</v>
      </c>
      <c r="I745" s="105" t="s">
        <v>1449</v>
      </c>
      <c r="J745" s="157" t="s">
        <v>2745</v>
      </c>
      <c r="K745" s="34" t="s">
        <v>2746</v>
      </c>
      <c r="L745" s="5">
        <f>IF(O745="","",N745*O745*M745)</f>
        <v>99</v>
      </c>
      <c r="M745" s="8">
        <v>1</v>
      </c>
      <c r="N745" s="1">
        <v>1</v>
      </c>
      <c r="O745" s="15">
        <f>IF(SUM(Q745:AF745)&lt;1,"",SUM(Q745:AF745)/COUNTIF(Q745:AF745,"&gt;0"))</f>
        <v>99</v>
      </c>
      <c r="P745" s="16"/>
      <c r="Q745" s="13"/>
      <c r="T745" s="4">
        <v>99</v>
      </c>
      <c r="U745" s="2"/>
      <c r="V745" s="2"/>
      <c r="W745" s="2"/>
      <c r="X745" s="2"/>
      <c r="Z745" s="2"/>
      <c r="AA745" s="2"/>
      <c r="AF745" s="14"/>
    </row>
    <row r="746" spans="1:32" s="4" customFormat="1" ht="15.75" customHeight="1" x14ac:dyDescent="0.25">
      <c r="A746" s="33" t="str">
        <f>CONCATENATE(D746,".",F746,"-",G746,".",H746,"")</f>
        <v>2.1-5.9</v>
      </c>
      <c r="B746" s="33"/>
      <c r="C746" s="39" t="s">
        <v>262</v>
      </c>
      <c r="D746" s="33">
        <f>IF(C746="ID",1,(IF(C746="PR",2,(IF(C746="DE",3,(IF(C746="RS",4,(IF(C746="RC",5,0)))))))))</f>
        <v>2</v>
      </c>
      <c r="E746" s="33" t="s">
        <v>257</v>
      </c>
      <c r="F746" s="33">
        <f>IF(E746="AM",1,(IF(E746="BE",2,(IF(E746="GV",3,(IF(E746="RA",4,(IF(E746="RM",5,(IF(E746="AC",1,(IF(E746="AT",2,(IF(E746="DS",3,(IF(E746="IP",4,(IF(E746="MA",5,(IF(E746="PT",6,(IF(E746="AE",1,(IF(E746="CM",2,(IF(E746="DP",3,(IF(E746="AN",1,(IF(E746="CO",2,(IF(E746="IM",3,(IF(E746="MI",4,(IF(E746="RP",5,(IF(E746="SC",6,0)))))))))))))))))))))))))))))))))))))))</f>
        <v>1</v>
      </c>
      <c r="G746" s="170">
        <v>5</v>
      </c>
      <c r="H746" s="38" t="s">
        <v>596</v>
      </c>
      <c r="I746" s="105" t="s">
        <v>1449</v>
      </c>
      <c r="J746" s="157" t="s">
        <v>2747</v>
      </c>
      <c r="K746" s="34" t="s">
        <v>2748</v>
      </c>
      <c r="L746" s="5">
        <f>IF(O746="","",N746*O746*M746)</f>
        <v>99</v>
      </c>
      <c r="M746" s="8">
        <v>1</v>
      </c>
      <c r="N746" s="1">
        <v>1</v>
      </c>
      <c r="O746" s="15">
        <f>IF(SUM(Q746:AF746)&lt;1,"",SUM(Q746:AF746)/COUNTIF(Q746:AF746,"&gt;0"))</f>
        <v>99</v>
      </c>
      <c r="P746" s="16"/>
      <c r="Q746" s="13"/>
      <c r="T746" s="4">
        <v>99</v>
      </c>
      <c r="U746" s="2"/>
      <c r="V746" s="2"/>
      <c r="W746" s="2"/>
      <c r="X746" s="2"/>
      <c r="Z746" s="2"/>
      <c r="AA746" s="2"/>
      <c r="AF746" s="14"/>
    </row>
    <row r="747" spans="1:32" s="4" customFormat="1" ht="15.75" customHeight="1" x14ac:dyDescent="0.25">
      <c r="A747" s="33" t="str">
        <f>CONCATENATE(D747,".",F747,"-",G747,".",H747,"")</f>
        <v>2.1-6.0</v>
      </c>
      <c r="B747" s="33" t="s">
        <v>814</v>
      </c>
      <c r="C747" s="40" t="s">
        <v>262</v>
      </c>
      <c r="D747" s="33">
        <f>IF(C747="ID",1,(IF(C747="PR",2,(IF(C747="DE",3,(IF(C747="RS",4,(IF(C747="RC",5,0)))))))))</f>
        <v>2</v>
      </c>
      <c r="E747" s="33" t="s">
        <v>257</v>
      </c>
      <c r="F747" s="33">
        <f>IF(E747="AM",1,(IF(E747="BE",2,(IF(E747="GV",3,(IF(E747="RA",4,(IF(E747="RM",5,(IF(E747="AC",1,(IF(E747="AT",2,(IF(E747="DS",3,(IF(E747="IP",4,(IF(E747="MA",5,(IF(E747="PT",6,(IF(E747="AE",1,(IF(E747="CM",2,(IF(E747="DP",3,(IF(E747="AN",1,(IF(E747="CO",2,(IF(E747="IM",3,(IF(E747="MI",4,(IF(E747="RP",5,(IF(E747="SC",6,0)))))))))))))))))))))))))))))))))))))))</f>
        <v>1</v>
      </c>
      <c r="G747" s="170">
        <v>6</v>
      </c>
      <c r="H747" s="38" t="s">
        <v>597</v>
      </c>
      <c r="I747" s="27" t="s">
        <v>1200</v>
      </c>
      <c r="J747" s="157" t="s">
        <v>1191</v>
      </c>
      <c r="K747" s="98" t="s">
        <v>1192</v>
      </c>
      <c r="L747" s="5">
        <f>IF(O747="","",N747*O747*M747)</f>
        <v>75</v>
      </c>
      <c r="M747" s="8">
        <v>1</v>
      </c>
      <c r="N747" s="1">
        <v>1</v>
      </c>
      <c r="O747" s="15">
        <f>IF(SUM(Q747:AF747)&lt;1,"",SUM(Q747:AF747)/COUNTIF(Q747:AF747,"&gt;0"))</f>
        <v>75</v>
      </c>
      <c r="P747" s="16"/>
      <c r="Q747" s="13"/>
      <c r="T747" s="4">
        <v>75</v>
      </c>
      <c r="U747" s="2"/>
      <c r="V747" s="2"/>
      <c r="W747" s="2"/>
      <c r="X747" s="2"/>
      <c r="Z747" s="2"/>
      <c r="AA747" s="2"/>
      <c r="AF747" s="14"/>
    </row>
    <row r="748" spans="1:32" s="4" customFormat="1" ht="15.75" customHeight="1" x14ac:dyDescent="0.25">
      <c r="A748" s="33" t="str">
        <f>CONCATENATE(D748,".",F748,"-",G748,".",H748,"")</f>
        <v>2.1-6.1</v>
      </c>
      <c r="B748" s="33" t="s">
        <v>814</v>
      </c>
      <c r="C748" s="39" t="s">
        <v>262</v>
      </c>
      <c r="D748" s="33">
        <f>IF(C748="ID",1,(IF(C748="PR",2,(IF(C748="DE",3,(IF(C748="RS",4,(IF(C748="RC",5,0)))))))))</f>
        <v>2</v>
      </c>
      <c r="E748" s="33" t="s">
        <v>257</v>
      </c>
      <c r="F748" s="33">
        <f>IF(E748="AM",1,(IF(E748="BE",2,(IF(E748="GV",3,(IF(E748="RA",4,(IF(E748="RM",5,(IF(E748="AC",1,(IF(E748="AT",2,(IF(E748="DS",3,(IF(E748="IP",4,(IF(E748="MA",5,(IF(E748="PT",6,(IF(E748="AE",1,(IF(E748="CM",2,(IF(E748="DP",3,(IF(E748="AN",1,(IF(E748="CO",2,(IF(E748="IM",3,(IF(E748="MI",4,(IF(E748="RP",5,(IF(E748="SC",6,0)))))))))))))))))))))))))))))))))))))))</f>
        <v>1</v>
      </c>
      <c r="G748" s="170">
        <v>6</v>
      </c>
      <c r="H748" s="38" t="s">
        <v>511</v>
      </c>
      <c r="I748" s="35" t="s">
        <v>1176</v>
      </c>
      <c r="J748" s="162">
        <v>1.5</v>
      </c>
      <c r="K748" s="80" t="s">
        <v>1044</v>
      </c>
      <c r="L748" s="66">
        <f>IF(O748="","",N748*O748*M748)</f>
        <v>75</v>
      </c>
      <c r="M748" s="8">
        <v>1</v>
      </c>
      <c r="N748" s="3">
        <v>1</v>
      </c>
      <c r="O748" s="15">
        <f>IF(SUM(Q748:AF748)&lt;1,"",SUM(Q748:AF748)/COUNTIF(Q748:AF748,"&gt;0"))</f>
        <v>75</v>
      </c>
      <c r="P748" s="16"/>
      <c r="Q748" s="13"/>
      <c r="T748" s="4">
        <v>75</v>
      </c>
      <c r="U748" s="2"/>
      <c r="V748" s="2"/>
      <c r="W748" s="2"/>
      <c r="X748" s="2"/>
      <c r="Z748" s="2"/>
      <c r="AA748" s="2"/>
      <c r="AF748" s="14"/>
    </row>
    <row r="749" spans="1:32" s="4" customFormat="1" ht="15.75" customHeight="1" x14ac:dyDescent="0.25">
      <c r="A749" s="33" t="str">
        <f>CONCATENATE(D749,".",F749,"-",G749,".",H749,"")</f>
        <v>2.1-6.1</v>
      </c>
      <c r="B749" s="33" t="s">
        <v>814</v>
      </c>
      <c r="C749" s="39" t="s">
        <v>262</v>
      </c>
      <c r="D749" s="33">
        <f>IF(C749="ID",1,(IF(C749="PR",2,(IF(C749="DE",3,(IF(C749="RS",4,(IF(C749="RC",5,0)))))))))</f>
        <v>2</v>
      </c>
      <c r="E749" s="33" t="s">
        <v>257</v>
      </c>
      <c r="F749" s="33">
        <f>IF(E749="AM",1,(IF(E749="BE",2,(IF(E749="GV",3,(IF(E749="RA",4,(IF(E749="RM",5,(IF(E749="AC",1,(IF(E749="AT",2,(IF(E749="DS",3,(IF(E749="IP",4,(IF(E749="MA",5,(IF(E749="PT",6,(IF(E749="AE",1,(IF(E749="CM",2,(IF(E749="DP",3,(IF(E749="AN",1,(IF(E749="CO",2,(IF(E749="IM",3,(IF(E749="MI",4,(IF(E749="RP",5,(IF(E749="SC",6,0)))))))))))))))))))))))))))))))))))))))</f>
        <v>1</v>
      </c>
      <c r="G749" s="170">
        <v>6</v>
      </c>
      <c r="H749" s="38" t="s">
        <v>511</v>
      </c>
      <c r="I749" s="35" t="s">
        <v>1176</v>
      </c>
      <c r="J749" s="162">
        <v>1.6</v>
      </c>
      <c r="K749" s="80" t="s">
        <v>796</v>
      </c>
      <c r="L749" s="66">
        <f>IF(O749="","",N749*O749*M749)</f>
        <v>75</v>
      </c>
      <c r="M749" s="8">
        <v>1</v>
      </c>
      <c r="N749" s="3">
        <v>1</v>
      </c>
      <c r="O749" s="15">
        <f>IF(SUM(Q749:AF749)&lt;1,"",SUM(Q749:AF749)/COUNTIF(Q749:AF749,"&gt;0"))</f>
        <v>75</v>
      </c>
      <c r="P749" s="16"/>
      <c r="Q749" s="13"/>
      <c r="T749" s="4">
        <v>75</v>
      </c>
      <c r="U749" s="2"/>
      <c r="V749" s="2"/>
      <c r="W749" s="2"/>
      <c r="X749" s="2"/>
      <c r="Z749" s="2"/>
      <c r="AA749" s="2"/>
      <c r="AF749" s="14"/>
    </row>
    <row r="750" spans="1:32" s="4" customFormat="1" ht="15.75" customHeight="1" x14ac:dyDescent="0.25">
      <c r="A750" s="33" t="str">
        <f>CONCATENATE(D750,".",F750,"-",G750,".",H750,"")</f>
        <v>2.1-6.1</v>
      </c>
      <c r="B750" s="33" t="s">
        <v>814</v>
      </c>
      <c r="C750" s="39" t="s">
        <v>262</v>
      </c>
      <c r="D750" s="33">
        <f>IF(C750="ID",1,(IF(C750="PR",2,(IF(C750="DE",3,(IF(C750="RS",4,(IF(C750="RC",5,0)))))))))</f>
        <v>2</v>
      </c>
      <c r="E750" s="33" t="s">
        <v>257</v>
      </c>
      <c r="F750" s="33">
        <f>IF(E750="AM",1,(IF(E750="BE",2,(IF(E750="GV",3,(IF(E750="RA",4,(IF(E750="RM",5,(IF(E750="AC",1,(IF(E750="AT",2,(IF(E750="DS",3,(IF(E750="IP",4,(IF(E750="MA",5,(IF(E750="PT",6,(IF(E750="AE",1,(IF(E750="CM",2,(IF(E750="DP",3,(IF(E750="AN",1,(IF(E750="CO",2,(IF(E750="IM",3,(IF(E750="MI",4,(IF(E750="RP",5,(IF(E750="SC",6,0)))))))))))))))))))))))))))))))))))))))</f>
        <v>1</v>
      </c>
      <c r="G750" s="170">
        <v>6</v>
      </c>
      <c r="H750" s="38" t="s">
        <v>511</v>
      </c>
      <c r="I750" s="35" t="s">
        <v>1176</v>
      </c>
      <c r="J750" s="162">
        <v>5.6</v>
      </c>
      <c r="K750" s="80" t="s">
        <v>1066</v>
      </c>
      <c r="L750" s="66">
        <f>IF(O750="","",N750*O750*M750)</f>
        <v>75</v>
      </c>
      <c r="M750" s="8">
        <v>1</v>
      </c>
      <c r="N750" s="3">
        <v>1</v>
      </c>
      <c r="O750" s="15">
        <f>IF(SUM(Q750:AF750)&lt;1,"",SUM(Q750:AF750)/COUNTIF(Q750:AF750,"&gt;0"))</f>
        <v>75</v>
      </c>
      <c r="P750" s="16"/>
      <c r="Q750" s="13"/>
      <c r="T750" s="4">
        <v>75</v>
      </c>
      <c r="U750" s="2"/>
      <c r="V750" s="2"/>
      <c r="W750" s="2"/>
      <c r="X750" s="2"/>
      <c r="Z750" s="2"/>
      <c r="AA750" s="2"/>
      <c r="AF750" s="14"/>
    </row>
    <row r="751" spans="1:32" s="4" customFormat="1" ht="15.75" customHeight="1" x14ac:dyDescent="0.25">
      <c r="A751" s="33" t="str">
        <f>CONCATENATE(D751,".",F751,"-",G751,".",H751,"")</f>
        <v>2.1-6.1</v>
      </c>
      <c r="B751" s="33" t="s">
        <v>814</v>
      </c>
      <c r="C751" s="39" t="s">
        <v>262</v>
      </c>
      <c r="D751" s="33">
        <f>IF(C751="ID",1,(IF(C751="PR",2,(IF(C751="DE",3,(IF(C751="RS",4,(IF(C751="RC",5,0)))))))))</f>
        <v>2</v>
      </c>
      <c r="E751" s="33" t="s">
        <v>257</v>
      </c>
      <c r="F751" s="33">
        <f>IF(E751="AM",1,(IF(E751="BE",2,(IF(E751="GV",3,(IF(E751="RA",4,(IF(E751="RM",5,(IF(E751="AC",1,(IF(E751="AT",2,(IF(E751="DS",3,(IF(E751="IP",4,(IF(E751="MA",5,(IF(E751="PT",6,(IF(E751="AE",1,(IF(E751="CM",2,(IF(E751="DP",3,(IF(E751="AN",1,(IF(E751="CO",2,(IF(E751="IM",3,(IF(E751="MI",4,(IF(E751="RP",5,(IF(E751="SC",6,0)))))))))))))))))))))))))))))))))))))))</f>
        <v>1</v>
      </c>
      <c r="G751" s="170">
        <v>6</v>
      </c>
      <c r="H751" s="38" t="s">
        <v>511</v>
      </c>
      <c r="I751" s="35" t="s">
        <v>1176</v>
      </c>
      <c r="J751" s="162">
        <v>5.7</v>
      </c>
      <c r="K751" s="80" t="s">
        <v>1067</v>
      </c>
      <c r="L751" s="66">
        <f>IF(O751="","",N751*O751*M751)</f>
        <v>75</v>
      </c>
      <c r="M751" s="8">
        <v>1</v>
      </c>
      <c r="N751" s="3">
        <v>1</v>
      </c>
      <c r="O751" s="15">
        <f>IF(SUM(Q751:AF751)&lt;1,"",SUM(Q751:AF751)/COUNTIF(Q751:AF751,"&gt;0"))</f>
        <v>75</v>
      </c>
      <c r="P751" s="16"/>
      <c r="Q751" s="13"/>
      <c r="T751" s="4">
        <v>75</v>
      </c>
      <c r="U751" s="2"/>
      <c r="V751" s="2"/>
      <c r="W751" s="2"/>
      <c r="X751" s="2"/>
      <c r="Z751" s="2"/>
      <c r="AA751" s="2"/>
      <c r="AF751" s="14"/>
    </row>
    <row r="752" spans="1:32" s="4" customFormat="1" ht="15.75" customHeight="1" x14ac:dyDescent="0.25">
      <c r="A752" s="33" t="str">
        <f>CONCATENATE(D752,".",F752,"-",G752,".",H752,"")</f>
        <v>2.1-6.1</v>
      </c>
      <c r="B752" s="33" t="s">
        <v>814</v>
      </c>
      <c r="C752" s="39" t="s">
        <v>262</v>
      </c>
      <c r="D752" s="33">
        <f>IF(C752="ID",1,(IF(C752="PR",2,(IF(C752="DE",3,(IF(C752="RS",4,(IF(C752="RC",5,0)))))))))</f>
        <v>2</v>
      </c>
      <c r="E752" s="33" t="s">
        <v>257</v>
      </c>
      <c r="F752" s="33">
        <f>IF(E752="AM",1,(IF(E752="BE",2,(IF(E752="GV",3,(IF(E752="RA",4,(IF(E752="RM",5,(IF(E752="AC",1,(IF(E752="AT",2,(IF(E752="DS",3,(IF(E752="IP",4,(IF(E752="MA",5,(IF(E752="PT",6,(IF(E752="AE",1,(IF(E752="CM",2,(IF(E752="DP",3,(IF(E752="AN",1,(IF(E752="CO",2,(IF(E752="IM",3,(IF(E752="MI",4,(IF(E752="RP",5,(IF(E752="SC",6,0)))))))))))))))))))))))))))))))))))))))</f>
        <v>1</v>
      </c>
      <c r="G752" s="170">
        <v>6</v>
      </c>
      <c r="H752" s="38" t="s">
        <v>511</v>
      </c>
      <c r="I752" s="35" t="s">
        <v>1176</v>
      </c>
      <c r="J752" s="162">
        <v>15.1</v>
      </c>
      <c r="K752" s="80" t="s">
        <v>1127</v>
      </c>
      <c r="L752" s="66">
        <f>IF(O752="","",N752*O752*M752)</f>
        <v>75</v>
      </c>
      <c r="M752" s="8">
        <v>1</v>
      </c>
      <c r="N752" s="3">
        <v>1</v>
      </c>
      <c r="O752" s="15">
        <f>IF(SUM(Q752:AF752)&lt;1,"",SUM(Q752:AF752)/COUNTIF(Q752:AF752,"&gt;0"))</f>
        <v>75</v>
      </c>
      <c r="P752" s="16"/>
      <c r="Q752" s="13"/>
      <c r="T752" s="4">
        <v>75</v>
      </c>
      <c r="U752" s="2"/>
      <c r="V752" s="2"/>
      <c r="W752" s="2"/>
      <c r="X752" s="2"/>
      <c r="Z752" s="2"/>
      <c r="AA752" s="2"/>
      <c r="AF752" s="14"/>
    </row>
    <row r="753" spans="1:33" s="4" customFormat="1" ht="15.75" customHeight="1" x14ac:dyDescent="0.25">
      <c r="A753" s="33" t="str">
        <f>CONCATENATE(D753,".",F753,"-",G753,".",H753,"")</f>
        <v>2.1-6.1</v>
      </c>
      <c r="B753" s="33" t="s">
        <v>814</v>
      </c>
      <c r="C753" s="39" t="s">
        <v>262</v>
      </c>
      <c r="D753" s="33">
        <f>IF(C753="ID",1,(IF(C753="PR",2,(IF(C753="DE",3,(IF(C753="RS",4,(IF(C753="RC",5,0)))))))))</f>
        <v>2</v>
      </c>
      <c r="E753" s="33" t="s">
        <v>257</v>
      </c>
      <c r="F753" s="33">
        <f>IF(E753="AM",1,(IF(E753="BE",2,(IF(E753="GV",3,(IF(E753="RA",4,(IF(E753="RM",5,(IF(E753="AC",1,(IF(E753="AT",2,(IF(E753="DS",3,(IF(E753="IP",4,(IF(E753="MA",5,(IF(E753="PT",6,(IF(E753="AE",1,(IF(E753="CM",2,(IF(E753="DP",3,(IF(E753="AN",1,(IF(E753="CO",2,(IF(E753="IM",3,(IF(E753="MI",4,(IF(E753="RP",5,(IF(E753="SC",6,0)))))))))))))))))))))))))))))))))))))))</f>
        <v>1</v>
      </c>
      <c r="G753" s="170">
        <v>6</v>
      </c>
      <c r="H753" s="38" t="s">
        <v>511</v>
      </c>
      <c r="I753" s="35" t="s">
        <v>1176</v>
      </c>
      <c r="J753" s="162">
        <v>15.5</v>
      </c>
      <c r="K753" s="80" t="s">
        <v>1130</v>
      </c>
      <c r="L753" s="66">
        <f>IF(O753="","",N753*O753*M753)</f>
        <v>75</v>
      </c>
      <c r="M753" s="8">
        <v>1</v>
      </c>
      <c r="N753" s="3">
        <v>1</v>
      </c>
      <c r="O753" s="15">
        <f>IF(SUM(Q753:AF753)&lt;1,"",SUM(Q753:AF753)/COUNTIF(Q753:AF753,"&gt;0"))</f>
        <v>75</v>
      </c>
      <c r="P753" s="16"/>
      <c r="Q753" s="13"/>
      <c r="T753" s="4">
        <v>75</v>
      </c>
      <c r="U753" s="2"/>
      <c r="V753" s="2"/>
      <c r="W753" s="2"/>
      <c r="X753" s="2"/>
      <c r="Z753" s="2"/>
      <c r="AA753" s="2"/>
      <c r="AF753" s="14"/>
    </row>
    <row r="754" spans="1:33" s="4" customFormat="1" ht="15.75" customHeight="1" x14ac:dyDescent="0.25">
      <c r="A754" s="33" t="str">
        <f>CONCATENATE(D754,".",F754,"-",G754,".",H754,"")</f>
        <v>2.1-6.1</v>
      </c>
      <c r="B754" s="33" t="s">
        <v>814</v>
      </c>
      <c r="C754" s="39" t="s">
        <v>262</v>
      </c>
      <c r="D754" s="33">
        <f>IF(C754="ID",1,(IF(C754="PR",2,(IF(C754="DE",3,(IF(C754="RS",4,(IF(C754="RC",5,0)))))))))</f>
        <v>2</v>
      </c>
      <c r="E754" s="33" t="s">
        <v>257</v>
      </c>
      <c r="F754" s="33">
        <f>IF(E754="AM",1,(IF(E754="BE",2,(IF(E754="GV",3,(IF(E754="RA",4,(IF(E754="RM",5,(IF(E754="AC",1,(IF(E754="AT",2,(IF(E754="DS",3,(IF(E754="IP",4,(IF(E754="MA",5,(IF(E754="PT",6,(IF(E754="AE",1,(IF(E754="CM",2,(IF(E754="DP",3,(IF(E754="AN",1,(IF(E754="CO",2,(IF(E754="IM",3,(IF(E754="MI",4,(IF(E754="RP",5,(IF(E754="SC",6,0)))))))))))))))))))))))))))))))))))))))</f>
        <v>1</v>
      </c>
      <c r="G754" s="170">
        <v>6</v>
      </c>
      <c r="H754" s="38" t="s">
        <v>511</v>
      </c>
      <c r="I754" s="35" t="s">
        <v>1176</v>
      </c>
      <c r="J754" s="162">
        <v>15.6</v>
      </c>
      <c r="K754" s="80" t="s">
        <v>1131</v>
      </c>
      <c r="L754" s="66">
        <f>IF(O754="","",N754*O754*M754)</f>
        <v>75</v>
      </c>
      <c r="M754" s="8">
        <v>1</v>
      </c>
      <c r="N754" s="3">
        <v>1</v>
      </c>
      <c r="O754" s="15">
        <f>IF(SUM(Q754:AF754)&lt;1,"",SUM(Q754:AF754)/COUNTIF(Q754:AF754,"&gt;0"))</f>
        <v>75</v>
      </c>
      <c r="P754" s="16"/>
      <c r="Q754" s="13"/>
      <c r="T754" s="4">
        <v>75</v>
      </c>
      <c r="U754" s="2"/>
      <c r="V754" s="2"/>
      <c r="W754" s="2"/>
      <c r="X754" s="2"/>
      <c r="Z754" s="2"/>
      <c r="AA754" s="2"/>
      <c r="AF754" s="14"/>
    </row>
    <row r="755" spans="1:33" s="4" customFormat="1" ht="15.75" customHeight="1" x14ac:dyDescent="0.25">
      <c r="A755" s="33" t="str">
        <f>CONCATENATE(D755,".",F755,"-",G755,".",H755,"")</f>
        <v>2.1-6.1</v>
      </c>
      <c r="B755" s="33" t="s">
        <v>814</v>
      </c>
      <c r="C755" s="39" t="s">
        <v>262</v>
      </c>
      <c r="D755" s="33">
        <f>IF(C755="ID",1,(IF(C755="PR",2,(IF(C755="DE",3,(IF(C755="RS",4,(IF(C755="RC",5,0)))))))))</f>
        <v>2</v>
      </c>
      <c r="E755" s="33" t="s">
        <v>257</v>
      </c>
      <c r="F755" s="33">
        <f>IF(E755="AM",1,(IF(E755="BE",2,(IF(E755="GV",3,(IF(E755="RA",4,(IF(E755="RM",5,(IF(E755="AC",1,(IF(E755="AT",2,(IF(E755="DS",3,(IF(E755="IP",4,(IF(E755="MA",5,(IF(E755="PT",6,(IF(E755="AE",1,(IF(E755="CM",2,(IF(E755="DP",3,(IF(E755="AN",1,(IF(E755="CO",2,(IF(E755="IM",3,(IF(E755="MI",4,(IF(E755="RP",5,(IF(E755="SC",6,0)))))))))))))))))))))))))))))))))))))))</f>
        <v>1</v>
      </c>
      <c r="G755" s="170">
        <v>6</v>
      </c>
      <c r="H755" s="38" t="s">
        <v>511</v>
      </c>
      <c r="I755" s="35" t="s">
        <v>1176</v>
      </c>
      <c r="J755" s="162">
        <v>16.11</v>
      </c>
      <c r="K755" s="80" t="s">
        <v>1145</v>
      </c>
      <c r="L755" s="66">
        <f>IF(O755="","",N755*O755*M755)</f>
        <v>75</v>
      </c>
      <c r="M755" s="8">
        <v>1</v>
      </c>
      <c r="N755" s="3">
        <v>1</v>
      </c>
      <c r="O755" s="15">
        <f>IF(SUM(Q755:AF755)&lt;1,"",SUM(Q755:AF755)/COUNTIF(Q755:AF755,"&gt;0"))</f>
        <v>75</v>
      </c>
      <c r="P755" s="16"/>
      <c r="Q755" s="13"/>
      <c r="T755" s="4">
        <v>75</v>
      </c>
      <c r="U755" s="2"/>
      <c r="V755" s="2"/>
      <c r="W755" s="2"/>
      <c r="X755" s="2"/>
      <c r="Z755" s="2"/>
      <c r="AA755" s="2"/>
      <c r="AF755" s="14"/>
    </row>
    <row r="756" spans="1:33" s="4" customFormat="1" ht="15.75" customHeight="1" x14ac:dyDescent="0.25">
      <c r="A756" s="33" t="str">
        <f>CONCATENATE(D756,".",F756,"-",G756,".",H756,"")</f>
        <v>2.1-6.1</v>
      </c>
      <c r="B756" s="33" t="s">
        <v>814</v>
      </c>
      <c r="C756" s="39" t="s">
        <v>262</v>
      </c>
      <c r="D756" s="33">
        <f>IF(C756="ID",1,(IF(C756="PR",2,(IF(C756="DE",3,(IF(C756="RS",4,(IF(C756="RC",5,0)))))))))</f>
        <v>2</v>
      </c>
      <c r="E756" s="33" t="s">
        <v>257</v>
      </c>
      <c r="F756" s="33">
        <f>IF(E756="AM",1,(IF(E756="BE",2,(IF(E756="GV",3,(IF(E756="RA",4,(IF(E756="RM",5,(IF(E756="AC",1,(IF(E756="AT",2,(IF(E756="DS",3,(IF(E756="IP",4,(IF(E756="MA",5,(IF(E756="PT",6,(IF(E756="AE",1,(IF(E756="CM",2,(IF(E756="DP",3,(IF(E756="AN",1,(IF(E756="CO",2,(IF(E756="IM",3,(IF(E756="MI",4,(IF(E756="RP",5,(IF(E756="SC",6,0)))))))))))))))))))))))))))))))))))))))</f>
        <v>1</v>
      </c>
      <c r="G756" s="170">
        <v>6</v>
      </c>
      <c r="H756" s="38" t="s">
        <v>511</v>
      </c>
      <c r="I756" s="35" t="s">
        <v>1176</v>
      </c>
      <c r="J756" s="162">
        <v>16.12</v>
      </c>
      <c r="K756" s="80" t="s">
        <v>1146</v>
      </c>
      <c r="L756" s="66">
        <f>IF(O756="","",N756*O756*M756)</f>
        <v>75</v>
      </c>
      <c r="M756" s="8">
        <v>1</v>
      </c>
      <c r="N756" s="3">
        <v>1</v>
      </c>
      <c r="O756" s="15">
        <f>IF(SUM(Q756:AF756)&lt;1,"",SUM(Q756:AF756)/COUNTIF(Q756:AF756,"&gt;0"))</f>
        <v>75</v>
      </c>
      <c r="P756" s="16"/>
      <c r="Q756" s="13"/>
      <c r="T756" s="4">
        <v>75</v>
      </c>
      <c r="U756" s="2"/>
      <c r="V756" s="2"/>
      <c r="W756" s="2"/>
      <c r="X756" s="2"/>
      <c r="Z756" s="2"/>
      <c r="AA756" s="2"/>
      <c r="AF756" s="14"/>
    </row>
    <row r="757" spans="1:33" s="4" customFormat="1" ht="15.75" customHeight="1" x14ac:dyDescent="0.25">
      <c r="A757" s="33" t="str">
        <f>CONCATENATE(D757,".",F757,"-",G757,".",H757,"")</f>
        <v>2.1-6.1</v>
      </c>
      <c r="B757" s="33" t="s">
        <v>814</v>
      </c>
      <c r="C757" s="40" t="s">
        <v>262</v>
      </c>
      <c r="D757" s="33">
        <f>IF(C757="ID",1,(IF(C757="PR",2,(IF(C757="DE",3,(IF(C757="RS",4,(IF(C757="RC",5,0)))))))))</f>
        <v>2</v>
      </c>
      <c r="E757" s="33" t="s">
        <v>257</v>
      </c>
      <c r="F757" s="33">
        <f>IF(E757="AM",1,(IF(E757="BE",2,(IF(E757="GV",3,(IF(E757="RA",4,(IF(E757="RM",5,(IF(E757="AC",1,(IF(E757="AT",2,(IF(E757="DS",3,(IF(E757="IP",4,(IF(E757="MA",5,(IF(E757="PT",6,(IF(E757="AE",1,(IF(E757="CM",2,(IF(E757="DP",3,(IF(E757="AN",1,(IF(E757="CO",2,(IF(E757="IM",3,(IF(E757="MI",4,(IF(E757="RP",5,(IF(E757="SC",6,0)))))))))))))))))))))))))))))))))))))))</f>
        <v>1</v>
      </c>
      <c r="G757" s="171">
        <v>6</v>
      </c>
      <c r="H757" s="38" t="s">
        <v>511</v>
      </c>
      <c r="I757" s="27" t="s">
        <v>936</v>
      </c>
      <c r="J757" s="163" t="s">
        <v>904</v>
      </c>
      <c r="K757" s="34" t="s">
        <v>957</v>
      </c>
      <c r="L757" s="66">
        <f>IF(O757="","",N757*O757*M757)</f>
        <v>75</v>
      </c>
      <c r="M757" s="8">
        <v>1</v>
      </c>
      <c r="N757" s="3">
        <v>1</v>
      </c>
      <c r="O757" s="15">
        <f>IF(SUM(Q757:AF757)&lt;1,"",SUM(Q757:AF757)/COUNTIF(Q757:AF757,"&gt;0"))</f>
        <v>75</v>
      </c>
      <c r="P757" s="16"/>
      <c r="Q757" s="13"/>
      <c r="T757" s="4">
        <v>75</v>
      </c>
      <c r="U757" s="2"/>
      <c r="V757" s="2"/>
      <c r="W757" s="2"/>
      <c r="X757" s="2"/>
      <c r="Z757" s="2"/>
      <c r="AA757" s="2"/>
      <c r="AF757" s="14"/>
    </row>
    <row r="758" spans="1:33" s="4" customFormat="1" ht="15.75" customHeight="1" x14ac:dyDescent="0.25">
      <c r="A758" s="33" t="str">
        <f>CONCATENATE(D758,".",F758,"-",G758,".",H758,"")</f>
        <v>2.1-6.1</v>
      </c>
      <c r="B758" s="33" t="s">
        <v>814</v>
      </c>
      <c r="C758" s="39" t="s">
        <v>262</v>
      </c>
      <c r="D758" s="33">
        <f>IF(C758="ID",1,(IF(C758="PR",2,(IF(C758="DE",3,(IF(C758="RS",4,(IF(C758="RC",5,0)))))))))</f>
        <v>2</v>
      </c>
      <c r="E758" s="33" t="s">
        <v>257</v>
      </c>
      <c r="F758" s="33">
        <f>IF(E758="AM",1,(IF(E758="BE",2,(IF(E758="GV",3,(IF(E758="RA",4,(IF(E758="RM",5,(IF(E758="AC",1,(IF(E758="AT",2,(IF(E758="DS",3,(IF(E758="IP",4,(IF(E758="MA",5,(IF(E758="PT",6,(IF(E758="AE",1,(IF(E758="CM",2,(IF(E758="DP",3,(IF(E758="AN",1,(IF(E758="CO",2,(IF(E758="IM",3,(IF(E758="MI",4,(IF(E758="RP",5,(IF(E758="SC",6,0)))))))))))))))))))))))))))))))))))))))</f>
        <v>1</v>
      </c>
      <c r="G758" s="170">
        <v>6</v>
      </c>
      <c r="H758" s="38" t="s">
        <v>511</v>
      </c>
      <c r="I758" s="105" t="s">
        <v>821</v>
      </c>
      <c r="J758" s="150" t="s">
        <v>169</v>
      </c>
      <c r="K758" s="79" t="s">
        <v>1283</v>
      </c>
      <c r="L758" s="66">
        <f>IF(O758="","",N758*O758*M758)</f>
        <v>75</v>
      </c>
      <c r="M758" s="8">
        <v>1</v>
      </c>
      <c r="N758" s="3">
        <v>1</v>
      </c>
      <c r="O758" s="15">
        <f>IF(SUM(Q758:AF758)&lt;1,"",SUM(Q758:AF758)/COUNTIF(Q758:AF758,"&gt;0"))</f>
        <v>75</v>
      </c>
      <c r="P758" s="16"/>
      <c r="Q758" s="13"/>
      <c r="T758" s="4">
        <v>75</v>
      </c>
      <c r="U758" s="2"/>
      <c r="V758" s="2"/>
      <c r="W758" s="2"/>
      <c r="X758" s="2"/>
      <c r="Z758" s="2"/>
      <c r="AA758" s="2"/>
      <c r="AF758" s="14"/>
    </row>
    <row r="759" spans="1:33" s="4" customFormat="1" ht="15.75" customHeight="1" x14ac:dyDescent="0.25">
      <c r="A759" s="33" t="str">
        <f>CONCATENATE(D759,".",F759,"-",G759,".",H759,"")</f>
        <v>2.1-6.1</v>
      </c>
      <c r="B759" s="33" t="s">
        <v>814</v>
      </c>
      <c r="C759" s="39" t="s">
        <v>262</v>
      </c>
      <c r="D759" s="33">
        <f>IF(C759="ID",1,(IF(C759="PR",2,(IF(C759="DE",3,(IF(C759="RS",4,(IF(C759="RC",5,0)))))))))</f>
        <v>2</v>
      </c>
      <c r="E759" s="33" t="s">
        <v>257</v>
      </c>
      <c r="F759" s="33">
        <f>IF(E759="AM",1,(IF(E759="BE",2,(IF(E759="GV",3,(IF(E759="RA",4,(IF(E759="RM",5,(IF(E759="AC",1,(IF(E759="AT",2,(IF(E759="DS",3,(IF(E759="IP",4,(IF(E759="MA",5,(IF(E759="PT",6,(IF(E759="AE",1,(IF(E759="CM",2,(IF(E759="DP",3,(IF(E759="AN",1,(IF(E759="CO",2,(IF(E759="IM",3,(IF(E759="MI",4,(IF(E759="RP",5,(IF(E759="SC",6,0)))))))))))))))))))))))))))))))))))))))</f>
        <v>1</v>
      </c>
      <c r="G759" s="170">
        <v>6</v>
      </c>
      <c r="H759" s="33">
        <v>1</v>
      </c>
      <c r="I759" s="27" t="s">
        <v>266</v>
      </c>
      <c r="J759" s="150" t="s">
        <v>10</v>
      </c>
      <c r="K759" s="79" t="s">
        <v>1445</v>
      </c>
      <c r="L759" s="5">
        <f>IF(O759="","",N759*O759*M759)</f>
        <v>75</v>
      </c>
      <c r="M759" s="8">
        <v>1</v>
      </c>
      <c r="N759" s="1">
        <v>1</v>
      </c>
      <c r="O759" s="15">
        <f>IF(SUM(Q759:AF759)&lt;1,"",SUM(Q759:AF759)/COUNTIF(Q759:AF759,"&gt;0"))</f>
        <v>75</v>
      </c>
      <c r="P759" s="16"/>
      <c r="Q759" s="13"/>
      <c r="R759" s="3"/>
      <c r="S759" s="3"/>
      <c r="T759" s="4">
        <v>75</v>
      </c>
      <c r="U759" s="3"/>
      <c r="V759" s="3"/>
      <c r="W759" s="3"/>
      <c r="X759" s="3"/>
      <c r="Y759" s="3"/>
      <c r="Z759" s="3"/>
      <c r="AA759" s="3"/>
      <c r="AB759" s="3"/>
      <c r="AC759" s="3"/>
      <c r="AD759" s="3"/>
      <c r="AE759" s="3"/>
      <c r="AF759" s="104"/>
    </row>
    <row r="760" spans="1:33" s="4" customFormat="1" ht="15.75" customHeight="1" x14ac:dyDescent="0.25">
      <c r="A760" s="33" t="str">
        <f>CONCATENATE(D760,".",F760,"-",G760,".",H760,"")</f>
        <v>2.1-6.1</v>
      </c>
      <c r="B760" s="33" t="s">
        <v>814</v>
      </c>
      <c r="C760" s="39" t="s">
        <v>262</v>
      </c>
      <c r="D760" s="33">
        <f>IF(C760="ID",1,(IF(C760="PR",2,(IF(C760="DE",3,(IF(C760="RS",4,(IF(C760="RC",5,0)))))))))</f>
        <v>2</v>
      </c>
      <c r="E760" s="33" t="s">
        <v>257</v>
      </c>
      <c r="F760" s="33">
        <f>IF(E760="AM",1,(IF(E760="BE",2,(IF(E760="GV",3,(IF(E760="RA",4,(IF(E760="RM",5,(IF(E760="AC",1,(IF(E760="AT",2,(IF(E760="DS",3,(IF(E760="IP",4,(IF(E760="MA",5,(IF(E760="PT",6,(IF(E760="AE",1,(IF(E760="CM",2,(IF(E760="DP",3,(IF(E760="AN",1,(IF(E760="CO",2,(IF(E760="IM",3,(IF(E760="MI",4,(IF(E760="RP",5,(IF(E760="SC",6,0)))))))))))))))))))))))))))))))))))))))</f>
        <v>1</v>
      </c>
      <c r="G760" s="170">
        <v>6</v>
      </c>
      <c r="H760" s="38" t="s">
        <v>511</v>
      </c>
      <c r="I760" s="105" t="s">
        <v>1449</v>
      </c>
      <c r="J760" s="157" t="s">
        <v>1458</v>
      </c>
      <c r="K760" s="34" t="s">
        <v>1459</v>
      </c>
      <c r="L760" s="5">
        <f>IF(O760="","",N760*O760*M760)</f>
        <v>99</v>
      </c>
      <c r="M760" s="8">
        <v>1</v>
      </c>
      <c r="N760" s="1">
        <v>1</v>
      </c>
      <c r="O760" s="15">
        <f>IF(SUM(Q760:AF760)&lt;1,"",SUM(Q760:AF760)/COUNTIF(Q760:AF760,"&gt;0"))</f>
        <v>99</v>
      </c>
      <c r="P760" s="16"/>
      <c r="Q760" s="13"/>
      <c r="T760" s="4">
        <v>99</v>
      </c>
      <c r="U760" s="2"/>
      <c r="V760" s="2"/>
      <c r="W760" s="2"/>
      <c r="X760" s="2"/>
      <c r="Z760" s="2"/>
      <c r="AA760" s="2"/>
      <c r="AF760" s="14"/>
    </row>
    <row r="761" spans="1:33" s="4" customFormat="1" ht="15.75" customHeight="1" x14ac:dyDescent="0.25">
      <c r="A761" s="33" t="str">
        <f>CONCATENATE(D761,".",F761,"-",G761,".",H761,"")</f>
        <v>2.1-6.1</v>
      </c>
      <c r="B761" s="33" t="s">
        <v>814</v>
      </c>
      <c r="C761" s="39" t="s">
        <v>262</v>
      </c>
      <c r="D761" s="33">
        <f>IF(C761="ID",1,(IF(C761="PR",2,(IF(C761="DE",3,(IF(C761="RS",4,(IF(C761="RC",5,0)))))))))</f>
        <v>2</v>
      </c>
      <c r="E761" s="33" t="s">
        <v>257</v>
      </c>
      <c r="F761" s="33">
        <f>IF(E761="AM",1,(IF(E761="BE",2,(IF(E761="GV",3,(IF(E761="RA",4,(IF(E761="RM",5,(IF(E761="AC",1,(IF(E761="AT",2,(IF(E761="DS",3,(IF(E761="IP",4,(IF(E761="MA",5,(IF(E761="PT",6,(IF(E761="AE",1,(IF(E761="CM",2,(IF(E761="DP",3,(IF(E761="AN",1,(IF(E761="CO",2,(IF(E761="IM",3,(IF(E761="MI",4,(IF(E761="RP",5,(IF(E761="SC",6,0)))))))))))))))))))))))))))))))))))))))</f>
        <v>1</v>
      </c>
      <c r="G761" s="170">
        <v>6</v>
      </c>
      <c r="H761" s="38" t="s">
        <v>511</v>
      </c>
      <c r="I761" s="105" t="s">
        <v>1449</v>
      </c>
      <c r="J761" s="157" t="s">
        <v>1753</v>
      </c>
      <c r="K761" s="34" t="s">
        <v>1754</v>
      </c>
      <c r="L761" s="5">
        <f>IF(O761="","",N761*O761*M761)</f>
        <v>99</v>
      </c>
      <c r="M761" s="8">
        <v>1</v>
      </c>
      <c r="N761" s="1">
        <v>1</v>
      </c>
      <c r="O761" s="15">
        <f>IF(SUM(Q761:AF761)&lt;1,"",SUM(Q761:AF761)/COUNTIF(Q761:AF761,"&gt;0"))</f>
        <v>99</v>
      </c>
      <c r="P761" s="16"/>
      <c r="Q761" s="13"/>
      <c r="T761" s="4">
        <v>99</v>
      </c>
      <c r="U761" s="2"/>
      <c r="V761" s="2"/>
      <c r="W761" s="2"/>
      <c r="X761" s="2"/>
      <c r="Z761" s="2"/>
      <c r="AA761" s="2"/>
      <c r="AF761" s="14"/>
    </row>
    <row r="762" spans="1:33" s="4" customFormat="1" ht="15.75" customHeight="1" x14ac:dyDescent="0.25">
      <c r="A762" s="33" t="str">
        <f>CONCATENATE(D762,".",F762,"-",G762,".",H762,"")</f>
        <v>2.1-6.2</v>
      </c>
      <c r="B762" s="33" t="s">
        <v>814</v>
      </c>
      <c r="C762" s="39" t="s">
        <v>262</v>
      </c>
      <c r="D762" s="33">
        <f>IF(C762="ID",1,(IF(C762="PR",2,(IF(C762="DE",3,(IF(C762="RS",4,(IF(C762="RC",5,0)))))))))</f>
        <v>2</v>
      </c>
      <c r="E762" s="33" t="s">
        <v>257</v>
      </c>
      <c r="F762" s="33">
        <f>IF(E762="AM",1,(IF(E762="BE",2,(IF(E762="GV",3,(IF(E762="RA",4,(IF(E762="RM",5,(IF(E762="AC",1,(IF(E762="AT",2,(IF(E762="DS",3,(IF(E762="IP",4,(IF(E762="MA",5,(IF(E762="PT",6,(IF(E762="AE",1,(IF(E762="CM",2,(IF(E762="DP",3,(IF(E762="AN",1,(IF(E762="CO",2,(IF(E762="IM",3,(IF(E762="MI",4,(IF(E762="RP",5,(IF(E762="SC",6,0)))))))))))))))))))))))))))))))))))))))</f>
        <v>1</v>
      </c>
      <c r="G762" s="170">
        <v>6</v>
      </c>
      <c r="H762" s="38" t="s">
        <v>512</v>
      </c>
      <c r="I762" s="105" t="s">
        <v>1449</v>
      </c>
      <c r="J762" s="157" t="s">
        <v>1518</v>
      </c>
      <c r="K762" s="34" t="s">
        <v>1519</v>
      </c>
      <c r="L762" s="5">
        <f>IF(O762="","",N762*O762*M762)</f>
        <v>99</v>
      </c>
      <c r="M762" s="8">
        <v>1</v>
      </c>
      <c r="N762" s="1">
        <v>1</v>
      </c>
      <c r="O762" s="15">
        <f>IF(SUM(Q762:AF762)&lt;1,"",SUM(Q762:AF762)/COUNTIF(Q762:AF762,"&gt;0"))</f>
        <v>99</v>
      </c>
      <c r="P762" s="16"/>
      <c r="Q762" s="13"/>
      <c r="T762" s="4">
        <v>99</v>
      </c>
      <c r="U762" s="2"/>
      <c r="V762" s="2"/>
      <c r="W762" s="2"/>
      <c r="X762" s="2"/>
      <c r="Z762" s="2"/>
      <c r="AA762" s="2"/>
      <c r="AG762" s="147"/>
    </row>
    <row r="763" spans="1:33" s="4" customFormat="1" ht="15.75" customHeight="1" x14ac:dyDescent="0.25">
      <c r="A763" s="33" t="str">
        <f>CONCATENATE(D763,".",F763,"-",G763,".",H763,"")</f>
        <v>2.1-6.2</v>
      </c>
      <c r="B763" s="33" t="s">
        <v>814</v>
      </c>
      <c r="C763" s="39" t="s">
        <v>262</v>
      </c>
      <c r="D763" s="33">
        <f>IF(C763="ID",1,(IF(C763="PR",2,(IF(C763="DE",3,(IF(C763="RS",4,(IF(C763="RC",5,0)))))))))</f>
        <v>2</v>
      </c>
      <c r="E763" s="33" t="s">
        <v>257</v>
      </c>
      <c r="F763" s="33">
        <f>IF(E763="AM",1,(IF(E763="BE",2,(IF(E763="GV",3,(IF(E763="RA",4,(IF(E763="RM",5,(IF(E763="AC",1,(IF(E763="AT",2,(IF(E763="DS",3,(IF(E763="IP",4,(IF(E763="MA",5,(IF(E763="PT",6,(IF(E763="AE",1,(IF(E763="CM",2,(IF(E763="DP",3,(IF(E763="AN",1,(IF(E763="CO",2,(IF(E763="IM",3,(IF(E763="MI",4,(IF(E763="RP",5,(IF(E763="SC",6,0)))))))))))))))))))))))))))))))))))))))</f>
        <v>1</v>
      </c>
      <c r="G763" s="170">
        <v>6</v>
      </c>
      <c r="H763" s="38" t="s">
        <v>512</v>
      </c>
      <c r="I763" s="105" t="s">
        <v>1449</v>
      </c>
      <c r="J763" s="157" t="s">
        <v>1532</v>
      </c>
      <c r="K763" s="34" t="s">
        <v>1533</v>
      </c>
      <c r="L763" s="5">
        <f>IF(O763="","",N763*O763*M763)</f>
        <v>99</v>
      </c>
      <c r="M763" s="8">
        <v>1</v>
      </c>
      <c r="N763" s="1">
        <v>1</v>
      </c>
      <c r="O763" s="15">
        <f>IF(SUM(Q763:AF763)&lt;1,"",SUM(Q763:AF763)/COUNTIF(Q763:AF763,"&gt;0"))</f>
        <v>99</v>
      </c>
      <c r="P763" s="16"/>
      <c r="Q763" s="13"/>
      <c r="T763" s="4">
        <v>99</v>
      </c>
      <c r="U763" s="2"/>
      <c r="V763" s="2"/>
      <c r="W763" s="2"/>
      <c r="X763" s="2"/>
      <c r="Z763" s="2"/>
      <c r="AA763" s="2"/>
      <c r="AF763" s="14"/>
    </row>
    <row r="764" spans="1:33" s="4" customFormat="1" ht="15.75" customHeight="1" x14ac:dyDescent="0.25">
      <c r="A764" s="33" t="str">
        <f>CONCATENATE(D764,".",F764,"-",G764,".",H764,"")</f>
        <v>2.1-6.2</v>
      </c>
      <c r="B764" s="33" t="s">
        <v>814</v>
      </c>
      <c r="C764" s="39" t="s">
        <v>262</v>
      </c>
      <c r="D764" s="33">
        <f>IF(C764="ID",1,(IF(C764="PR",2,(IF(C764="DE",3,(IF(C764="RS",4,(IF(C764="RC",5,0)))))))))</f>
        <v>2</v>
      </c>
      <c r="E764" s="33" t="s">
        <v>257</v>
      </c>
      <c r="F764" s="33">
        <f>IF(E764="AM",1,(IF(E764="BE",2,(IF(E764="GV",3,(IF(E764="RA",4,(IF(E764="RM",5,(IF(E764="AC",1,(IF(E764="AT",2,(IF(E764="DS",3,(IF(E764="IP",4,(IF(E764="MA",5,(IF(E764="PT",6,(IF(E764="AE",1,(IF(E764="CM",2,(IF(E764="DP",3,(IF(E764="AN",1,(IF(E764="CO",2,(IF(E764="IM",3,(IF(E764="MI",4,(IF(E764="RP",5,(IF(E764="SC",6,0)))))))))))))))))))))))))))))))))))))))</f>
        <v>1</v>
      </c>
      <c r="G764" s="170">
        <v>6</v>
      </c>
      <c r="H764" s="38" t="s">
        <v>512</v>
      </c>
      <c r="I764" s="105" t="s">
        <v>1449</v>
      </c>
      <c r="J764" s="157" t="s">
        <v>1538</v>
      </c>
      <c r="K764" s="34" t="s">
        <v>1539</v>
      </c>
      <c r="L764" s="5">
        <f>IF(O764="","",N764*O764*M764)</f>
        <v>99</v>
      </c>
      <c r="M764" s="8">
        <v>1</v>
      </c>
      <c r="N764" s="1">
        <v>1</v>
      </c>
      <c r="O764" s="15">
        <f>IF(SUM(Q764:AF764)&lt;1,"",SUM(Q764:AF764)/COUNTIF(Q764:AF764,"&gt;0"))</f>
        <v>99</v>
      </c>
      <c r="P764" s="16"/>
      <c r="Q764" s="13"/>
      <c r="T764" s="4">
        <v>99</v>
      </c>
      <c r="U764" s="2"/>
      <c r="V764" s="2"/>
      <c r="W764" s="2"/>
      <c r="X764" s="2"/>
      <c r="Z764" s="2"/>
      <c r="AA764" s="2"/>
      <c r="AF764" s="14"/>
    </row>
    <row r="765" spans="1:33" s="4" customFormat="1" ht="15.75" customHeight="1" x14ac:dyDescent="0.25">
      <c r="A765" s="33" t="str">
        <f>CONCATENATE(D765,".",F765,"-",G765,".",H765,"")</f>
        <v>2.1-6.2</v>
      </c>
      <c r="B765" s="33" t="s">
        <v>814</v>
      </c>
      <c r="C765" s="39" t="s">
        <v>262</v>
      </c>
      <c r="D765" s="33">
        <f>IF(C765="ID",1,(IF(C765="PR",2,(IF(C765="DE",3,(IF(C765="RS",4,(IF(C765="RC",5,0)))))))))</f>
        <v>2</v>
      </c>
      <c r="E765" s="33" t="s">
        <v>257</v>
      </c>
      <c r="F765" s="33">
        <f>IF(E765="AM",1,(IF(E765="BE",2,(IF(E765="GV",3,(IF(E765="RA",4,(IF(E765="RM",5,(IF(E765="AC",1,(IF(E765="AT",2,(IF(E765="DS",3,(IF(E765="IP",4,(IF(E765="MA",5,(IF(E765="PT",6,(IF(E765="AE",1,(IF(E765="CM",2,(IF(E765="DP",3,(IF(E765="AN",1,(IF(E765="CO",2,(IF(E765="IM",3,(IF(E765="MI",4,(IF(E765="RP",5,(IF(E765="SC",6,0)))))))))))))))))))))))))))))))))))))))</f>
        <v>1</v>
      </c>
      <c r="G765" s="170">
        <v>6</v>
      </c>
      <c r="H765" s="38" t="s">
        <v>512</v>
      </c>
      <c r="I765" s="105" t="s">
        <v>1449</v>
      </c>
      <c r="J765" s="157" t="s">
        <v>1566</v>
      </c>
      <c r="K765" s="34" t="s">
        <v>1567</v>
      </c>
      <c r="L765" s="5">
        <f>IF(O765="","",N765*O765*M765)</f>
        <v>99</v>
      </c>
      <c r="M765" s="8">
        <v>1</v>
      </c>
      <c r="N765" s="1">
        <v>1</v>
      </c>
      <c r="O765" s="15">
        <f>IF(SUM(Q765:AF765)&lt;1,"",SUM(Q765:AF765)/COUNTIF(Q765:AF765,"&gt;0"))</f>
        <v>99</v>
      </c>
      <c r="P765" s="16"/>
      <c r="Q765" s="13"/>
      <c r="T765" s="4">
        <v>99</v>
      </c>
      <c r="U765" s="2"/>
      <c r="V765" s="2"/>
      <c r="W765" s="2"/>
      <c r="X765" s="2"/>
      <c r="Z765" s="2"/>
      <c r="AA765" s="2"/>
      <c r="AF765" s="14"/>
    </row>
    <row r="766" spans="1:33" s="4" customFormat="1" ht="15.75" customHeight="1" x14ac:dyDescent="0.25">
      <c r="A766" s="33" t="str">
        <f>CONCATENATE(D766,".",F766,"-",G766,".",H766,"")</f>
        <v>2.1-6.2</v>
      </c>
      <c r="B766" s="33" t="s">
        <v>814</v>
      </c>
      <c r="C766" s="39" t="s">
        <v>262</v>
      </c>
      <c r="D766" s="33">
        <f>IF(C766="ID",1,(IF(C766="PR",2,(IF(C766="DE",3,(IF(C766="RS",4,(IF(C766="RC",5,0)))))))))</f>
        <v>2</v>
      </c>
      <c r="E766" s="33" t="s">
        <v>257</v>
      </c>
      <c r="F766" s="33">
        <f>IF(E766="AM",1,(IF(E766="BE",2,(IF(E766="GV",3,(IF(E766="RA",4,(IF(E766="RM",5,(IF(E766="AC",1,(IF(E766="AT",2,(IF(E766="DS",3,(IF(E766="IP",4,(IF(E766="MA",5,(IF(E766="PT",6,(IF(E766="AE",1,(IF(E766="CM",2,(IF(E766="DP",3,(IF(E766="AN",1,(IF(E766="CO",2,(IF(E766="IM",3,(IF(E766="MI",4,(IF(E766="RP",5,(IF(E766="SC",6,0)))))))))))))))))))))))))))))))))))))))</f>
        <v>1</v>
      </c>
      <c r="G766" s="170">
        <v>6</v>
      </c>
      <c r="H766" s="38" t="s">
        <v>512</v>
      </c>
      <c r="I766" s="105" t="s">
        <v>1449</v>
      </c>
      <c r="J766" s="157" t="s">
        <v>1572</v>
      </c>
      <c r="K766" s="34" t="s">
        <v>1573</v>
      </c>
      <c r="L766" s="5">
        <f>IF(O766="","",N766*O766*M766)</f>
        <v>99</v>
      </c>
      <c r="M766" s="8">
        <v>1</v>
      </c>
      <c r="N766" s="1">
        <v>1</v>
      </c>
      <c r="O766" s="15">
        <f>IF(SUM(Q766:AF766)&lt;1,"",SUM(Q766:AF766)/COUNTIF(Q766:AF766,"&gt;0"))</f>
        <v>99</v>
      </c>
      <c r="P766" s="16"/>
      <c r="Q766" s="13"/>
      <c r="T766" s="4">
        <v>99</v>
      </c>
      <c r="U766" s="2"/>
      <c r="V766" s="2"/>
      <c r="W766" s="2"/>
      <c r="X766" s="2"/>
      <c r="Z766" s="2"/>
      <c r="AA766" s="2"/>
      <c r="AF766" s="14"/>
    </row>
    <row r="767" spans="1:33" s="4" customFormat="1" ht="15.75" customHeight="1" x14ac:dyDescent="0.25">
      <c r="A767" s="33" t="str">
        <f>CONCATENATE(D767,".",F767,"-",G767,".",H767,"")</f>
        <v>2.1-6.3</v>
      </c>
      <c r="B767" s="33" t="s">
        <v>814</v>
      </c>
      <c r="C767" s="39" t="s">
        <v>262</v>
      </c>
      <c r="D767" s="33">
        <f>IF(C767="ID",1,(IF(C767="PR",2,(IF(C767="DE",3,(IF(C767="RS",4,(IF(C767="RC",5,0)))))))))</f>
        <v>2</v>
      </c>
      <c r="E767" s="33" t="s">
        <v>257</v>
      </c>
      <c r="F767" s="33">
        <f>IF(E767="AM",1,(IF(E767="BE",2,(IF(E767="GV",3,(IF(E767="RA",4,(IF(E767="RM",5,(IF(E767="AC",1,(IF(E767="AT",2,(IF(E767="DS",3,(IF(E767="IP",4,(IF(E767="MA",5,(IF(E767="PT",6,(IF(E767="AE",1,(IF(E767="CM",2,(IF(E767="DP",3,(IF(E767="AN",1,(IF(E767="CO",2,(IF(E767="IM",3,(IF(E767="MI",4,(IF(E767="RP",5,(IF(E767="SC",6,0)))))))))))))))))))))))))))))))))))))))</f>
        <v>1</v>
      </c>
      <c r="G767" s="170">
        <v>6</v>
      </c>
      <c r="H767" s="38" t="s">
        <v>513</v>
      </c>
      <c r="I767" s="105" t="s">
        <v>1449</v>
      </c>
      <c r="J767" s="157" t="s">
        <v>1562</v>
      </c>
      <c r="K767" s="34" t="s">
        <v>1563</v>
      </c>
      <c r="L767" s="5">
        <f>IF(O767="","",N767*O767*M767)</f>
        <v>99</v>
      </c>
      <c r="M767" s="8">
        <v>1</v>
      </c>
      <c r="N767" s="1">
        <v>1</v>
      </c>
      <c r="O767" s="15">
        <f>IF(SUM(Q767:AF767)&lt;1,"",SUM(Q767:AF767)/COUNTIF(Q767:AF767,"&gt;0"))</f>
        <v>99</v>
      </c>
      <c r="P767" s="16"/>
      <c r="Q767" s="13"/>
      <c r="T767" s="4">
        <v>99</v>
      </c>
      <c r="U767" s="2"/>
      <c r="V767" s="2"/>
      <c r="W767" s="2"/>
      <c r="X767" s="2"/>
      <c r="Z767" s="2"/>
      <c r="AA767" s="2"/>
      <c r="AF767" s="14"/>
    </row>
    <row r="768" spans="1:33" s="4" customFormat="1" ht="15.75" customHeight="1" x14ac:dyDescent="0.25">
      <c r="A768" s="33" t="str">
        <f>CONCATENATE(D768,".",F768,"-",G768,".",H768,"")</f>
        <v>2.1-6.3</v>
      </c>
      <c r="B768" s="33" t="s">
        <v>814</v>
      </c>
      <c r="C768" s="39" t="s">
        <v>262</v>
      </c>
      <c r="D768" s="33">
        <f>IF(C768="ID",1,(IF(C768="PR",2,(IF(C768="DE",3,(IF(C768="RS",4,(IF(C768="RC",5,0)))))))))</f>
        <v>2</v>
      </c>
      <c r="E768" s="33" t="s">
        <v>257</v>
      </c>
      <c r="F768" s="33">
        <f>IF(E768="AM",1,(IF(E768="BE",2,(IF(E768="GV",3,(IF(E768="RA",4,(IF(E768="RM",5,(IF(E768="AC",1,(IF(E768="AT",2,(IF(E768="DS",3,(IF(E768="IP",4,(IF(E768="MA",5,(IF(E768="PT",6,(IF(E768="AE",1,(IF(E768="CM",2,(IF(E768="DP",3,(IF(E768="AN",1,(IF(E768="CO",2,(IF(E768="IM",3,(IF(E768="MI",4,(IF(E768="RP",5,(IF(E768="SC",6,0)))))))))))))))))))))))))))))))))))))))</f>
        <v>1</v>
      </c>
      <c r="G768" s="170">
        <v>6</v>
      </c>
      <c r="H768" s="38" t="s">
        <v>513</v>
      </c>
      <c r="I768" s="105" t="s">
        <v>1449</v>
      </c>
      <c r="J768" s="157" t="s">
        <v>1564</v>
      </c>
      <c r="K768" s="34" t="s">
        <v>1565</v>
      </c>
      <c r="L768" s="5">
        <f>IF(O768="","",N768*O768*M768)</f>
        <v>99</v>
      </c>
      <c r="M768" s="8">
        <v>1</v>
      </c>
      <c r="N768" s="1">
        <v>1</v>
      </c>
      <c r="O768" s="15">
        <f>IF(SUM(Q768:AF768)&lt;1,"",SUM(Q768:AF768)/COUNTIF(Q768:AF768,"&gt;0"))</f>
        <v>99</v>
      </c>
      <c r="P768" s="16"/>
      <c r="Q768" s="13"/>
      <c r="T768" s="4">
        <v>99</v>
      </c>
      <c r="U768" s="2"/>
      <c r="V768" s="2"/>
      <c r="W768" s="2"/>
      <c r="X768" s="2"/>
      <c r="Z768" s="2"/>
      <c r="AA768" s="2"/>
      <c r="AF768" s="14"/>
    </row>
    <row r="769" spans="1:32" s="4" customFormat="1" ht="15.75" customHeight="1" x14ac:dyDescent="0.25">
      <c r="A769" s="33" t="str">
        <f>CONCATENATE(D769,".",F769,"-",G769,".",H769,"")</f>
        <v>2.2-0.0</v>
      </c>
      <c r="B769" s="33" t="s">
        <v>1229</v>
      </c>
      <c r="C769" s="40" t="s">
        <v>262</v>
      </c>
      <c r="D769" s="33">
        <f>IF(C769="ID",1,(IF(C769="PR",2,(IF(C769="DE",3,(IF(C769="RS",4,(IF(C769="RC",5,0)))))))))</f>
        <v>2</v>
      </c>
      <c r="E769" s="33" t="s">
        <v>258</v>
      </c>
      <c r="F769" s="33">
        <f>IF(E769="AM",1,(IF(E769="BE",2,(IF(E769="GV",3,(IF(E769="RA",4,(IF(E769="RM",5,(IF(E769="AC",1,(IF(E769="AT",2,(IF(E769="DS",3,(IF(E769="IP",4,(IF(E769="MA",5,(IF(E769="PT",6,(IF(E769="AE",1,(IF(E769="CM",2,(IF(E769="DP",3,(IF(E769="AN",1,(IF(E769="CO",2,(IF(E769="IM",3,(IF(E769="MI",4,(IF(E769="RP",5,(IF(E769="SC",6,0)))))))))))))))))))))))))))))))))))))))</f>
        <v>2</v>
      </c>
      <c r="G769" s="170">
        <v>0</v>
      </c>
      <c r="H769" s="38" t="s">
        <v>597</v>
      </c>
      <c r="I769" s="27" t="s">
        <v>1200</v>
      </c>
      <c r="J769" s="165" t="s">
        <v>667</v>
      </c>
      <c r="K769" s="98" t="s">
        <v>733</v>
      </c>
      <c r="L769" s="66" t="str">
        <f>IF(O769="","",N769*O769*M769)</f>
        <v/>
      </c>
      <c r="M769" s="8">
        <v>1</v>
      </c>
      <c r="N769" s="1">
        <v>1</v>
      </c>
      <c r="O769" s="15" t="str">
        <f>IF(SUM(Q769:AF769)&lt;1,"",SUM(Q769:AF769)/COUNTIF(Q769:AF769,"&gt;0"))</f>
        <v/>
      </c>
      <c r="P769" s="16"/>
      <c r="Q769" s="13"/>
      <c r="T769" s="2"/>
      <c r="U769" s="2"/>
      <c r="V769" s="2"/>
      <c r="W769" s="2"/>
      <c r="X769" s="2"/>
      <c r="Z769" s="2"/>
      <c r="AA769" s="2"/>
      <c r="AF769" s="14"/>
    </row>
    <row r="770" spans="1:32" s="4" customFormat="1" ht="15.75" customHeight="1" x14ac:dyDescent="0.25">
      <c r="A770" s="33" t="str">
        <f>CONCATENATE(D770,".",F770,"-",G770,".",H770,"")</f>
        <v>2.2-0.1</v>
      </c>
      <c r="B770" s="33" t="s">
        <v>1229</v>
      </c>
      <c r="C770" s="40" t="s">
        <v>262</v>
      </c>
      <c r="D770" s="33">
        <f>IF(C770="ID",1,(IF(C770="PR",2,(IF(C770="DE",3,(IF(C770="RS",4,(IF(C770="RC",5,0)))))))))</f>
        <v>2</v>
      </c>
      <c r="E770" s="33" t="s">
        <v>258</v>
      </c>
      <c r="F770" s="33">
        <f>IF(E770="AM",1,(IF(E770="BE",2,(IF(E770="GV",3,(IF(E770="RA",4,(IF(E770="RM",5,(IF(E770="AC",1,(IF(E770="AT",2,(IF(E770="DS",3,(IF(E770="IP",4,(IF(E770="MA",5,(IF(E770="PT",6,(IF(E770="AE",1,(IF(E770="CM",2,(IF(E770="DP",3,(IF(E770="AN",1,(IF(E770="CO",2,(IF(E770="IM",3,(IF(E770="MI",4,(IF(E770="RP",5,(IF(E770="SC",6,0)))))))))))))))))))))))))))))))))))))))</f>
        <v>2</v>
      </c>
      <c r="G770" s="170">
        <v>0</v>
      </c>
      <c r="H770" s="38" t="s">
        <v>511</v>
      </c>
      <c r="I770" s="27" t="s">
        <v>1200</v>
      </c>
      <c r="J770" s="165" t="s">
        <v>667</v>
      </c>
      <c r="K770" s="98" t="s">
        <v>750</v>
      </c>
      <c r="L770" s="5" t="str">
        <f>IF(O770="","",N770*O770*M770)</f>
        <v/>
      </c>
      <c r="M770" s="8">
        <v>1</v>
      </c>
      <c r="N770" s="1">
        <v>1</v>
      </c>
      <c r="O770" s="15" t="str">
        <f>IF(SUM(Q770:AF770)&lt;1,"",SUM(Q770:AF770)/COUNTIF(Q770:AF770,"&gt;0"))</f>
        <v/>
      </c>
      <c r="P770" s="16"/>
      <c r="Q770" s="13"/>
      <c r="T770" s="2"/>
      <c r="U770" s="2"/>
      <c r="V770" s="2"/>
      <c r="W770" s="2"/>
      <c r="X770" s="2"/>
      <c r="Z770" s="2"/>
      <c r="AA770" s="2"/>
      <c r="AF770" s="14"/>
    </row>
    <row r="771" spans="1:32" s="4" customFormat="1" ht="15.75" customHeight="1" x14ac:dyDescent="0.25">
      <c r="A771" s="33" t="str">
        <f>CONCATENATE(D771,".",F771,"-",G771,".",H771,"")</f>
        <v>2.2-1.0</v>
      </c>
      <c r="B771" s="33" t="s">
        <v>814</v>
      </c>
      <c r="C771" s="40" t="s">
        <v>262</v>
      </c>
      <c r="D771" s="33">
        <f>IF(C771="ID",1,(IF(C771="PR",2,(IF(C771="DE",3,(IF(C771="RS",4,(IF(C771="RC",5,0)))))))))</f>
        <v>2</v>
      </c>
      <c r="E771" s="33" t="s">
        <v>258</v>
      </c>
      <c r="F771" s="33">
        <f>IF(E771="AM",1,(IF(E771="BE",2,(IF(E771="GV",3,(IF(E771="RA",4,(IF(E771="RM",5,(IF(E771="AC",1,(IF(E771="AT",2,(IF(E771="DS",3,(IF(E771="IP",4,(IF(E771="MA",5,(IF(E771="PT",6,(IF(E771="AE",1,(IF(E771="CM",2,(IF(E771="DP",3,(IF(E771="AN",1,(IF(E771="CO",2,(IF(E771="IM",3,(IF(E771="MI",4,(IF(E771="RP",5,(IF(E771="SC",6,0)))))))))))))))))))))))))))))))))))))))</f>
        <v>2</v>
      </c>
      <c r="G771" s="170">
        <v>1</v>
      </c>
      <c r="H771" s="38" t="s">
        <v>597</v>
      </c>
      <c r="I771" s="27" t="s">
        <v>1200</v>
      </c>
      <c r="J771" s="149" t="s">
        <v>668</v>
      </c>
      <c r="K771" s="98" t="s">
        <v>376</v>
      </c>
      <c r="L771" s="66">
        <f>IF(O771="","",N771*O771*M771)</f>
        <v>75</v>
      </c>
      <c r="M771" s="8">
        <v>1</v>
      </c>
      <c r="N771" s="1">
        <v>1</v>
      </c>
      <c r="O771" s="15">
        <f>IF(SUM(Q771:AF771)&lt;1,"",SUM(Q771:AF771)/COUNTIF(Q771:AF771,"&gt;0"))</f>
        <v>75</v>
      </c>
      <c r="P771" s="16"/>
      <c r="Q771" s="13"/>
      <c r="T771" s="4">
        <v>75</v>
      </c>
      <c r="U771" s="2"/>
      <c r="V771" s="2"/>
      <c r="W771" s="2"/>
      <c r="X771" s="2"/>
      <c r="Z771" s="2"/>
      <c r="AA771" s="2"/>
      <c r="AF771" s="14"/>
    </row>
    <row r="772" spans="1:32" s="4" customFormat="1" ht="15.75" customHeight="1" x14ac:dyDescent="0.25">
      <c r="A772" s="33" t="str">
        <f>CONCATENATE(D772,".",F772,"-",G772,".",H772,"")</f>
        <v>2.2-1.1</v>
      </c>
      <c r="B772" s="33" t="s">
        <v>814</v>
      </c>
      <c r="C772" s="39" t="s">
        <v>262</v>
      </c>
      <c r="D772" s="33">
        <f>IF(C772="ID",1,(IF(C772="PR",2,(IF(C772="DE",3,(IF(C772="RS",4,(IF(C772="RC",5,0)))))))))</f>
        <v>2</v>
      </c>
      <c r="E772" s="33" t="s">
        <v>258</v>
      </c>
      <c r="F772" s="33">
        <f>IF(E772="AM",1,(IF(E772="BE",2,(IF(E772="GV",3,(IF(E772="RA",4,(IF(E772="RM",5,(IF(E772="AC",1,(IF(E772="AT",2,(IF(E772="DS",3,(IF(E772="IP",4,(IF(E772="MA",5,(IF(E772="PT",6,(IF(E772="AE",1,(IF(E772="CM",2,(IF(E772="DP",3,(IF(E772="AN",1,(IF(E772="CO",2,(IF(E772="IM",3,(IF(E772="MI",4,(IF(E772="RP",5,(IF(E772="SC",6,0)))))))))))))))))))))))))))))))))))))))</f>
        <v>2</v>
      </c>
      <c r="G772" s="170">
        <v>1</v>
      </c>
      <c r="H772" s="38" t="s">
        <v>511</v>
      </c>
      <c r="I772" s="105" t="s">
        <v>821</v>
      </c>
      <c r="J772" s="150">
        <v>12.6</v>
      </c>
      <c r="K772" s="79" t="s">
        <v>1283</v>
      </c>
      <c r="L772" s="66">
        <f>IF(O772="","",N772*O772*M772)</f>
        <v>75</v>
      </c>
      <c r="M772" s="8">
        <v>1</v>
      </c>
      <c r="N772" s="3">
        <v>1</v>
      </c>
      <c r="O772" s="15">
        <f>IF(SUM(Q772:AF772)&lt;1,"",SUM(Q772:AF772)/COUNTIF(Q772:AF772,"&gt;0"))</f>
        <v>75</v>
      </c>
      <c r="P772" s="16"/>
      <c r="Q772" s="13"/>
      <c r="T772" s="4">
        <v>75</v>
      </c>
      <c r="U772" s="2"/>
      <c r="V772" s="2"/>
      <c r="W772" s="2"/>
      <c r="X772" s="2"/>
      <c r="Z772" s="2"/>
      <c r="AA772" s="2"/>
      <c r="AF772" s="14"/>
    </row>
    <row r="773" spans="1:32" s="4" customFormat="1" ht="15.75" customHeight="1" x14ac:dyDescent="0.25">
      <c r="A773" s="33" t="str">
        <f>CONCATENATE(D773,".",F773,"-",G773,".",H773,"")</f>
        <v>2.2-1.1</v>
      </c>
      <c r="B773" s="33" t="s">
        <v>814</v>
      </c>
      <c r="C773" s="39" t="s">
        <v>262</v>
      </c>
      <c r="D773" s="33">
        <f>IF(C773="ID",1,(IF(C773="PR",2,(IF(C773="DE",3,(IF(C773="RS",4,(IF(C773="RC",5,0)))))))))</f>
        <v>2</v>
      </c>
      <c r="E773" s="33" t="s">
        <v>258</v>
      </c>
      <c r="F773" s="33">
        <f>IF(E773="AM",1,(IF(E773="BE",2,(IF(E773="GV",3,(IF(E773="RA",4,(IF(E773="RM",5,(IF(E773="AC",1,(IF(E773="AT",2,(IF(E773="DS",3,(IF(E773="IP",4,(IF(E773="MA",5,(IF(E773="PT",6,(IF(E773="AE",1,(IF(E773="CM",2,(IF(E773="DP",3,(IF(E773="AN",1,(IF(E773="CO",2,(IF(E773="IM",3,(IF(E773="MI",4,(IF(E773="RP",5,(IF(E773="SC",6,0)))))))))))))))))))))))))))))))))))))))</f>
        <v>2</v>
      </c>
      <c r="G773" s="170">
        <v>1</v>
      </c>
      <c r="H773" s="38" t="s">
        <v>511</v>
      </c>
      <c r="I773" s="35" t="s">
        <v>1176</v>
      </c>
      <c r="J773" s="162">
        <v>17.100000000000001</v>
      </c>
      <c r="K773" s="80" t="s">
        <v>1248</v>
      </c>
      <c r="L773" s="66">
        <f>IF(O773="","",N773*O773*M773)</f>
        <v>75</v>
      </c>
      <c r="M773" s="8">
        <v>1</v>
      </c>
      <c r="N773" s="3">
        <v>1</v>
      </c>
      <c r="O773" s="15">
        <f>IF(SUM(Q773:AF773)&lt;1,"",SUM(Q773:AF773)/COUNTIF(Q773:AF773,"&gt;0"))</f>
        <v>75</v>
      </c>
      <c r="P773" s="16"/>
      <c r="Q773" s="13"/>
      <c r="T773" s="4">
        <v>75</v>
      </c>
      <c r="U773" s="2"/>
      <c r="V773" s="2"/>
      <c r="W773" s="2"/>
      <c r="X773" s="2"/>
      <c r="Z773" s="2"/>
      <c r="AA773" s="2"/>
      <c r="AF773" s="14"/>
    </row>
    <row r="774" spans="1:32" s="4" customFormat="1" ht="15.75" customHeight="1" x14ac:dyDescent="0.25">
      <c r="A774" s="33" t="str">
        <f>CONCATENATE(D774,".",F774,"-",G774,".",H774,"")</f>
        <v>2.2-1.1</v>
      </c>
      <c r="B774" s="33" t="s">
        <v>814</v>
      </c>
      <c r="C774" s="39" t="s">
        <v>262</v>
      </c>
      <c r="D774" s="33">
        <f>IF(C774="ID",1,(IF(C774="PR",2,(IF(C774="DE",3,(IF(C774="RS",4,(IF(C774="RC",5,0)))))))))</f>
        <v>2</v>
      </c>
      <c r="E774" s="33" t="s">
        <v>258</v>
      </c>
      <c r="F774" s="33">
        <f>IF(E774="AM",1,(IF(E774="BE",2,(IF(E774="GV",3,(IF(E774="RA",4,(IF(E774="RM",5,(IF(E774="AC",1,(IF(E774="AT",2,(IF(E774="DS",3,(IF(E774="IP",4,(IF(E774="MA",5,(IF(E774="PT",6,(IF(E774="AE",1,(IF(E774="CM",2,(IF(E774="DP",3,(IF(E774="AN",1,(IF(E774="CO",2,(IF(E774="IM",3,(IF(E774="MI",4,(IF(E774="RP",5,(IF(E774="SC",6,0)))))))))))))))))))))))))))))))))))))))</f>
        <v>2</v>
      </c>
      <c r="G774" s="170">
        <v>1</v>
      </c>
      <c r="H774" s="38" t="s">
        <v>511</v>
      </c>
      <c r="I774" s="35" t="s">
        <v>1176</v>
      </c>
      <c r="J774" s="162">
        <v>17.3</v>
      </c>
      <c r="K774" s="80" t="s">
        <v>1247</v>
      </c>
      <c r="L774" s="66">
        <f>IF(O774="","",N774*O774*M774)</f>
        <v>75</v>
      </c>
      <c r="M774" s="8">
        <v>1</v>
      </c>
      <c r="N774" s="3">
        <v>1</v>
      </c>
      <c r="O774" s="15">
        <f>IF(SUM(Q774:AF774)&lt;1,"",SUM(Q774:AF774)/COUNTIF(Q774:AF774,"&gt;0"))</f>
        <v>75</v>
      </c>
      <c r="P774" s="16"/>
      <c r="Q774" s="13"/>
      <c r="T774" s="4">
        <v>75</v>
      </c>
      <c r="U774" s="2"/>
      <c r="V774" s="2"/>
      <c r="W774" s="2"/>
      <c r="X774" s="2"/>
      <c r="Z774" s="2"/>
      <c r="AA774" s="2"/>
      <c r="AF774" s="14"/>
    </row>
    <row r="775" spans="1:32" s="4" customFormat="1" ht="15.75" customHeight="1" x14ac:dyDescent="0.25">
      <c r="A775" s="33" t="str">
        <f>CONCATENATE(D775,".",F775,"-",G775,".",H775,"")</f>
        <v>2.2-1.1</v>
      </c>
      <c r="B775" s="33" t="s">
        <v>814</v>
      </c>
      <c r="C775" s="39" t="s">
        <v>262</v>
      </c>
      <c r="D775" s="33">
        <f>IF(C775="ID",1,(IF(C775="PR",2,(IF(C775="DE",3,(IF(C775="RS",4,(IF(C775="RC",5,0)))))))))</f>
        <v>2</v>
      </c>
      <c r="E775" s="33" t="s">
        <v>258</v>
      </c>
      <c r="F775" s="33">
        <f>IF(E775="AM",1,(IF(E775="BE",2,(IF(E775="GV",3,(IF(E775="RA",4,(IF(E775="RM",5,(IF(E775="AC",1,(IF(E775="AT",2,(IF(E775="DS",3,(IF(E775="IP",4,(IF(E775="MA",5,(IF(E775="PT",6,(IF(E775="AE",1,(IF(E775="CM",2,(IF(E775="DP",3,(IF(E775="AN",1,(IF(E775="CO",2,(IF(E775="IM",3,(IF(E775="MI",4,(IF(E775="RP",5,(IF(E775="SC",6,0)))))))))))))))))))))))))))))))))))))))</f>
        <v>2</v>
      </c>
      <c r="G775" s="170">
        <v>1</v>
      </c>
      <c r="H775" s="38" t="s">
        <v>511</v>
      </c>
      <c r="I775" s="35" t="s">
        <v>1176</v>
      </c>
      <c r="J775" s="162">
        <v>17.399999999999999</v>
      </c>
      <c r="K775" s="80" t="s">
        <v>1151</v>
      </c>
      <c r="L775" s="66">
        <f>IF(O775="","",N775*O775*M775)</f>
        <v>75</v>
      </c>
      <c r="M775" s="8">
        <v>1</v>
      </c>
      <c r="N775" s="3">
        <v>1</v>
      </c>
      <c r="O775" s="15">
        <f>IF(SUM(Q775:AF775)&lt;1,"",SUM(Q775:AF775)/COUNTIF(Q775:AF775,"&gt;0"))</f>
        <v>75</v>
      </c>
      <c r="P775" s="16"/>
      <c r="Q775" s="13"/>
      <c r="T775" s="4">
        <v>75</v>
      </c>
      <c r="U775" s="2"/>
      <c r="V775" s="2"/>
      <c r="W775" s="2"/>
      <c r="X775" s="2"/>
      <c r="Z775" s="2"/>
      <c r="AA775" s="2"/>
      <c r="AF775" s="14"/>
    </row>
    <row r="776" spans="1:32" s="4" customFormat="1" ht="15.75" customHeight="1" x14ac:dyDescent="0.25">
      <c r="A776" s="33" t="str">
        <f>CONCATENATE(D776,".",F776,"-",G776,".",H776,"")</f>
        <v>2.2-1.1</v>
      </c>
      <c r="B776" s="33" t="s">
        <v>814</v>
      </c>
      <c r="C776" s="39" t="s">
        <v>262</v>
      </c>
      <c r="D776" s="33">
        <f>IF(C776="ID",1,(IF(C776="PR",2,(IF(C776="DE",3,(IF(C776="RS",4,(IF(C776="RC",5,0)))))))))</f>
        <v>2</v>
      </c>
      <c r="E776" s="33" t="s">
        <v>258</v>
      </c>
      <c r="F776" s="33">
        <f>IF(E776="AM",1,(IF(E776="BE",2,(IF(E776="GV",3,(IF(E776="RA",4,(IF(E776="RM",5,(IF(E776="AC",1,(IF(E776="AT",2,(IF(E776="DS",3,(IF(E776="IP",4,(IF(E776="MA",5,(IF(E776="PT",6,(IF(E776="AE",1,(IF(E776="CM",2,(IF(E776="DP",3,(IF(E776="AN",1,(IF(E776="CO",2,(IF(E776="IM",3,(IF(E776="MI",4,(IF(E776="RP",5,(IF(E776="SC",6,0)))))))))))))))))))))))))))))))))))))))</f>
        <v>2</v>
      </c>
      <c r="G776" s="170">
        <v>1</v>
      </c>
      <c r="H776" s="38" t="s">
        <v>511</v>
      </c>
      <c r="I776" s="35" t="s">
        <v>1176</v>
      </c>
      <c r="J776" s="162">
        <v>19.600000000000001</v>
      </c>
      <c r="K776" s="80" t="s">
        <v>1166</v>
      </c>
      <c r="L776" s="66">
        <f>IF(O776="","",N776*O776*M776)</f>
        <v>75</v>
      </c>
      <c r="M776" s="8">
        <v>1</v>
      </c>
      <c r="N776" s="3">
        <v>1</v>
      </c>
      <c r="O776" s="15">
        <f>IF(SUM(Q776:AF776)&lt;1,"",SUM(Q776:AF776)/COUNTIF(Q776:AF776,"&gt;0"))</f>
        <v>75</v>
      </c>
      <c r="P776" s="16"/>
      <c r="Q776" s="13"/>
      <c r="T776" s="4">
        <v>75</v>
      </c>
      <c r="U776" s="2"/>
      <c r="V776" s="2"/>
      <c r="W776" s="2"/>
      <c r="X776" s="2"/>
      <c r="Z776" s="2"/>
      <c r="AA776" s="2"/>
      <c r="AF776" s="14"/>
    </row>
    <row r="777" spans="1:32" s="4" customFormat="1" ht="15.75" customHeight="1" x14ac:dyDescent="0.25">
      <c r="A777" s="33" t="str">
        <f>CONCATENATE(D777,".",F777,"-",G777,".",H777,"")</f>
        <v>2.2-1.1</v>
      </c>
      <c r="B777" s="33" t="s">
        <v>814</v>
      </c>
      <c r="C777" s="40" t="s">
        <v>262</v>
      </c>
      <c r="D777" s="33">
        <f>IF(C777="ID",1,(IF(C777="PR",2,(IF(C777="DE",3,(IF(C777="RS",4,(IF(C777="RC",5,0)))))))))</f>
        <v>2</v>
      </c>
      <c r="E777" s="33" t="s">
        <v>258</v>
      </c>
      <c r="F777" s="33">
        <f>IF(E777="AM",1,(IF(E777="BE",2,(IF(E777="GV",3,(IF(E777="RA",4,(IF(E777="RM",5,(IF(E777="AC",1,(IF(E777="AT",2,(IF(E777="DS",3,(IF(E777="IP",4,(IF(E777="MA",5,(IF(E777="PT",6,(IF(E777="AE",1,(IF(E777="CM",2,(IF(E777="DP",3,(IF(E777="AN",1,(IF(E777="CO",2,(IF(E777="IM",3,(IF(E777="MI",4,(IF(E777="RP",5,(IF(E777="SC",6,0)))))))))))))))))))))))))))))))))))))))</f>
        <v>2</v>
      </c>
      <c r="G777" s="171">
        <v>1</v>
      </c>
      <c r="H777" s="38" t="s">
        <v>511</v>
      </c>
      <c r="I777" s="105" t="s">
        <v>821</v>
      </c>
      <c r="J777" s="150" t="s">
        <v>241</v>
      </c>
      <c r="K777" s="79" t="s">
        <v>1283</v>
      </c>
      <c r="L777" s="66">
        <f>IF(O777="","",N777*O777*M777)</f>
        <v>75</v>
      </c>
      <c r="M777" s="8">
        <v>1</v>
      </c>
      <c r="N777" s="3">
        <v>1</v>
      </c>
      <c r="O777" s="15">
        <f>IF(SUM(Q777:AF777)&lt;1,"",SUM(Q777:AF777)/COUNTIF(Q777:AF777,"&gt;0"))</f>
        <v>75</v>
      </c>
      <c r="P777" s="16"/>
      <c r="Q777" s="13"/>
      <c r="T777" s="4">
        <v>75</v>
      </c>
      <c r="U777" s="2"/>
      <c r="V777" s="2"/>
      <c r="W777" s="2"/>
      <c r="X777" s="2"/>
      <c r="Z777" s="2"/>
      <c r="AA777" s="2"/>
      <c r="AF777" s="14"/>
    </row>
    <row r="778" spans="1:32" s="4" customFormat="1" ht="15.75" customHeight="1" x14ac:dyDescent="0.25">
      <c r="A778" s="33" t="str">
        <f>CONCATENATE(D778,".",F778,"-",G778,".",H778,"")</f>
        <v>2.2-1.1</v>
      </c>
      <c r="B778" s="33" t="s">
        <v>814</v>
      </c>
      <c r="C778" s="39" t="s">
        <v>262</v>
      </c>
      <c r="D778" s="33">
        <f>IF(C778="ID",1,(IF(C778="PR",2,(IF(C778="DE",3,(IF(C778="RS",4,(IF(C778="RC",5,0)))))))))</f>
        <v>2</v>
      </c>
      <c r="E778" s="33" t="s">
        <v>258</v>
      </c>
      <c r="F778" s="33">
        <f>IF(E778="AM",1,(IF(E778="BE",2,(IF(E778="GV",3,(IF(E778="RA",4,(IF(E778="RM",5,(IF(E778="AC",1,(IF(E778="AT",2,(IF(E778="DS",3,(IF(E778="IP",4,(IF(E778="MA",5,(IF(E778="PT",6,(IF(E778="AE",1,(IF(E778="CM",2,(IF(E778="DP",3,(IF(E778="AN",1,(IF(E778="CO",2,(IF(E778="IM",3,(IF(E778="MI",4,(IF(E778="RP",5,(IF(E778="SC",6,0)))))))))))))))))))))))))))))))))))))))</f>
        <v>2</v>
      </c>
      <c r="G778" s="170">
        <v>1</v>
      </c>
      <c r="H778" s="38" t="s">
        <v>511</v>
      </c>
      <c r="I778" s="105" t="s">
        <v>821</v>
      </c>
      <c r="J778" s="150" t="s">
        <v>446</v>
      </c>
      <c r="K778" s="79" t="s">
        <v>1283</v>
      </c>
      <c r="L778" s="66">
        <f>IF(O778="","",N778*O778*M778)</f>
        <v>75</v>
      </c>
      <c r="M778" s="8">
        <v>1</v>
      </c>
      <c r="N778" s="3">
        <v>1</v>
      </c>
      <c r="O778" s="15">
        <f>IF(SUM(Q778:AF778)&lt;1,"",SUM(Q778:AF778)/COUNTIF(Q778:AF778,"&gt;0"))</f>
        <v>75</v>
      </c>
      <c r="P778" s="16"/>
      <c r="Q778" s="13"/>
      <c r="T778" s="4">
        <v>75</v>
      </c>
      <c r="U778" s="2"/>
      <c r="V778" s="2"/>
      <c r="W778" s="2"/>
      <c r="X778" s="2"/>
      <c r="Z778" s="2"/>
      <c r="AA778" s="2"/>
      <c r="AF778" s="14"/>
    </row>
    <row r="779" spans="1:32" s="4" customFormat="1" ht="15.75" customHeight="1" x14ac:dyDescent="0.25">
      <c r="A779" s="33" t="str">
        <f>CONCATENATE(D779,".",F779,"-",G779,".",H779,"")</f>
        <v>2.2-1.1</v>
      </c>
      <c r="B779" s="33" t="s">
        <v>814</v>
      </c>
      <c r="C779" s="40" t="s">
        <v>262</v>
      </c>
      <c r="D779" s="33">
        <f>IF(C779="ID",1,(IF(C779="PR",2,(IF(C779="DE",3,(IF(C779="RS",4,(IF(C779="RC",5,0)))))))))</f>
        <v>2</v>
      </c>
      <c r="E779" s="33" t="s">
        <v>258</v>
      </c>
      <c r="F779" s="33">
        <f>IF(E779="AM",1,(IF(E779="BE",2,(IF(E779="GV",3,(IF(E779="RA",4,(IF(E779="RM",5,(IF(E779="AC",1,(IF(E779="AT",2,(IF(E779="DS",3,(IF(E779="IP",4,(IF(E779="MA",5,(IF(E779="PT",6,(IF(E779="AE",1,(IF(E779="CM",2,(IF(E779="DP",3,(IF(E779="AN",1,(IF(E779="CO",2,(IF(E779="IM",3,(IF(E779="MI",4,(IF(E779="RP",5,(IF(E779="SC",6,0)))))))))))))))))))))))))))))))))))))))</f>
        <v>2</v>
      </c>
      <c r="G779" s="171">
        <v>1</v>
      </c>
      <c r="H779" s="38" t="s">
        <v>511</v>
      </c>
      <c r="I779" s="27" t="s">
        <v>936</v>
      </c>
      <c r="J779" s="163" t="s">
        <v>915</v>
      </c>
      <c r="K779" s="4" t="s">
        <v>946</v>
      </c>
      <c r="L779" s="66">
        <f>IF(O779="","",N779*O779*M779)</f>
        <v>75</v>
      </c>
      <c r="M779" s="8">
        <v>1</v>
      </c>
      <c r="N779" s="3">
        <v>1</v>
      </c>
      <c r="O779" s="15">
        <f>IF(SUM(Q779:AF779)&lt;1,"",SUM(Q779:AF779)/COUNTIF(Q779:AF779,"&gt;0"))</f>
        <v>75</v>
      </c>
      <c r="P779" s="16"/>
      <c r="Q779" s="13"/>
      <c r="T779" s="4">
        <v>75</v>
      </c>
      <c r="U779" s="2"/>
      <c r="V779" s="2"/>
      <c r="W779" s="2"/>
      <c r="X779" s="2"/>
      <c r="Z779" s="2"/>
      <c r="AA779" s="2"/>
      <c r="AF779" s="14"/>
    </row>
    <row r="780" spans="1:32" s="4" customFormat="1" ht="15.75" customHeight="1" x14ac:dyDescent="0.25">
      <c r="A780" s="33" t="str">
        <f>CONCATENATE(D780,".",F780,"-",G780,".",H780,"")</f>
        <v>2.2-1.1</v>
      </c>
      <c r="B780" s="33" t="s">
        <v>814</v>
      </c>
      <c r="C780" s="40" t="s">
        <v>262</v>
      </c>
      <c r="D780" s="33">
        <f>IF(C780="ID",1,(IF(C780="PR",2,(IF(C780="DE",3,(IF(C780="RS",4,(IF(C780="RC",5,0)))))))))</f>
        <v>2</v>
      </c>
      <c r="E780" s="33" t="s">
        <v>258</v>
      </c>
      <c r="F780" s="33">
        <f>IF(E780="AM",1,(IF(E780="BE",2,(IF(E780="GV",3,(IF(E780="RA",4,(IF(E780="RM",5,(IF(E780="AC",1,(IF(E780="AT",2,(IF(E780="DS",3,(IF(E780="IP",4,(IF(E780="MA",5,(IF(E780="PT",6,(IF(E780="AE",1,(IF(E780="CM",2,(IF(E780="DP",3,(IF(E780="AN",1,(IF(E780="CO",2,(IF(E780="IM",3,(IF(E780="MI",4,(IF(E780="RP",5,(IF(E780="SC",6,0)))))))))))))))))))))))))))))))))))))))</f>
        <v>2</v>
      </c>
      <c r="G780" s="171">
        <v>1</v>
      </c>
      <c r="H780" s="38" t="s">
        <v>511</v>
      </c>
      <c r="I780" s="27" t="s">
        <v>936</v>
      </c>
      <c r="J780" s="163" t="s">
        <v>892</v>
      </c>
      <c r="K780" s="4" t="s">
        <v>945</v>
      </c>
      <c r="L780" s="66">
        <f>IF(O780="","",N780*O780*M780)</f>
        <v>75</v>
      </c>
      <c r="M780" s="8">
        <v>1</v>
      </c>
      <c r="N780" s="3">
        <v>1</v>
      </c>
      <c r="O780" s="15">
        <f>IF(SUM(Q780:AF780)&lt;1,"",SUM(Q780:AF780)/COUNTIF(Q780:AF780,"&gt;0"))</f>
        <v>75</v>
      </c>
      <c r="P780" s="16"/>
      <c r="Q780" s="13"/>
      <c r="T780" s="4">
        <v>75</v>
      </c>
      <c r="U780" s="2"/>
      <c r="V780" s="2"/>
      <c r="W780" s="2"/>
      <c r="X780" s="2"/>
      <c r="Z780" s="2"/>
      <c r="AA780" s="2"/>
      <c r="AF780" s="14"/>
    </row>
    <row r="781" spans="1:32" s="4" customFormat="1" ht="15.75" customHeight="1" x14ac:dyDescent="0.25">
      <c r="A781" s="33" t="str">
        <f>CONCATENATE(D781,".",F781,"-",G781,".",H781,"")</f>
        <v>2.2-1.1</v>
      </c>
      <c r="B781" s="33" t="s">
        <v>814</v>
      </c>
      <c r="C781" s="40" t="s">
        <v>262</v>
      </c>
      <c r="D781" s="33">
        <f>IF(C781="ID",1,(IF(C781="PR",2,(IF(C781="DE",3,(IF(C781="RS",4,(IF(C781="RC",5,0)))))))))</f>
        <v>2</v>
      </c>
      <c r="E781" s="33" t="s">
        <v>258</v>
      </c>
      <c r="F781" s="33">
        <f>IF(E781="AM",1,(IF(E781="BE",2,(IF(E781="GV",3,(IF(E781="RA",4,(IF(E781="RM",5,(IF(E781="AC",1,(IF(E781="AT",2,(IF(E781="DS",3,(IF(E781="IP",4,(IF(E781="MA",5,(IF(E781="PT",6,(IF(E781="AE",1,(IF(E781="CM",2,(IF(E781="DP",3,(IF(E781="AN",1,(IF(E781="CO",2,(IF(E781="IM",3,(IF(E781="MI",4,(IF(E781="RP",5,(IF(E781="SC",6,0)))))))))))))))))))))))))))))))))))))))</f>
        <v>2</v>
      </c>
      <c r="G781" s="171">
        <v>1</v>
      </c>
      <c r="H781" s="38" t="s">
        <v>511</v>
      </c>
      <c r="I781" s="27" t="s">
        <v>936</v>
      </c>
      <c r="J781" s="163" t="s">
        <v>920</v>
      </c>
      <c r="K781" s="4" t="s">
        <v>1034</v>
      </c>
      <c r="L781" s="66">
        <f>IF(O781="","",N781*O781*M781)</f>
        <v>75</v>
      </c>
      <c r="M781" s="8">
        <v>1</v>
      </c>
      <c r="N781" s="3">
        <v>1</v>
      </c>
      <c r="O781" s="15">
        <f>IF(SUM(Q781:AF781)&lt;1,"",SUM(Q781:AF781)/COUNTIF(Q781:AF781,"&gt;0"))</f>
        <v>75</v>
      </c>
      <c r="P781" s="16"/>
      <c r="Q781" s="13"/>
      <c r="T781" s="4">
        <v>75</v>
      </c>
      <c r="U781" s="2"/>
      <c r="V781" s="2"/>
      <c r="W781" s="2"/>
      <c r="X781" s="2"/>
      <c r="Z781" s="2"/>
      <c r="AA781" s="2"/>
      <c r="AF781" s="14"/>
    </row>
    <row r="782" spans="1:32" s="4" customFormat="1" ht="15.75" customHeight="1" x14ac:dyDescent="0.25">
      <c r="A782" s="33" t="str">
        <f>CONCATENATE(D782,".",F782,"-",G782,".",H782,"")</f>
        <v>2.2-1.1</v>
      </c>
      <c r="B782" s="33" t="s">
        <v>814</v>
      </c>
      <c r="C782" s="39" t="s">
        <v>262</v>
      </c>
      <c r="D782" s="33">
        <f>IF(C782="ID",1,(IF(C782="PR",2,(IF(C782="DE",3,(IF(C782="RS",4,(IF(C782="RC",5,0)))))))))</f>
        <v>2</v>
      </c>
      <c r="E782" s="33" t="s">
        <v>258</v>
      </c>
      <c r="F782" s="33">
        <f>IF(E782="AM",1,(IF(E782="BE",2,(IF(E782="GV",3,(IF(E782="RA",4,(IF(E782="RM",5,(IF(E782="AC",1,(IF(E782="AT",2,(IF(E782="DS",3,(IF(E782="IP",4,(IF(E782="MA",5,(IF(E782="PT",6,(IF(E782="AE",1,(IF(E782="CM",2,(IF(E782="DP",3,(IF(E782="AN",1,(IF(E782="CO",2,(IF(E782="IM",3,(IF(E782="MI",4,(IF(E782="RP",5,(IF(E782="SC",6,0)))))))))))))))))))))))))))))))))))))))</f>
        <v>2</v>
      </c>
      <c r="G782" s="170">
        <v>1</v>
      </c>
      <c r="H782" s="33">
        <v>1</v>
      </c>
      <c r="I782" s="27" t="s">
        <v>266</v>
      </c>
      <c r="J782" s="150" t="s">
        <v>305</v>
      </c>
      <c r="K782" s="79" t="s">
        <v>1314</v>
      </c>
      <c r="L782" s="5">
        <f>IF(O782="","",N782*O782*M782)</f>
        <v>75</v>
      </c>
      <c r="M782" s="8">
        <v>1</v>
      </c>
      <c r="N782" s="1">
        <v>1</v>
      </c>
      <c r="O782" s="15">
        <f>IF(SUM(Q782:AF782)&lt;1,"",SUM(Q782:AF782)/COUNTIF(Q782:AF782,"&gt;0"))</f>
        <v>75</v>
      </c>
      <c r="P782" s="16"/>
      <c r="Q782" s="13"/>
      <c r="R782" s="3"/>
      <c r="S782" s="3"/>
      <c r="T782" s="4">
        <v>75</v>
      </c>
      <c r="U782" s="3"/>
      <c r="V782" s="3"/>
      <c r="W782" s="3"/>
      <c r="X782" s="3"/>
      <c r="Y782" s="3"/>
      <c r="Z782" s="3"/>
      <c r="AA782" s="3"/>
      <c r="AB782" s="3"/>
      <c r="AC782" s="3"/>
      <c r="AD782" s="3"/>
      <c r="AE782" s="3"/>
      <c r="AF782" s="104"/>
    </row>
    <row r="783" spans="1:32" s="4" customFormat="1" ht="15.75" customHeight="1" x14ac:dyDescent="0.25">
      <c r="A783" s="33" t="str">
        <f>CONCATENATE(D783,".",F783,"-",G783,".",H783,"")</f>
        <v>2.2-1.1</v>
      </c>
      <c r="B783" s="33" t="s">
        <v>814</v>
      </c>
      <c r="C783" s="39" t="s">
        <v>262</v>
      </c>
      <c r="D783" s="33">
        <f>IF(C783="ID",1,(IF(C783="PR",2,(IF(C783="DE",3,(IF(C783="RS",4,(IF(C783="RC",5,0)))))))))</f>
        <v>2</v>
      </c>
      <c r="E783" s="33" t="s">
        <v>258</v>
      </c>
      <c r="F783" s="33">
        <f>IF(E783="AM",1,(IF(E783="BE",2,(IF(E783="GV",3,(IF(E783="RA",4,(IF(E783="RM",5,(IF(E783="AC",1,(IF(E783="AT",2,(IF(E783="DS",3,(IF(E783="IP",4,(IF(E783="MA",5,(IF(E783="PT",6,(IF(E783="AE",1,(IF(E783="CM",2,(IF(E783="DP",3,(IF(E783="AN",1,(IF(E783="CO",2,(IF(E783="IM",3,(IF(E783="MI",4,(IF(E783="RP",5,(IF(E783="SC",6,0)))))))))))))))))))))))))))))))))))))))</f>
        <v>2</v>
      </c>
      <c r="G783" s="170">
        <v>1</v>
      </c>
      <c r="H783" s="33">
        <v>1</v>
      </c>
      <c r="I783" s="27" t="s">
        <v>266</v>
      </c>
      <c r="J783" s="150" t="s">
        <v>12</v>
      </c>
      <c r="K783" s="79" t="s">
        <v>1389</v>
      </c>
      <c r="L783" s="5">
        <f>IF(O783="","",N783*O783*M783)</f>
        <v>75</v>
      </c>
      <c r="M783" s="8">
        <v>1</v>
      </c>
      <c r="N783" s="1">
        <v>1</v>
      </c>
      <c r="O783" s="15">
        <f>IF(SUM(Q783:AF783)&lt;1,"",SUM(Q783:AF783)/COUNTIF(Q783:AF783,"&gt;0"))</f>
        <v>75</v>
      </c>
      <c r="P783" s="16"/>
      <c r="Q783" s="13"/>
      <c r="R783" s="3"/>
      <c r="S783" s="3"/>
      <c r="T783" s="4">
        <v>75</v>
      </c>
      <c r="U783" s="3"/>
      <c r="V783" s="3"/>
      <c r="W783" s="3"/>
      <c r="X783" s="3"/>
      <c r="Y783" s="3"/>
      <c r="Z783" s="3"/>
      <c r="AA783" s="3"/>
      <c r="AB783" s="3"/>
      <c r="AC783" s="3"/>
      <c r="AD783" s="3"/>
      <c r="AE783" s="3"/>
      <c r="AF783" s="104"/>
    </row>
    <row r="784" spans="1:32" s="4" customFormat="1" ht="15.75" customHeight="1" x14ac:dyDescent="0.25">
      <c r="A784" s="33" t="str">
        <f>CONCATENATE(D784,".",F784,"-",G784,".",H784,"")</f>
        <v>2.2-1.1</v>
      </c>
      <c r="B784" s="33" t="s">
        <v>814</v>
      </c>
      <c r="C784" s="39" t="s">
        <v>262</v>
      </c>
      <c r="D784" s="33">
        <f>IF(C784="ID",1,(IF(C784="PR",2,(IF(C784="DE",3,(IF(C784="RS",4,(IF(C784="RC",5,0)))))))))</f>
        <v>2</v>
      </c>
      <c r="E784" s="33" t="s">
        <v>258</v>
      </c>
      <c r="F784" s="33">
        <f>IF(E784="AM",1,(IF(E784="BE",2,(IF(E784="GV",3,(IF(E784="RA",4,(IF(E784="RM",5,(IF(E784="AC",1,(IF(E784="AT",2,(IF(E784="DS",3,(IF(E784="IP",4,(IF(E784="MA",5,(IF(E784="PT",6,(IF(E784="AE",1,(IF(E784="CM",2,(IF(E784="DP",3,(IF(E784="AN",1,(IF(E784="CO",2,(IF(E784="IM",3,(IF(E784="MI",4,(IF(E784="RP",5,(IF(E784="SC",6,0)))))))))))))))))))))))))))))))))))))))</f>
        <v>2</v>
      </c>
      <c r="G784" s="170">
        <v>1</v>
      </c>
      <c r="H784" s="33">
        <v>1</v>
      </c>
      <c r="I784" s="27" t="s">
        <v>266</v>
      </c>
      <c r="J784" s="150" t="s">
        <v>5</v>
      </c>
      <c r="K784" s="79" t="s">
        <v>1393</v>
      </c>
      <c r="L784" s="5">
        <f>IF(O784="","",N784*O784*M784)</f>
        <v>75</v>
      </c>
      <c r="M784" s="8">
        <v>1</v>
      </c>
      <c r="N784" s="1">
        <v>1</v>
      </c>
      <c r="O784" s="15">
        <f>IF(SUM(Q784:AF784)&lt;1,"",SUM(Q784:AF784)/COUNTIF(Q784:AF784,"&gt;0"))</f>
        <v>75</v>
      </c>
      <c r="P784" s="16"/>
      <c r="Q784" s="13"/>
      <c r="R784" s="3"/>
      <c r="S784" s="3"/>
      <c r="T784" s="4">
        <v>75</v>
      </c>
      <c r="U784" s="3"/>
      <c r="V784" s="3"/>
      <c r="W784" s="3"/>
      <c r="X784" s="3"/>
      <c r="Y784" s="3"/>
      <c r="Z784" s="3"/>
      <c r="AA784" s="3"/>
      <c r="AB784" s="3"/>
      <c r="AC784" s="3"/>
      <c r="AD784" s="3"/>
      <c r="AE784" s="3"/>
      <c r="AF784" s="104"/>
    </row>
    <row r="785" spans="1:33" s="4" customFormat="1" ht="15.75" customHeight="1" x14ac:dyDescent="0.25">
      <c r="A785" s="33" t="str">
        <f>CONCATENATE(D785,".",F785,"-",G785,".",H785,"")</f>
        <v>2.2-1.1</v>
      </c>
      <c r="B785" s="33" t="s">
        <v>814</v>
      </c>
      <c r="C785" s="39" t="s">
        <v>262</v>
      </c>
      <c r="D785" s="33">
        <f>IF(C785="ID",1,(IF(C785="PR",2,(IF(C785="DE",3,(IF(C785="RS",4,(IF(C785="RC",5,0)))))))))</f>
        <v>2</v>
      </c>
      <c r="E785" s="33" t="s">
        <v>258</v>
      </c>
      <c r="F785" s="33">
        <f>IF(E785="AM",1,(IF(E785="BE",2,(IF(E785="GV",3,(IF(E785="RA",4,(IF(E785="RM",5,(IF(E785="AC",1,(IF(E785="AT",2,(IF(E785="DS",3,(IF(E785="IP",4,(IF(E785="MA",5,(IF(E785="PT",6,(IF(E785="AE",1,(IF(E785="CM",2,(IF(E785="DP",3,(IF(E785="AN",1,(IF(E785="CO",2,(IF(E785="IM",3,(IF(E785="MI",4,(IF(E785="RP",5,(IF(E785="SC",6,0)))))))))))))))))))))))))))))))))))))))</f>
        <v>2</v>
      </c>
      <c r="G785" s="170">
        <v>1</v>
      </c>
      <c r="H785" s="33">
        <v>1</v>
      </c>
      <c r="I785" s="27" t="s">
        <v>266</v>
      </c>
      <c r="J785" s="150" t="s">
        <v>270</v>
      </c>
      <c r="K785" s="79" t="s">
        <v>1412</v>
      </c>
      <c r="L785" s="5">
        <f>IF(O785="","",N785*O785*M785)</f>
        <v>75</v>
      </c>
      <c r="M785" s="8">
        <v>1</v>
      </c>
      <c r="N785" s="1">
        <v>1</v>
      </c>
      <c r="O785" s="15">
        <f>IF(SUM(Q785:AF785)&lt;1,"",SUM(Q785:AF785)/COUNTIF(Q785:AF785,"&gt;0"))</f>
        <v>75</v>
      </c>
      <c r="P785" s="16"/>
      <c r="Q785" s="13"/>
      <c r="R785" s="3"/>
      <c r="S785" s="3"/>
      <c r="T785" s="4">
        <v>75</v>
      </c>
      <c r="U785" s="3"/>
      <c r="V785" s="3"/>
      <c r="W785" s="3"/>
      <c r="X785" s="3"/>
      <c r="Y785" s="3"/>
      <c r="Z785" s="3"/>
      <c r="AA785" s="3"/>
      <c r="AB785" s="3"/>
      <c r="AC785" s="3"/>
      <c r="AD785" s="3"/>
      <c r="AE785" s="3"/>
      <c r="AF785" s="104"/>
    </row>
    <row r="786" spans="1:33" s="4" customFormat="1" ht="15.75" customHeight="1" x14ac:dyDescent="0.25">
      <c r="A786" s="33" t="str">
        <f>CONCATENATE(D786,".",F786,"-",G786,".",H786,"")</f>
        <v>2.2-1.1</v>
      </c>
      <c r="B786" s="33" t="s">
        <v>814</v>
      </c>
      <c r="C786" s="39" t="s">
        <v>262</v>
      </c>
      <c r="D786" s="33">
        <f>IF(C786="ID",1,(IF(C786="PR",2,(IF(C786="DE",3,(IF(C786="RS",4,(IF(C786="RC",5,0)))))))))</f>
        <v>2</v>
      </c>
      <c r="E786" s="33" t="s">
        <v>258</v>
      </c>
      <c r="F786" s="33">
        <f>IF(E786="AM",1,(IF(E786="BE",2,(IF(E786="GV",3,(IF(E786="RA",4,(IF(E786="RM",5,(IF(E786="AC",1,(IF(E786="AT",2,(IF(E786="DS",3,(IF(E786="IP",4,(IF(E786="MA",5,(IF(E786="PT",6,(IF(E786="AE",1,(IF(E786="CM",2,(IF(E786="DP",3,(IF(E786="AN",1,(IF(E786="CO",2,(IF(E786="IM",3,(IF(E786="MI",4,(IF(E786="RP",5,(IF(E786="SC",6,0)))))))))))))))))))))))))))))))))))))))</f>
        <v>2</v>
      </c>
      <c r="G786" s="170">
        <v>1</v>
      </c>
      <c r="H786" s="38" t="s">
        <v>511</v>
      </c>
      <c r="I786" s="105" t="s">
        <v>1449</v>
      </c>
      <c r="J786" s="157" t="s">
        <v>1494</v>
      </c>
      <c r="K786" s="34" t="s">
        <v>1495</v>
      </c>
      <c r="L786" s="5">
        <f>IF(O786="","",N786*O786*M786)</f>
        <v>99</v>
      </c>
      <c r="M786" s="8">
        <v>1</v>
      </c>
      <c r="N786" s="1">
        <v>1</v>
      </c>
      <c r="O786" s="15">
        <f>IF(SUM(Q786:AF786)&lt;1,"",SUM(Q786:AF786)/COUNTIF(Q786:AF786,"&gt;0"))</f>
        <v>99</v>
      </c>
      <c r="P786" s="16"/>
      <c r="Q786" s="13"/>
      <c r="T786" s="4">
        <v>99</v>
      </c>
      <c r="U786" s="2"/>
      <c r="V786" s="2"/>
      <c r="W786" s="2"/>
      <c r="X786" s="2"/>
      <c r="Z786" s="2"/>
      <c r="AA786" s="2"/>
      <c r="AF786" s="14"/>
    </row>
    <row r="787" spans="1:33" s="4" customFormat="1" ht="15.75" customHeight="1" x14ac:dyDescent="0.25">
      <c r="A787" s="33" t="str">
        <f>CONCATENATE(D787,".",F787,"-",G787,".",H787,"")</f>
        <v>2.2-1.1</v>
      </c>
      <c r="B787" s="33" t="s">
        <v>814</v>
      </c>
      <c r="C787" s="39" t="s">
        <v>262</v>
      </c>
      <c r="D787" s="33">
        <f>IF(C787="ID",1,(IF(C787="PR",2,(IF(C787="DE",3,(IF(C787="RS",4,(IF(C787="RC",5,0)))))))))</f>
        <v>2</v>
      </c>
      <c r="E787" s="33" t="s">
        <v>258</v>
      </c>
      <c r="F787" s="33">
        <f>IF(E787="AM",1,(IF(E787="BE",2,(IF(E787="GV",3,(IF(E787="RA",4,(IF(E787="RM",5,(IF(E787="AC",1,(IF(E787="AT",2,(IF(E787="DS",3,(IF(E787="IP",4,(IF(E787="MA",5,(IF(E787="PT",6,(IF(E787="AE",1,(IF(E787="CM",2,(IF(E787="DP",3,(IF(E787="AN",1,(IF(E787="CO",2,(IF(E787="IM",3,(IF(E787="MI",4,(IF(E787="RP",5,(IF(E787="SC",6,0)))))))))))))))))))))))))))))))))))))))</f>
        <v>2</v>
      </c>
      <c r="G787" s="170">
        <v>1</v>
      </c>
      <c r="H787" s="38" t="s">
        <v>511</v>
      </c>
      <c r="I787" s="105" t="s">
        <v>1449</v>
      </c>
      <c r="J787" s="157" t="s">
        <v>1693</v>
      </c>
      <c r="K787" s="34" t="s">
        <v>1694</v>
      </c>
      <c r="L787" s="5">
        <f>IF(O787="","",N787*O787*M787)</f>
        <v>99</v>
      </c>
      <c r="M787" s="8">
        <v>1</v>
      </c>
      <c r="N787" s="1">
        <v>1</v>
      </c>
      <c r="O787" s="15">
        <f>IF(SUM(Q787:AF787)&lt;1,"",SUM(Q787:AF787)/COUNTIF(Q787:AF787,"&gt;0"))</f>
        <v>99</v>
      </c>
      <c r="P787" s="16"/>
      <c r="Q787" s="13"/>
      <c r="T787" s="4">
        <v>99</v>
      </c>
      <c r="U787" s="2"/>
      <c r="V787" s="2"/>
      <c r="W787" s="2"/>
      <c r="X787" s="2"/>
      <c r="Z787" s="2"/>
      <c r="AA787" s="2"/>
      <c r="AF787" s="14"/>
    </row>
    <row r="788" spans="1:33" s="4" customFormat="1" ht="15.75" customHeight="1" x14ac:dyDescent="0.25">
      <c r="A788" s="33" t="str">
        <f>CONCATENATE(D788,".",F788,"-",G788,".",H788,"")</f>
        <v>2.2-1.1</v>
      </c>
      <c r="B788" s="33" t="s">
        <v>814</v>
      </c>
      <c r="C788" s="39" t="s">
        <v>262</v>
      </c>
      <c r="D788" s="33">
        <f>IF(C788="ID",1,(IF(C788="PR",2,(IF(C788="DE",3,(IF(C788="RS",4,(IF(C788="RC",5,0)))))))))</f>
        <v>2</v>
      </c>
      <c r="E788" s="33" t="s">
        <v>258</v>
      </c>
      <c r="F788" s="33">
        <f>IF(E788="AM",1,(IF(E788="BE",2,(IF(E788="GV",3,(IF(E788="RA",4,(IF(E788="RM",5,(IF(E788="AC",1,(IF(E788="AT",2,(IF(E788="DS",3,(IF(E788="IP",4,(IF(E788="MA",5,(IF(E788="PT",6,(IF(E788="AE",1,(IF(E788="CM",2,(IF(E788="DP",3,(IF(E788="AN",1,(IF(E788="CO",2,(IF(E788="IM",3,(IF(E788="MI",4,(IF(E788="RP",5,(IF(E788="SC",6,0)))))))))))))))))))))))))))))))))))))))</f>
        <v>2</v>
      </c>
      <c r="G788" s="170">
        <v>1</v>
      </c>
      <c r="H788" s="38" t="s">
        <v>511</v>
      </c>
      <c r="I788" s="105" t="s">
        <v>1449</v>
      </c>
      <c r="J788" s="157" t="s">
        <v>1695</v>
      </c>
      <c r="K788" s="34" t="s">
        <v>1696</v>
      </c>
      <c r="L788" s="5">
        <f>IF(O788="","",N788*O788*M788)</f>
        <v>99</v>
      </c>
      <c r="M788" s="8">
        <v>1</v>
      </c>
      <c r="N788" s="1">
        <v>1</v>
      </c>
      <c r="O788" s="15">
        <f>IF(SUM(Q788:AF788)&lt;1,"",SUM(Q788:AF788)/COUNTIF(Q788:AF788,"&gt;0"))</f>
        <v>99</v>
      </c>
      <c r="P788" s="16"/>
      <c r="Q788" s="13"/>
      <c r="T788" s="4">
        <v>99</v>
      </c>
      <c r="U788" s="2"/>
      <c r="V788" s="2"/>
      <c r="W788" s="2"/>
      <c r="X788" s="2"/>
      <c r="Z788" s="2"/>
      <c r="AA788" s="2"/>
      <c r="AF788" s="14"/>
    </row>
    <row r="789" spans="1:33" s="4" customFormat="1" ht="15.75" customHeight="1" x14ac:dyDescent="0.25">
      <c r="A789" s="33" t="str">
        <f>CONCATENATE(D789,".",F789,"-",G789,".",H789,"")</f>
        <v>2.2-1.1</v>
      </c>
      <c r="B789" s="33" t="s">
        <v>814</v>
      </c>
      <c r="C789" s="39" t="s">
        <v>262</v>
      </c>
      <c r="D789" s="33">
        <f>IF(C789="ID",1,(IF(C789="PR",2,(IF(C789="DE",3,(IF(C789="RS",4,(IF(C789="RC",5,0)))))))))</f>
        <v>2</v>
      </c>
      <c r="E789" s="33" t="s">
        <v>258</v>
      </c>
      <c r="F789" s="33">
        <f>IF(E789="AM",1,(IF(E789="BE",2,(IF(E789="GV",3,(IF(E789="RA",4,(IF(E789="RM",5,(IF(E789="AC",1,(IF(E789="AT",2,(IF(E789="DS",3,(IF(E789="IP",4,(IF(E789="MA",5,(IF(E789="PT",6,(IF(E789="AE",1,(IF(E789="CM",2,(IF(E789="DP",3,(IF(E789="AN",1,(IF(E789="CO",2,(IF(E789="IM",3,(IF(E789="MI",4,(IF(E789="RP",5,(IF(E789="SC",6,0)))))))))))))))))))))))))))))))))))))))</f>
        <v>2</v>
      </c>
      <c r="G789" s="170">
        <v>1</v>
      </c>
      <c r="H789" s="38" t="s">
        <v>511</v>
      </c>
      <c r="I789" s="105" t="s">
        <v>1449</v>
      </c>
      <c r="J789" s="157" t="s">
        <v>1697</v>
      </c>
      <c r="K789" s="34" t="s">
        <v>1698</v>
      </c>
      <c r="L789" s="5">
        <f>IF(O789="","",N789*O789*M789)</f>
        <v>99</v>
      </c>
      <c r="M789" s="8">
        <v>1</v>
      </c>
      <c r="N789" s="1">
        <v>1</v>
      </c>
      <c r="O789" s="15">
        <f>IF(SUM(Q789:AF789)&lt;1,"",SUM(Q789:AF789)/COUNTIF(Q789:AF789,"&gt;0"))</f>
        <v>99</v>
      </c>
      <c r="P789" s="16"/>
      <c r="Q789" s="13"/>
      <c r="T789" s="4">
        <v>99</v>
      </c>
      <c r="U789" s="2"/>
      <c r="V789" s="2"/>
      <c r="W789" s="2"/>
      <c r="X789" s="2"/>
      <c r="Z789" s="2"/>
      <c r="AA789" s="2"/>
      <c r="AF789" s="14"/>
    </row>
    <row r="790" spans="1:33" s="4" customFormat="1" ht="15.75" customHeight="1" x14ac:dyDescent="0.25">
      <c r="A790" s="33" t="str">
        <f>CONCATENATE(D790,".",F790,"-",G790,".",H790,"")</f>
        <v>2.2-1.1</v>
      </c>
      <c r="B790" s="33" t="s">
        <v>814</v>
      </c>
      <c r="C790" s="39" t="s">
        <v>262</v>
      </c>
      <c r="D790" s="33">
        <f>IF(C790="ID",1,(IF(C790="PR",2,(IF(C790="DE",3,(IF(C790="RS",4,(IF(C790="RC",5,0)))))))))</f>
        <v>2</v>
      </c>
      <c r="E790" s="33" t="s">
        <v>258</v>
      </c>
      <c r="F790" s="33">
        <f>IF(E790="AM",1,(IF(E790="BE",2,(IF(E790="GV",3,(IF(E790="RA",4,(IF(E790="RM",5,(IF(E790="AC",1,(IF(E790="AT",2,(IF(E790="DS",3,(IF(E790="IP",4,(IF(E790="MA",5,(IF(E790="PT",6,(IF(E790="AE",1,(IF(E790="CM",2,(IF(E790="DP",3,(IF(E790="AN",1,(IF(E790="CO",2,(IF(E790="IM",3,(IF(E790="MI",4,(IF(E790="RP",5,(IF(E790="SC",6,0)))))))))))))))))))))))))))))))))))))))</f>
        <v>2</v>
      </c>
      <c r="G790" s="170">
        <v>1</v>
      </c>
      <c r="H790" s="38" t="s">
        <v>511</v>
      </c>
      <c r="I790" s="105" t="s">
        <v>1449</v>
      </c>
      <c r="J790" s="157" t="s">
        <v>1707</v>
      </c>
      <c r="K790" s="34" t="s">
        <v>1708</v>
      </c>
      <c r="L790" s="5">
        <f>IF(O790="","",N790*O790*M790)</f>
        <v>99</v>
      </c>
      <c r="M790" s="8">
        <v>1</v>
      </c>
      <c r="N790" s="1">
        <v>1</v>
      </c>
      <c r="O790" s="15">
        <f>IF(SUM(Q790:AF790)&lt;1,"",SUM(Q790:AF790)/COUNTIF(Q790:AF790,"&gt;0"))</f>
        <v>99</v>
      </c>
      <c r="P790" s="16"/>
      <c r="Q790" s="13"/>
      <c r="T790" s="4">
        <v>99</v>
      </c>
      <c r="U790" s="2"/>
      <c r="V790" s="2"/>
      <c r="W790" s="2"/>
      <c r="X790" s="2"/>
      <c r="Z790" s="2"/>
      <c r="AA790" s="2"/>
      <c r="AF790" s="14"/>
    </row>
    <row r="791" spans="1:33" s="4" customFormat="1" ht="15.75" customHeight="1" x14ac:dyDescent="0.25">
      <c r="A791" s="33" t="str">
        <f>CONCATENATE(D791,".",F791,"-",G791,".",H791,"")</f>
        <v>2.2-1.1</v>
      </c>
      <c r="B791" s="33"/>
      <c r="C791" s="39" t="s">
        <v>262</v>
      </c>
      <c r="D791" s="33">
        <f>IF(C791="ID",1,(IF(C791="PR",2,(IF(C791="DE",3,(IF(C791="RS",4,(IF(C791="RC",5,0)))))))))</f>
        <v>2</v>
      </c>
      <c r="E791" s="33" t="s">
        <v>258</v>
      </c>
      <c r="F791" s="33">
        <f>IF(E791="AM",1,(IF(E791="BE",2,(IF(E791="GV",3,(IF(E791="RA",4,(IF(E791="RM",5,(IF(E791="AC",1,(IF(E791="AT",2,(IF(E791="DS",3,(IF(E791="IP",4,(IF(E791="MA",5,(IF(E791="PT",6,(IF(E791="AE",1,(IF(E791="CM",2,(IF(E791="DP",3,(IF(E791="AN",1,(IF(E791="CO",2,(IF(E791="IM",3,(IF(E791="MI",4,(IF(E791="RP",5,(IF(E791="SC",6,0)))))))))))))))))))))))))))))))))))))))</f>
        <v>2</v>
      </c>
      <c r="G791" s="170">
        <v>1</v>
      </c>
      <c r="H791" s="38" t="s">
        <v>511</v>
      </c>
      <c r="I791" s="105" t="s">
        <v>1449</v>
      </c>
      <c r="J791" s="157" t="s">
        <v>2489</v>
      </c>
      <c r="K791" s="34" t="s">
        <v>2490</v>
      </c>
      <c r="L791" s="5">
        <f>IF(O791="","",N791*O791*M791)</f>
        <v>99</v>
      </c>
      <c r="M791" s="8">
        <v>1</v>
      </c>
      <c r="N791" s="1">
        <v>1</v>
      </c>
      <c r="O791" s="15">
        <f>IF(SUM(Q791:AF791)&lt;1,"",SUM(Q791:AF791)/COUNTIF(Q791:AF791,"&gt;0"))</f>
        <v>99</v>
      </c>
      <c r="P791" s="16"/>
      <c r="Q791" s="13"/>
      <c r="T791" s="4">
        <v>99</v>
      </c>
      <c r="U791" s="2"/>
      <c r="V791" s="2"/>
      <c r="W791" s="2"/>
      <c r="X791" s="2"/>
      <c r="Z791" s="2"/>
      <c r="AA791" s="2"/>
      <c r="AF791" s="14"/>
    </row>
    <row r="792" spans="1:33" ht="15.75" customHeight="1" x14ac:dyDescent="0.25">
      <c r="A792" s="33" t="str">
        <f>CONCATENATE(D792,".",F792,"-",G792,".",H792,"")</f>
        <v>2.2-1.1</v>
      </c>
      <c r="C792" s="39" t="s">
        <v>262</v>
      </c>
      <c r="D792" s="33">
        <f>IF(C792="ID",1,(IF(C792="PR",2,(IF(C792="DE",3,(IF(C792="RS",4,(IF(C792="RC",5,0)))))))))</f>
        <v>2</v>
      </c>
      <c r="E792" s="33" t="s">
        <v>258</v>
      </c>
      <c r="F792" s="33">
        <f>IF(E792="AM",1,(IF(E792="BE",2,(IF(E792="GV",3,(IF(E792="RA",4,(IF(E792="RM",5,(IF(E792="AC",1,(IF(E792="AT",2,(IF(E792="DS",3,(IF(E792="IP",4,(IF(E792="MA",5,(IF(E792="PT",6,(IF(E792="AE",1,(IF(E792="CM",2,(IF(E792="DP",3,(IF(E792="AN",1,(IF(E792="CO",2,(IF(E792="IM",3,(IF(E792="MI",4,(IF(E792="RP",5,(IF(E792="SC",6,0)))))))))))))))))))))))))))))))))))))))</f>
        <v>2</v>
      </c>
      <c r="G792" s="170">
        <v>1</v>
      </c>
      <c r="H792" s="38" t="s">
        <v>511</v>
      </c>
      <c r="I792" s="105" t="s">
        <v>1449</v>
      </c>
      <c r="J792" s="157" t="s">
        <v>2657</v>
      </c>
      <c r="K792" s="34" t="s">
        <v>2658</v>
      </c>
      <c r="L792" s="5">
        <f>IF(O792="","",N792*O792*M792)</f>
        <v>99</v>
      </c>
      <c r="M792" s="8">
        <v>1</v>
      </c>
      <c r="N792" s="1">
        <v>1</v>
      </c>
      <c r="O792" s="15">
        <f>IF(SUM(Q792:AF792)&lt;1,"",SUM(Q792:AF792)/COUNTIF(Q792:AF792,"&gt;0"))</f>
        <v>99</v>
      </c>
      <c r="P792" s="16"/>
      <c r="Q792" s="13"/>
      <c r="R792" s="4"/>
      <c r="S792" s="4"/>
      <c r="T792" s="4">
        <v>99</v>
      </c>
      <c r="U792" s="2"/>
      <c r="V792" s="2"/>
      <c r="W792" s="2"/>
      <c r="X792" s="2"/>
      <c r="Y792" s="4"/>
      <c r="Z792" s="2"/>
      <c r="AA792" s="2"/>
      <c r="AB792" s="4"/>
      <c r="AC792" s="4"/>
      <c r="AD792" s="4"/>
      <c r="AE792" s="4"/>
      <c r="AF792" s="14"/>
      <c r="AG792" s="3"/>
    </row>
    <row r="793" spans="1:33" ht="15.75" customHeight="1" x14ac:dyDescent="0.25">
      <c r="A793" s="33" t="str">
        <f>CONCATENATE(D793,".",F793,"-",G793,".",H793,"")</f>
        <v>2.2-1.2</v>
      </c>
      <c r="B793" s="33" t="s">
        <v>814</v>
      </c>
      <c r="C793" s="39" t="s">
        <v>262</v>
      </c>
      <c r="D793" s="33">
        <f>IF(C793="ID",1,(IF(C793="PR",2,(IF(C793="DE",3,(IF(C793="RS",4,(IF(C793="RC",5,0)))))))))</f>
        <v>2</v>
      </c>
      <c r="E793" s="33" t="s">
        <v>258</v>
      </c>
      <c r="F793" s="33">
        <f>IF(E793="AM",1,(IF(E793="BE",2,(IF(E793="GV",3,(IF(E793="RA",4,(IF(E793="RM",5,(IF(E793="AC",1,(IF(E793="AT",2,(IF(E793="DS",3,(IF(E793="IP",4,(IF(E793="MA",5,(IF(E793="PT",6,(IF(E793="AE",1,(IF(E793="CM",2,(IF(E793="DP",3,(IF(E793="AN",1,(IF(E793="CO",2,(IF(E793="IM",3,(IF(E793="MI",4,(IF(E793="RP",5,(IF(E793="SC",6,0)))))))))))))))))))))))))))))))))))))))</f>
        <v>2</v>
      </c>
      <c r="G793" s="170">
        <v>1</v>
      </c>
      <c r="H793" s="38" t="s">
        <v>512</v>
      </c>
      <c r="I793" s="27" t="s">
        <v>266</v>
      </c>
      <c r="J793" s="149" t="s">
        <v>509</v>
      </c>
      <c r="K793" s="79" t="s">
        <v>1441</v>
      </c>
      <c r="L793" s="66">
        <f>IF(O793="","",N793*O793*M793)</f>
        <v>75</v>
      </c>
      <c r="M793" s="8">
        <v>1</v>
      </c>
      <c r="N793" s="1">
        <v>1</v>
      </c>
      <c r="O793" s="15">
        <f>IF(SUM(Q793:AF793)&lt;1,"",SUM(Q793:AF793)/COUNTIF(Q793:AF793,"&gt;0"))</f>
        <v>75</v>
      </c>
      <c r="P793" s="16"/>
      <c r="Q793" s="13"/>
      <c r="R793" s="4"/>
      <c r="S793" s="4"/>
      <c r="T793" s="4">
        <v>75</v>
      </c>
      <c r="U793" s="2"/>
      <c r="V793" s="2"/>
      <c r="W793" s="2"/>
      <c r="X793" s="2"/>
      <c r="Y793" s="4"/>
      <c r="Z793" s="2"/>
      <c r="AA793" s="2"/>
      <c r="AB793" s="4"/>
      <c r="AC793" s="4"/>
      <c r="AD793" s="4"/>
      <c r="AE793" s="4"/>
      <c r="AF793" s="14"/>
      <c r="AG793" s="3"/>
    </row>
    <row r="794" spans="1:33" s="4" customFormat="1" ht="15.75" customHeight="1" x14ac:dyDescent="0.25">
      <c r="A794" s="33" t="str">
        <f>CONCATENATE(D794,".",F794,"-",G794,".",H794,"")</f>
        <v>2.2-1.9</v>
      </c>
      <c r="B794" s="33"/>
      <c r="C794" s="39" t="s">
        <v>262</v>
      </c>
      <c r="D794" s="33">
        <f>IF(C794="ID",1,(IF(C794="PR",2,(IF(C794="DE",3,(IF(C794="RS",4,(IF(C794="RC",5,0)))))))))</f>
        <v>2</v>
      </c>
      <c r="E794" s="33" t="s">
        <v>258</v>
      </c>
      <c r="F794" s="33">
        <f>IF(E794="AM",1,(IF(E794="BE",2,(IF(E794="GV",3,(IF(E794="RA",4,(IF(E794="RM",5,(IF(E794="AC",1,(IF(E794="AT",2,(IF(E794="DS",3,(IF(E794="IP",4,(IF(E794="MA",5,(IF(E794="PT",6,(IF(E794="AE",1,(IF(E794="CM",2,(IF(E794="DP",3,(IF(E794="AN",1,(IF(E794="CO",2,(IF(E794="IM",3,(IF(E794="MI",4,(IF(E794="RP",5,(IF(E794="SC",6,0)))))))))))))))))))))))))))))))))))))))</f>
        <v>2</v>
      </c>
      <c r="G794" s="170">
        <v>1</v>
      </c>
      <c r="H794" s="38" t="s">
        <v>596</v>
      </c>
      <c r="I794" s="105" t="s">
        <v>1449</v>
      </c>
      <c r="J794" s="157" t="s">
        <v>2467</v>
      </c>
      <c r="K794" s="34" t="s">
        <v>2468</v>
      </c>
      <c r="L794" s="5">
        <f>IF(O794="","",N794*O794*M794)</f>
        <v>99</v>
      </c>
      <c r="M794" s="8">
        <v>1</v>
      </c>
      <c r="N794" s="1">
        <v>1</v>
      </c>
      <c r="O794" s="15">
        <f>IF(SUM(Q794:AF794)&lt;1,"",SUM(Q794:AF794)/COUNTIF(Q794:AF794,"&gt;0"))</f>
        <v>99</v>
      </c>
      <c r="P794" s="16"/>
      <c r="Q794" s="13"/>
      <c r="T794" s="4">
        <v>99</v>
      </c>
      <c r="U794" s="2"/>
      <c r="V794" s="2"/>
      <c r="W794" s="2"/>
      <c r="X794" s="2"/>
      <c r="Z794" s="2"/>
      <c r="AA794" s="2"/>
      <c r="AF794" s="14"/>
    </row>
    <row r="795" spans="1:33" s="4" customFormat="1" ht="15.75" customHeight="1" x14ac:dyDescent="0.25">
      <c r="A795" s="33" t="str">
        <f>CONCATENATE(D795,".",F795,"-",G795,".",H795,"")</f>
        <v>2.2-2.0</v>
      </c>
      <c r="B795" s="33" t="s">
        <v>814</v>
      </c>
      <c r="C795" s="40" t="s">
        <v>262</v>
      </c>
      <c r="D795" s="33">
        <f>IF(C795="ID",1,(IF(C795="PR",2,(IF(C795="DE",3,(IF(C795="RS",4,(IF(C795="RC",5,0)))))))))</f>
        <v>2</v>
      </c>
      <c r="E795" s="33" t="s">
        <v>258</v>
      </c>
      <c r="F795" s="33">
        <f>IF(E795="AM",1,(IF(E795="BE",2,(IF(E795="GV",3,(IF(E795="RA",4,(IF(E795="RM",5,(IF(E795="AC",1,(IF(E795="AT",2,(IF(E795="DS",3,(IF(E795="IP",4,(IF(E795="MA",5,(IF(E795="PT",6,(IF(E795="AE",1,(IF(E795="CM",2,(IF(E795="DP",3,(IF(E795="AN",1,(IF(E795="CO",2,(IF(E795="IM",3,(IF(E795="MI",4,(IF(E795="RP",5,(IF(E795="SC",6,0)))))))))))))))))))))))))))))))))))))))</f>
        <v>2</v>
      </c>
      <c r="G795" s="170">
        <v>2</v>
      </c>
      <c r="H795" s="38" t="s">
        <v>597</v>
      </c>
      <c r="I795" s="27" t="s">
        <v>1200</v>
      </c>
      <c r="J795" s="149" t="s">
        <v>614</v>
      </c>
      <c r="K795" s="98" t="s">
        <v>377</v>
      </c>
      <c r="L795" s="66">
        <f>IF(O795="","",N795*O795*M795)</f>
        <v>75</v>
      </c>
      <c r="M795" s="8">
        <v>1</v>
      </c>
      <c r="N795" s="1">
        <v>1</v>
      </c>
      <c r="O795" s="15">
        <f>IF(SUM(Q795:AF795)&lt;1,"",SUM(Q795:AF795)/COUNTIF(Q795:AF795,"&gt;0"))</f>
        <v>75</v>
      </c>
      <c r="P795" s="16"/>
      <c r="Q795" s="13"/>
      <c r="T795" s="4">
        <v>75</v>
      </c>
      <c r="U795" s="2"/>
      <c r="V795" s="2"/>
      <c r="W795" s="2"/>
      <c r="X795" s="2"/>
      <c r="Z795" s="2"/>
      <c r="AA795" s="2"/>
      <c r="AF795" s="14"/>
    </row>
    <row r="796" spans="1:33" s="4" customFormat="1" ht="15.75" customHeight="1" x14ac:dyDescent="0.25">
      <c r="A796" s="33" t="str">
        <f>CONCATENATE(D796,".",F796,"-",G796,".",H796,"")</f>
        <v>2.2-2.1</v>
      </c>
      <c r="B796" s="33" t="s">
        <v>814</v>
      </c>
      <c r="C796" s="39" t="s">
        <v>262</v>
      </c>
      <c r="D796" s="33">
        <f>IF(C796="ID",1,(IF(C796="PR",2,(IF(C796="DE",3,(IF(C796="RS",4,(IF(C796="RC",5,0)))))))))</f>
        <v>2</v>
      </c>
      <c r="E796" s="33" t="s">
        <v>258</v>
      </c>
      <c r="F796" s="33">
        <f>IF(E796="AM",1,(IF(E796="BE",2,(IF(E796="GV",3,(IF(E796="RA",4,(IF(E796="RM",5,(IF(E796="AC",1,(IF(E796="AT",2,(IF(E796="DS",3,(IF(E796="IP",4,(IF(E796="MA",5,(IF(E796="PT",6,(IF(E796="AE",1,(IF(E796="CM",2,(IF(E796="DP",3,(IF(E796="AN",1,(IF(E796="CO",2,(IF(E796="IM",3,(IF(E796="MI",4,(IF(E796="RP",5,(IF(E796="SC",6,0)))))))))))))))))))))))))))))))))))))))</f>
        <v>2</v>
      </c>
      <c r="G796" s="170">
        <v>2</v>
      </c>
      <c r="H796" s="38" t="s">
        <v>511</v>
      </c>
      <c r="I796" s="105" t="s">
        <v>821</v>
      </c>
      <c r="J796" s="150">
        <v>6.5</v>
      </c>
      <c r="K796" s="79" t="s">
        <v>1283</v>
      </c>
      <c r="L796" s="66">
        <f>IF(O796="","",N796*O796*M796)</f>
        <v>75</v>
      </c>
      <c r="M796" s="8">
        <v>1</v>
      </c>
      <c r="N796" s="3">
        <v>1</v>
      </c>
      <c r="O796" s="15">
        <f>IF(SUM(Q796:AF796)&lt;1,"",SUM(Q796:AF796)/COUNTIF(Q796:AF796,"&gt;0"))</f>
        <v>75</v>
      </c>
      <c r="P796" s="16"/>
      <c r="Q796" s="13"/>
      <c r="T796" s="4">
        <v>75</v>
      </c>
      <c r="U796" s="2"/>
      <c r="V796" s="2"/>
      <c r="W796" s="2"/>
      <c r="X796" s="2"/>
      <c r="Z796" s="2"/>
      <c r="AA796" s="2"/>
      <c r="AF796" s="14"/>
    </row>
    <row r="797" spans="1:33" s="4" customFormat="1" ht="15.75" customHeight="1" x14ac:dyDescent="0.25">
      <c r="A797" s="33" t="str">
        <f>CONCATENATE(D797,".",F797,"-",G797,".",H797,"")</f>
        <v>2.2-2.1</v>
      </c>
      <c r="B797" s="33" t="s">
        <v>814</v>
      </c>
      <c r="C797" s="39" t="s">
        <v>262</v>
      </c>
      <c r="D797" s="33">
        <f>IF(C797="ID",1,(IF(C797="PR",2,(IF(C797="DE",3,(IF(C797="RS",4,(IF(C797="RC",5,0)))))))))</f>
        <v>2</v>
      </c>
      <c r="E797" s="33" t="s">
        <v>258</v>
      </c>
      <c r="F797" s="33">
        <f>IF(E797="AM",1,(IF(E797="BE",2,(IF(E797="GV",3,(IF(E797="RA",4,(IF(E797="RM",5,(IF(E797="AC",1,(IF(E797="AT",2,(IF(E797="DS",3,(IF(E797="IP",4,(IF(E797="MA",5,(IF(E797="PT",6,(IF(E797="AE",1,(IF(E797="CM",2,(IF(E797="DP",3,(IF(E797="AN",1,(IF(E797="CO",2,(IF(E797="IM",3,(IF(E797="MI",4,(IF(E797="RP",5,(IF(E797="SC",6,0)))))))))))))))))))))))))))))))))))))))</f>
        <v>2</v>
      </c>
      <c r="G797" s="170">
        <v>2</v>
      </c>
      <c r="H797" s="38" t="s">
        <v>511</v>
      </c>
      <c r="I797" s="105" t="s">
        <v>821</v>
      </c>
      <c r="J797" s="150">
        <v>8.4</v>
      </c>
      <c r="K797" s="79" t="s">
        <v>1283</v>
      </c>
      <c r="L797" s="66">
        <f>IF(O797="","",N797*O797*M797)</f>
        <v>75</v>
      </c>
      <c r="M797" s="8">
        <v>1</v>
      </c>
      <c r="N797" s="3">
        <v>1</v>
      </c>
      <c r="O797" s="15">
        <f>IF(SUM(Q797:AF797)&lt;1,"",SUM(Q797:AF797)/COUNTIF(Q797:AF797,"&gt;0"))</f>
        <v>75</v>
      </c>
      <c r="P797" s="16"/>
      <c r="Q797" s="13"/>
      <c r="T797" s="4">
        <v>75</v>
      </c>
      <c r="U797" s="2"/>
      <c r="V797" s="2"/>
      <c r="W797" s="2"/>
      <c r="X797" s="2"/>
      <c r="Z797" s="2"/>
      <c r="AA797" s="2"/>
      <c r="AF797" s="14"/>
    </row>
    <row r="798" spans="1:33" s="4" customFormat="1" ht="15.75" customHeight="1" x14ac:dyDescent="0.25">
      <c r="A798" s="33" t="str">
        <f>CONCATENATE(D798,".",F798,"-",G798,".",H798,"")</f>
        <v>2.2-2.1</v>
      </c>
      <c r="B798" s="33" t="s">
        <v>814</v>
      </c>
      <c r="C798" s="39" t="s">
        <v>262</v>
      </c>
      <c r="D798" s="33">
        <f>IF(C798="ID",1,(IF(C798="PR",2,(IF(C798="DE",3,(IF(C798="RS",4,(IF(C798="RC",5,0)))))))))</f>
        <v>2</v>
      </c>
      <c r="E798" s="33" t="s">
        <v>258</v>
      </c>
      <c r="F798" s="33">
        <f>IF(E798="AM",1,(IF(E798="BE",2,(IF(E798="GV",3,(IF(E798="RA",4,(IF(E798="RM",5,(IF(E798="AC",1,(IF(E798="AT",2,(IF(E798="DS",3,(IF(E798="IP",4,(IF(E798="MA",5,(IF(E798="PT",6,(IF(E798="AE",1,(IF(E798="CM",2,(IF(E798="DP",3,(IF(E798="AN",1,(IF(E798="CO",2,(IF(E798="IM",3,(IF(E798="MI",4,(IF(E798="RP",5,(IF(E798="SC",6,0)))))))))))))))))))))))))))))))))))))))</f>
        <v>2</v>
      </c>
      <c r="G798" s="170">
        <v>2</v>
      </c>
      <c r="H798" s="38" t="s">
        <v>511</v>
      </c>
      <c r="I798" s="35" t="s">
        <v>1176</v>
      </c>
      <c r="J798" s="162">
        <v>17</v>
      </c>
      <c r="K798" s="80" t="s">
        <v>1149</v>
      </c>
      <c r="L798" s="66">
        <f>IF(O798="","",N798*O798*M798)</f>
        <v>75</v>
      </c>
      <c r="M798" s="8">
        <v>1</v>
      </c>
      <c r="N798" s="3">
        <v>1</v>
      </c>
      <c r="O798" s="15">
        <f>IF(SUM(Q798:AF798)&lt;1,"",SUM(Q798:AF798)/COUNTIF(Q798:AF798,"&gt;0"))</f>
        <v>75</v>
      </c>
      <c r="P798" s="16"/>
      <c r="Q798" s="13"/>
      <c r="T798" s="4">
        <v>75</v>
      </c>
      <c r="U798" s="2"/>
      <c r="V798" s="2"/>
      <c r="W798" s="2"/>
      <c r="X798" s="2"/>
      <c r="Z798" s="2"/>
      <c r="AA798" s="2"/>
      <c r="AF798" s="14"/>
    </row>
    <row r="799" spans="1:33" s="4" customFormat="1" ht="15.75" customHeight="1" x14ac:dyDescent="0.25">
      <c r="A799" s="33" t="str">
        <f>CONCATENATE(D799,".",F799,"-",G799,".",H799,"")</f>
        <v>2.2-2.1</v>
      </c>
      <c r="B799" s="33" t="s">
        <v>814</v>
      </c>
      <c r="C799" s="39" t="s">
        <v>262</v>
      </c>
      <c r="D799" s="33">
        <f>IF(C799="ID",1,(IF(C799="PR",2,(IF(C799="DE",3,(IF(C799="RS",4,(IF(C799="RC",5,0)))))))))</f>
        <v>2</v>
      </c>
      <c r="E799" s="33" t="s">
        <v>258</v>
      </c>
      <c r="F799" s="33">
        <f>IF(E799="AM",1,(IF(E799="BE",2,(IF(E799="GV",3,(IF(E799="RA",4,(IF(E799="RM",5,(IF(E799="AC",1,(IF(E799="AT",2,(IF(E799="DS",3,(IF(E799="IP",4,(IF(E799="MA",5,(IF(E799="PT",6,(IF(E799="AE",1,(IF(E799="CM",2,(IF(E799="DP",3,(IF(E799="AN",1,(IF(E799="CO",2,(IF(E799="IM",3,(IF(E799="MI",4,(IF(E799="RP",5,(IF(E799="SC",6,0)))))))))))))))))))))))))))))))))))))))</f>
        <v>2</v>
      </c>
      <c r="G799" s="170">
        <v>2</v>
      </c>
      <c r="H799" s="38" t="s">
        <v>511</v>
      </c>
      <c r="I799" s="35" t="s">
        <v>1176</v>
      </c>
      <c r="J799" s="162">
        <v>17.2</v>
      </c>
      <c r="K799" s="80" t="s">
        <v>1150</v>
      </c>
      <c r="L799" s="66">
        <f>IF(O799="","",N799*O799*M799)</f>
        <v>75</v>
      </c>
      <c r="M799" s="8">
        <v>1</v>
      </c>
      <c r="N799" s="3">
        <v>1</v>
      </c>
      <c r="O799" s="15">
        <f>IF(SUM(Q799:AF799)&lt;1,"",SUM(Q799:AF799)/COUNTIF(Q799:AF799,"&gt;0"))</f>
        <v>75</v>
      </c>
      <c r="P799" s="16"/>
      <c r="Q799" s="13"/>
      <c r="T799" s="4">
        <v>75</v>
      </c>
      <c r="U799" s="2"/>
      <c r="V799" s="2"/>
      <c r="W799" s="2"/>
      <c r="X799" s="2"/>
      <c r="Z799" s="2"/>
      <c r="AA799" s="2"/>
      <c r="AF799" s="14"/>
    </row>
    <row r="800" spans="1:33" s="4" customFormat="1" ht="15.75" customHeight="1" x14ac:dyDescent="0.25">
      <c r="A800" s="33" t="str">
        <f>CONCATENATE(D800,".",F800,"-",G800,".",H800,"")</f>
        <v>2.2-2.1</v>
      </c>
      <c r="B800" s="33" t="s">
        <v>814</v>
      </c>
      <c r="C800" s="39" t="s">
        <v>262</v>
      </c>
      <c r="D800" s="33">
        <f>IF(C800="ID",1,(IF(C800="PR",2,(IF(C800="DE",3,(IF(C800="RS",4,(IF(C800="RC",5,0)))))))))</f>
        <v>2</v>
      </c>
      <c r="E800" s="33" t="s">
        <v>258</v>
      </c>
      <c r="F800" s="33">
        <f>IF(E800="AM",1,(IF(E800="BE",2,(IF(E800="GV",3,(IF(E800="RA",4,(IF(E800="RM",5,(IF(E800="AC",1,(IF(E800="AT",2,(IF(E800="DS",3,(IF(E800="IP",4,(IF(E800="MA",5,(IF(E800="PT",6,(IF(E800="AE",1,(IF(E800="CM",2,(IF(E800="DP",3,(IF(E800="AN",1,(IF(E800="CO",2,(IF(E800="IM",3,(IF(E800="MI",4,(IF(E800="RP",5,(IF(E800="SC",6,0)))))))))))))))))))))))))))))))))))))))</f>
        <v>2</v>
      </c>
      <c r="G800" s="170">
        <v>2</v>
      </c>
      <c r="H800" s="38" t="s">
        <v>511</v>
      </c>
      <c r="I800" s="35" t="s">
        <v>1176</v>
      </c>
      <c r="J800" s="162">
        <v>17.5</v>
      </c>
      <c r="K800" s="80" t="s">
        <v>1152</v>
      </c>
      <c r="L800" s="66">
        <f>IF(O800="","",N800*O800*M800)</f>
        <v>75</v>
      </c>
      <c r="M800" s="8">
        <v>1</v>
      </c>
      <c r="N800" s="3">
        <v>1</v>
      </c>
      <c r="O800" s="15">
        <f>IF(SUM(Q800:AF800)&lt;1,"",SUM(Q800:AF800)/COUNTIF(Q800:AF800,"&gt;0"))</f>
        <v>75</v>
      </c>
      <c r="P800" s="16"/>
      <c r="Q800" s="13"/>
      <c r="T800" s="4">
        <v>75</v>
      </c>
      <c r="U800" s="2"/>
      <c r="V800" s="2"/>
      <c r="W800" s="2"/>
      <c r="X800" s="2"/>
      <c r="Z800" s="2"/>
      <c r="AA800" s="2"/>
      <c r="AF800" s="14"/>
    </row>
    <row r="801" spans="1:33" s="4" customFormat="1" ht="15.75" customHeight="1" x14ac:dyDescent="0.25">
      <c r="A801" s="33" t="str">
        <f>CONCATENATE(D801,".",F801,"-",G801,".",H801,"")</f>
        <v>2.2-2.1</v>
      </c>
      <c r="B801" s="33" t="s">
        <v>814</v>
      </c>
      <c r="C801" s="39" t="s">
        <v>262</v>
      </c>
      <c r="D801" s="33">
        <f>IF(C801="ID",1,(IF(C801="PR",2,(IF(C801="DE",3,(IF(C801="RS",4,(IF(C801="RC",5,0)))))))))</f>
        <v>2</v>
      </c>
      <c r="E801" s="33" t="s">
        <v>258</v>
      </c>
      <c r="F801" s="33">
        <f>IF(E801="AM",1,(IF(E801="BE",2,(IF(E801="GV",3,(IF(E801="RA",4,(IF(E801="RM",5,(IF(E801="AC",1,(IF(E801="AT",2,(IF(E801="DS",3,(IF(E801="IP",4,(IF(E801="MA",5,(IF(E801="PT",6,(IF(E801="AE",1,(IF(E801="CM",2,(IF(E801="DP",3,(IF(E801="AN",1,(IF(E801="CO",2,(IF(E801="IM",3,(IF(E801="MI",4,(IF(E801="RP",5,(IF(E801="SC",6,0)))))))))))))))))))))))))))))))))))))))</f>
        <v>2</v>
      </c>
      <c r="G801" s="170">
        <v>2</v>
      </c>
      <c r="H801" s="38" t="s">
        <v>511</v>
      </c>
      <c r="I801" s="35" t="s">
        <v>1176</v>
      </c>
      <c r="J801" s="162">
        <v>18.8</v>
      </c>
      <c r="K801" s="80" t="s">
        <v>1159</v>
      </c>
      <c r="L801" s="66">
        <f>IF(O801="","",N801*O801*M801)</f>
        <v>75</v>
      </c>
      <c r="M801" s="8">
        <v>1</v>
      </c>
      <c r="N801" s="3">
        <v>1</v>
      </c>
      <c r="O801" s="15">
        <f>IF(SUM(Q801:AF801)&lt;1,"",SUM(Q801:AF801)/COUNTIF(Q801:AF801,"&gt;0"))</f>
        <v>75</v>
      </c>
      <c r="P801" s="16"/>
      <c r="Q801" s="13"/>
      <c r="T801" s="4">
        <v>75</v>
      </c>
      <c r="U801" s="2"/>
      <c r="V801" s="2"/>
      <c r="W801" s="2"/>
      <c r="X801" s="2"/>
      <c r="Z801" s="2"/>
      <c r="AA801" s="2"/>
      <c r="AF801" s="14"/>
    </row>
    <row r="802" spans="1:33" ht="15.75" customHeight="1" x14ac:dyDescent="0.25">
      <c r="A802" s="33" t="str">
        <f>CONCATENATE(D802,".",F802,"-",G802,".",H802,"")</f>
        <v>2.2-2.1</v>
      </c>
      <c r="B802" s="33" t="s">
        <v>814</v>
      </c>
      <c r="C802" s="40" t="s">
        <v>262</v>
      </c>
      <c r="D802" s="33">
        <f>IF(C802="ID",1,(IF(C802="PR",2,(IF(C802="DE",3,(IF(C802="RS",4,(IF(C802="RC",5,0)))))))))</f>
        <v>2</v>
      </c>
      <c r="E802" s="33" t="s">
        <v>258</v>
      </c>
      <c r="F802" s="33">
        <f>IF(E802="AM",1,(IF(E802="BE",2,(IF(E802="GV",3,(IF(E802="RA",4,(IF(E802="RM",5,(IF(E802="AC",1,(IF(E802="AT",2,(IF(E802="DS",3,(IF(E802="IP",4,(IF(E802="MA",5,(IF(E802="PT",6,(IF(E802="AE",1,(IF(E802="CM",2,(IF(E802="DP",3,(IF(E802="AN",1,(IF(E802="CO",2,(IF(E802="IM",3,(IF(E802="MI",4,(IF(E802="RP",5,(IF(E802="SC",6,0)))))))))))))))))))))))))))))))))))))))</f>
        <v>2</v>
      </c>
      <c r="G802" s="171">
        <v>2</v>
      </c>
      <c r="H802" s="38" t="s">
        <v>511</v>
      </c>
      <c r="I802" s="27" t="s">
        <v>936</v>
      </c>
      <c r="J802" s="163" t="s">
        <v>875</v>
      </c>
      <c r="K802" s="4" t="s">
        <v>976</v>
      </c>
      <c r="L802" s="66">
        <f>IF(O802="","",N802*O802*M802)</f>
        <v>75</v>
      </c>
      <c r="M802" s="8">
        <v>1</v>
      </c>
      <c r="N802" s="3">
        <v>1</v>
      </c>
      <c r="O802" s="15">
        <f>IF(SUM(Q802:AF802)&lt;1,"",SUM(Q802:AF802)/COUNTIF(Q802:AF802,"&gt;0"))</f>
        <v>75</v>
      </c>
      <c r="P802" s="16"/>
      <c r="Q802" s="13"/>
      <c r="R802" s="4"/>
      <c r="S802" s="4"/>
      <c r="T802" s="4">
        <v>75</v>
      </c>
      <c r="U802" s="2"/>
      <c r="V802" s="2"/>
      <c r="W802" s="2"/>
      <c r="X802" s="2"/>
      <c r="Y802" s="4"/>
      <c r="Z802" s="2"/>
      <c r="AA802" s="2"/>
      <c r="AB802" s="4"/>
      <c r="AC802" s="4"/>
      <c r="AD802" s="4"/>
      <c r="AE802" s="4"/>
      <c r="AF802" s="14"/>
      <c r="AG802" s="3"/>
    </row>
    <row r="803" spans="1:33" s="4" customFormat="1" ht="15.75" customHeight="1" x14ac:dyDescent="0.25">
      <c r="A803" s="33" t="str">
        <f>CONCATENATE(D803,".",F803,"-",G803,".",H803,"")</f>
        <v>2.2-2.1</v>
      </c>
      <c r="B803" s="33" t="s">
        <v>814</v>
      </c>
      <c r="C803" s="40" t="s">
        <v>262</v>
      </c>
      <c r="D803" s="33">
        <f>IF(C803="ID",1,(IF(C803="PR",2,(IF(C803="DE",3,(IF(C803="RS",4,(IF(C803="RC",5,0)))))))))</f>
        <v>2</v>
      </c>
      <c r="E803" s="33" t="s">
        <v>258</v>
      </c>
      <c r="F803" s="33">
        <f>IF(E803="AM",1,(IF(E803="BE",2,(IF(E803="GV",3,(IF(E803="RA",4,(IF(E803="RM",5,(IF(E803="AC",1,(IF(E803="AT",2,(IF(E803="DS",3,(IF(E803="IP",4,(IF(E803="MA",5,(IF(E803="PT",6,(IF(E803="AE",1,(IF(E803="CM",2,(IF(E803="DP",3,(IF(E803="AN",1,(IF(E803="CO",2,(IF(E803="IM",3,(IF(E803="MI",4,(IF(E803="RP",5,(IF(E803="SC",6,0)))))))))))))))))))))))))))))))))))))))</f>
        <v>2</v>
      </c>
      <c r="G803" s="171">
        <v>2</v>
      </c>
      <c r="H803" s="38" t="s">
        <v>511</v>
      </c>
      <c r="I803" s="27" t="s">
        <v>936</v>
      </c>
      <c r="J803" s="163" t="s">
        <v>914</v>
      </c>
      <c r="K803" s="4" t="s">
        <v>977</v>
      </c>
      <c r="L803" s="66">
        <f>IF(O803="","",N803*O803*M803)</f>
        <v>75</v>
      </c>
      <c r="M803" s="8">
        <v>1</v>
      </c>
      <c r="N803" s="3">
        <v>1</v>
      </c>
      <c r="O803" s="15">
        <f>IF(SUM(Q803:AF803)&lt;1,"",SUM(Q803:AF803)/COUNTIF(Q803:AF803,"&gt;0"))</f>
        <v>75</v>
      </c>
      <c r="P803" s="16"/>
      <c r="Q803" s="13"/>
      <c r="T803" s="4">
        <v>75</v>
      </c>
      <c r="U803" s="2"/>
      <c r="V803" s="2"/>
      <c r="W803" s="2"/>
      <c r="X803" s="2"/>
      <c r="Z803" s="2"/>
      <c r="AA803" s="2"/>
      <c r="AF803" s="14"/>
    </row>
    <row r="804" spans="1:33" s="4" customFormat="1" ht="15.75" customHeight="1" x14ac:dyDescent="0.25">
      <c r="A804" s="33" t="str">
        <f>CONCATENATE(D804,".",F804,"-",G804,".",H804,"")</f>
        <v>2.2-2.1</v>
      </c>
      <c r="B804" s="33" t="s">
        <v>814</v>
      </c>
      <c r="C804" s="40" t="s">
        <v>262</v>
      </c>
      <c r="D804" s="33">
        <f>IF(C804="ID",1,(IF(C804="PR",2,(IF(C804="DE",3,(IF(C804="RS",4,(IF(C804="RC",5,0)))))))))</f>
        <v>2</v>
      </c>
      <c r="E804" s="33" t="s">
        <v>258</v>
      </c>
      <c r="F804" s="33">
        <f>IF(E804="AM",1,(IF(E804="BE",2,(IF(E804="GV",3,(IF(E804="RA",4,(IF(E804="RM",5,(IF(E804="AC",1,(IF(E804="AT",2,(IF(E804="DS",3,(IF(E804="IP",4,(IF(E804="MA",5,(IF(E804="PT",6,(IF(E804="AE",1,(IF(E804="CM",2,(IF(E804="DP",3,(IF(E804="AN",1,(IF(E804="CO",2,(IF(E804="IM",3,(IF(E804="MI",4,(IF(E804="RP",5,(IF(E804="SC",6,0)))))))))))))))))))))))))))))))))))))))</f>
        <v>2</v>
      </c>
      <c r="G804" s="171">
        <v>2</v>
      </c>
      <c r="H804" s="38" t="s">
        <v>511</v>
      </c>
      <c r="I804" s="27" t="s">
        <v>936</v>
      </c>
      <c r="J804" s="163" t="s">
        <v>918</v>
      </c>
      <c r="K804" s="4" t="s">
        <v>948</v>
      </c>
      <c r="L804" s="66">
        <f>IF(O804="","",N804*O804*M804)</f>
        <v>75</v>
      </c>
      <c r="M804" s="8">
        <v>1</v>
      </c>
      <c r="N804" s="3">
        <v>1</v>
      </c>
      <c r="O804" s="15">
        <f>IF(SUM(Q804:AF804)&lt;1,"",SUM(Q804:AF804)/COUNTIF(Q804:AF804,"&gt;0"))</f>
        <v>75</v>
      </c>
      <c r="P804" s="16"/>
      <c r="Q804" s="13"/>
      <c r="T804" s="4">
        <v>75</v>
      </c>
      <c r="U804" s="2"/>
      <c r="V804" s="2"/>
      <c r="W804" s="2"/>
      <c r="X804" s="2"/>
      <c r="Z804" s="2"/>
      <c r="AA804" s="2"/>
      <c r="AF804" s="14"/>
    </row>
    <row r="805" spans="1:33" s="4" customFormat="1" ht="15.75" customHeight="1" x14ac:dyDescent="0.25">
      <c r="A805" s="33" t="str">
        <f>CONCATENATE(D805,".",F805,"-",G805,".",H805,"")</f>
        <v>2.2-2.1</v>
      </c>
      <c r="B805" s="33" t="s">
        <v>814</v>
      </c>
      <c r="C805" s="40" t="s">
        <v>262</v>
      </c>
      <c r="D805" s="33">
        <f>IF(C805="ID",1,(IF(C805="PR",2,(IF(C805="DE",3,(IF(C805="RS",4,(IF(C805="RC",5,0)))))))))</f>
        <v>2</v>
      </c>
      <c r="E805" s="33" t="s">
        <v>258</v>
      </c>
      <c r="F805" s="33">
        <f>IF(E805="AM",1,(IF(E805="BE",2,(IF(E805="GV",3,(IF(E805="RA",4,(IF(E805="RM",5,(IF(E805="AC",1,(IF(E805="AT",2,(IF(E805="DS",3,(IF(E805="IP",4,(IF(E805="MA",5,(IF(E805="PT",6,(IF(E805="AE",1,(IF(E805="CM",2,(IF(E805="DP",3,(IF(E805="AN",1,(IF(E805="CO",2,(IF(E805="IM",3,(IF(E805="MI",4,(IF(E805="RP",5,(IF(E805="SC",6,0)))))))))))))))))))))))))))))))))))))))</f>
        <v>2</v>
      </c>
      <c r="G805" s="171">
        <v>2</v>
      </c>
      <c r="H805" s="38" t="s">
        <v>511</v>
      </c>
      <c r="I805" s="27" t="s">
        <v>936</v>
      </c>
      <c r="J805" s="163" t="s">
        <v>1030</v>
      </c>
      <c r="K805" s="34" t="s">
        <v>1032</v>
      </c>
      <c r="L805" s="66">
        <f>IF(O805="","",N805*O805*M805)</f>
        <v>75</v>
      </c>
      <c r="M805" s="8">
        <v>1</v>
      </c>
      <c r="N805" s="3">
        <v>1</v>
      </c>
      <c r="O805" s="15">
        <f>IF(SUM(Q805:AF805)&lt;1,"",SUM(Q805:AF805)/COUNTIF(Q805:AF805,"&gt;0"))</f>
        <v>75</v>
      </c>
      <c r="P805" s="16"/>
      <c r="Q805" s="13"/>
      <c r="T805" s="4">
        <v>75</v>
      </c>
      <c r="U805" s="2"/>
      <c r="V805" s="2"/>
      <c r="W805" s="2"/>
      <c r="X805" s="2"/>
      <c r="Z805" s="2"/>
      <c r="AA805" s="2"/>
      <c r="AF805" s="14"/>
    </row>
    <row r="806" spans="1:33" s="4" customFormat="1" ht="15.75" customHeight="1" x14ac:dyDescent="0.25">
      <c r="A806" s="33" t="str">
        <f>CONCATENATE(D806,".",F806,"-",G806,".",H806,"")</f>
        <v>2.2-2.1</v>
      </c>
      <c r="B806" s="33" t="s">
        <v>814</v>
      </c>
      <c r="C806" s="39" t="s">
        <v>262</v>
      </c>
      <c r="D806" s="33">
        <f>IF(C806="ID",1,(IF(C806="PR",2,(IF(C806="DE",3,(IF(C806="RS",4,(IF(C806="RC",5,0)))))))))</f>
        <v>2</v>
      </c>
      <c r="E806" s="33" t="s">
        <v>258</v>
      </c>
      <c r="F806" s="33">
        <f>IF(E806="AM",1,(IF(E806="BE",2,(IF(E806="GV",3,(IF(E806="RA",4,(IF(E806="RM",5,(IF(E806="AC",1,(IF(E806="AT",2,(IF(E806="DS",3,(IF(E806="IP",4,(IF(E806="MA",5,(IF(E806="PT",6,(IF(E806="AE",1,(IF(E806="CM",2,(IF(E806="DP",3,(IF(E806="AN",1,(IF(E806="CO",2,(IF(E806="IM",3,(IF(E806="MI",4,(IF(E806="RP",5,(IF(E806="SC",6,0)))))))))))))))))))))))))))))))))))))))</f>
        <v>2</v>
      </c>
      <c r="G806" s="170">
        <v>2</v>
      </c>
      <c r="H806" s="38" t="s">
        <v>511</v>
      </c>
      <c r="I806" s="105" t="s">
        <v>821</v>
      </c>
      <c r="J806" s="150" t="s">
        <v>138</v>
      </c>
      <c r="K806" s="79" t="s">
        <v>1283</v>
      </c>
      <c r="L806" s="66">
        <f>IF(O806="","",N806*O806*M806)</f>
        <v>75</v>
      </c>
      <c r="M806" s="8">
        <v>1</v>
      </c>
      <c r="N806" s="3">
        <v>1</v>
      </c>
      <c r="O806" s="15">
        <f>IF(SUM(Q806:AF806)&lt;1,"",SUM(Q806:AF806)/COUNTIF(Q806:AF806,"&gt;0"))</f>
        <v>75</v>
      </c>
      <c r="P806" s="16"/>
      <c r="Q806" s="13"/>
      <c r="T806" s="4">
        <v>75</v>
      </c>
      <c r="U806" s="2"/>
      <c r="V806" s="2"/>
      <c r="W806" s="2"/>
      <c r="X806" s="2"/>
      <c r="Z806" s="2"/>
      <c r="AA806" s="2"/>
      <c r="AF806" s="14"/>
    </row>
    <row r="807" spans="1:33" s="4" customFormat="1" ht="15.75" customHeight="1" x14ac:dyDescent="0.25">
      <c r="A807" s="33" t="str">
        <f>CONCATENATE(D807,".",F807,"-",G807,".",H807,"")</f>
        <v>2.2-2.1</v>
      </c>
      <c r="B807" s="33" t="s">
        <v>814</v>
      </c>
      <c r="C807" s="39" t="s">
        <v>262</v>
      </c>
      <c r="D807" s="33">
        <f>IF(C807="ID",1,(IF(C807="PR",2,(IF(C807="DE",3,(IF(C807="RS",4,(IF(C807="RC",5,0)))))))))</f>
        <v>2</v>
      </c>
      <c r="E807" s="33" t="s">
        <v>258</v>
      </c>
      <c r="F807" s="33">
        <f>IF(E807="AM",1,(IF(E807="BE",2,(IF(E807="GV",3,(IF(E807="RA",4,(IF(E807="RM",5,(IF(E807="AC",1,(IF(E807="AT",2,(IF(E807="DS",3,(IF(E807="IP",4,(IF(E807="MA",5,(IF(E807="PT",6,(IF(E807="AE",1,(IF(E807="CM",2,(IF(E807="DP",3,(IF(E807="AN",1,(IF(E807="CO",2,(IF(E807="IM",3,(IF(E807="MI",4,(IF(E807="RP",5,(IF(E807="SC",6,0)))))))))))))))))))))))))))))))))))))))</f>
        <v>2</v>
      </c>
      <c r="G807" s="170">
        <v>2</v>
      </c>
      <c r="H807" s="33">
        <v>1</v>
      </c>
      <c r="I807" s="27" t="s">
        <v>266</v>
      </c>
      <c r="J807" s="150" t="s">
        <v>78</v>
      </c>
      <c r="K807" s="79" t="s">
        <v>1309</v>
      </c>
      <c r="L807" s="5">
        <f>IF(O807="","",N807*O807*M807)</f>
        <v>75</v>
      </c>
      <c r="M807" s="8">
        <v>1</v>
      </c>
      <c r="N807" s="1">
        <v>1</v>
      </c>
      <c r="O807" s="15">
        <f>IF(SUM(Q807:AF807)&lt;1,"",SUM(Q807:AF807)/COUNTIF(Q807:AF807,"&gt;0"))</f>
        <v>75</v>
      </c>
      <c r="P807" s="16"/>
      <c r="Q807" s="13"/>
      <c r="R807" s="3"/>
      <c r="S807" s="3"/>
      <c r="T807" s="4">
        <v>75</v>
      </c>
      <c r="U807" s="3"/>
      <c r="V807" s="3"/>
      <c r="W807" s="3"/>
      <c r="X807" s="3"/>
      <c r="Y807" s="3"/>
      <c r="Z807" s="3"/>
      <c r="AA807" s="3"/>
      <c r="AB807" s="3"/>
      <c r="AC807" s="3"/>
      <c r="AD807" s="3"/>
      <c r="AE807" s="3"/>
      <c r="AF807" s="104"/>
    </row>
    <row r="808" spans="1:33" s="4" customFormat="1" ht="15.75" customHeight="1" x14ac:dyDescent="0.25">
      <c r="A808" s="33" t="str">
        <f>CONCATENATE(D808,".",F808,"-",G808,".",H808,"")</f>
        <v>2.2-2.1</v>
      </c>
      <c r="B808" s="33" t="s">
        <v>814</v>
      </c>
      <c r="C808" s="39" t="s">
        <v>262</v>
      </c>
      <c r="D808" s="33">
        <f>IF(C808="ID",1,(IF(C808="PR",2,(IF(C808="DE",3,(IF(C808="RS",4,(IF(C808="RC",5,0)))))))))</f>
        <v>2</v>
      </c>
      <c r="E808" s="33" t="s">
        <v>258</v>
      </c>
      <c r="F808" s="33">
        <f>IF(E808="AM",1,(IF(E808="BE",2,(IF(E808="GV",3,(IF(E808="RA",4,(IF(E808="RM",5,(IF(E808="AC",1,(IF(E808="AT",2,(IF(E808="DS",3,(IF(E808="IP",4,(IF(E808="MA",5,(IF(E808="PT",6,(IF(E808="AE",1,(IF(E808="CM",2,(IF(E808="DP",3,(IF(E808="AN",1,(IF(E808="CO",2,(IF(E808="IM",3,(IF(E808="MI",4,(IF(E808="RP",5,(IF(E808="SC",6,0)))))))))))))))))))))))))))))))))))))))</f>
        <v>2</v>
      </c>
      <c r="G808" s="170">
        <v>2</v>
      </c>
      <c r="H808" s="33">
        <v>1</v>
      </c>
      <c r="I808" s="27" t="s">
        <v>266</v>
      </c>
      <c r="J808" s="150" t="s">
        <v>12</v>
      </c>
      <c r="K808" s="79" t="s">
        <v>1389</v>
      </c>
      <c r="L808" s="5">
        <f>IF(O808="","",N808*O808*M808)</f>
        <v>75</v>
      </c>
      <c r="M808" s="8">
        <v>1</v>
      </c>
      <c r="N808" s="1">
        <v>1</v>
      </c>
      <c r="O808" s="15">
        <f>IF(SUM(Q808:AF808)&lt;1,"",SUM(Q808:AF808)/COUNTIF(Q808:AF808,"&gt;0"))</f>
        <v>75</v>
      </c>
      <c r="P808" s="16"/>
      <c r="Q808" s="13"/>
      <c r="R808" s="3"/>
      <c r="S808" s="3"/>
      <c r="T808" s="4">
        <v>75</v>
      </c>
      <c r="U808" s="3"/>
      <c r="V808" s="3"/>
      <c r="W808" s="3"/>
      <c r="X808" s="3"/>
      <c r="Y808" s="3"/>
      <c r="Z808" s="3"/>
      <c r="AA808" s="3"/>
      <c r="AB808" s="3"/>
      <c r="AC808" s="3"/>
      <c r="AD808" s="3"/>
      <c r="AE808" s="3"/>
      <c r="AF808" s="104"/>
    </row>
    <row r="809" spans="1:33" s="4" customFormat="1" ht="15.75" customHeight="1" x14ac:dyDescent="0.25">
      <c r="A809" s="33" t="str">
        <f>CONCATENATE(D809,".",F809,"-",G809,".",H809,"")</f>
        <v>2.2-2.1</v>
      </c>
      <c r="B809" s="33" t="s">
        <v>814</v>
      </c>
      <c r="C809" s="41" t="s">
        <v>262</v>
      </c>
      <c r="D809" s="33">
        <f>IF(C809="ID",1,(IF(C809="PR",2,(IF(C809="DE",3,(IF(C809="RS",4,(IF(C809="RC",5,0)))))))))</f>
        <v>2</v>
      </c>
      <c r="E809" s="33" t="s">
        <v>258</v>
      </c>
      <c r="F809" s="33">
        <f>IF(E809="AM",1,(IF(E809="BE",2,(IF(E809="GV",3,(IF(E809="RA",4,(IF(E809="RM",5,(IF(E809="AC",1,(IF(E809="AT",2,(IF(E809="DS",3,(IF(E809="IP",4,(IF(E809="MA",5,(IF(E809="PT",6,(IF(E809="AE",1,(IF(E809="CM",2,(IF(E809="DP",3,(IF(E809="AN",1,(IF(E809="CO",2,(IF(E809="IM",3,(IF(E809="MI",4,(IF(E809="RP",5,(IF(E809="SC",6,0)))))))))))))))))))))))))))))))))))))))</f>
        <v>2</v>
      </c>
      <c r="G809" s="170">
        <v>2</v>
      </c>
      <c r="H809" s="38" t="s">
        <v>511</v>
      </c>
      <c r="I809" s="27" t="s">
        <v>266</v>
      </c>
      <c r="J809" s="149" t="s">
        <v>4</v>
      </c>
      <c r="K809" s="79" t="s">
        <v>1398</v>
      </c>
      <c r="L809" s="5">
        <f>IF(O809="","",N809*O809*M809)</f>
        <v>75</v>
      </c>
      <c r="M809" s="8">
        <v>1</v>
      </c>
      <c r="N809" s="1">
        <v>1</v>
      </c>
      <c r="O809" s="15">
        <f>IF(SUM(Q809:AF809)&lt;1,"",SUM(Q809:AF809)/COUNTIF(Q809:AF809,"&gt;0"))</f>
        <v>75</v>
      </c>
      <c r="P809" s="16"/>
      <c r="Q809" s="13"/>
      <c r="T809" s="4">
        <v>75</v>
      </c>
      <c r="U809" s="2"/>
      <c r="V809" s="2"/>
      <c r="W809" s="2"/>
      <c r="X809" s="2"/>
      <c r="Z809" s="2"/>
      <c r="AA809" s="2"/>
      <c r="AF809" s="14"/>
    </row>
    <row r="810" spans="1:33" s="4" customFormat="1" ht="15.75" customHeight="1" x14ac:dyDescent="0.25">
      <c r="A810" s="33" t="str">
        <f>CONCATENATE(D810,".",F810,"-",G810,".",H810,"")</f>
        <v>2.2-2.1</v>
      </c>
      <c r="B810" s="33" t="s">
        <v>814</v>
      </c>
      <c r="C810" s="41" t="s">
        <v>262</v>
      </c>
      <c r="D810" s="33">
        <f>IF(C810="ID",1,(IF(C810="PR",2,(IF(C810="DE",3,(IF(C810="RS",4,(IF(C810="RC",5,0)))))))))</f>
        <v>2</v>
      </c>
      <c r="E810" s="33" t="s">
        <v>258</v>
      </c>
      <c r="F810" s="33">
        <f>IF(E810="AM",1,(IF(E810="BE",2,(IF(E810="GV",3,(IF(E810="RA",4,(IF(E810="RM",5,(IF(E810="AC",1,(IF(E810="AT",2,(IF(E810="DS",3,(IF(E810="IP",4,(IF(E810="MA",5,(IF(E810="PT",6,(IF(E810="AE",1,(IF(E810="CM",2,(IF(E810="DP",3,(IF(E810="AN",1,(IF(E810="CO",2,(IF(E810="IM",3,(IF(E810="MI",4,(IF(E810="RP",5,(IF(E810="SC",6,0)))))))))))))))))))))))))))))))))))))))</f>
        <v>2</v>
      </c>
      <c r="G810" s="170">
        <v>2</v>
      </c>
      <c r="H810" s="38" t="s">
        <v>511</v>
      </c>
      <c r="I810" s="27" t="s">
        <v>266</v>
      </c>
      <c r="J810" s="149" t="s">
        <v>322</v>
      </c>
      <c r="K810" s="79" t="s">
        <v>1411</v>
      </c>
      <c r="L810" s="5">
        <f>IF(O810="","",N810*O810*M810)</f>
        <v>75</v>
      </c>
      <c r="M810" s="8">
        <v>1</v>
      </c>
      <c r="N810" s="1">
        <v>1</v>
      </c>
      <c r="O810" s="15">
        <f>IF(SUM(Q810:AF810)&lt;1,"",SUM(Q810:AF810)/COUNTIF(Q810:AF810,"&gt;0"))</f>
        <v>75</v>
      </c>
      <c r="P810" s="16"/>
      <c r="Q810" s="13"/>
      <c r="T810" s="4">
        <v>75</v>
      </c>
      <c r="U810" s="2"/>
      <c r="V810" s="2"/>
      <c r="W810" s="2"/>
      <c r="X810" s="2"/>
      <c r="Z810" s="2"/>
      <c r="AA810" s="2"/>
      <c r="AF810" s="14"/>
    </row>
    <row r="811" spans="1:33" s="4" customFormat="1" ht="15.75" customHeight="1" x14ac:dyDescent="0.25">
      <c r="A811" s="33" t="str">
        <f>CONCATENATE(D811,".",F811,"-",G811,".",H811,"")</f>
        <v>2.2-2.1</v>
      </c>
      <c r="B811" s="33" t="s">
        <v>814</v>
      </c>
      <c r="C811" s="41" t="s">
        <v>262</v>
      </c>
      <c r="D811" s="33">
        <f>IF(C811="ID",1,(IF(C811="PR",2,(IF(C811="DE",3,(IF(C811="RS",4,(IF(C811="RC",5,0)))))))))</f>
        <v>2</v>
      </c>
      <c r="E811" s="33" t="s">
        <v>258</v>
      </c>
      <c r="F811" s="33">
        <f>IF(E811="AM",1,(IF(E811="BE",2,(IF(E811="GV",3,(IF(E811="RA",4,(IF(E811="RM",5,(IF(E811="AC",1,(IF(E811="AT",2,(IF(E811="DS",3,(IF(E811="IP",4,(IF(E811="MA",5,(IF(E811="PT",6,(IF(E811="AE",1,(IF(E811="CM",2,(IF(E811="DP",3,(IF(E811="AN",1,(IF(E811="CO",2,(IF(E811="IM",3,(IF(E811="MI",4,(IF(E811="RP",5,(IF(E811="SC",6,0)))))))))))))))))))))))))))))))))))))))</f>
        <v>2</v>
      </c>
      <c r="G811" s="170">
        <v>2</v>
      </c>
      <c r="H811" s="38" t="s">
        <v>511</v>
      </c>
      <c r="I811" s="27" t="s">
        <v>266</v>
      </c>
      <c r="J811" s="149" t="s">
        <v>270</v>
      </c>
      <c r="K811" s="79" t="s">
        <v>1412</v>
      </c>
      <c r="L811" s="5">
        <f>IF(O811="","",N811*O811*M811)</f>
        <v>75</v>
      </c>
      <c r="M811" s="8">
        <v>1</v>
      </c>
      <c r="N811" s="1">
        <v>1</v>
      </c>
      <c r="O811" s="15">
        <f>IF(SUM(Q811:AF811)&lt;1,"",SUM(Q811:AF811)/COUNTIF(Q811:AF811,"&gt;0"))</f>
        <v>75</v>
      </c>
      <c r="P811" s="16"/>
      <c r="Q811" s="13"/>
      <c r="T811" s="4">
        <v>75</v>
      </c>
      <c r="U811" s="2"/>
      <c r="V811" s="2"/>
      <c r="W811" s="2"/>
      <c r="X811" s="2"/>
      <c r="Z811" s="2"/>
      <c r="AA811" s="2"/>
      <c r="AF811" s="14"/>
    </row>
    <row r="812" spans="1:33" ht="15.75" customHeight="1" x14ac:dyDescent="0.25">
      <c r="A812" s="33" t="str">
        <f>CONCATENATE(D812,".",F812,"-",G812,".",H812,"")</f>
        <v>2.2-2.1</v>
      </c>
      <c r="B812" s="33" t="s">
        <v>1232</v>
      </c>
      <c r="C812" s="40" t="s">
        <v>262</v>
      </c>
      <c r="D812" s="33">
        <f>IF(C812="ID",1,(IF(C812="PR",2,(IF(C812="DE",3,(IF(C812="RS",4,(IF(C812="RC",5,0)))))))))</f>
        <v>2</v>
      </c>
      <c r="E812" s="33" t="s">
        <v>258</v>
      </c>
      <c r="F812" s="33">
        <f>IF(E812="AM",1,(IF(E812="BE",2,(IF(E812="GV",3,(IF(E812="RA",4,(IF(E812="RM",5,(IF(E812="AC",1,(IF(E812="AT",2,(IF(E812="DS",3,(IF(E812="IP",4,(IF(E812="MA",5,(IF(E812="PT",6,(IF(E812="AE",1,(IF(E812="CM",2,(IF(E812="DP",3,(IF(E812="AN",1,(IF(E812="CO",2,(IF(E812="IM",3,(IF(E812="MI",4,(IF(E812="RP",5,(IF(E812="SC",6,0)))))))))))))))))))))))))))))))))))))))</f>
        <v>2</v>
      </c>
      <c r="G812" s="170">
        <v>2</v>
      </c>
      <c r="H812" s="38" t="s">
        <v>511</v>
      </c>
      <c r="I812" s="105" t="s">
        <v>821</v>
      </c>
      <c r="J812" s="150" t="s">
        <v>843</v>
      </c>
      <c r="K812" s="79" t="s">
        <v>1283</v>
      </c>
      <c r="L812" s="66">
        <f>IF(O812="","",N812*O812*M812)</f>
        <v>75</v>
      </c>
      <c r="M812" s="8">
        <v>1</v>
      </c>
      <c r="N812" s="3">
        <v>1</v>
      </c>
      <c r="O812" s="15">
        <f>IF(SUM(Q812:AF812)&lt;1,"",SUM(Q812:AF812)/COUNTIF(Q812:AF812,"&gt;0"))</f>
        <v>75</v>
      </c>
      <c r="P812" s="16"/>
      <c r="Q812" s="13"/>
      <c r="R812" s="4"/>
      <c r="S812" s="4"/>
      <c r="T812" s="4">
        <v>75</v>
      </c>
      <c r="U812" s="2"/>
      <c r="V812" s="2"/>
      <c r="W812" s="2"/>
      <c r="X812" s="2"/>
      <c r="Y812" s="4"/>
      <c r="Z812" s="2"/>
      <c r="AA812" s="2"/>
      <c r="AB812" s="4"/>
      <c r="AC812" s="4"/>
      <c r="AD812" s="4"/>
      <c r="AE812" s="4"/>
      <c r="AF812" s="14"/>
      <c r="AG812" s="3"/>
    </row>
    <row r="813" spans="1:33" s="4" customFormat="1" ht="15.75" customHeight="1" x14ac:dyDescent="0.25">
      <c r="A813" s="33" t="str">
        <f>CONCATENATE(D813,".",F813,"-",G813,".",H813,"")</f>
        <v>2.2-2.1</v>
      </c>
      <c r="B813" s="33" t="s">
        <v>814</v>
      </c>
      <c r="C813" s="39" t="s">
        <v>262</v>
      </c>
      <c r="D813" s="33">
        <f>IF(C813="ID",1,(IF(C813="PR",2,(IF(C813="DE",3,(IF(C813="RS",4,(IF(C813="RC",5,0)))))))))</f>
        <v>2</v>
      </c>
      <c r="E813" s="33" t="s">
        <v>258</v>
      </c>
      <c r="F813" s="33">
        <f>IF(E813="AM",1,(IF(E813="BE",2,(IF(E813="GV",3,(IF(E813="RA",4,(IF(E813="RM",5,(IF(E813="AC",1,(IF(E813="AT",2,(IF(E813="DS",3,(IF(E813="IP",4,(IF(E813="MA",5,(IF(E813="PT",6,(IF(E813="AE",1,(IF(E813="CM",2,(IF(E813="DP",3,(IF(E813="AN",1,(IF(E813="CO",2,(IF(E813="IM",3,(IF(E813="MI",4,(IF(E813="RP",5,(IF(E813="SC",6,0)))))))))))))))))))))))))))))))))))))))</f>
        <v>2</v>
      </c>
      <c r="G813" s="170">
        <v>2</v>
      </c>
      <c r="H813" s="38" t="s">
        <v>511</v>
      </c>
      <c r="I813" s="105" t="s">
        <v>1449</v>
      </c>
      <c r="J813" s="157" t="s">
        <v>1504</v>
      </c>
      <c r="K813" s="34" t="s">
        <v>1505</v>
      </c>
      <c r="L813" s="5">
        <f>IF(O813="","",N813*O813*M813)</f>
        <v>99</v>
      </c>
      <c r="M813" s="8">
        <v>1</v>
      </c>
      <c r="N813" s="1">
        <v>1</v>
      </c>
      <c r="O813" s="15">
        <f>IF(SUM(Q813:AF813)&lt;1,"",SUM(Q813:AF813)/COUNTIF(Q813:AF813,"&gt;0"))</f>
        <v>99</v>
      </c>
      <c r="P813" s="16"/>
      <c r="Q813" s="13"/>
      <c r="T813" s="4">
        <v>99</v>
      </c>
      <c r="U813" s="2"/>
      <c r="V813" s="2"/>
      <c r="W813" s="2"/>
      <c r="X813" s="2"/>
      <c r="Z813" s="2"/>
      <c r="AA813" s="2"/>
      <c r="AF813" s="14"/>
    </row>
    <row r="814" spans="1:33" s="4" customFormat="1" ht="15.75" customHeight="1" x14ac:dyDescent="0.25">
      <c r="A814" s="33" t="str">
        <f>CONCATENATE(D814,".",F814,"-",G814,".",H814,"")</f>
        <v>2.2-2.1</v>
      </c>
      <c r="B814" s="33" t="s">
        <v>814</v>
      </c>
      <c r="C814" s="39" t="s">
        <v>262</v>
      </c>
      <c r="D814" s="33">
        <f>IF(C814="ID",1,(IF(C814="PR",2,(IF(C814="DE",3,(IF(C814="RS",4,(IF(C814="RC",5,0)))))))))</f>
        <v>2</v>
      </c>
      <c r="E814" s="33" t="s">
        <v>258</v>
      </c>
      <c r="F814" s="33">
        <f>IF(E814="AM",1,(IF(E814="BE",2,(IF(E814="GV",3,(IF(E814="RA",4,(IF(E814="RM",5,(IF(E814="AC",1,(IF(E814="AT",2,(IF(E814="DS",3,(IF(E814="IP",4,(IF(E814="MA",5,(IF(E814="PT",6,(IF(E814="AE",1,(IF(E814="CM",2,(IF(E814="DP",3,(IF(E814="AN",1,(IF(E814="CO",2,(IF(E814="IM",3,(IF(E814="MI",4,(IF(E814="RP",5,(IF(E814="SC",6,0)))))))))))))))))))))))))))))))))))))))</f>
        <v>2</v>
      </c>
      <c r="G814" s="170">
        <v>2</v>
      </c>
      <c r="H814" s="38" t="s">
        <v>511</v>
      </c>
      <c r="I814" s="105" t="s">
        <v>1449</v>
      </c>
      <c r="J814" s="157" t="s">
        <v>1590</v>
      </c>
      <c r="K814" s="34" t="s">
        <v>1591</v>
      </c>
      <c r="L814" s="5">
        <f>IF(O814="","",N814*O814*M814)</f>
        <v>99</v>
      </c>
      <c r="M814" s="8">
        <v>1</v>
      </c>
      <c r="N814" s="1">
        <v>1</v>
      </c>
      <c r="O814" s="15">
        <f>IF(SUM(Q814:AF814)&lt;1,"",SUM(Q814:AF814)/COUNTIF(Q814:AF814,"&gt;0"))</f>
        <v>99</v>
      </c>
      <c r="P814" s="16"/>
      <c r="Q814" s="13"/>
      <c r="T814" s="4">
        <v>99</v>
      </c>
      <c r="U814" s="2"/>
      <c r="V814" s="2"/>
      <c r="W814" s="2"/>
      <c r="X814" s="2"/>
      <c r="Z814" s="2"/>
      <c r="AA814" s="2"/>
      <c r="AF814" s="14"/>
    </row>
    <row r="815" spans="1:33" s="4" customFormat="1" ht="15.75" customHeight="1" x14ac:dyDescent="0.25">
      <c r="A815" s="33" t="str">
        <f>CONCATENATE(D815,".",F815,"-",G815,".",H815,"")</f>
        <v>2.2-2.1</v>
      </c>
      <c r="B815" s="33" t="s">
        <v>814</v>
      </c>
      <c r="C815" s="39" t="s">
        <v>262</v>
      </c>
      <c r="D815" s="33">
        <f>IF(C815="ID",1,(IF(C815="PR",2,(IF(C815="DE",3,(IF(C815="RS",4,(IF(C815="RC",5,0)))))))))</f>
        <v>2</v>
      </c>
      <c r="E815" s="33" t="s">
        <v>258</v>
      </c>
      <c r="F815" s="33">
        <f>IF(E815="AM",1,(IF(E815="BE",2,(IF(E815="GV",3,(IF(E815="RA",4,(IF(E815="RM",5,(IF(E815="AC",1,(IF(E815="AT",2,(IF(E815="DS",3,(IF(E815="IP",4,(IF(E815="MA",5,(IF(E815="PT",6,(IF(E815="AE",1,(IF(E815="CM",2,(IF(E815="DP",3,(IF(E815="AN",1,(IF(E815="CO",2,(IF(E815="IM",3,(IF(E815="MI",4,(IF(E815="RP",5,(IF(E815="SC",6,0)))))))))))))))))))))))))))))))))))))))</f>
        <v>2</v>
      </c>
      <c r="G815" s="170">
        <v>2</v>
      </c>
      <c r="H815" s="38" t="s">
        <v>511</v>
      </c>
      <c r="I815" s="105" t="s">
        <v>1449</v>
      </c>
      <c r="J815" s="157" t="s">
        <v>1592</v>
      </c>
      <c r="K815" s="34" t="s">
        <v>1593</v>
      </c>
      <c r="L815" s="5">
        <f>IF(O815="","",N815*O815*M815)</f>
        <v>99</v>
      </c>
      <c r="M815" s="8">
        <v>1</v>
      </c>
      <c r="N815" s="1">
        <v>1</v>
      </c>
      <c r="O815" s="15">
        <f>IF(SUM(Q815:AF815)&lt;1,"",SUM(Q815:AF815)/COUNTIF(Q815:AF815,"&gt;0"))</f>
        <v>99</v>
      </c>
      <c r="P815" s="16"/>
      <c r="Q815" s="13"/>
      <c r="T815" s="4">
        <v>99</v>
      </c>
      <c r="U815" s="2"/>
      <c r="V815" s="2"/>
      <c r="W815" s="2"/>
      <c r="X815" s="2"/>
      <c r="Z815" s="2"/>
      <c r="AA815" s="2"/>
      <c r="AF815" s="14"/>
    </row>
    <row r="816" spans="1:33" s="4" customFormat="1" ht="15.75" customHeight="1" x14ac:dyDescent="0.25">
      <c r="A816" s="33" t="str">
        <f>CONCATENATE(D816,".",F816,"-",G816,".",H816,"")</f>
        <v>2.2-2.1</v>
      </c>
      <c r="B816" s="33" t="s">
        <v>814</v>
      </c>
      <c r="C816" s="39" t="s">
        <v>262</v>
      </c>
      <c r="D816" s="33">
        <f>IF(C816="ID",1,(IF(C816="PR",2,(IF(C816="DE",3,(IF(C816="RS",4,(IF(C816="RC",5,0)))))))))</f>
        <v>2</v>
      </c>
      <c r="E816" s="33" t="s">
        <v>258</v>
      </c>
      <c r="F816" s="33">
        <f>IF(E816="AM",1,(IF(E816="BE",2,(IF(E816="GV",3,(IF(E816="RA",4,(IF(E816="RM",5,(IF(E816="AC",1,(IF(E816="AT",2,(IF(E816="DS",3,(IF(E816="IP",4,(IF(E816="MA",5,(IF(E816="PT",6,(IF(E816="AE",1,(IF(E816="CM",2,(IF(E816="DP",3,(IF(E816="AN",1,(IF(E816="CO",2,(IF(E816="IM",3,(IF(E816="MI",4,(IF(E816="RP",5,(IF(E816="SC",6,0)))))))))))))))))))))))))))))))))))))))</f>
        <v>2</v>
      </c>
      <c r="G816" s="170">
        <v>2</v>
      </c>
      <c r="H816" s="38" t="s">
        <v>511</v>
      </c>
      <c r="I816" s="105" t="s">
        <v>1449</v>
      </c>
      <c r="J816" s="157" t="s">
        <v>1658</v>
      </c>
      <c r="K816" s="34" t="s">
        <v>1659</v>
      </c>
      <c r="L816" s="5">
        <f>IF(O816="","",N816*O816*M816)</f>
        <v>99</v>
      </c>
      <c r="M816" s="8">
        <v>1</v>
      </c>
      <c r="N816" s="1">
        <v>1</v>
      </c>
      <c r="O816" s="15">
        <f>IF(SUM(Q816:AF816)&lt;1,"",SUM(Q816:AF816)/COUNTIF(Q816:AF816,"&gt;0"))</f>
        <v>99</v>
      </c>
      <c r="P816" s="16"/>
      <c r="Q816" s="13"/>
      <c r="T816" s="4">
        <v>99</v>
      </c>
      <c r="U816" s="2"/>
      <c r="V816" s="2"/>
      <c r="W816" s="2"/>
      <c r="X816" s="2"/>
      <c r="Z816" s="2"/>
      <c r="AA816" s="2"/>
      <c r="AF816" s="14"/>
    </row>
    <row r="817" spans="1:32" s="4" customFormat="1" ht="15.75" customHeight="1" x14ac:dyDescent="0.25">
      <c r="A817" s="33" t="str">
        <f>CONCATENATE(D817,".",F817,"-",G817,".",H817,"")</f>
        <v>2.2-2.1</v>
      </c>
      <c r="B817" s="33" t="s">
        <v>814</v>
      </c>
      <c r="C817" s="39" t="s">
        <v>262</v>
      </c>
      <c r="D817" s="33">
        <f>IF(C817="ID",1,(IF(C817="PR",2,(IF(C817="DE",3,(IF(C817="RS",4,(IF(C817="RC",5,0)))))))))</f>
        <v>2</v>
      </c>
      <c r="E817" s="33" t="s">
        <v>258</v>
      </c>
      <c r="F817" s="33">
        <f>IF(E817="AM",1,(IF(E817="BE",2,(IF(E817="GV",3,(IF(E817="RA",4,(IF(E817="RM",5,(IF(E817="AC",1,(IF(E817="AT",2,(IF(E817="DS",3,(IF(E817="IP",4,(IF(E817="MA",5,(IF(E817="PT",6,(IF(E817="AE",1,(IF(E817="CM",2,(IF(E817="DP",3,(IF(E817="AN",1,(IF(E817="CO",2,(IF(E817="IM",3,(IF(E817="MI",4,(IF(E817="RP",5,(IF(E817="SC",6,0)))))))))))))))))))))))))))))))))))))))</f>
        <v>2</v>
      </c>
      <c r="G817" s="170">
        <v>2</v>
      </c>
      <c r="H817" s="38" t="s">
        <v>511</v>
      </c>
      <c r="I817" s="105" t="s">
        <v>1449</v>
      </c>
      <c r="J817" s="157" t="s">
        <v>1705</v>
      </c>
      <c r="K817" s="34" t="s">
        <v>1706</v>
      </c>
      <c r="L817" s="5">
        <f>IF(O817="","",N817*O817*M817)</f>
        <v>99</v>
      </c>
      <c r="M817" s="8">
        <v>1</v>
      </c>
      <c r="N817" s="1">
        <v>1</v>
      </c>
      <c r="O817" s="15">
        <f>IF(SUM(Q817:AF817)&lt;1,"",SUM(Q817:AF817)/COUNTIF(Q817:AF817,"&gt;0"))</f>
        <v>99</v>
      </c>
      <c r="P817" s="16"/>
      <c r="Q817" s="13"/>
      <c r="T817" s="4">
        <v>99</v>
      </c>
      <c r="U817" s="2"/>
      <c r="V817" s="2"/>
      <c r="W817" s="2"/>
      <c r="X817" s="2"/>
      <c r="Z817" s="2"/>
      <c r="AA817" s="2"/>
      <c r="AF817" s="14"/>
    </row>
    <row r="818" spans="1:32" s="4" customFormat="1" ht="15.75" customHeight="1" x14ac:dyDescent="0.25">
      <c r="A818" s="33" t="str">
        <f>CONCATENATE(D818,".",F818,"-",G818,".",H818,"")</f>
        <v>2.2-2.2</v>
      </c>
      <c r="B818" s="33" t="s">
        <v>814</v>
      </c>
      <c r="C818" s="39" t="s">
        <v>262</v>
      </c>
      <c r="D818" s="33">
        <f>IF(C818="ID",1,(IF(C818="PR",2,(IF(C818="DE",3,(IF(C818="RS",4,(IF(C818="RC",5,0)))))))))</f>
        <v>2</v>
      </c>
      <c r="E818" s="33" t="s">
        <v>258</v>
      </c>
      <c r="F818" s="33">
        <f>IF(E818="AM",1,(IF(E818="BE",2,(IF(E818="GV",3,(IF(E818="RA",4,(IF(E818="RM",5,(IF(E818="AC",1,(IF(E818="AT",2,(IF(E818="DS",3,(IF(E818="IP",4,(IF(E818="MA",5,(IF(E818="PT",6,(IF(E818="AE",1,(IF(E818="CM",2,(IF(E818="DP",3,(IF(E818="AN",1,(IF(E818="CO",2,(IF(E818="IM",3,(IF(E818="MI",4,(IF(E818="RP",5,(IF(E818="SC",6,0)))))))))))))))))))))))))))))))))))))))</f>
        <v>2</v>
      </c>
      <c r="G818" s="170">
        <v>2</v>
      </c>
      <c r="H818" s="38" t="s">
        <v>512</v>
      </c>
      <c r="I818" s="27" t="s">
        <v>266</v>
      </c>
      <c r="J818" s="149" t="s">
        <v>303</v>
      </c>
      <c r="K818" s="79" t="s">
        <v>1442</v>
      </c>
      <c r="L818" s="66">
        <f>IF(O818="","",N818*O818*M818)</f>
        <v>75</v>
      </c>
      <c r="M818" s="8">
        <v>1</v>
      </c>
      <c r="N818" s="1">
        <v>1</v>
      </c>
      <c r="O818" s="15">
        <f>IF(SUM(Q818:AF818)&lt;1,"",SUM(Q818:AF818)/COUNTIF(Q818:AF818,"&gt;0"))</f>
        <v>75</v>
      </c>
      <c r="P818" s="16"/>
      <c r="Q818" s="13"/>
      <c r="T818" s="4">
        <v>75</v>
      </c>
      <c r="U818" s="2"/>
      <c r="V818" s="2"/>
      <c r="W818" s="2"/>
      <c r="X818" s="2"/>
      <c r="Z818" s="2"/>
      <c r="AA818" s="2"/>
      <c r="AF818" s="14"/>
    </row>
    <row r="819" spans="1:32" s="4" customFormat="1" ht="15.75" customHeight="1" x14ac:dyDescent="0.25">
      <c r="A819" s="33" t="str">
        <f>CONCATENATE(D819,".",F819,"-",G819,".",H819,"")</f>
        <v>2.2-2.9</v>
      </c>
      <c r="B819" s="33"/>
      <c r="C819" s="39" t="s">
        <v>262</v>
      </c>
      <c r="D819" s="33">
        <f>IF(C819="ID",1,(IF(C819="PR",2,(IF(C819="DE",3,(IF(C819="RS",4,(IF(C819="RC",5,0)))))))))</f>
        <v>2</v>
      </c>
      <c r="E819" s="33" t="s">
        <v>258</v>
      </c>
      <c r="F819" s="33">
        <f>IF(E819="AM",1,(IF(E819="BE",2,(IF(E819="GV",3,(IF(E819="RA",4,(IF(E819="RM",5,(IF(E819="AC",1,(IF(E819="AT",2,(IF(E819="DS",3,(IF(E819="IP",4,(IF(E819="MA",5,(IF(E819="PT",6,(IF(E819="AE",1,(IF(E819="CM",2,(IF(E819="DP",3,(IF(E819="AN",1,(IF(E819="CO",2,(IF(E819="IM",3,(IF(E819="MI",4,(IF(E819="RP",5,(IF(E819="SC",6,0)))))))))))))))))))))))))))))))))))))))</f>
        <v>2</v>
      </c>
      <c r="G819" s="170">
        <v>2</v>
      </c>
      <c r="H819" s="38" t="s">
        <v>596</v>
      </c>
      <c r="I819" s="105" t="s">
        <v>1449</v>
      </c>
      <c r="J819" s="157" t="s">
        <v>2905</v>
      </c>
      <c r="K819" s="34" t="s">
        <v>2906</v>
      </c>
      <c r="L819" s="5">
        <f>IF(O819="","",N819*O819*M819)</f>
        <v>99</v>
      </c>
      <c r="M819" s="8">
        <v>1</v>
      </c>
      <c r="N819" s="1">
        <v>1</v>
      </c>
      <c r="O819" s="15">
        <f>IF(SUM(Q819:AF819)&lt;1,"",SUM(Q819:AF819)/COUNTIF(Q819:AF819,"&gt;0"))</f>
        <v>99</v>
      </c>
      <c r="P819" s="16"/>
      <c r="Q819" s="13"/>
      <c r="T819" s="4">
        <v>99</v>
      </c>
      <c r="U819" s="2"/>
      <c r="V819" s="2"/>
      <c r="W819" s="2"/>
      <c r="X819" s="2"/>
      <c r="Z819" s="2"/>
      <c r="AA819" s="2"/>
      <c r="AF819" s="14"/>
    </row>
    <row r="820" spans="1:32" s="4" customFormat="1" ht="15.75" customHeight="1" x14ac:dyDescent="0.25">
      <c r="A820" s="33" t="str">
        <f>CONCATENATE(D820,".",F820,"-",G820,".",H820,"")</f>
        <v>2.2-3.0</v>
      </c>
      <c r="B820" s="33" t="s">
        <v>814</v>
      </c>
      <c r="C820" s="40" t="s">
        <v>262</v>
      </c>
      <c r="D820" s="33">
        <f>IF(C820="ID",1,(IF(C820="PR",2,(IF(C820="DE",3,(IF(C820="RS",4,(IF(C820="RC",5,0)))))))))</f>
        <v>2</v>
      </c>
      <c r="E820" s="33" t="s">
        <v>258</v>
      </c>
      <c r="F820" s="33">
        <f>IF(E820="AM",1,(IF(E820="BE",2,(IF(E820="GV",3,(IF(E820="RA",4,(IF(E820="RM",5,(IF(E820="AC",1,(IF(E820="AT",2,(IF(E820="DS",3,(IF(E820="IP",4,(IF(E820="MA",5,(IF(E820="PT",6,(IF(E820="AE",1,(IF(E820="CM",2,(IF(E820="DP",3,(IF(E820="AN",1,(IF(E820="CO",2,(IF(E820="IM",3,(IF(E820="MI",4,(IF(E820="RP",5,(IF(E820="SC",6,0)))))))))))))))))))))))))))))))))))))))</f>
        <v>2</v>
      </c>
      <c r="G820" s="170">
        <v>3</v>
      </c>
      <c r="H820" s="38" t="s">
        <v>597</v>
      </c>
      <c r="I820" s="27" t="s">
        <v>1200</v>
      </c>
      <c r="J820" s="149" t="s">
        <v>669</v>
      </c>
      <c r="K820" s="98" t="s">
        <v>439</v>
      </c>
      <c r="L820" s="66">
        <f>IF(O820="","",N820*O820*M820)</f>
        <v>75</v>
      </c>
      <c r="M820" s="8">
        <v>1</v>
      </c>
      <c r="N820" s="1">
        <v>1</v>
      </c>
      <c r="O820" s="15">
        <f>IF(SUM(Q820:AF820)&lt;1,"",SUM(Q820:AF820)/COUNTIF(Q820:AF820,"&gt;0"))</f>
        <v>75</v>
      </c>
      <c r="P820" s="16"/>
      <c r="Q820" s="13"/>
      <c r="T820" s="4">
        <v>75</v>
      </c>
      <c r="U820" s="2"/>
      <c r="V820" s="2"/>
      <c r="W820" s="2"/>
      <c r="X820" s="2"/>
      <c r="Z820" s="2"/>
      <c r="AA820" s="2"/>
      <c r="AF820" s="14"/>
    </row>
    <row r="821" spans="1:32" s="4" customFormat="1" ht="15.75" customHeight="1" x14ac:dyDescent="0.25">
      <c r="A821" s="33" t="str">
        <f>CONCATENATE(D821,".",F821,"-",G821,".",H821,"")</f>
        <v>2.2-3.1</v>
      </c>
      <c r="B821" s="33" t="s">
        <v>814</v>
      </c>
      <c r="C821" s="39" t="s">
        <v>262</v>
      </c>
      <c r="D821" s="33">
        <f>IF(C821="ID",1,(IF(C821="PR",2,(IF(C821="DE",3,(IF(C821="RS",4,(IF(C821="RC",5,0)))))))))</f>
        <v>2</v>
      </c>
      <c r="E821" s="33" t="s">
        <v>258</v>
      </c>
      <c r="F821" s="33">
        <f>IF(E821="AM",1,(IF(E821="BE",2,(IF(E821="GV",3,(IF(E821="RA",4,(IF(E821="RM",5,(IF(E821="AC",1,(IF(E821="AT",2,(IF(E821="DS",3,(IF(E821="IP",4,(IF(E821="MA",5,(IF(E821="PT",6,(IF(E821="AE",1,(IF(E821="CM",2,(IF(E821="DP",3,(IF(E821="AN",1,(IF(E821="CO",2,(IF(E821="IM",3,(IF(E821="MI",4,(IF(E821="RP",5,(IF(E821="SC",6,0)))))))))))))))))))))))))))))))))))))))</f>
        <v>2</v>
      </c>
      <c r="G821" s="170">
        <v>3</v>
      </c>
      <c r="H821" s="38" t="s">
        <v>511</v>
      </c>
      <c r="I821" s="105" t="s">
        <v>821</v>
      </c>
      <c r="J821" s="150">
        <v>2.6</v>
      </c>
      <c r="K821" s="79" t="s">
        <v>1283</v>
      </c>
      <c r="L821" s="66">
        <f>IF(O821="","",N821*O821*M821)</f>
        <v>75</v>
      </c>
      <c r="M821" s="8">
        <v>1</v>
      </c>
      <c r="N821" s="3">
        <v>1</v>
      </c>
      <c r="O821" s="15">
        <f>IF(SUM(Q821:AF821)&lt;1,"",SUM(Q821:AF821)/COUNTIF(Q821:AF821,"&gt;0"))</f>
        <v>75</v>
      </c>
      <c r="P821" s="16"/>
      <c r="Q821" s="13"/>
      <c r="T821" s="4">
        <v>75</v>
      </c>
      <c r="U821" s="2"/>
      <c r="V821" s="2"/>
      <c r="W821" s="2"/>
      <c r="X821" s="2"/>
      <c r="Z821" s="2"/>
      <c r="AA821" s="2"/>
      <c r="AF821" s="14"/>
    </row>
    <row r="822" spans="1:32" s="4" customFormat="1" ht="15.75" customHeight="1" x14ac:dyDescent="0.25">
      <c r="A822" s="33" t="str">
        <f>CONCATENATE(D822,".",F822,"-",G822,".",H822,"")</f>
        <v>2.2-3.1</v>
      </c>
      <c r="B822" s="33" t="s">
        <v>814</v>
      </c>
      <c r="C822" s="39" t="s">
        <v>262</v>
      </c>
      <c r="D822" s="33">
        <f>IF(C822="ID",1,(IF(C822="PR",2,(IF(C822="DE",3,(IF(C822="RS",4,(IF(C822="RC",5,0)))))))))</f>
        <v>2</v>
      </c>
      <c r="E822" s="33" t="s">
        <v>258</v>
      </c>
      <c r="F822" s="33">
        <f>IF(E822="AM",1,(IF(E822="BE",2,(IF(E822="GV",3,(IF(E822="RA",4,(IF(E822="RM",5,(IF(E822="AC",1,(IF(E822="AT",2,(IF(E822="DS",3,(IF(E822="IP",4,(IF(E822="MA",5,(IF(E822="PT",6,(IF(E822="AE",1,(IF(E822="CM",2,(IF(E822="DP",3,(IF(E822="AN",1,(IF(E822="CO",2,(IF(E822="IM",3,(IF(E822="MI",4,(IF(E822="RP",5,(IF(E822="SC",6,0)))))))))))))))))))))))))))))))))))))))</f>
        <v>2</v>
      </c>
      <c r="G822" s="170">
        <v>3</v>
      </c>
      <c r="H822" s="38" t="s">
        <v>511</v>
      </c>
      <c r="I822" s="105" t="s">
        <v>821</v>
      </c>
      <c r="J822" s="150">
        <v>9.1999999999999993</v>
      </c>
      <c r="K822" s="79" t="s">
        <v>1283</v>
      </c>
      <c r="L822" s="66">
        <f>IF(O822="","",N822*O822*M822)</f>
        <v>75</v>
      </c>
      <c r="M822" s="8">
        <v>1</v>
      </c>
      <c r="N822" s="3">
        <v>1</v>
      </c>
      <c r="O822" s="15">
        <f>IF(SUM(Q822:AF822)&lt;1,"",SUM(Q822:AF822)/COUNTIF(Q822:AF822,"&gt;0"))</f>
        <v>75</v>
      </c>
      <c r="P822" s="16"/>
      <c r="Q822" s="13"/>
      <c r="T822" s="4">
        <v>75</v>
      </c>
      <c r="U822" s="2"/>
      <c r="V822" s="2"/>
      <c r="W822" s="2"/>
      <c r="X822" s="2"/>
      <c r="Z822" s="2"/>
      <c r="AA822" s="2"/>
      <c r="AF822" s="14"/>
    </row>
    <row r="823" spans="1:32" s="4" customFormat="1" ht="15.75" customHeight="1" x14ac:dyDescent="0.25">
      <c r="A823" s="33" t="str">
        <f>CONCATENATE(D823,".",F823,"-",G823,".",H823,"")</f>
        <v>2.2-3.1</v>
      </c>
      <c r="B823" s="33" t="s">
        <v>814</v>
      </c>
      <c r="C823" s="39" t="s">
        <v>262</v>
      </c>
      <c r="D823" s="33">
        <f>IF(C823="ID",1,(IF(C823="PR",2,(IF(C823="DE",3,(IF(C823="RS",4,(IF(C823="RC",5,0)))))))))</f>
        <v>2</v>
      </c>
      <c r="E823" s="33" t="s">
        <v>258</v>
      </c>
      <c r="F823" s="33">
        <f>IF(E823="AM",1,(IF(E823="BE",2,(IF(E823="GV",3,(IF(E823="RA",4,(IF(E823="RM",5,(IF(E823="AC",1,(IF(E823="AT",2,(IF(E823="DS",3,(IF(E823="IP",4,(IF(E823="MA",5,(IF(E823="PT",6,(IF(E823="AE",1,(IF(E823="CM",2,(IF(E823="DP",3,(IF(E823="AN",1,(IF(E823="CO",2,(IF(E823="IM",3,(IF(E823="MI",4,(IF(E823="RP",5,(IF(E823="SC",6,0)))))))))))))))))))))))))))))))))))))))</f>
        <v>2</v>
      </c>
      <c r="G823" s="170">
        <v>3</v>
      </c>
      <c r="H823" s="38" t="s">
        <v>511</v>
      </c>
      <c r="I823" s="105" t="s">
        <v>821</v>
      </c>
      <c r="J823" s="150">
        <v>12.8</v>
      </c>
      <c r="K823" s="79" t="s">
        <v>1283</v>
      </c>
      <c r="L823" s="66">
        <f>IF(O823="","",N823*O823*M823)</f>
        <v>75</v>
      </c>
      <c r="M823" s="8">
        <v>1</v>
      </c>
      <c r="N823" s="3">
        <v>1</v>
      </c>
      <c r="O823" s="15">
        <f>IF(SUM(Q823:AF823)&lt;1,"",SUM(Q823:AF823)/COUNTIF(Q823:AF823,"&gt;0"))</f>
        <v>75</v>
      </c>
      <c r="P823" s="16"/>
      <c r="Q823" s="13"/>
      <c r="T823" s="4">
        <v>75</v>
      </c>
      <c r="U823" s="2"/>
      <c r="V823" s="2"/>
      <c r="W823" s="2"/>
      <c r="X823" s="2"/>
      <c r="Z823" s="2"/>
      <c r="AA823" s="2"/>
      <c r="AF823" s="14"/>
    </row>
    <row r="824" spans="1:32" s="4" customFormat="1" ht="15.75" customHeight="1" x14ac:dyDescent="0.25">
      <c r="A824" s="33" t="str">
        <f>CONCATENATE(D824,".",F824,"-",G824,".",H824,"")</f>
        <v>2.2-3.1</v>
      </c>
      <c r="B824" s="33" t="s">
        <v>814</v>
      </c>
      <c r="C824" s="40" t="s">
        <v>262</v>
      </c>
      <c r="D824" s="33">
        <f>IF(C824="ID",1,(IF(C824="PR",2,(IF(C824="DE",3,(IF(C824="RS",4,(IF(C824="RC",5,0)))))))))</f>
        <v>2</v>
      </c>
      <c r="E824" s="33" t="s">
        <v>258</v>
      </c>
      <c r="F824" s="33">
        <f>IF(E824="AM",1,(IF(E824="BE",2,(IF(E824="GV",3,(IF(E824="RA",4,(IF(E824="RM",5,(IF(E824="AC",1,(IF(E824="AT",2,(IF(E824="DS",3,(IF(E824="IP",4,(IF(E824="MA",5,(IF(E824="PT",6,(IF(E824="AE",1,(IF(E824="CM",2,(IF(E824="DP",3,(IF(E824="AN",1,(IF(E824="CO",2,(IF(E824="IM",3,(IF(E824="MI",4,(IF(E824="RP",5,(IF(E824="SC",6,0)))))))))))))))))))))))))))))))))))))))</f>
        <v>2</v>
      </c>
      <c r="G824" s="171">
        <v>3</v>
      </c>
      <c r="H824" s="38" t="s">
        <v>511</v>
      </c>
      <c r="I824" s="27" t="s">
        <v>936</v>
      </c>
      <c r="J824" s="163" t="s">
        <v>875</v>
      </c>
      <c r="K824" s="4" t="s">
        <v>976</v>
      </c>
      <c r="L824" s="66">
        <f>IF(O824="","",N824*O824*M824)</f>
        <v>75</v>
      </c>
      <c r="M824" s="8">
        <v>1</v>
      </c>
      <c r="N824" s="3">
        <v>1</v>
      </c>
      <c r="O824" s="15">
        <f>IF(SUM(Q824:AF824)&lt;1,"",SUM(Q824:AF824)/COUNTIF(Q824:AF824,"&gt;0"))</f>
        <v>75</v>
      </c>
      <c r="P824" s="16"/>
      <c r="Q824" s="13"/>
      <c r="T824" s="4">
        <v>75</v>
      </c>
      <c r="U824" s="2"/>
      <c r="V824" s="2"/>
      <c r="W824" s="2"/>
      <c r="X824" s="2"/>
      <c r="Z824" s="2"/>
      <c r="AA824" s="2"/>
      <c r="AF824" s="14"/>
    </row>
    <row r="825" spans="1:32" s="4" customFormat="1" ht="15.75" customHeight="1" x14ac:dyDescent="0.25">
      <c r="A825" s="33" t="str">
        <f>CONCATENATE(D825,".",F825,"-",G825,".",H825,"")</f>
        <v>2.2-3.1</v>
      </c>
      <c r="B825" s="33"/>
      <c r="C825" s="39" t="s">
        <v>262</v>
      </c>
      <c r="D825" s="33">
        <f>IF(C825="ID",1,(IF(C825="PR",2,(IF(C825="DE",3,(IF(C825="RS",4,(IF(C825="RC",5,0)))))))))</f>
        <v>2</v>
      </c>
      <c r="E825" s="33" t="s">
        <v>258</v>
      </c>
      <c r="F825" s="33">
        <f>IF(E825="AM",1,(IF(E825="BE",2,(IF(E825="GV",3,(IF(E825="RA",4,(IF(E825="RM",5,(IF(E825="AC",1,(IF(E825="AT",2,(IF(E825="DS",3,(IF(E825="IP",4,(IF(E825="MA",5,(IF(E825="PT",6,(IF(E825="AE",1,(IF(E825="CM",2,(IF(E825="DP",3,(IF(E825="AN",1,(IF(E825="CO",2,(IF(E825="IM",3,(IF(E825="MI",4,(IF(E825="RP",5,(IF(E825="SC",6,0)))))))))))))))))))))))))))))))))))))))</f>
        <v>2</v>
      </c>
      <c r="G825" s="170">
        <v>3</v>
      </c>
      <c r="H825" s="38" t="s">
        <v>511</v>
      </c>
      <c r="I825" s="105" t="s">
        <v>1449</v>
      </c>
      <c r="J825" s="157" t="s">
        <v>2729</v>
      </c>
      <c r="K825" s="34" t="s">
        <v>2730</v>
      </c>
      <c r="L825" s="5">
        <f>IF(O825="","",N825*O825*M825)</f>
        <v>99</v>
      </c>
      <c r="M825" s="8">
        <v>1</v>
      </c>
      <c r="N825" s="1">
        <v>1</v>
      </c>
      <c r="O825" s="15">
        <f>IF(SUM(Q825:AF825)&lt;1,"",SUM(Q825:AF825)/COUNTIF(Q825:AF825,"&gt;0"))</f>
        <v>99</v>
      </c>
      <c r="P825" s="16"/>
      <c r="Q825" s="13"/>
      <c r="T825" s="4">
        <v>99</v>
      </c>
      <c r="U825" s="2"/>
      <c r="V825" s="2"/>
      <c r="W825" s="2"/>
      <c r="X825" s="2"/>
      <c r="Z825" s="2"/>
      <c r="AA825" s="2"/>
      <c r="AF825" s="14"/>
    </row>
    <row r="826" spans="1:32" s="4" customFormat="1" ht="15.75" customHeight="1" x14ac:dyDescent="0.25">
      <c r="A826" s="33" t="str">
        <f>CONCATENATE(D826,".",F826,"-",G826,".",H826,"")</f>
        <v>2.2-3.1</v>
      </c>
      <c r="B826" s="33"/>
      <c r="C826" s="39" t="s">
        <v>262</v>
      </c>
      <c r="D826" s="33">
        <f>IF(C826="ID",1,(IF(C826="PR",2,(IF(C826="DE",3,(IF(C826="RS",4,(IF(C826="RC",5,0)))))))))</f>
        <v>2</v>
      </c>
      <c r="E826" s="33" t="s">
        <v>258</v>
      </c>
      <c r="F826" s="33">
        <f>IF(E826="AM",1,(IF(E826="BE",2,(IF(E826="GV",3,(IF(E826="RA",4,(IF(E826="RM",5,(IF(E826="AC",1,(IF(E826="AT",2,(IF(E826="DS",3,(IF(E826="IP",4,(IF(E826="MA",5,(IF(E826="PT",6,(IF(E826="AE",1,(IF(E826="CM",2,(IF(E826="DP",3,(IF(E826="AN",1,(IF(E826="CO",2,(IF(E826="IM",3,(IF(E826="MI",4,(IF(E826="RP",5,(IF(E826="SC",6,0)))))))))))))))))))))))))))))))))))))))</f>
        <v>2</v>
      </c>
      <c r="G826" s="170">
        <v>3</v>
      </c>
      <c r="H826" s="38" t="s">
        <v>511</v>
      </c>
      <c r="I826" s="105" t="s">
        <v>1449</v>
      </c>
      <c r="J826" s="157" t="s">
        <v>2733</v>
      </c>
      <c r="K826" s="34" t="s">
        <v>2734</v>
      </c>
      <c r="L826" s="5">
        <f>IF(O826="","",N826*O826*M826)</f>
        <v>99</v>
      </c>
      <c r="M826" s="8">
        <v>1</v>
      </c>
      <c r="N826" s="1">
        <v>1</v>
      </c>
      <c r="O826" s="15">
        <f>IF(SUM(Q826:AF826)&lt;1,"",SUM(Q826:AF826)/COUNTIF(Q826:AF826,"&gt;0"))</f>
        <v>99</v>
      </c>
      <c r="P826" s="16"/>
      <c r="Q826" s="13"/>
      <c r="T826" s="4">
        <v>99</v>
      </c>
      <c r="U826" s="2"/>
      <c r="V826" s="2"/>
      <c r="W826" s="2"/>
      <c r="X826" s="2"/>
      <c r="Z826" s="2"/>
      <c r="AA826" s="2"/>
      <c r="AF826" s="14"/>
    </row>
    <row r="827" spans="1:32" s="4" customFormat="1" ht="15.75" customHeight="1" x14ac:dyDescent="0.25">
      <c r="A827" s="33" t="str">
        <f>CONCATENATE(D827,".",F827,"-",G827,".",H827,"")</f>
        <v>2.2-4.0</v>
      </c>
      <c r="B827" s="33" t="s">
        <v>814</v>
      </c>
      <c r="C827" s="40" t="s">
        <v>262</v>
      </c>
      <c r="D827" s="33">
        <f>IF(C827="ID",1,(IF(C827="PR",2,(IF(C827="DE",3,(IF(C827="RS",4,(IF(C827="RC",5,0)))))))))</f>
        <v>2</v>
      </c>
      <c r="E827" s="33" t="s">
        <v>258</v>
      </c>
      <c r="F827" s="33">
        <f>IF(E827="AM",1,(IF(E827="BE",2,(IF(E827="GV",3,(IF(E827="RA",4,(IF(E827="RM",5,(IF(E827="AC",1,(IF(E827="AT",2,(IF(E827="DS",3,(IF(E827="IP",4,(IF(E827="MA",5,(IF(E827="PT",6,(IF(E827="AE",1,(IF(E827="CM",2,(IF(E827="DP",3,(IF(E827="AN",1,(IF(E827="CO",2,(IF(E827="IM",3,(IF(E827="MI",4,(IF(E827="RP",5,(IF(E827="SC",6,0)))))))))))))))))))))))))))))))))))))))</f>
        <v>2</v>
      </c>
      <c r="G827" s="170">
        <v>4</v>
      </c>
      <c r="H827" s="38" t="s">
        <v>597</v>
      </c>
      <c r="I827" s="27" t="s">
        <v>1200</v>
      </c>
      <c r="J827" s="149" t="s">
        <v>670</v>
      </c>
      <c r="K827" s="98" t="s">
        <v>378</v>
      </c>
      <c r="L827" s="66">
        <f>IF(O827="","",N827*O827*M827)</f>
        <v>75</v>
      </c>
      <c r="M827" s="8">
        <v>1</v>
      </c>
      <c r="N827" s="1">
        <v>1</v>
      </c>
      <c r="O827" s="15">
        <f>IF(SUM(Q827:AF827)&lt;1,"",SUM(Q827:AF827)/COUNTIF(Q827:AF827,"&gt;0"))</f>
        <v>75</v>
      </c>
      <c r="P827" s="16"/>
      <c r="Q827" s="13"/>
      <c r="T827" s="4">
        <v>75</v>
      </c>
      <c r="U827" s="2"/>
      <c r="V827" s="2"/>
      <c r="W827" s="2"/>
      <c r="X827" s="2"/>
      <c r="Z827" s="2"/>
      <c r="AA827" s="2"/>
      <c r="AF827" s="14"/>
    </row>
    <row r="828" spans="1:32" s="4" customFormat="1" ht="15.75" customHeight="1" x14ac:dyDescent="0.25">
      <c r="A828" s="33" t="str">
        <f>CONCATENATE(D828,".",F828,"-",G828,".",H828,"")</f>
        <v>2.2-4.1</v>
      </c>
      <c r="B828" s="33" t="s">
        <v>814</v>
      </c>
      <c r="C828" s="39" t="s">
        <v>262</v>
      </c>
      <c r="D828" s="33">
        <f>IF(C828="ID",1,(IF(C828="PR",2,(IF(C828="DE",3,(IF(C828="RS",4,(IF(C828="RC",5,0)))))))))</f>
        <v>2</v>
      </c>
      <c r="E828" s="33" t="s">
        <v>258</v>
      </c>
      <c r="F828" s="33">
        <f>IF(E828="AM",1,(IF(E828="BE",2,(IF(E828="GV",3,(IF(E828="RA",4,(IF(E828="RM",5,(IF(E828="AC",1,(IF(E828="AT",2,(IF(E828="DS",3,(IF(E828="IP",4,(IF(E828="MA",5,(IF(E828="PT",6,(IF(E828="AE",1,(IF(E828="CM",2,(IF(E828="DP",3,(IF(E828="AN",1,(IF(E828="CO",2,(IF(E828="IM",3,(IF(E828="MI",4,(IF(E828="RP",5,(IF(E828="SC",6,0)))))))))))))))))))))))))))))))))))))))</f>
        <v>2</v>
      </c>
      <c r="G828" s="170">
        <v>4</v>
      </c>
      <c r="H828" s="38" t="s">
        <v>511</v>
      </c>
      <c r="I828" s="105" t="s">
        <v>821</v>
      </c>
      <c r="J828" s="150" t="s">
        <v>825</v>
      </c>
      <c r="K828" s="79" t="s">
        <v>1283</v>
      </c>
      <c r="L828" s="66">
        <f>IF(O828="","",N828*O828*M828)</f>
        <v>75</v>
      </c>
      <c r="M828" s="8">
        <v>1</v>
      </c>
      <c r="N828" s="3">
        <v>1</v>
      </c>
      <c r="O828" s="15">
        <f>IF(SUM(Q828:AF828)&lt;1,"",SUM(Q828:AF828)/COUNTIF(Q828:AF828,"&gt;0"))</f>
        <v>75</v>
      </c>
      <c r="P828" s="16"/>
      <c r="Q828" s="13"/>
      <c r="T828" s="4">
        <v>75</v>
      </c>
      <c r="U828" s="2"/>
      <c r="V828" s="2"/>
      <c r="W828" s="2"/>
      <c r="X828" s="2"/>
      <c r="Z828" s="2"/>
      <c r="AA828" s="2"/>
      <c r="AF828" s="14"/>
    </row>
    <row r="829" spans="1:32" s="4" customFormat="1" ht="15.75" customHeight="1" x14ac:dyDescent="0.25">
      <c r="A829" s="33" t="str">
        <f>CONCATENATE(D829,".",F829,"-",G829,".",H829,"")</f>
        <v>2.2-4.1</v>
      </c>
      <c r="B829" s="33" t="s">
        <v>814</v>
      </c>
      <c r="C829" s="40" t="s">
        <v>262</v>
      </c>
      <c r="D829" s="33">
        <f>IF(C829="ID",1,(IF(C829="PR",2,(IF(C829="DE",3,(IF(C829="RS",4,(IF(C829="RC",5,0)))))))))</f>
        <v>2</v>
      </c>
      <c r="E829" s="33" t="s">
        <v>258</v>
      </c>
      <c r="F829" s="33">
        <f>IF(E829="AM",1,(IF(E829="BE",2,(IF(E829="GV",3,(IF(E829="RA",4,(IF(E829="RM",5,(IF(E829="AC",1,(IF(E829="AT",2,(IF(E829="DS",3,(IF(E829="IP",4,(IF(E829="MA",5,(IF(E829="PT",6,(IF(E829="AE",1,(IF(E829="CM",2,(IF(E829="DP",3,(IF(E829="AN",1,(IF(E829="CO",2,(IF(E829="IM",3,(IF(E829="MI",4,(IF(E829="RP",5,(IF(E829="SC",6,0)))))))))))))))))))))))))))))))))))))))</f>
        <v>2</v>
      </c>
      <c r="G829" s="171">
        <v>4</v>
      </c>
      <c r="H829" s="38" t="s">
        <v>511</v>
      </c>
      <c r="I829" s="27" t="s">
        <v>936</v>
      </c>
      <c r="J829" s="163" t="s">
        <v>875</v>
      </c>
      <c r="K829" s="4" t="s">
        <v>976</v>
      </c>
      <c r="L829" s="66">
        <f>IF(O829="","",N829*O829*M829)</f>
        <v>75</v>
      </c>
      <c r="M829" s="8">
        <v>1</v>
      </c>
      <c r="N829" s="3">
        <v>1</v>
      </c>
      <c r="O829" s="15">
        <f>IF(SUM(Q829:AF829)&lt;1,"",SUM(Q829:AF829)/COUNTIF(Q829:AF829,"&gt;0"))</f>
        <v>75</v>
      </c>
      <c r="P829" s="16"/>
      <c r="Q829" s="13"/>
      <c r="T829" s="4">
        <v>75</v>
      </c>
      <c r="U829" s="2"/>
      <c r="V829" s="2"/>
      <c r="W829" s="2"/>
      <c r="X829" s="2"/>
      <c r="Z829" s="2"/>
      <c r="AA829" s="2"/>
      <c r="AF829" s="14"/>
    </row>
    <row r="830" spans="1:32" s="4" customFormat="1" ht="15.75" customHeight="1" x14ac:dyDescent="0.25">
      <c r="A830" s="33" t="str">
        <f>CONCATENATE(D830,".",F830,"-",G830,".",H830,"")</f>
        <v>2.2-4.1</v>
      </c>
      <c r="B830" s="33" t="s">
        <v>814</v>
      </c>
      <c r="C830" s="39" t="s">
        <v>262</v>
      </c>
      <c r="D830" s="33">
        <f>IF(C830="ID",1,(IF(C830="PR",2,(IF(C830="DE",3,(IF(C830="RS",4,(IF(C830="RC",5,0)))))))))</f>
        <v>2</v>
      </c>
      <c r="E830" s="33" t="s">
        <v>258</v>
      </c>
      <c r="F830" s="33">
        <f>IF(E830="AM",1,(IF(E830="BE",2,(IF(E830="GV",3,(IF(E830="RA",4,(IF(E830="RM",5,(IF(E830="AC",1,(IF(E830="AT",2,(IF(E830="DS",3,(IF(E830="IP",4,(IF(E830="MA",5,(IF(E830="PT",6,(IF(E830="AE",1,(IF(E830="CM",2,(IF(E830="DP",3,(IF(E830="AN",1,(IF(E830="CO",2,(IF(E830="IM",3,(IF(E830="MI",4,(IF(E830="RP",5,(IF(E830="SC",6,0)))))))))))))))))))))))))))))))))))))))</f>
        <v>2</v>
      </c>
      <c r="G830" s="170">
        <v>4</v>
      </c>
      <c r="H830" s="33">
        <v>1</v>
      </c>
      <c r="I830" s="27" t="s">
        <v>266</v>
      </c>
      <c r="J830" s="150" t="s">
        <v>5</v>
      </c>
      <c r="K830" s="79" t="s">
        <v>1393</v>
      </c>
      <c r="L830" s="5">
        <f>IF(O830="","",N830*O830*M830)</f>
        <v>75</v>
      </c>
      <c r="M830" s="8">
        <v>1</v>
      </c>
      <c r="N830" s="1">
        <v>1</v>
      </c>
      <c r="O830" s="15">
        <f>IF(SUM(Q830:AF830)&lt;1,"",SUM(Q830:AF830)/COUNTIF(Q830:AF830,"&gt;0"))</f>
        <v>75</v>
      </c>
      <c r="P830" s="16"/>
      <c r="Q830" s="13"/>
      <c r="R830" s="3"/>
      <c r="S830" s="3"/>
      <c r="T830" s="4">
        <v>75</v>
      </c>
      <c r="U830" s="3"/>
      <c r="V830" s="3"/>
      <c r="W830" s="3"/>
      <c r="X830" s="3"/>
      <c r="Y830" s="3"/>
      <c r="Z830" s="3"/>
      <c r="AA830" s="3"/>
      <c r="AB830" s="3"/>
      <c r="AC830" s="3"/>
      <c r="AD830" s="3"/>
      <c r="AE830" s="3"/>
      <c r="AF830" s="104"/>
    </row>
    <row r="831" spans="1:32" s="4" customFormat="1" ht="15.75" customHeight="1" x14ac:dyDescent="0.25">
      <c r="A831" s="33" t="str">
        <f>CONCATENATE(D831,".",F831,"-",G831,".",H831,"")</f>
        <v>2.2-4.1</v>
      </c>
      <c r="B831" s="33" t="s">
        <v>814</v>
      </c>
      <c r="C831" s="41" t="s">
        <v>262</v>
      </c>
      <c r="D831" s="33">
        <f>IF(C831="ID",1,(IF(C831="PR",2,(IF(C831="DE",3,(IF(C831="RS",4,(IF(C831="RC",5,0)))))))))</f>
        <v>2</v>
      </c>
      <c r="E831" s="33" t="s">
        <v>258</v>
      </c>
      <c r="F831" s="33">
        <f>IF(E831="AM",1,(IF(E831="BE",2,(IF(E831="GV",3,(IF(E831="RA",4,(IF(E831="RM",5,(IF(E831="AC",1,(IF(E831="AT",2,(IF(E831="DS",3,(IF(E831="IP",4,(IF(E831="MA",5,(IF(E831="PT",6,(IF(E831="AE",1,(IF(E831="CM",2,(IF(E831="DP",3,(IF(E831="AN",1,(IF(E831="CO",2,(IF(E831="IM",3,(IF(E831="MI",4,(IF(E831="RP",5,(IF(E831="SC",6,0)))))))))))))))))))))))))))))))))))))))</f>
        <v>2</v>
      </c>
      <c r="G831" s="170">
        <v>4</v>
      </c>
      <c r="H831" s="38" t="s">
        <v>511</v>
      </c>
      <c r="I831" s="27" t="s">
        <v>266</v>
      </c>
      <c r="J831" s="149" t="s">
        <v>4</v>
      </c>
      <c r="K831" s="79" t="s">
        <v>1398</v>
      </c>
      <c r="L831" s="5">
        <f>IF(O831="","",N831*O831*M831)</f>
        <v>75</v>
      </c>
      <c r="M831" s="8">
        <v>1</v>
      </c>
      <c r="N831" s="1">
        <v>1</v>
      </c>
      <c r="O831" s="15">
        <f>IF(SUM(Q831:AF831)&lt;1,"",SUM(Q831:AF831)/COUNTIF(Q831:AF831,"&gt;0"))</f>
        <v>75</v>
      </c>
      <c r="P831" s="16"/>
      <c r="Q831" s="13"/>
      <c r="T831" s="4">
        <v>75</v>
      </c>
      <c r="U831" s="2"/>
      <c r="V831" s="2"/>
      <c r="W831" s="2"/>
      <c r="X831" s="2"/>
      <c r="Z831" s="2"/>
      <c r="AA831" s="2"/>
      <c r="AF831" s="14"/>
    </row>
    <row r="832" spans="1:32" s="4" customFormat="1" ht="15.75" customHeight="1" x14ac:dyDescent="0.25">
      <c r="A832" s="33" t="str">
        <f>CONCATENATE(D832,".",F832,"-",G832,".",H832,"")</f>
        <v>2.2-4.1</v>
      </c>
      <c r="B832" s="33" t="s">
        <v>814</v>
      </c>
      <c r="C832" s="41" t="s">
        <v>262</v>
      </c>
      <c r="D832" s="33">
        <f>IF(C832="ID",1,(IF(C832="PR",2,(IF(C832="DE",3,(IF(C832="RS",4,(IF(C832="RC",5,0)))))))))</f>
        <v>2</v>
      </c>
      <c r="E832" s="33" t="s">
        <v>258</v>
      </c>
      <c r="F832" s="33">
        <f>IF(E832="AM",1,(IF(E832="BE",2,(IF(E832="GV",3,(IF(E832="RA",4,(IF(E832="RM",5,(IF(E832="AC",1,(IF(E832="AT",2,(IF(E832="DS",3,(IF(E832="IP",4,(IF(E832="MA",5,(IF(E832="PT",6,(IF(E832="AE",1,(IF(E832="CM",2,(IF(E832="DP",3,(IF(E832="AN",1,(IF(E832="CO",2,(IF(E832="IM",3,(IF(E832="MI",4,(IF(E832="RP",5,(IF(E832="SC",6,0)))))))))))))))))))))))))))))))))))))))</f>
        <v>2</v>
      </c>
      <c r="G832" s="170">
        <v>4</v>
      </c>
      <c r="H832" s="38" t="s">
        <v>511</v>
      </c>
      <c r="I832" s="27" t="s">
        <v>266</v>
      </c>
      <c r="J832" s="149" t="s">
        <v>270</v>
      </c>
      <c r="K832" s="79" t="s">
        <v>1412</v>
      </c>
      <c r="L832" s="5">
        <f>IF(O832="","",N832*O832*M832)</f>
        <v>75</v>
      </c>
      <c r="M832" s="8">
        <v>1</v>
      </c>
      <c r="N832" s="1">
        <v>1</v>
      </c>
      <c r="O832" s="15">
        <f>IF(SUM(Q832:AF832)&lt;1,"",SUM(Q832:AF832)/COUNTIF(Q832:AF832,"&gt;0"))</f>
        <v>75</v>
      </c>
      <c r="P832" s="16"/>
      <c r="Q832" s="13"/>
      <c r="T832" s="4">
        <v>75</v>
      </c>
      <c r="U832" s="2"/>
      <c r="V832" s="2"/>
      <c r="W832" s="2"/>
      <c r="X832" s="2"/>
      <c r="Z832" s="2"/>
      <c r="AA832" s="2"/>
      <c r="AF832" s="14"/>
    </row>
    <row r="833" spans="1:33" s="4" customFormat="1" ht="15.75" customHeight="1" x14ac:dyDescent="0.25">
      <c r="A833" s="33" t="str">
        <f>CONCATENATE(D833,".",F833,"-",G833,".",H833,"")</f>
        <v>2.2-4.1</v>
      </c>
      <c r="B833" s="33"/>
      <c r="C833" s="39" t="s">
        <v>262</v>
      </c>
      <c r="D833" s="33">
        <f>IF(C833="ID",1,(IF(C833="PR",2,(IF(C833="DE",3,(IF(C833="RS",4,(IF(C833="RC",5,0)))))))))</f>
        <v>2</v>
      </c>
      <c r="E833" s="33" t="s">
        <v>258</v>
      </c>
      <c r="F833" s="33">
        <f>IF(E833="AM",1,(IF(E833="BE",2,(IF(E833="GV",3,(IF(E833="RA",4,(IF(E833="RM",5,(IF(E833="AC",1,(IF(E833="AT",2,(IF(E833="DS",3,(IF(E833="IP",4,(IF(E833="MA",5,(IF(E833="PT",6,(IF(E833="AE",1,(IF(E833="CM",2,(IF(E833="DP",3,(IF(E833="AN",1,(IF(E833="CO",2,(IF(E833="IM",3,(IF(E833="MI",4,(IF(E833="RP",5,(IF(E833="SC",6,0)))))))))))))))))))))))))))))))))))))))</f>
        <v>2</v>
      </c>
      <c r="G833" s="170">
        <v>4</v>
      </c>
      <c r="H833" s="38" t="s">
        <v>511</v>
      </c>
      <c r="I833" s="105" t="s">
        <v>1449</v>
      </c>
      <c r="J833" s="157" t="s">
        <v>1851</v>
      </c>
      <c r="K833" s="34" t="s">
        <v>1852</v>
      </c>
      <c r="L833" s="5">
        <f>IF(O833="","",N833*O833*M833)</f>
        <v>99</v>
      </c>
      <c r="M833" s="8">
        <v>1</v>
      </c>
      <c r="N833" s="1">
        <v>1</v>
      </c>
      <c r="O833" s="15">
        <f>IF(SUM(Q833:AF833)&lt;1,"",SUM(Q833:AF833)/COUNTIF(Q833:AF833,"&gt;0"))</f>
        <v>99</v>
      </c>
      <c r="P833" s="16"/>
      <c r="Q833" s="13"/>
      <c r="T833" s="4">
        <v>99</v>
      </c>
      <c r="U833" s="2"/>
      <c r="V833" s="2"/>
      <c r="W833" s="2"/>
      <c r="X833" s="2"/>
      <c r="Z833" s="2"/>
      <c r="AA833" s="2"/>
      <c r="AF833" s="14"/>
    </row>
    <row r="834" spans="1:33" s="4" customFormat="1" ht="15.75" customHeight="1" x14ac:dyDescent="0.25">
      <c r="A834" s="33" t="str">
        <f>CONCATENATE(D834,".",F834,"-",G834,".",H834,"")</f>
        <v>2.2-5.0</v>
      </c>
      <c r="B834" s="33" t="s">
        <v>814</v>
      </c>
      <c r="C834" s="40" t="s">
        <v>262</v>
      </c>
      <c r="D834" s="33">
        <f>IF(C834="ID",1,(IF(C834="PR",2,(IF(C834="DE",3,(IF(C834="RS",4,(IF(C834="RC",5,0)))))))))</f>
        <v>2</v>
      </c>
      <c r="E834" s="33" t="s">
        <v>258</v>
      </c>
      <c r="F834" s="33">
        <f>IF(E834="AM",1,(IF(E834="BE",2,(IF(E834="GV",3,(IF(E834="RA",4,(IF(E834="RM",5,(IF(E834="AC",1,(IF(E834="AT",2,(IF(E834="DS",3,(IF(E834="IP",4,(IF(E834="MA",5,(IF(E834="PT",6,(IF(E834="AE",1,(IF(E834="CM",2,(IF(E834="DP",3,(IF(E834="AN",1,(IF(E834="CO",2,(IF(E834="IM",3,(IF(E834="MI",4,(IF(E834="RP",5,(IF(E834="SC",6,0)))))))))))))))))))))))))))))))))))))))</f>
        <v>2</v>
      </c>
      <c r="G834" s="170">
        <v>5</v>
      </c>
      <c r="H834" s="38" t="s">
        <v>597</v>
      </c>
      <c r="I834" s="27" t="s">
        <v>1200</v>
      </c>
      <c r="J834" s="149" t="s">
        <v>671</v>
      </c>
      <c r="K834" s="98" t="s">
        <v>379</v>
      </c>
      <c r="L834" s="66">
        <f>IF(O834="","",N834*O834*M834)</f>
        <v>75</v>
      </c>
      <c r="M834" s="8">
        <v>1</v>
      </c>
      <c r="N834" s="1">
        <v>1</v>
      </c>
      <c r="O834" s="15">
        <f>IF(SUM(Q834:AF834)&lt;1,"",SUM(Q834:AF834)/COUNTIF(Q834:AF834,"&gt;0"))</f>
        <v>75</v>
      </c>
      <c r="P834" s="16"/>
      <c r="Q834" s="13"/>
      <c r="T834" s="4">
        <v>75</v>
      </c>
      <c r="U834" s="2"/>
      <c r="V834" s="2"/>
      <c r="W834" s="2"/>
      <c r="X834" s="2"/>
      <c r="Z834" s="2"/>
      <c r="AA834" s="2"/>
      <c r="AF834" s="14"/>
    </row>
    <row r="835" spans="1:33" s="4" customFormat="1" ht="15.75" customHeight="1" x14ac:dyDescent="0.25">
      <c r="A835" s="33" t="str">
        <f>CONCATENATE(D835,".",F835,"-",G835,".",H835,"")</f>
        <v>2.2-5.1</v>
      </c>
      <c r="B835" s="33" t="s">
        <v>814</v>
      </c>
      <c r="C835" s="39" t="s">
        <v>262</v>
      </c>
      <c r="D835" s="33">
        <f>IF(C835="ID",1,(IF(C835="PR",2,(IF(C835="DE",3,(IF(C835="RS",4,(IF(C835="RC",5,0)))))))))</f>
        <v>2</v>
      </c>
      <c r="E835" s="33" t="s">
        <v>258</v>
      </c>
      <c r="F835" s="33">
        <f>IF(E835="AM",1,(IF(E835="BE",2,(IF(E835="GV",3,(IF(E835="RA",4,(IF(E835="RM",5,(IF(E835="AC",1,(IF(E835="AT",2,(IF(E835="DS",3,(IF(E835="IP",4,(IF(E835="MA",5,(IF(E835="PT",6,(IF(E835="AE",1,(IF(E835="CM",2,(IF(E835="DP",3,(IF(E835="AN",1,(IF(E835="CO",2,(IF(E835="IM",3,(IF(E835="MI",4,(IF(E835="RP",5,(IF(E835="SC",6,0)))))))))))))))))))))))))))))))))))))))</f>
        <v>2</v>
      </c>
      <c r="G835" s="170">
        <v>5</v>
      </c>
      <c r="H835" s="38" t="s">
        <v>511</v>
      </c>
      <c r="I835" s="105" t="s">
        <v>821</v>
      </c>
      <c r="J835" s="150">
        <v>7.3</v>
      </c>
      <c r="K835" s="79" t="s">
        <v>1283</v>
      </c>
      <c r="L835" s="66">
        <f>IF(O835="","",N835*O835*M835)</f>
        <v>75</v>
      </c>
      <c r="M835" s="8">
        <v>1</v>
      </c>
      <c r="N835" s="3">
        <v>1</v>
      </c>
      <c r="O835" s="15">
        <f>IF(SUM(Q835:AF835)&lt;1,"",SUM(Q835:AF835)/COUNTIF(Q835:AF835,"&gt;0"))</f>
        <v>75</v>
      </c>
      <c r="P835" s="16"/>
      <c r="Q835" s="13"/>
      <c r="T835" s="4">
        <v>75</v>
      </c>
      <c r="U835" s="2"/>
      <c r="V835" s="2"/>
      <c r="W835" s="2"/>
      <c r="X835" s="2"/>
      <c r="Z835" s="2"/>
      <c r="AA835" s="2"/>
      <c r="AF835" s="14"/>
    </row>
    <row r="836" spans="1:33" s="4" customFormat="1" ht="15.75" customHeight="1" x14ac:dyDescent="0.25">
      <c r="A836" s="33" t="str">
        <f>CONCATENATE(D836,".",F836,"-",G836,".",H836,"")</f>
        <v>2.2-5.1</v>
      </c>
      <c r="B836" s="33" t="s">
        <v>814</v>
      </c>
      <c r="C836" s="39" t="s">
        <v>262</v>
      </c>
      <c r="D836" s="33">
        <f>IF(C836="ID",1,(IF(C836="PR",2,(IF(C836="DE",3,(IF(C836="RS",4,(IF(C836="RC",5,0)))))))))</f>
        <v>2</v>
      </c>
      <c r="E836" s="33" t="s">
        <v>258</v>
      </c>
      <c r="F836" s="33">
        <f>IF(E836="AM",1,(IF(E836="BE",2,(IF(E836="GV",3,(IF(E836="RA",4,(IF(E836="RM",5,(IF(E836="AC",1,(IF(E836="AT",2,(IF(E836="DS",3,(IF(E836="IP",4,(IF(E836="MA",5,(IF(E836="PT",6,(IF(E836="AE",1,(IF(E836="CM",2,(IF(E836="DP",3,(IF(E836="AN",1,(IF(E836="CO",2,(IF(E836="IM",3,(IF(E836="MI",4,(IF(E836="RP",5,(IF(E836="SC",6,0)))))))))))))))))))))))))))))))))))))))</f>
        <v>2</v>
      </c>
      <c r="G836" s="170">
        <v>5</v>
      </c>
      <c r="H836" s="38" t="s">
        <v>511</v>
      </c>
      <c r="I836" s="105" t="s">
        <v>821</v>
      </c>
      <c r="J836" s="150">
        <v>12.5</v>
      </c>
      <c r="K836" s="79" t="s">
        <v>1283</v>
      </c>
      <c r="L836" s="66">
        <f>IF(O836="","",N836*O836*M836)</f>
        <v>75</v>
      </c>
      <c r="M836" s="8">
        <v>1</v>
      </c>
      <c r="N836" s="3">
        <v>1</v>
      </c>
      <c r="O836" s="15">
        <f>IF(SUM(Q836:AF836)&lt;1,"",SUM(Q836:AF836)/COUNTIF(Q836:AF836,"&gt;0"))</f>
        <v>75</v>
      </c>
      <c r="P836" s="16"/>
      <c r="Q836" s="13"/>
      <c r="T836" s="4">
        <v>75</v>
      </c>
      <c r="U836" s="2"/>
      <c r="V836" s="2"/>
      <c r="W836" s="2"/>
      <c r="X836" s="2"/>
      <c r="Z836" s="2"/>
      <c r="AA836" s="2"/>
      <c r="AF836" s="14"/>
    </row>
    <row r="837" spans="1:33" s="4" customFormat="1" ht="15.75" customHeight="1" x14ac:dyDescent="0.25">
      <c r="A837" s="33" t="str">
        <f>CONCATENATE(D837,".",F837,"-",G837,".",H837,"")</f>
        <v>2.2-5.1</v>
      </c>
      <c r="B837" s="33" t="s">
        <v>814</v>
      </c>
      <c r="C837" s="40" t="s">
        <v>262</v>
      </c>
      <c r="D837" s="33">
        <f>IF(C837="ID",1,(IF(C837="PR",2,(IF(C837="DE",3,(IF(C837="RS",4,(IF(C837="RC",5,0)))))))))</f>
        <v>2</v>
      </c>
      <c r="E837" s="33" t="s">
        <v>258</v>
      </c>
      <c r="F837" s="33">
        <f>IF(E837="AM",1,(IF(E837="BE",2,(IF(E837="GV",3,(IF(E837="RA",4,(IF(E837="RM",5,(IF(E837="AC",1,(IF(E837="AT",2,(IF(E837="DS",3,(IF(E837="IP",4,(IF(E837="MA",5,(IF(E837="PT",6,(IF(E837="AE",1,(IF(E837="CM",2,(IF(E837="DP",3,(IF(E837="AN",1,(IF(E837="CO",2,(IF(E837="IM",3,(IF(E837="MI",4,(IF(E837="RP",5,(IF(E837="SC",6,0)))))))))))))))))))))))))))))))))))))))</f>
        <v>2</v>
      </c>
      <c r="G837" s="171">
        <v>5</v>
      </c>
      <c r="H837" s="38" t="s">
        <v>511</v>
      </c>
      <c r="I837" s="27" t="s">
        <v>936</v>
      </c>
      <c r="J837" s="163" t="s">
        <v>875</v>
      </c>
      <c r="K837" s="4" t="s">
        <v>976</v>
      </c>
      <c r="L837" s="66">
        <f>IF(O837="","",N837*O837*M837)</f>
        <v>75</v>
      </c>
      <c r="M837" s="8">
        <v>1</v>
      </c>
      <c r="N837" s="3">
        <v>1</v>
      </c>
      <c r="O837" s="15">
        <f>IF(SUM(Q837:AF837)&lt;1,"",SUM(Q837:AF837)/COUNTIF(Q837:AF837,"&gt;0"))</f>
        <v>75</v>
      </c>
      <c r="P837" s="16"/>
      <c r="Q837" s="13"/>
      <c r="T837" s="4">
        <v>75</v>
      </c>
      <c r="U837" s="2"/>
      <c r="V837" s="2"/>
      <c r="W837" s="2"/>
      <c r="X837" s="2"/>
      <c r="Z837" s="2"/>
      <c r="AA837" s="2"/>
      <c r="AF837" s="14"/>
    </row>
    <row r="838" spans="1:33" s="4" customFormat="1" ht="15.75" customHeight="1" x14ac:dyDescent="0.25">
      <c r="A838" s="33" t="str">
        <f>CONCATENATE(D838,".",F838,"-",G838,".",H838,"")</f>
        <v>2.2-5.1</v>
      </c>
      <c r="B838" s="33" t="s">
        <v>814</v>
      </c>
      <c r="C838" s="40" t="s">
        <v>262</v>
      </c>
      <c r="D838" s="33">
        <f>IF(C838="ID",1,(IF(C838="PR",2,(IF(C838="DE",3,(IF(C838="RS",4,(IF(C838="RC",5,0)))))))))</f>
        <v>2</v>
      </c>
      <c r="E838" s="33" t="s">
        <v>258</v>
      </c>
      <c r="F838" s="33">
        <f>IF(E838="AM",1,(IF(E838="BE",2,(IF(E838="GV",3,(IF(E838="RA",4,(IF(E838="RM",5,(IF(E838="AC",1,(IF(E838="AT",2,(IF(E838="DS",3,(IF(E838="IP",4,(IF(E838="MA",5,(IF(E838="PT",6,(IF(E838="AE",1,(IF(E838="CM",2,(IF(E838="DP",3,(IF(E838="AN",1,(IF(E838="CO",2,(IF(E838="IM",3,(IF(E838="MI",4,(IF(E838="RP",5,(IF(E838="SC",6,0)))))))))))))))))))))))))))))))))))))))</f>
        <v>2</v>
      </c>
      <c r="G838" s="171">
        <v>5</v>
      </c>
      <c r="H838" s="38" t="s">
        <v>511</v>
      </c>
      <c r="I838" s="27" t="s">
        <v>936</v>
      </c>
      <c r="J838" s="163" t="s">
        <v>914</v>
      </c>
      <c r="K838" s="4" t="s">
        <v>977</v>
      </c>
      <c r="L838" s="66">
        <f>IF(O838="","",N838*O838*M838)</f>
        <v>75</v>
      </c>
      <c r="M838" s="8">
        <v>1</v>
      </c>
      <c r="N838" s="3">
        <v>1</v>
      </c>
      <c r="O838" s="15">
        <f>IF(SUM(Q838:AF838)&lt;1,"",SUM(Q838:AF838)/COUNTIF(Q838:AF838,"&gt;0"))</f>
        <v>75</v>
      </c>
      <c r="P838" s="16"/>
      <c r="Q838" s="13"/>
      <c r="T838" s="4">
        <v>75</v>
      </c>
      <c r="U838" s="2"/>
      <c r="V838" s="2"/>
      <c r="W838" s="2"/>
      <c r="X838" s="2"/>
      <c r="Z838" s="2"/>
      <c r="AA838" s="2"/>
      <c r="AF838" s="14"/>
    </row>
    <row r="839" spans="1:33" s="4" customFormat="1" ht="15.75" customHeight="1" x14ac:dyDescent="0.25">
      <c r="A839" s="33" t="str">
        <f>CONCATENATE(D839,".",F839,"-",G839,".",H839,"")</f>
        <v>2.2-5.1</v>
      </c>
      <c r="B839" s="33" t="s">
        <v>814</v>
      </c>
      <c r="C839" s="40" t="s">
        <v>262</v>
      </c>
      <c r="D839" s="33">
        <f>IF(C839="ID",1,(IF(C839="PR",2,(IF(C839="DE",3,(IF(C839="RS",4,(IF(C839="RC",5,0)))))))))</f>
        <v>2</v>
      </c>
      <c r="E839" s="33" t="s">
        <v>258</v>
      </c>
      <c r="F839" s="33">
        <f>IF(E839="AM",1,(IF(E839="BE",2,(IF(E839="GV",3,(IF(E839="RA",4,(IF(E839="RM",5,(IF(E839="AC",1,(IF(E839="AT",2,(IF(E839="DS",3,(IF(E839="IP",4,(IF(E839="MA",5,(IF(E839="PT",6,(IF(E839="AE",1,(IF(E839="CM",2,(IF(E839="DP",3,(IF(E839="AN",1,(IF(E839="CO",2,(IF(E839="IM",3,(IF(E839="MI",4,(IF(E839="RP",5,(IF(E839="SC",6,0)))))))))))))))))))))))))))))))))))))))</f>
        <v>2</v>
      </c>
      <c r="G839" s="171">
        <v>5</v>
      </c>
      <c r="H839" s="38" t="s">
        <v>511</v>
      </c>
      <c r="I839" s="27" t="s">
        <v>936</v>
      </c>
      <c r="J839" s="163" t="s">
        <v>916</v>
      </c>
      <c r="K839" s="4" t="s">
        <v>944</v>
      </c>
      <c r="L839" s="66">
        <f>IF(O839="","",N839*O839*M839)</f>
        <v>75</v>
      </c>
      <c r="M839" s="8">
        <v>1</v>
      </c>
      <c r="N839" s="3">
        <v>1</v>
      </c>
      <c r="O839" s="15">
        <f>IF(SUM(Q839:AF839)&lt;1,"",SUM(Q839:AF839)/COUNTIF(Q839:AF839,"&gt;0"))</f>
        <v>75</v>
      </c>
      <c r="P839" s="16"/>
      <c r="Q839" s="13"/>
      <c r="T839" s="4">
        <v>75</v>
      </c>
      <c r="U839" s="2"/>
      <c r="V839" s="2"/>
      <c r="W839" s="2"/>
      <c r="X839" s="2"/>
      <c r="Z839" s="2"/>
      <c r="AA839" s="2"/>
      <c r="AF839" s="14"/>
    </row>
    <row r="840" spans="1:33" s="4" customFormat="1" ht="15.75" customHeight="1" x14ac:dyDescent="0.25">
      <c r="A840" s="33" t="str">
        <f>CONCATENATE(D840,".",F840,"-",G840,".",H840,"")</f>
        <v>2.2-5.1</v>
      </c>
      <c r="B840" s="33" t="s">
        <v>814</v>
      </c>
      <c r="C840" s="39" t="s">
        <v>262</v>
      </c>
      <c r="D840" s="33">
        <f>IF(C840="ID",1,(IF(C840="PR",2,(IF(C840="DE",3,(IF(C840="RS",4,(IF(C840="RC",5,0)))))))))</f>
        <v>2</v>
      </c>
      <c r="E840" s="33" t="s">
        <v>258</v>
      </c>
      <c r="F840" s="33">
        <f>IF(E840="AM",1,(IF(E840="BE",2,(IF(E840="GV",3,(IF(E840="RA",4,(IF(E840="RM",5,(IF(E840="AC",1,(IF(E840="AT",2,(IF(E840="DS",3,(IF(E840="IP",4,(IF(E840="MA",5,(IF(E840="PT",6,(IF(E840="AE",1,(IF(E840="CM",2,(IF(E840="DP",3,(IF(E840="AN",1,(IF(E840="CO",2,(IF(E840="IM",3,(IF(E840="MI",4,(IF(E840="RP",5,(IF(E840="SC",6,0)))))))))))))))))))))))))))))))))))))))</f>
        <v>2</v>
      </c>
      <c r="G840" s="170">
        <v>5</v>
      </c>
      <c r="H840" s="38" t="s">
        <v>511</v>
      </c>
      <c r="I840" s="105" t="s">
        <v>821</v>
      </c>
      <c r="J840" s="150" t="s">
        <v>187</v>
      </c>
      <c r="K840" s="79" t="s">
        <v>1283</v>
      </c>
      <c r="L840" s="66">
        <f>IF(O840="","",N840*O840*M840)</f>
        <v>75</v>
      </c>
      <c r="M840" s="8">
        <v>1</v>
      </c>
      <c r="N840" s="3">
        <v>1</v>
      </c>
      <c r="O840" s="15">
        <f>IF(SUM(Q840:AF840)&lt;1,"",SUM(Q840:AF840)/COUNTIF(Q840:AF840,"&gt;0"))</f>
        <v>75</v>
      </c>
      <c r="P840" s="16"/>
      <c r="Q840" s="13"/>
      <c r="T840" s="4">
        <v>75</v>
      </c>
      <c r="U840" s="2"/>
      <c r="V840" s="2"/>
      <c r="W840" s="2"/>
      <c r="X840" s="2"/>
      <c r="Z840" s="2"/>
      <c r="AA840" s="2"/>
      <c r="AF840" s="14"/>
    </row>
    <row r="841" spans="1:33" ht="15.75" customHeight="1" x14ac:dyDescent="0.25">
      <c r="A841" s="33" t="str">
        <f>CONCATENATE(D841,".",F841,"-",G841,".",H841,"")</f>
        <v>2.2-5.1</v>
      </c>
      <c r="B841" s="33" t="s">
        <v>814</v>
      </c>
      <c r="C841" s="39" t="s">
        <v>262</v>
      </c>
      <c r="D841" s="33">
        <f>IF(C841="ID",1,(IF(C841="PR",2,(IF(C841="DE",3,(IF(C841="RS",4,(IF(C841="RC",5,0)))))))))</f>
        <v>2</v>
      </c>
      <c r="E841" s="33" t="s">
        <v>258</v>
      </c>
      <c r="F841" s="33">
        <f>IF(E841="AM",1,(IF(E841="BE",2,(IF(E841="GV",3,(IF(E841="RA",4,(IF(E841="RM",5,(IF(E841="AC",1,(IF(E841="AT",2,(IF(E841="DS",3,(IF(E841="IP",4,(IF(E841="MA",5,(IF(E841="PT",6,(IF(E841="AE",1,(IF(E841="CM",2,(IF(E841="DP",3,(IF(E841="AN",1,(IF(E841="CO",2,(IF(E841="IM",3,(IF(E841="MI",4,(IF(E841="RP",5,(IF(E841="SC",6,0)))))))))))))))))))))))))))))))))))))))</f>
        <v>2</v>
      </c>
      <c r="G841" s="170">
        <v>5</v>
      </c>
      <c r="H841" s="38" t="s">
        <v>511</v>
      </c>
      <c r="I841" s="27" t="s">
        <v>266</v>
      </c>
      <c r="J841" s="149" t="s">
        <v>454</v>
      </c>
      <c r="K841" s="79" t="s">
        <v>1295</v>
      </c>
      <c r="L841" s="66">
        <f>IF(O841="","",N841*O841*M841)</f>
        <v>75</v>
      </c>
      <c r="M841" s="8">
        <v>1</v>
      </c>
      <c r="N841" s="1">
        <v>1</v>
      </c>
      <c r="O841" s="15">
        <f>IF(SUM(Q841:AF841)&lt;1,"",SUM(Q841:AF841)/COUNTIF(Q841:AF841,"&gt;0"))</f>
        <v>75</v>
      </c>
      <c r="P841" s="16"/>
      <c r="Q841" s="13"/>
      <c r="R841" s="4"/>
      <c r="S841" s="4"/>
      <c r="T841" s="4">
        <v>75</v>
      </c>
      <c r="U841" s="2"/>
      <c r="V841" s="2"/>
      <c r="W841" s="2"/>
      <c r="X841" s="2"/>
      <c r="Y841" s="4"/>
      <c r="Z841" s="2"/>
      <c r="AA841" s="2"/>
      <c r="AB841" s="4"/>
      <c r="AC841" s="4"/>
      <c r="AD841" s="4"/>
      <c r="AE841" s="4"/>
      <c r="AF841" s="14"/>
      <c r="AG841" s="3"/>
    </row>
    <row r="842" spans="1:33" ht="15.75" customHeight="1" x14ac:dyDescent="0.25">
      <c r="A842" s="33" t="str">
        <f>CONCATENATE(D842,".",F842,"-",G842,".",H842,"")</f>
        <v>2.2-5.1</v>
      </c>
      <c r="B842" s="33" t="s">
        <v>814</v>
      </c>
      <c r="C842" s="39" t="s">
        <v>262</v>
      </c>
      <c r="D842" s="33">
        <f>IF(C842="ID",1,(IF(C842="PR",2,(IF(C842="DE",3,(IF(C842="RS",4,(IF(C842="RC",5,0)))))))))</f>
        <v>2</v>
      </c>
      <c r="E842" s="33" t="s">
        <v>258</v>
      </c>
      <c r="F842" s="33">
        <f>IF(E842="AM",1,(IF(E842="BE",2,(IF(E842="GV",3,(IF(E842="RA",4,(IF(E842="RM",5,(IF(E842="AC",1,(IF(E842="AT",2,(IF(E842="DS",3,(IF(E842="IP",4,(IF(E842="MA",5,(IF(E842="PT",6,(IF(E842="AE",1,(IF(E842="CM",2,(IF(E842="DP",3,(IF(E842="AN",1,(IF(E842="CO",2,(IF(E842="IM",3,(IF(E842="MI",4,(IF(E842="RP",5,(IF(E842="SC",6,0)))))))))))))))))))))))))))))))))))))))</f>
        <v>2</v>
      </c>
      <c r="G842" s="171">
        <v>5</v>
      </c>
      <c r="H842" s="33">
        <v>1</v>
      </c>
      <c r="I842" s="27" t="s">
        <v>266</v>
      </c>
      <c r="J842" s="150" t="s">
        <v>12</v>
      </c>
      <c r="K842" s="79" t="s">
        <v>1389</v>
      </c>
      <c r="L842" s="5">
        <f>IF(O842="","",N842*O842*M842)</f>
        <v>75</v>
      </c>
      <c r="M842" s="8">
        <v>1</v>
      </c>
      <c r="N842" s="1">
        <v>1</v>
      </c>
      <c r="O842" s="15">
        <f>IF(SUM(Q842:AF842)&lt;1,"",SUM(Q842:AF842)/COUNTIF(Q842:AF842,"&gt;0"))</f>
        <v>75</v>
      </c>
      <c r="P842" s="16"/>
      <c r="Q842" s="13"/>
      <c r="T842" s="4">
        <v>75</v>
      </c>
      <c r="AF842" s="104"/>
      <c r="AG842" s="3"/>
    </row>
    <row r="843" spans="1:33" ht="15.75" customHeight="1" x14ac:dyDescent="0.25">
      <c r="A843" s="33" t="str">
        <f>CONCATENATE(D843,".",F843,"-",G843,".",H843,"")</f>
        <v>2.2-5.1</v>
      </c>
      <c r="B843" s="33" t="s">
        <v>814</v>
      </c>
      <c r="C843" s="39" t="s">
        <v>262</v>
      </c>
      <c r="D843" s="33">
        <f>IF(C843="ID",1,(IF(C843="PR",2,(IF(C843="DE",3,(IF(C843="RS",4,(IF(C843="RC",5,0)))))))))</f>
        <v>2</v>
      </c>
      <c r="E843" s="33" t="s">
        <v>258</v>
      </c>
      <c r="F843" s="33">
        <f>IF(E843="AM",1,(IF(E843="BE",2,(IF(E843="GV",3,(IF(E843="RA",4,(IF(E843="RM",5,(IF(E843="AC",1,(IF(E843="AT",2,(IF(E843="DS",3,(IF(E843="IP",4,(IF(E843="MA",5,(IF(E843="PT",6,(IF(E843="AE",1,(IF(E843="CM",2,(IF(E843="DP",3,(IF(E843="AN",1,(IF(E843="CO",2,(IF(E843="IM",3,(IF(E843="MI",4,(IF(E843="RP",5,(IF(E843="SC",6,0)))))))))))))))))))))))))))))))))))))))</f>
        <v>2</v>
      </c>
      <c r="G843" s="170">
        <v>5</v>
      </c>
      <c r="H843" s="33">
        <v>1</v>
      </c>
      <c r="I843" s="27" t="s">
        <v>266</v>
      </c>
      <c r="J843" s="150" t="s">
        <v>4</v>
      </c>
      <c r="K843" s="79" t="s">
        <v>1398</v>
      </c>
      <c r="L843" s="5">
        <f>IF(O843="","",N843*O843*M843)</f>
        <v>75</v>
      </c>
      <c r="M843" s="8">
        <v>1</v>
      </c>
      <c r="N843" s="1">
        <v>1</v>
      </c>
      <c r="O843" s="15">
        <f>IF(SUM(Q843:AF843)&lt;1,"",SUM(Q843:AF843)/COUNTIF(Q843:AF843,"&gt;0"))</f>
        <v>75</v>
      </c>
      <c r="P843" s="16"/>
      <c r="Q843" s="13"/>
      <c r="T843" s="4">
        <v>75</v>
      </c>
      <c r="AF843" s="104"/>
      <c r="AG843" s="3"/>
    </row>
    <row r="844" spans="1:33" ht="15.75" customHeight="1" x14ac:dyDescent="0.25">
      <c r="A844" s="33" t="str">
        <f>CONCATENATE(D844,".",F844,"-",G844,".",H844,"")</f>
        <v>2.2-5.1</v>
      </c>
      <c r="B844" s="33" t="s">
        <v>814</v>
      </c>
      <c r="C844" s="39" t="s">
        <v>262</v>
      </c>
      <c r="D844" s="33">
        <f>IF(C844="ID",1,(IF(C844="PR",2,(IF(C844="DE",3,(IF(C844="RS",4,(IF(C844="RC",5,0)))))))))</f>
        <v>2</v>
      </c>
      <c r="E844" s="33" t="s">
        <v>258</v>
      </c>
      <c r="F844" s="33">
        <f>IF(E844="AM",1,(IF(E844="BE",2,(IF(E844="GV",3,(IF(E844="RA",4,(IF(E844="RM",5,(IF(E844="AC",1,(IF(E844="AT",2,(IF(E844="DS",3,(IF(E844="IP",4,(IF(E844="MA",5,(IF(E844="PT",6,(IF(E844="AE",1,(IF(E844="CM",2,(IF(E844="DP",3,(IF(E844="AN",1,(IF(E844="CO",2,(IF(E844="IM",3,(IF(E844="MI",4,(IF(E844="RP",5,(IF(E844="SC",6,0)))))))))))))))))))))))))))))))))))))))</f>
        <v>2</v>
      </c>
      <c r="G844" s="170">
        <v>5</v>
      </c>
      <c r="H844" s="38" t="s">
        <v>511</v>
      </c>
      <c r="I844" s="27" t="s">
        <v>266</v>
      </c>
      <c r="J844" s="149" t="s">
        <v>498</v>
      </c>
      <c r="K844" s="79" t="s">
        <v>1410</v>
      </c>
      <c r="L844" s="66">
        <f>IF(O844="","",N844*O844*M844)</f>
        <v>75</v>
      </c>
      <c r="M844" s="8">
        <v>1</v>
      </c>
      <c r="N844" s="1">
        <v>1</v>
      </c>
      <c r="O844" s="15">
        <f>IF(SUM(Q844:AF844)&lt;1,"",SUM(Q844:AF844)/COUNTIF(Q844:AF844,"&gt;0"))</f>
        <v>75</v>
      </c>
      <c r="P844" s="16"/>
      <c r="Q844" s="13"/>
      <c r="R844" s="4"/>
      <c r="S844" s="4"/>
      <c r="T844" s="4">
        <v>75</v>
      </c>
      <c r="U844" s="2"/>
      <c r="V844" s="2"/>
      <c r="W844" s="2"/>
      <c r="X844" s="2"/>
      <c r="Y844" s="4"/>
      <c r="Z844" s="2"/>
      <c r="AA844" s="2"/>
      <c r="AB844" s="4"/>
      <c r="AC844" s="4"/>
      <c r="AD844" s="4"/>
      <c r="AE844" s="4"/>
      <c r="AF844" s="14"/>
      <c r="AG844" s="3"/>
    </row>
    <row r="845" spans="1:33" ht="15.75" customHeight="1" x14ac:dyDescent="0.25">
      <c r="A845" s="33" t="str">
        <f>CONCATENATE(D845,".",F845,"-",G845,".",H845,"")</f>
        <v>2.2-5.1</v>
      </c>
      <c r="B845" s="33" t="s">
        <v>814</v>
      </c>
      <c r="C845" s="41" t="s">
        <v>262</v>
      </c>
      <c r="D845" s="33">
        <f>IF(C845="ID",1,(IF(C845="PR",2,(IF(C845="DE",3,(IF(C845="RS",4,(IF(C845="RC",5,0)))))))))</f>
        <v>2</v>
      </c>
      <c r="E845" s="33" t="s">
        <v>258</v>
      </c>
      <c r="F845" s="33">
        <f>IF(E845="AM",1,(IF(E845="BE",2,(IF(E845="GV",3,(IF(E845="RA",4,(IF(E845="RM",5,(IF(E845="AC",1,(IF(E845="AT",2,(IF(E845="DS",3,(IF(E845="IP",4,(IF(E845="MA",5,(IF(E845="PT",6,(IF(E845="AE",1,(IF(E845="CM",2,(IF(E845="DP",3,(IF(E845="AN",1,(IF(E845="CO",2,(IF(E845="IM",3,(IF(E845="MI",4,(IF(E845="RP",5,(IF(E845="SC",6,0)))))))))))))))))))))))))))))))))))))))</f>
        <v>2</v>
      </c>
      <c r="G845" s="170">
        <v>5</v>
      </c>
      <c r="H845" s="38" t="s">
        <v>511</v>
      </c>
      <c r="I845" s="27" t="s">
        <v>266</v>
      </c>
      <c r="J845" s="149" t="s">
        <v>270</v>
      </c>
      <c r="K845" s="79" t="s">
        <v>1412</v>
      </c>
      <c r="L845" s="5">
        <f>IF(O845="","",N845*O845*M845)</f>
        <v>75</v>
      </c>
      <c r="M845" s="8">
        <v>1</v>
      </c>
      <c r="N845" s="1">
        <v>1</v>
      </c>
      <c r="O845" s="15">
        <f>IF(SUM(Q845:AF845)&lt;1,"",SUM(Q845:AF845)/COUNTIF(Q845:AF845,"&gt;0"))</f>
        <v>75</v>
      </c>
      <c r="P845" s="16"/>
      <c r="Q845" s="13"/>
      <c r="R845" s="4"/>
      <c r="S845" s="4"/>
      <c r="T845" s="4">
        <v>75</v>
      </c>
      <c r="U845" s="2"/>
      <c r="V845" s="2"/>
      <c r="W845" s="2"/>
      <c r="X845" s="2"/>
      <c r="Y845" s="4"/>
      <c r="Z845" s="2"/>
      <c r="AA845" s="2"/>
      <c r="AB845" s="4"/>
      <c r="AC845" s="4"/>
      <c r="AD845" s="4"/>
      <c r="AE845" s="4"/>
      <c r="AF845" s="14"/>
      <c r="AG845" s="3"/>
    </row>
    <row r="846" spans="1:33" s="4" customFormat="1" ht="15.75" customHeight="1" x14ac:dyDescent="0.25">
      <c r="A846" s="33" t="str">
        <f>CONCATENATE(D846,".",F846,"-",G846,".",H846,"")</f>
        <v>2.2-5.1</v>
      </c>
      <c r="B846" s="33" t="s">
        <v>1232</v>
      </c>
      <c r="C846" s="40" t="s">
        <v>262</v>
      </c>
      <c r="D846" s="33">
        <f>IF(C846="ID",1,(IF(C846="PR",2,(IF(C846="DE",3,(IF(C846="RS",4,(IF(C846="RC",5,0)))))))))</f>
        <v>2</v>
      </c>
      <c r="E846" s="33" t="s">
        <v>258</v>
      </c>
      <c r="F846" s="33">
        <f>IF(E846="AM",1,(IF(E846="BE",2,(IF(E846="GV",3,(IF(E846="RA",4,(IF(E846="RM",5,(IF(E846="AC",1,(IF(E846="AT",2,(IF(E846="DS",3,(IF(E846="IP",4,(IF(E846="MA",5,(IF(E846="PT",6,(IF(E846="AE",1,(IF(E846="CM",2,(IF(E846="DP",3,(IF(E846="AN",1,(IF(E846="CO",2,(IF(E846="IM",3,(IF(E846="MI",4,(IF(E846="RP",5,(IF(E846="SC",6,0)))))))))))))))))))))))))))))))))))))))</f>
        <v>2</v>
      </c>
      <c r="G846" s="170">
        <v>5</v>
      </c>
      <c r="H846" s="38" t="s">
        <v>511</v>
      </c>
      <c r="I846" s="105" t="s">
        <v>821</v>
      </c>
      <c r="J846" s="150" t="s">
        <v>848</v>
      </c>
      <c r="K846" s="79" t="s">
        <v>1283</v>
      </c>
      <c r="L846" s="66">
        <f>IF(O846="","",N846*O846*M846)</f>
        <v>75</v>
      </c>
      <c r="M846" s="8">
        <v>1</v>
      </c>
      <c r="N846" s="3">
        <v>1</v>
      </c>
      <c r="O846" s="15">
        <f>IF(SUM(Q846:AF846)&lt;1,"",SUM(Q846:AF846)/COUNTIF(Q846:AF846,"&gt;0"))</f>
        <v>75</v>
      </c>
      <c r="P846" s="16"/>
      <c r="Q846" s="13"/>
      <c r="T846" s="4">
        <v>75</v>
      </c>
      <c r="U846" s="2"/>
      <c r="V846" s="2"/>
      <c r="W846" s="2"/>
      <c r="X846" s="2"/>
      <c r="Z846" s="2"/>
      <c r="AA846" s="2"/>
      <c r="AF846" s="14"/>
    </row>
    <row r="847" spans="1:33" s="4" customFormat="1" ht="15.75" customHeight="1" x14ac:dyDescent="0.25">
      <c r="A847" s="33" t="str">
        <f>CONCATENATE(D847,".",F847,"-",G847,".",H847,"")</f>
        <v>2.2-5.1</v>
      </c>
      <c r="B847" s="33" t="s">
        <v>814</v>
      </c>
      <c r="C847" s="39" t="s">
        <v>262</v>
      </c>
      <c r="D847" s="33">
        <f>IF(C847="ID",1,(IF(C847="PR",2,(IF(C847="DE",3,(IF(C847="RS",4,(IF(C847="RC",5,0)))))))))</f>
        <v>2</v>
      </c>
      <c r="E847" s="33" t="s">
        <v>258</v>
      </c>
      <c r="F847" s="33">
        <f>IF(E847="AM",1,(IF(E847="BE",2,(IF(E847="GV",3,(IF(E847="RA",4,(IF(E847="RM",5,(IF(E847="AC",1,(IF(E847="AT",2,(IF(E847="DS",3,(IF(E847="IP",4,(IF(E847="MA",5,(IF(E847="PT",6,(IF(E847="AE",1,(IF(E847="CM",2,(IF(E847="DP",3,(IF(E847="AN",1,(IF(E847="CO",2,(IF(E847="IM",3,(IF(E847="MI",4,(IF(E847="RP",5,(IF(E847="SC",6,0)))))))))))))))))))))))))))))))))))))))</f>
        <v>2</v>
      </c>
      <c r="G847" s="170">
        <v>5</v>
      </c>
      <c r="H847" s="38" t="s">
        <v>511</v>
      </c>
      <c r="I847" s="105" t="s">
        <v>1449</v>
      </c>
      <c r="J847" s="157" t="s">
        <v>1701</v>
      </c>
      <c r="K847" s="34" t="s">
        <v>1702</v>
      </c>
      <c r="L847" s="5">
        <f>IF(O847="","",N847*O847*M847)</f>
        <v>99</v>
      </c>
      <c r="M847" s="8">
        <v>1</v>
      </c>
      <c r="N847" s="1">
        <v>1</v>
      </c>
      <c r="O847" s="15">
        <f>IF(SUM(Q847:AF847)&lt;1,"",SUM(Q847:AF847)/COUNTIF(Q847:AF847,"&gt;0"))</f>
        <v>99</v>
      </c>
      <c r="P847" s="16"/>
      <c r="Q847" s="13"/>
      <c r="T847" s="4">
        <v>99</v>
      </c>
      <c r="U847" s="2"/>
      <c r="V847" s="2"/>
      <c r="W847" s="2"/>
      <c r="X847" s="2"/>
      <c r="Z847" s="2"/>
      <c r="AA847" s="2"/>
      <c r="AF847" s="14"/>
    </row>
    <row r="848" spans="1:33" s="4" customFormat="1" ht="15.75" customHeight="1" x14ac:dyDescent="0.25">
      <c r="A848" s="33" t="str">
        <f>CONCATENATE(D848,".",F848,"-",G848,".",H848,"")</f>
        <v>2.2-5.1</v>
      </c>
      <c r="B848" s="33" t="s">
        <v>814</v>
      </c>
      <c r="C848" s="39" t="s">
        <v>262</v>
      </c>
      <c r="D848" s="33">
        <f>IF(C848="ID",1,(IF(C848="PR",2,(IF(C848="DE",3,(IF(C848="RS",4,(IF(C848="RC",5,0)))))))))</f>
        <v>2</v>
      </c>
      <c r="E848" s="33" t="s">
        <v>258</v>
      </c>
      <c r="F848" s="33">
        <f>IF(E848="AM",1,(IF(E848="BE",2,(IF(E848="GV",3,(IF(E848="RA",4,(IF(E848="RM",5,(IF(E848="AC",1,(IF(E848="AT",2,(IF(E848="DS",3,(IF(E848="IP",4,(IF(E848="MA",5,(IF(E848="PT",6,(IF(E848="AE",1,(IF(E848="CM",2,(IF(E848="DP",3,(IF(E848="AN",1,(IF(E848="CO",2,(IF(E848="IM",3,(IF(E848="MI",4,(IF(E848="RP",5,(IF(E848="SC",6,0)))))))))))))))))))))))))))))))))))))))</f>
        <v>2</v>
      </c>
      <c r="G848" s="170">
        <v>5</v>
      </c>
      <c r="H848" s="38" t="s">
        <v>511</v>
      </c>
      <c r="I848" s="105" t="s">
        <v>1449</v>
      </c>
      <c r="J848" s="157" t="s">
        <v>1703</v>
      </c>
      <c r="K848" s="34" t="s">
        <v>1704</v>
      </c>
      <c r="L848" s="5">
        <f>IF(O848="","",N848*O848*M848)</f>
        <v>99</v>
      </c>
      <c r="M848" s="8">
        <v>1</v>
      </c>
      <c r="N848" s="1">
        <v>1</v>
      </c>
      <c r="O848" s="15">
        <f>IF(SUM(Q848:AF848)&lt;1,"",SUM(Q848:AF848)/COUNTIF(Q848:AF848,"&gt;0"))</f>
        <v>99</v>
      </c>
      <c r="P848" s="16"/>
      <c r="Q848" s="13"/>
      <c r="T848" s="4">
        <v>99</v>
      </c>
      <c r="U848" s="2"/>
      <c r="V848" s="2"/>
      <c r="W848" s="2"/>
      <c r="X848" s="2"/>
      <c r="Z848" s="2"/>
      <c r="AA848" s="2"/>
      <c r="AF848" s="14"/>
    </row>
    <row r="849" spans="1:32" s="4" customFormat="1" ht="15.75" customHeight="1" x14ac:dyDescent="0.25">
      <c r="A849" s="33" t="str">
        <f>CONCATENATE(D849,".",F849,"-",G849,".",H849,"")</f>
        <v>2.2-5.1</v>
      </c>
      <c r="B849" s="33"/>
      <c r="C849" s="39" t="s">
        <v>262</v>
      </c>
      <c r="D849" s="33">
        <f>IF(C849="ID",1,(IF(C849="PR",2,(IF(C849="DE",3,(IF(C849="RS",4,(IF(C849="RC",5,0)))))))))</f>
        <v>2</v>
      </c>
      <c r="E849" s="33" t="s">
        <v>258</v>
      </c>
      <c r="F849" s="33">
        <f>IF(E849="AM",1,(IF(E849="BE",2,(IF(E849="GV",3,(IF(E849="RA",4,(IF(E849="RM",5,(IF(E849="AC",1,(IF(E849="AT",2,(IF(E849="DS",3,(IF(E849="IP",4,(IF(E849="MA",5,(IF(E849="PT",6,(IF(E849="AE",1,(IF(E849="CM",2,(IF(E849="DP",3,(IF(E849="AN",1,(IF(E849="CO",2,(IF(E849="IM",3,(IF(E849="MI",4,(IF(E849="RP",5,(IF(E849="SC",6,0)))))))))))))))))))))))))))))))))))))))</f>
        <v>2</v>
      </c>
      <c r="G849" s="170">
        <v>5</v>
      </c>
      <c r="H849" s="38" t="s">
        <v>511</v>
      </c>
      <c r="I849" s="105" t="s">
        <v>1449</v>
      </c>
      <c r="J849" s="157" t="s">
        <v>2683</v>
      </c>
      <c r="K849" s="34" t="s">
        <v>2684</v>
      </c>
      <c r="L849" s="5">
        <f>IF(O849="","",N849*O849*M849)</f>
        <v>99</v>
      </c>
      <c r="M849" s="8">
        <v>1</v>
      </c>
      <c r="N849" s="1">
        <v>1</v>
      </c>
      <c r="O849" s="15">
        <f>IF(SUM(Q849:AF849)&lt;1,"",SUM(Q849:AF849)/COUNTIF(Q849:AF849,"&gt;0"))</f>
        <v>99</v>
      </c>
      <c r="P849" s="16"/>
      <c r="Q849" s="13"/>
      <c r="T849" s="4">
        <v>99</v>
      </c>
      <c r="U849" s="2"/>
      <c r="V849" s="2"/>
      <c r="W849" s="2"/>
      <c r="X849" s="2"/>
      <c r="Z849" s="2"/>
      <c r="AA849" s="2"/>
      <c r="AF849" s="14"/>
    </row>
    <row r="850" spans="1:32" s="4" customFormat="1" ht="15.75" customHeight="1" x14ac:dyDescent="0.25">
      <c r="A850" s="33" t="str">
        <f>CONCATENATE(D850,".",F850,"-",G850,".",H850,"")</f>
        <v>2.2-5.3</v>
      </c>
      <c r="B850" s="33" t="s">
        <v>814</v>
      </c>
      <c r="C850" s="39" t="s">
        <v>262</v>
      </c>
      <c r="D850" s="33">
        <f>IF(C850="ID",1,(IF(C850="PR",2,(IF(C850="DE",3,(IF(C850="RS",4,(IF(C850="RC",5,0)))))))))</f>
        <v>2</v>
      </c>
      <c r="E850" s="33" t="s">
        <v>258</v>
      </c>
      <c r="F850" s="33">
        <f>IF(E850="AM",1,(IF(E850="BE",2,(IF(E850="GV",3,(IF(E850="RA",4,(IF(E850="RM",5,(IF(E850="AC",1,(IF(E850="AT",2,(IF(E850="DS",3,(IF(E850="IP",4,(IF(E850="MA",5,(IF(E850="PT",6,(IF(E850="AE",1,(IF(E850="CM",2,(IF(E850="DP",3,(IF(E850="AN",1,(IF(E850="CO",2,(IF(E850="IM",3,(IF(E850="MI",4,(IF(E850="RP",5,(IF(E850="SC",6,0)))))))))))))))))))))))))))))))))))))))</f>
        <v>2</v>
      </c>
      <c r="G850" s="170">
        <v>5</v>
      </c>
      <c r="H850" s="38" t="s">
        <v>513</v>
      </c>
      <c r="I850" s="27" t="s">
        <v>266</v>
      </c>
      <c r="J850" s="152" t="s">
        <v>502</v>
      </c>
      <c r="K850" s="79" t="s">
        <v>1417</v>
      </c>
      <c r="L850" s="66">
        <f>IF(O850="","",N850*O850*M850)</f>
        <v>75</v>
      </c>
      <c r="M850" s="8">
        <v>1</v>
      </c>
      <c r="N850" s="1">
        <v>1</v>
      </c>
      <c r="O850" s="15">
        <f>IF(SUM(Q850:AF850)&lt;1,"",SUM(Q850:AF850)/COUNTIF(Q850:AF850,"&gt;0"))</f>
        <v>75</v>
      </c>
      <c r="P850" s="16"/>
      <c r="Q850" s="13"/>
      <c r="T850" s="4">
        <v>75</v>
      </c>
      <c r="U850" s="2"/>
      <c r="V850" s="2"/>
      <c r="W850" s="2"/>
      <c r="X850" s="2"/>
      <c r="Z850" s="2"/>
      <c r="AA850" s="2"/>
      <c r="AF850" s="14"/>
    </row>
    <row r="851" spans="1:32" s="4" customFormat="1" ht="15.75" customHeight="1" x14ac:dyDescent="0.25">
      <c r="A851" s="33" t="str">
        <f>CONCATENATE(D851,".",F851,"-",G851,".",H851,"")</f>
        <v>2.2-6.1</v>
      </c>
      <c r="B851" s="33" t="s">
        <v>814</v>
      </c>
      <c r="C851" s="39" t="s">
        <v>262</v>
      </c>
      <c r="D851" s="33">
        <f>IF(C851="ID",1,(IF(C851="PR",2,(IF(C851="DE",3,(IF(C851="RS",4,(IF(C851="RC",5,0)))))))))</f>
        <v>2</v>
      </c>
      <c r="E851" s="33" t="s">
        <v>258</v>
      </c>
      <c r="F851" s="33">
        <f>IF(E851="AM",1,(IF(E851="BE",2,(IF(E851="GV",3,(IF(E851="RA",4,(IF(E851="RM",5,(IF(E851="AC",1,(IF(E851="AT",2,(IF(E851="DS",3,(IF(E851="IP",4,(IF(E851="MA",5,(IF(E851="PT",6,(IF(E851="AE",1,(IF(E851="CM",2,(IF(E851="DP",3,(IF(E851="AN",1,(IF(E851="CO",2,(IF(E851="IM",3,(IF(E851="MI",4,(IF(E851="RP",5,(IF(E851="SC",6,0)))))))))))))))))))))))))))))))))))))))</f>
        <v>2</v>
      </c>
      <c r="G851" s="170">
        <v>6</v>
      </c>
      <c r="H851" s="38" t="s">
        <v>511</v>
      </c>
      <c r="I851" s="105" t="s">
        <v>1449</v>
      </c>
      <c r="J851" s="38" t="s">
        <v>1699</v>
      </c>
      <c r="K851" s="34" t="s">
        <v>1700</v>
      </c>
      <c r="L851" s="5">
        <f>IF(O851="","",N851*O851*M851)</f>
        <v>99</v>
      </c>
      <c r="M851" s="8">
        <v>1</v>
      </c>
      <c r="N851" s="1">
        <v>1</v>
      </c>
      <c r="O851" s="15">
        <f>IF(SUM(Q851:AF851)&lt;1,"",SUM(Q851:AF851)/COUNTIF(Q851:AF851,"&gt;0"))</f>
        <v>99</v>
      </c>
      <c r="P851" s="16"/>
      <c r="Q851" s="13"/>
      <c r="T851" s="4">
        <v>99</v>
      </c>
      <c r="U851" s="2"/>
      <c r="V851" s="2"/>
      <c r="W851" s="2"/>
      <c r="X851" s="2"/>
      <c r="Z851" s="2"/>
      <c r="AA851" s="2"/>
      <c r="AF851" s="14"/>
    </row>
    <row r="852" spans="1:32" s="4" customFormat="1" ht="15.75" customHeight="1" x14ac:dyDescent="0.25">
      <c r="A852" s="33" t="str">
        <f>CONCATENATE(D852,".",F852,"-",G852,".",H852,"")</f>
        <v>2.2-7.1</v>
      </c>
      <c r="B852" s="33" t="s">
        <v>814</v>
      </c>
      <c r="C852" s="39" t="s">
        <v>262</v>
      </c>
      <c r="D852" s="33">
        <f>IF(C852="ID",1,(IF(C852="PR",2,(IF(C852="DE",3,(IF(C852="RS",4,(IF(C852="RC",5,0)))))))))</f>
        <v>2</v>
      </c>
      <c r="E852" s="33" t="s">
        <v>259</v>
      </c>
      <c r="F852" s="33">
        <f>IF(E852="AM",1,(IF(E852="BE",2,(IF(E852="GV",3,(IF(E852="RA",4,(IF(E852="RM",5,(IF(E852="AC",1,(IF(E852="AT",2,(IF(E852="DS",3,(IF(E852="IP",4,(IF(E852="MA",5,(IF(E852="PT",6,(IF(E852="AE",1,(IF(E852="CM",2,(IF(E852="DP",3,(IF(E852="AN",1,(IF(E852="CO",2,(IF(E852="IM",3,(IF(E852="MI",4,(IF(E852="RP",5,(IF(E852="SC",6,0)))))))))))))))))))))))))))))))))))))))</f>
        <v>2</v>
      </c>
      <c r="G852" s="170">
        <v>7</v>
      </c>
      <c r="H852" s="38" t="s">
        <v>511</v>
      </c>
      <c r="I852" s="35" t="s">
        <v>1176</v>
      </c>
      <c r="J852" s="162">
        <v>5.5</v>
      </c>
      <c r="K852" s="80" t="s">
        <v>1065</v>
      </c>
      <c r="L852" s="66">
        <f>IF(O852="","",N852*O852*M852)</f>
        <v>75</v>
      </c>
      <c r="M852" s="8">
        <v>1</v>
      </c>
      <c r="N852" s="3">
        <v>1</v>
      </c>
      <c r="O852" s="15">
        <f>IF(SUM(Q852:AF852)&lt;1,"",SUM(Q852:AF852)/COUNTIF(Q852:AF852,"&gt;0"))</f>
        <v>75</v>
      </c>
      <c r="P852" s="16"/>
      <c r="Q852" s="13"/>
      <c r="T852" s="4">
        <v>75</v>
      </c>
      <c r="U852" s="2"/>
      <c r="V852" s="2"/>
      <c r="W852" s="2"/>
      <c r="X852" s="2"/>
      <c r="Z852" s="2"/>
      <c r="AA852" s="2"/>
      <c r="AF852" s="14"/>
    </row>
    <row r="853" spans="1:32" s="4" customFormat="1" ht="15.75" customHeight="1" x14ac:dyDescent="0.25">
      <c r="A853" s="33" t="str">
        <f>CONCATENATE(D853,".",F853,"-",G853,".",H853,"")</f>
        <v>2.2-7.1</v>
      </c>
      <c r="B853" s="33" t="s">
        <v>814</v>
      </c>
      <c r="C853" s="39" t="s">
        <v>262</v>
      </c>
      <c r="D853" s="33">
        <f>IF(C853="ID",1,(IF(C853="PR",2,(IF(C853="DE",3,(IF(C853="RS",4,(IF(C853="RC",5,0)))))))))</f>
        <v>2</v>
      </c>
      <c r="E853" s="33" t="s">
        <v>259</v>
      </c>
      <c r="F853" s="33">
        <f>IF(E853="AM",1,(IF(E853="BE",2,(IF(E853="GV",3,(IF(E853="RA",4,(IF(E853="RM",5,(IF(E853="AC",1,(IF(E853="AT",2,(IF(E853="DS",3,(IF(E853="IP",4,(IF(E853="MA",5,(IF(E853="PT",6,(IF(E853="AE",1,(IF(E853="CM",2,(IF(E853="DP",3,(IF(E853="AN",1,(IF(E853="CO",2,(IF(E853="IM",3,(IF(E853="MI",4,(IF(E853="RP",5,(IF(E853="SC",6,0)))))))))))))))))))))))))))))))))))))))</f>
        <v>2</v>
      </c>
      <c r="G853" s="170">
        <v>7</v>
      </c>
      <c r="H853" s="38" t="s">
        <v>511</v>
      </c>
      <c r="I853" s="35" t="s">
        <v>1176</v>
      </c>
      <c r="J853" s="162">
        <v>16.8</v>
      </c>
      <c r="K853" s="80" t="s">
        <v>1142</v>
      </c>
      <c r="L853" s="66">
        <f>IF(O853="","",N853*O853*M853)</f>
        <v>75</v>
      </c>
      <c r="M853" s="8">
        <v>1</v>
      </c>
      <c r="N853" s="3">
        <v>1</v>
      </c>
      <c r="O853" s="15">
        <f>IF(SUM(Q853:AF853)&lt;1,"",SUM(Q853:AF853)/COUNTIF(Q853:AF853,"&gt;0"))</f>
        <v>75</v>
      </c>
      <c r="P853" s="16"/>
      <c r="Q853" s="13"/>
      <c r="T853" s="4">
        <v>75</v>
      </c>
      <c r="U853" s="2"/>
      <c r="V853" s="2"/>
      <c r="W853" s="2"/>
      <c r="X853" s="2"/>
      <c r="Z853" s="2"/>
      <c r="AA853" s="2"/>
      <c r="AF853" s="14"/>
    </row>
    <row r="854" spans="1:32" s="4" customFormat="1" ht="15.75" customHeight="1" x14ac:dyDescent="0.25">
      <c r="A854" s="33" t="str">
        <f>CONCATENATE(D854,".",F854,"-",G854,".",H854,"")</f>
        <v>2.3-0.0</v>
      </c>
      <c r="B854" s="33" t="s">
        <v>1229</v>
      </c>
      <c r="C854" s="40" t="s">
        <v>262</v>
      </c>
      <c r="D854" s="33">
        <f>IF(C854="ID",1,(IF(C854="PR",2,(IF(C854="DE",3,(IF(C854="RS",4,(IF(C854="RC",5,0)))))))))</f>
        <v>2</v>
      </c>
      <c r="E854" s="33" t="s">
        <v>343</v>
      </c>
      <c r="F854" s="33">
        <f>IF(E854="AM",1,(IF(E854="BE",2,(IF(E854="GV",3,(IF(E854="RA",4,(IF(E854="RM",5,(IF(E854="AC",1,(IF(E854="AT",2,(IF(E854="DS",3,(IF(E854="IP",4,(IF(E854="MA",5,(IF(E854="PT",6,(IF(E854="AE",1,(IF(E854="CM",2,(IF(E854="DP",3,(IF(E854="AN",1,(IF(E854="CO",2,(IF(E854="IM",3,(IF(E854="MI",4,(IF(E854="RP",5,(IF(E854="SC",6,0)))))))))))))))))))))))))))))))))))))))</f>
        <v>3</v>
      </c>
      <c r="G854" s="170">
        <v>0</v>
      </c>
      <c r="H854" s="38" t="s">
        <v>597</v>
      </c>
      <c r="I854" s="27" t="s">
        <v>1200</v>
      </c>
      <c r="J854" s="165" t="s">
        <v>672</v>
      </c>
      <c r="K854" s="98" t="s">
        <v>734</v>
      </c>
      <c r="L854" s="66" t="str">
        <f>IF(O854="","",N854*O854*M854)</f>
        <v/>
      </c>
      <c r="M854" s="8">
        <v>1</v>
      </c>
      <c r="N854" s="1">
        <v>1</v>
      </c>
      <c r="O854" s="15" t="str">
        <f>IF(SUM(Q854:AF854)&lt;1,"",SUM(Q854:AF854)/COUNTIF(Q854:AF854,"&gt;0"))</f>
        <v/>
      </c>
      <c r="P854" s="16"/>
      <c r="Q854" s="13"/>
      <c r="T854" s="2"/>
      <c r="U854" s="2"/>
      <c r="V854" s="2"/>
      <c r="W854" s="2"/>
      <c r="X854" s="2"/>
      <c r="Z854" s="2"/>
      <c r="AA854" s="2"/>
      <c r="AF854" s="14"/>
    </row>
    <row r="855" spans="1:32" s="4" customFormat="1" ht="15.75" customHeight="1" x14ac:dyDescent="0.25">
      <c r="A855" s="33" t="str">
        <f>CONCATENATE(D855,".",F855,"-",G855,".",H855,"")</f>
        <v>2.3-0.1</v>
      </c>
      <c r="B855" s="33" t="s">
        <v>1229</v>
      </c>
      <c r="C855" s="40" t="s">
        <v>262</v>
      </c>
      <c r="D855" s="33">
        <f>IF(C855="ID",1,(IF(C855="PR",2,(IF(C855="DE",3,(IF(C855="RS",4,(IF(C855="RC",5,0)))))))))</f>
        <v>2</v>
      </c>
      <c r="E855" s="33" t="s">
        <v>343</v>
      </c>
      <c r="F855" s="33">
        <f>IF(E855="AM",1,(IF(E855="BE",2,(IF(E855="GV",3,(IF(E855="RA",4,(IF(E855="RM",5,(IF(E855="AC",1,(IF(E855="AT",2,(IF(E855="DS",3,(IF(E855="IP",4,(IF(E855="MA",5,(IF(E855="PT",6,(IF(E855="AE",1,(IF(E855="CM",2,(IF(E855="DP",3,(IF(E855="AN",1,(IF(E855="CO",2,(IF(E855="IM",3,(IF(E855="MI",4,(IF(E855="RP",5,(IF(E855="SC",6,0)))))))))))))))))))))))))))))))))))))))</f>
        <v>3</v>
      </c>
      <c r="G855" s="170">
        <v>0</v>
      </c>
      <c r="H855" s="38" t="s">
        <v>511</v>
      </c>
      <c r="I855" s="27" t="s">
        <v>1200</v>
      </c>
      <c r="J855" s="165" t="s">
        <v>672</v>
      </c>
      <c r="K855" s="98" t="s">
        <v>751</v>
      </c>
      <c r="L855" s="5" t="str">
        <f>IF(O855="","",N855*O855*M855)</f>
        <v/>
      </c>
      <c r="M855" s="8">
        <v>1</v>
      </c>
      <c r="N855" s="1">
        <v>1</v>
      </c>
      <c r="O855" s="15" t="str">
        <f>IF(SUM(Q855:AF855)&lt;1,"",SUM(Q855:AF855)/COUNTIF(Q855:AF855,"&gt;0"))</f>
        <v/>
      </c>
      <c r="P855" s="16"/>
      <c r="Q855" s="13"/>
      <c r="T855" s="2"/>
      <c r="U855" s="2"/>
      <c r="V855" s="2"/>
      <c r="W855" s="2"/>
      <c r="X855" s="2"/>
      <c r="Z855" s="2"/>
      <c r="AA855" s="2"/>
      <c r="AF855" s="14"/>
    </row>
    <row r="856" spans="1:32" s="4" customFormat="1" ht="15.75" customHeight="1" x14ac:dyDescent="0.25">
      <c r="A856" s="33" t="str">
        <f>CONCATENATE(D856,".",F856,"-",G856,".",H856,"")</f>
        <v>2.3-1.0</v>
      </c>
      <c r="B856" s="33" t="s">
        <v>814</v>
      </c>
      <c r="C856" s="40" t="s">
        <v>262</v>
      </c>
      <c r="D856" s="33">
        <f>IF(C856="ID",1,(IF(C856="PR",2,(IF(C856="DE",3,(IF(C856="RS",4,(IF(C856="RC",5,0)))))))))</f>
        <v>2</v>
      </c>
      <c r="E856" s="33" t="s">
        <v>343</v>
      </c>
      <c r="F856" s="33">
        <f>IF(E856="AM",1,(IF(E856="BE",2,(IF(E856="GV",3,(IF(E856="RA",4,(IF(E856="RM",5,(IF(E856="AC",1,(IF(E856="AT",2,(IF(E856="DS",3,(IF(E856="IP",4,(IF(E856="MA",5,(IF(E856="PT",6,(IF(E856="AE",1,(IF(E856="CM",2,(IF(E856="DP",3,(IF(E856="AN",1,(IF(E856="CO",2,(IF(E856="IM",3,(IF(E856="MI",4,(IF(E856="RP",5,(IF(E856="SC",6,0)))))))))))))))))))))))))))))))))))))))</f>
        <v>3</v>
      </c>
      <c r="G856" s="170">
        <v>1</v>
      </c>
      <c r="H856" s="38" t="s">
        <v>597</v>
      </c>
      <c r="I856" s="27" t="s">
        <v>1200</v>
      </c>
      <c r="J856" s="149" t="s">
        <v>673</v>
      </c>
      <c r="K856" s="98" t="s">
        <v>440</v>
      </c>
      <c r="L856" s="66">
        <f>IF(O856="","",N856*O856*M856)</f>
        <v>75</v>
      </c>
      <c r="M856" s="8">
        <v>1</v>
      </c>
      <c r="N856" s="1">
        <v>1</v>
      </c>
      <c r="O856" s="15">
        <f>IF(SUM(Q856:AF856)&lt;1,"",SUM(Q856:AF856)/COUNTIF(Q856:AF856,"&gt;0"))</f>
        <v>75</v>
      </c>
      <c r="P856" s="16"/>
      <c r="Q856" s="13"/>
      <c r="T856" s="4">
        <v>75</v>
      </c>
      <c r="U856" s="2"/>
      <c r="V856" s="2"/>
      <c r="W856" s="2"/>
      <c r="X856" s="2"/>
      <c r="Z856" s="2"/>
      <c r="AA856" s="2"/>
      <c r="AF856" s="14"/>
    </row>
    <row r="857" spans="1:32" s="4" customFormat="1" ht="15.75" customHeight="1" x14ac:dyDescent="0.25">
      <c r="A857" s="33" t="str">
        <f>CONCATENATE(D857,".",F857,"-",G857,".",H857,"")</f>
        <v>2.3-1.1</v>
      </c>
      <c r="B857" s="33" t="s">
        <v>814</v>
      </c>
      <c r="C857" s="39" t="s">
        <v>262</v>
      </c>
      <c r="D857" s="33">
        <f>IF(C857="ID",1,(IF(C857="PR",2,(IF(C857="DE",3,(IF(C857="RS",4,(IF(C857="RC",5,0)))))))))</f>
        <v>2</v>
      </c>
      <c r="E857" s="33" t="s">
        <v>343</v>
      </c>
      <c r="F857" s="33">
        <f>IF(E857="AM",1,(IF(E857="BE",2,(IF(E857="GV",3,(IF(E857="RA",4,(IF(E857="RM",5,(IF(E857="AC",1,(IF(E857="AT",2,(IF(E857="DS",3,(IF(E857="IP",4,(IF(E857="MA",5,(IF(E857="PT",6,(IF(E857="AE",1,(IF(E857="CM",2,(IF(E857="DP",3,(IF(E857="AN",1,(IF(E857="CO",2,(IF(E857="IM",3,(IF(E857="MI",4,(IF(E857="RP",5,(IF(E857="SC",6,0)))))))))))))))))))))))))))))))))))))))</f>
        <v>3</v>
      </c>
      <c r="G857" s="170">
        <v>1</v>
      </c>
      <c r="H857" s="38" t="s">
        <v>511</v>
      </c>
      <c r="I857" s="105" t="s">
        <v>821</v>
      </c>
      <c r="J857" s="150">
        <v>3</v>
      </c>
      <c r="K857" s="79" t="s">
        <v>1283</v>
      </c>
      <c r="L857" s="66">
        <f>IF(O857="","",N857*O857*M857)</f>
        <v>75</v>
      </c>
      <c r="M857" s="8">
        <v>1</v>
      </c>
      <c r="N857" s="3">
        <v>1</v>
      </c>
      <c r="O857" s="15">
        <f>IF(SUM(Q857:AF857)&lt;1,"",SUM(Q857:AF857)/COUNTIF(Q857:AF857,"&gt;0"))</f>
        <v>75</v>
      </c>
      <c r="P857" s="16"/>
      <c r="Q857" s="13"/>
      <c r="T857" s="4">
        <v>75</v>
      </c>
      <c r="U857" s="2"/>
      <c r="V857" s="2"/>
      <c r="W857" s="2"/>
      <c r="X857" s="2"/>
      <c r="Z857" s="2"/>
      <c r="AA857" s="2"/>
      <c r="AF857" s="14"/>
    </row>
    <row r="858" spans="1:32" s="4" customFormat="1" ht="15.75" customHeight="1" x14ac:dyDescent="0.25">
      <c r="A858" s="33" t="str">
        <f>CONCATENATE(D858,".",F858,"-",G858,".",H858,"")</f>
        <v>2.3-1.1</v>
      </c>
      <c r="B858" s="33" t="s">
        <v>814</v>
      </c>
      <c r="C858" s="39" t="s">
        <v>262</v>
      </c>
      <c r="D858" s="33">
        <f>IF(C858="ID",1,(IF(C858="PR",2,(IF(C858="DE",3,(IF(C858="RS",4,(IF(C858="RC",5,0)))))))))</f>
        <v>2</v>
      </c>
      <c r="E858" s="33" t="s">
        <v>343</v>
      </c>
      <c r="F858" s="33">
        <f>IF(E858="AM",1,(IF(E858="BE",2,(IF(E858="GV",3,(IF(E858="RA",4,(IF(E858="RM",5,(IF(E858="AC",1,(IF(E858="AT",2,(IF(E858="DS",3,(IF(E858="IP",4,(IF(E858="MA",5,(IF(E858="PT",6,(IF(E858="AE",1,(IF(E858="CM",2,(IF(E858="DP",3,(IF(E858="AN",1,(IF(E858="CO",2,(IF(E858="IM",3,(IF(E858="MI",4,(IF(E858="RP",5,(IF(E858="SC",6,0)))))))))))))))))))))))))))))))))))))))</f>
        <v>3</v>
      </c>
      <c r="G858" s="170">
        <v>1</v>
      </c>
      <c r="H858" s="38" t="s">
        <v>511</v>
      </c>
      <c r="I858" s="105" t="s">
        <v>821</v>
      </c>
      <c r="J858" s="150">
        <v>3.2</v>
      </c>
      <c r="K858" s="79" t="s">
        <v>1283</v>
      </c>
      <c r="L858" s="66">
        <f>IF(O858="","",N858*O858*M858)</f>
        <v>75</v>
      </c>
      <c r="M858" s="8">
        <v>1</v>
      </c>
      <c r="N858" s="3">
        <v>1</v>
      </c>
      <c r="O858" s="15">
        <f>IF(SUM(Q858:AF858)&lt;1,"",SUM(Q858:AF858)/COUNTIF(Q858:AF858,"&gt;0"))</f>
        <v>75</v>
      </c>
      <c r="P858" s="16"/>
      <c r="Q858" s="13"/>
      <c r="T858" s="4">
        <v>75</v>
      </c>
      <c r="U858" s="2"/>
      <c r="V858" s="2"/>
      <c r="W858" s="2"/>
      <c r="X858" s="2"/>
      <c r="Z858" s="2"/>
      <c r="AA858" s="2"/>
      <c r="AF858" s="14"/>
    </row>
    <row r="859" spans="1:32" s="4" customFormat="1" ht="15.75" customHeight="1" x14ac:dyDescent="0.25">
      <c r="A859" s="33" t="str">
        <f>CONCATENATE(D859,".",F859,"-",G859,".",H859,"")</f>
        <v>2.3-1.1</v>
      </c>
      <c r="B859" s="33" t="s">
        <v>814</v>
      </c>
      <c r="C859" s="39" t="s">
        <v>262</v>
      </c>
      <c r="D859" s="33">
        <f>IF(C859="ID",1,(IF(C859="PR",2,(IF(C859="DE",3,(IF(C859="RS",4,(IF(C859="RC",5,0)))))))))</f>
        <v>2</v>
      </c>
      <c r="E859" s="33" t="s">
        <v>343</v>
      </c>
      <c r="F859" s="33">
        <f>IF(E859="AM",1,(IF(E859="BE",2,(IF(E859="GV",3,(IF(E859="RA",4,(IF(E859="RM",5,(IF(E859="AC",1,(IF(E859="AT",2,(IF(E859="DS",3,(IF(E859="IP",4,(IF(E859="MA",5,(IF(E859="PT",6,(IF(E859="AE",1,(IF(E859="CM",2,(IF(E859="DP",3,(IF(E859="AN",1,(IF(E859="CO",2,(IF(E859="IM",3,(IF(E859="MI",4,(IF(E859="RP",5,(IF(E859="SC",6,0)))))))))))))))))))))))))))))))))))))))</f>
        <v>3</v>
      </c>
      <c r="G859" s="170">
        <v>1</v>
      </c>
      <c r="H859" s="38" t="s">
        <v>511</v>
      </c>
      <c r="I859" s="105" t="s">
        <v>821</v>
      </c>
      <c r="J859" s="150">
        <v>3.3</v>
      </c>
      <c r="K859" s="79" t="s">
        <v>1283</v>
      </c>
      <c r="L859" s="66">
        <f>IF(O859="","",N859*O859*M859)</f>
        <v>75</v>
      </c>
      <c r="M859" s="8">
        <v>1</v>
      </c>
      <c r="N859" s="3">
        <v>1</v>
      </c>
      <c r="O859" s="15">
        <f>IF(SUM(Q859:AF859)&lt;1,"",SUM(Q859:AF859)/COUNTIF(Q859:AF859,"&gt;0"))</f>
        <v>75</v>
      </c>
      <c r="P859" s="16"/>
      <c r="Q859" s="13"/>
      <c r="T859" s="4">
        <v>75</v>
      </c>
      <c r="U859" s="2"/>
      <c r="V859" s="2"/>
      <c r="W859" s="2"/>
      <c r="X859" s="2"/>
      <c r="Z859" s="2"/>
      <c r="AA859" s="2"/>
      <c r="AF859" s="14"/>
    </row>
    <row r="860" spans="1:32" s="4" customFormat="1" ht="15.75" customHeight="1" x14ac:dyDescent="0.25">
      <c r="A860" s="33" t="str">
        <f>CONCATENATE(D860,".",F860,"-",G860,".",H860,"")</f>
        <v>2.3-1.1</v>
      </c>
      <c r="B860" s="33" t="s">
        <v>814</v>
      </c>
      <c r="C860" s="39" t="s">
        <v>262</v>
      </c>
      <c r="D860" s="33">
        <f>IF(C860="ID",1,(IF(C860="PR",2,(IF(C860="DE",3,(IF(C860="RS",4,(IF(C860="RC",5,0)))))))))</f>
        <v>2</v>
      </c>
      <c r="E860" s="33" t="s">
        <v>343</v>
      </c>
      <c r="F860" s="33">
        <f>IF(E860="AM",1,(IF(E860="BE",2,(IF(E860="GV",3,(IF(E860="RA",4,(IF(E860="RM",5,(IF(E860="AC",1,(IF(E860="AT",2,(IF(E860="DS",3,(IF(E860="IP",4,(IF(E860="MA",5,(IF(E860="PT",6,(IF(E860="AE",1,(IF(E860="CM",2,(IF(E860="DP",3,(IF(E860="AN",1,(IF(E860="CO",2,(IF(E860="IM",3,(IF(E860="MI",4,(IF(E860="RP",5,(IF(E860="SC",6,0)))))))))))))))))))))))))))))))))))))))</f>
        <v>3</v>
      </c>
      <c r="G860" s="170">
        <v>1</v>
      </c>
      <c r="H860" s="38" t="s">
        <v>511</v>
      </c>
      <c r="I860" s="105" t="s">
        <v>821</v>
      </c>
      <c r="J860" s="150">
        <v>3.4</v>
      </c>
      <c r="K860" s="79" t="s">
        <v>1283</v>
      </c>
      <c r="L860" s="66">
        <f>IF(O860="","",N860*O860*M860)</f>
        <v>75</v>
      </c>
      <c r="M860" s="8">
        <v>1</v>
      </c>
      <c r="N860" s="3">
        <v>1</v>
      </c>
      <c r="O860" s="15">
        <f>IF(SUM(Q860:AF860)&lt;1,"",SUM(Q860:AF860)/COUNTIF(Q860:AF860,"&gt;0"))</f>
        <v>75</v>
      </c>
      <c r="P860" s="16"/>
      <c r="Q860" s="13"/>
      <c r="T860" s="4">
        <v>75</v>
      </c>
      <c r="U860" s="2"/>
      <c r="V860" s="2"/>
      <c r="W860" s="2"/>
      <c r="X860" s="2"/>
      <c r="Z860" s="2"/>
      <c r="AA860" s="2"/>
      <c r="AF860" s="14"/>
    </row>
    <row r="861" spans="1:32" s="4" customFormat="1" ht="15.75" customHeight="1" x14ac:dyDescent="0.25">
      <c r="A861" s="33" t="str">
        <f>CONCATENATE(D861,".",F861,"-",G861,".",H861,"")</f>
        <v>2.3-1.1</v>
      </c>
      <c r="B861" s="33" t="s">
        <v>814</v>
      </c>
      <c r="C861" s="39" t="s">
        <v>262</v>
      </c>
      <c r="D861" s="33">
        <f>IF(C861="ID",1,(IF(C861="PR",2,(IF(C861="DE",3,(IF(C861="RS",4,(IF(C861="RC",5,0)))))))))</f>
        <v>2</v>
      </c>
      <c r="E861" s="33" t="s">
        <v>343</v>
      </c>
      <c r="F861" s="33">
        <f>IF(E861="AM",1,(IF(E861="BE",2,(IF(E861="GV",3,(IF(E861="RA",4,(IF(E861="RM",5,(IF(E861="AC",1,(IF(E861="AT",2,(IF(E861="DS",3,(IF(E861="IP",4,(IF(E861="MA",5,(IF(E861="PT",6,(IF(E861="AE",1,(IF(E861="CM",2,(IF(E861="DP",3,(IF(E861="AN",1,(IF(E861="CO",2,(IF(E861="IM",3,(IF(E861="MI",4,(IF(E861="RP",5,(IF(E861="SC",6,0)))))))))))))))))))))))))))))))))))))))</f>
        <v>3</v>
      </c>
      <c r="G861" s="170">
        <v>1</v>
      </c>
      <c r="H861" s="38" t="s">
        <v>511</v>
      </c>
      <c r="I861" s="35" t="s">
        <v>1176</v>
      </c>
      <c r="J861" s="162">
        <v>13.2</v>
      </c>
      <c r="K861" s="80" t="s">
        <v>1112</v>
      </c>
      <c r="L861" s="66">
        <f>IF(O861="","",N861*O861*M861)</f>
        <v>75</v>
      </c>
      <c r="M861" s="8">
        <v>1</v>
      </c>
      <c r="N861" s="3">
        <v>1</v>
      </c>
      <c r="O861" s="15">
        <f>IF(SUM(Q861:AF861)&lt;1,"",SUM(Q861:AF861)/COUNTIF(Q861:AF861,"&gt;0"))</f>
        <v>75</v>
      </c>
      <c r="P861" s="16"/>
      <c r="Q861" s="13"/>
      <c r="T861" s="4">
        <v>75</v>
      </c>
      <c r="U861" s="2"/>
      <c r="V861" s="2"/>
      <c r="W861" s="2"/>
      <c r="X861" s="2"/>
      <c r="Z861" s="2"/>
      <c r="AA861" s="2"/>
      <c r="AF861" s="14"/>
    </row>
    <row r="862" spans="1:32" s="4" customFormat="1" ht="15.75" customHeight="1" x14ac:dyDescent="0.25">
      <c r="A862" s="33" t="str">
        <f>CONCATENATE(D862,".",F862,"-",G862,".",H862,"")</f>
        <v>2.3-1.1</v>
      </c>
      <c r="B862" s="33" t="s">
        <v>814</v>
      </c>
      <c r="C862" s="39" t="s">
        <v>262</v>
      </c>
      <c r="D862" s="33">
        <f>IF(C862="ID",1,(IF(C862="PR",2,(IF(C862="DE",3,(IF(C862="RS",4,(IF(C862="RC",5,0)))))))))</f>
        <v>2</v>
      </c>
      <c r="E862" s="33" t="s">
        <v>343</v>
      </c>
      <c r="F862" s="33">
        <f>IF(E862="AM",1,(IF(E862="BE",2,(IF(E862="GV",3,(IF(E862="RA",4,(IF(E862="RM",5,(IF(E862="AC",1,(IF(E862="AT",2,(IF(E862="DS",3,(IF(E862="IP",4,(IF(E862="MA",5,(IF(E862="PT",6,(IF(E862="AE",1,(IF(E862="CM",2,(IF(E862="DP",3,(IF(E862="AN",1,(IF(E862="CO",2,(IF(E862="IM",3,(IF(E862="MI",4,(IF(E862="RP",5,(IF(E862="SC",6,0)))))))))))))))))))))))))))))))))))))))</f>
        <v>3</v>
      </c>
      <c r="G862" s="170">
        <v>1</v>
      </c>
      <c r="H862" s="38" t="s">
        <v>511</v>
      </c>
      <c r="I862" s="35" t="s">
        <v>1176</v>
      </c>
      <c r="J862" s="162">
        <v>14.5</v>
      </c>
      <c r="K862" s="80" t="s">
        <v>1123</v>
      </c>
      <c r="L862" s="66">
        <f>IF(O862="","",N862*O862*M862)</f>
        <v>75</v>
      </c>
      <c r="M862" s="8">
        <v>1</v>
      </c>
      <c r="N862" s="3">
        <v>1</v>
      </c>
      <c r="O862" s="15">
        <f>IF(SUM(Q862:AF862)&lt;1,"",SUM(Q862:AF862)/COUNTIF(Q862:AF862,"&gt;0"))</f>
        <v>75</v>
      </c>
      <c r="P862" s="16"/>
      <c r="Q862" s="13"/>
      <c r="T862" s="4">
        <v>75</v>
      </c>
      <c r="U862" s="2"/>
      <c r="V862" s="2"/>
      <c r="W862" s="2"/>
      <c r="X862" s="2"/>
      <c r="Z862" s="2"/>
      <c r="AA862" s="2"/>
      <c r="AF862" s="14"/>
    </row>
    <row r="863" spans="1:32" s="2" customFormat="1" ht="15.75" customHeight="1" x14ac:dyDescent="0.25">
      <c r="A863" s="33" t="str">
        <f>CONCATENATE(D863,".",F863,"-",G863,".",H863,"")</f>
        <v>2.3-1.1</v>
      </c>
      <c r="B863" s="33" t="s">
        <v>814</v>
      </c>
      <c r="C863" s="40" t="s">
        <v>262</v>
      </c>
      <c r="D863" s="33">
        <f>IF(C863="ID",1,(IF(C863="PR",2,(IF(C863="DE",3,(IF(C863="RS",4,(IF(C863="RC",5,0)))))))))</f>
        <v>2</v>
      </c>
      <c r="E863" s="33" t="s">
        <v>343</v>
      </c>
      <c r="F863" s="33">
        <f>IF(E863="AM",1,(IF(E863="BE",2,(IF(E863="GV",3,(IF(E863="RA",4,(IF(E863="RM",5,(IF(E863="AC",1,(IF(E863="AT",2,(IF(E863="DS",3,(IF(E863="IP",4,(IF(E863="MA",5,(IF(E863="PT",6,(IF(E863="AE",1,(IF(E863="CM",2,(IF(E863="DP",3,(IF(E863="AN",1,(IF(E863="CO",2,(IF(E863="IM",3,(IF(E863="MI",4,(IF(E863="RP",5,(IF(E863="SC",6,0)))))))))))))))))))))))))))))))))))))))</f>
        <v>3</v>
      </c>
      <c r="G863" s="171">
        <v>1</v>
      </c>
      <c r="H863" s="38" t="s">
        <v>511</v>
      </c>
      <c r="I863" s="27" t="s">
        <v>936</v>
      </c>
      <c r="J863" s="163" t="s">
        <v>876</v>
      </c>
      <c r="K863" s="34" t="s">
        <v>993</v>
      </c>
      <c r="L863" s="66">
        <f>IF(O863="","",N863*O863*M863)</f>
        <v>75</v>
      </c>
      <c r="M863" s="8">
        <v>1</v>
      </c>
      <c r="N863" s="3">
        <v>1</v>
      </c>
      <c r="O863" s="15">
        <f>IF(SUM(Q863:AF863)&lt;1,"",SUM(Q863:AF863)/COUNTIF(Q863:AF863,"&gt;0"))</f>
        <v>75</v>
      </c>
      <c r="P863" s="16"/>
      <c r="Q863" s="13"/>
      <c r="R863" s="4"/>
      <c r="S863" s="4"/>
      <c r="T863" s="4">
        <v>75</v>
      </c>
      <c r="Y863" s="4"/>
      <c r="AB863" s="4"/>
      <c r="AC863" s="4"/>
      <c r="AD863" s="4"/>
      <c r="AE863" s="4"/>
      <c r="AF863" s="14"/>
    </row>
    <row r="864" spans="1:32" s="4" customFormat="1" ht="15.75" customHeight="1" x14ac:dyDescent="0.25">
      <c r="A864" s="33" t="str">
        <f>CONCATENATE(D864,".",F864,"-",G864,".",H864,"")</f>
        <v>2.3-1.1</v>
      </c>
      <c r="B864" s="33" t="s">
        <v>814</v>
      </c>
      <c r="C864" s="40" t="s">
        <v>262</v>
      </c>
      <c r="D864" s="33">
        <f>IF(C864="ID",1,(IF(C864="PR",2,(IF(C864="DE",3,(IF(C864="RS",4,(IF(C864="RC",5,0)))))))))</f>
        <v>2</v>
      </c>
      <c r="E864" s="33" t="s">
        <v>343</v>
      </c>
      <c r="F864" s="33">
        <f>IF(E864="AM",1,(IF(E864="BE",2,(IF(E864="GV",3,(IF(E864="RA",4,(IF(E864="RM",5,(IF(E864="AC",1,(IF(E864="AT",2,(IF(E864="DS",3,(IF(E864="IP",4,(IF(E864="MA",5,(IF(E864="PT",6,(IF(E864="AE",1,(IF(E864="CM",2,(IF(E864="DP",3,(IF(E864="AN",1,(IF(E864="CO",2,(IF(E864="IM",3,(IF(E864="MI",4,(IF(E864="RP",5,(IF(E864="SC",6,0)))))))))))))))))))))))))))))))))))))))</f>
        <v>3</v>
      </c>
      <c r="G864" s="171">
        <v>1</v>
      </c>
      <c r="H864" s="38" t="s">
        <v>511</v>
      </c>
      <c r="I864" s="27" t="s">
        <v>936</v>
      </c>
      <c r="J864" s="163" t="s">
        <v>921</v>
      </c>
      <c r="K864" s="34" t="s">
        <v>953</v>
      </c>
      <c r="L864" s="66">
        <f>IF(O864="","",N864*O864*M864)</f>
        <v>75</v>
      </c>
      <c r="M864" s="8">
        <v>1</v>
      </c>
      <c r="N864" s="3">
        <v>1</v>
      </c>
      <c r="O864" s="15">
        <f>IF(SUM(Q864:AF864)&lt;1,"",SUM(Q864:AF864)/COUNTIF(Q864:AF864,"&gt;0"))</f>
        <v>75</v>
      </c>
      <c r="P864" s="16"/>
      <c r="Q864" s="13"/>
      <c r="T864" s="4">
        <v>75</v>
      </c>
      <c r="U864" s="2"/>
      <c r="V864" s="2"/>
      <c r="W864" s="2"/>
      <c r="X864" s="2"/>
      <c r="Z864" s="2"/>
      <c r="AA864" s="2"/>
      <c r="AF864" s="14"/>
    </row>
    <row r="865" spans="1:32" s="4" customFormat="1" ht="15.75" customHeight="1" x14ac:dyDescent="0.25">
      <c r="A865" s="33" t="str">
        <f>CONCATENATE(D865,".",F865,"-",G865,".",H865,"")</f>
        <v>2.3-1.1</v>
      </c>
      <c r="B865" s="33" t="s">
        <v>814</v>
      </c>
      <c r="C865" s="40" t="s">
        <v>262</v>
      </c>
      <c r="D865" s="33">
        <f>IF(C865="ID",1,(IF(C865="PR",2,(IF(C865="DE",3,(IF(C865="RS",4,(IF(C865="RC",5,0)))))))))</f>
        <v>2</v>
      </c>
      <c r="E865" s="33" t="s">
        <v>343</v>
      </c>
      <c r="F865" s="33">
        <f>IF(E865="AM",1,(IF(E865="BE",2,(IF(E865="GV",3,(IF(E865="RA",4,(IF(E865="RM",5,(IF(E865="AC",1,(IF(E865="AT",2,(IF(E865="DS",3,(IF(E865="IP",4,(IF(E865="MA",5,(IF(E865="PT",6,(IF(E865="AE",1,(IF(E865="CM",2,(IF(E865="DP",3,(IF(E865="AN",1,(IF(E865="CO",2,(IF(E865="IM",3,(IF(E865="MI",4,(IF(E865="RP",5,(IF(E865="SC",6,0)))))))))))))))))))))))))))))))))))))))</f>
        <v>3</v>
      </c>
      <c r="G865" s="171">
        <v>1</v>
      </c>
      <c r="H865" s="38" t="s">
        <v>511</v>
      </c>
      <c r="I865" s="27" t="s">
        <v>936</v>
      </c>
      <c r="J865" s="163" t="s">
        <v>921</v>
      </c>
      <c r="K865" s="34" t="s">
        <v>953</v>
      </c>
      <c r="L865" s="66">
        <f>IF(O865="","",N865*O865*M865)</f>
        <v>75</v>
      </c>
      <c r="M865" s="8">
        <v>1</v>
      </c>
      <c r="N865" s="3">
        <v>1</v>
      </c>
      <c r="O865" s="15">
        <f>IF(SUM(Q865:AF865)&lt;1,"",SUM(Q865:AF865)/COUNTIF(Q865:AF865,"&gt;0"))</f>
        <v>75</v>
      </c>
      <c r="P865" s="16"/>
      <c r="Q865" s="13"/>
      <c r="T865" s="4">
        <v>75</v>
      </c>
      <c r="U865" s="2"/>
      <c r="V865" s="2"/>
      <c r="W865" s="2"/>
      <c r="X865" s="2"/>
      <c r="Z865" s="2"/>
      <c r="AA865" s="2"/>
      <c r="AF865" s="14"/>
    </row>
    <row r="866" spans="1:32" s="4" customFormat="1" ht="15.75" customHeight="1" x14ac:dyDescent="0.25">
      <c r="A866" s="33" t="str">
        <f>CONCATENATE(D866,".",F866,"-",G866,".",H866,"")</f>
        <v>2.3-1.1</v>
      </c>
      <c r="B866" s="33" t="s">
        <v>814</v>
      </c>
      <c r="C866" s="40" t="s">
        <v>262</v>
      </c>
      <c r="D866" s="33">
        <f>IF(C866="ID",1,(IF(C866="PR",2,(IF(C866="DE",3,(IF(C866="RS",4,(IF(C866="RC",5,0)))))))))</f>
        <v>2</v>
      </c>
      <c r="E866" s="33" t="s">
        <v>343</v>
      </c>
      <c r="F866" s="33">
        <f>IF(E866="AM",1,(IF(E866="BE",2,(IF(E866="GV",3,(IF(E866="RA",4,(IF(E866="RM",5,(IF(E866="AC",1,(IF(E866="AT",2,(IF(E866="DS",3,(IF(E866="IP",4,(IF(E866="MA",5,(IF(E866="PT",6,(IF(E866="AE",1,(IF(E866="CM",2,(IF(E866="DP",3,(IF(E866="AN",1,(IF(E866="CO",2,(IF(E866="IM",3,(IF(E866="MI",4,(IF(E866="RP",5,(IF(E866="SC",6,0)))))))))))))))))))))))))))))))))))))))</f>
        <v>3</v>
      </c>
      <c r="G866" s="171">
        <v>1</v>
      </c>
      <c r="H866" s="38" t="s">
        <v>511</v>
      </c>
      <c r="I866" s="27" t="s">
        <v>936</v>
      </c>
      <c r="J866" s="163" t="s">
        <v>912</v>
      </c>
      <c r="K866" s="34" t="s">
        <v>960</v>
      </c>
      <c r="L866" s="66">
        <f>IF(O866="","",N866*O866*M866)</f>
        <v>75</v>
      </c>
      <c r="M866" s="8">
        <v>1</v>
      </c>
      <c r="N866" s="3">
        <v>1</v>
      </c>
      <c r="O866" s="15">
        <f>IF(SUM(Q866:AF866)&lt;1,"",SUM(Q866:AF866)/COUNTIF(Q866:AF866,"&gt;0"))</f>
        <v>75</v>
      </c>
      <c r="P866" s="16"/>
      <c r="Q866" s="13"/>
      <c r="T866" s="4">
        <v>75</v>
      </c>
      <c r="U866" s="2"/>
      <c r="V866" s="2"/>
      <c r="W866" s="2"/>
      <c r="X866" s="2"/>
      <c r="Z866" s="2"/>
      <c r="AA866" s="2"/>
      <c r="AF866" s="14"/>
    </row>
    <row r="867" spans="1:32" s="4" customFormat="1" ht="15.75" customHeight="1" x14ac:dyDescent="0.25">
      <c r="A867" s="33" t="str">
        <f>CONCATENATE(D867,".",F867,"-",G867,".",H867,"")</f>
        <v>2.3-1.1</v>
      </c>
      <c r="B867" s="33" t="s">
        <v>814</v>
      </c>
      <c r="C867" s="39" t="s">
        <v>262</v>
      </c>
      <c r="D867" s="33">
        <f>IF(C867="ID",1,(IF(C867="PR",2,(IF(C867="DE",3,(IF(C867="RS",4,(IF(C867="RC",5,0)))))))))</f>
        <v>2</v>
      </c>
      <c r="E867" s="33" t="s">
        <v>343</v>
      </c>
      <c r="F867" s="33">
        <f>IF(E867="AM",1,(IF(E867="BE",2,(IF(E867="GV",3,(IF(E867="RA",4,(IF(E867="RM",5,(IF(E867="AC",1,(IF(E867="AT",2,(IF(E867="DS",3,(IF(E867="IP",4,(IF(E867="MA",5,(IF(E867="PT",6,(IF(E867="AE",1,(IF(E867="CM",2,(IF(E867="DP",3,(IF(E867="AN",1,(IF(E867="CO",2,(IF(E867="IM",3,(IF(E867="MI",4,(IF(E867="RP",5,(IF(E867="SC",6,0)))))))))))))))))))))))))))))))))))))))</f>
        <v>3</v>
      </c>
      <c r="G867" s="170">
        <v>1</v>
      </c>
      <c r="H867" s="38" t="s">
        <v>511</v>
      </c>
      <c r="I867" s="105" t="s">
        <v>821</v>
      </c>
      <c r="J867" s="150" t="s">
        <v>80</v>
      </c>
      <c r="K867" s="79" t="s">
        <v>1283</v>
      </c>
      <c r="L867" s="66">
        <f>IF(O867="","",N867*O867*M867)</f>
        <v>75</v>
      </c>
      <c r="M867" s="8">
        <v>1</v>
      </c>
      <c r="N867" s="3">
        <v>1</v>
      </c>
      <c r="O867" s="15">
        <f>IF(SUM(Q867:AF867)&lt;1,"",SUM(Q867:AF867)/COUNTIF(Q867:AF867,"&gt;0"))</f>
        <v>75</v>
      </c>
      <c r="P867" s="16"/>
      <c r="Q867" s="13"/>
      <c r="T867" s="4">
        <v>75</v>
      </c>
      <c r="U867" s="2"/>
      <c r="V867" s="2"/>
      <c r="W867" s="2"/>
      <c r="X867" s="2"/>
      <c r="Z867" s="2"/>
      <c r="AA867" s="2"/>
      <c r="AF867" s="14"/>
    </row>
    <row r="868" spans="1:32" s="4" customFormat="1" ht="15.75" customHeight="1" x14ac:dyDescent="0.25">
      <c r="A868" s="33" t="str">
        <f>CONCATENATE(D868,".",F868,"-",G868,".",H868,"")</f>
        <v>2.3-1.1</v>
      </c>
      <c r="B868" s="33" t="s">
        <v>814</v>
      </c>
      <c r="C868" s="39" t="s">
        <v>262</v>
      </c>
      <c r="D868" s="33">
        <f>IF(C868="ID",1,(IF(C868="PR",2,(IF(C868="DE",3,(IF(C868="RS",4,(IF(C868="RC",5,0)))))))))</f>
        <v>2</v>
      </c>
      <c r="E868" s="33" t="s">
        <v>343</v>
      </c>
      <c r="F868" s="33">
        <f>IF(E868="AM",1,(IF(E868="BE",2,(IF(E868="GV",3,(IF(E868="RA",4,(IF(E868="RM",5,(IF(E868="AC",1,(IF(E868="AT",2,(IF(E868="DS",3,(IF(E868="IP",4,(IF(E868="MA",5,(IF(E868="PT",6,(IF(E868="AE",1,(IF(E868="CM",2,(IF(E868="DP",3,(IF(E868="AN",1,(IF(E868="CO",2,(IF(E868="IM",3,(IF(E868="MI",4,(IF(E868="RP",5,(IF(E868="SC",6,0)))))))))))))))))))))))))))))))))))))))</f>
        <v>3</v>
      </c>
      <c r="G868" s="170">
        <v>1</v>
      </c>
      <c r="H868" s="38" t="s">
        <v>511</v>
      </c>
      <c r="I868" s="27" t="s">
        <v>266</v>
      </c>
      <c r="J868" s="149" t="s">
        <v>447</v>
      </c>
      <c r="K868" s="79" t="s">
        <v>1285</v>
      </c>
      <c r="L868" s="66">
        <f>IF(O868="","",N868*O868*M868)</f>
        <v>75</v>
      </c>
      <c r="M868" s="8">
        <v>1</v>
      </c>
      <c r="N868" s="1">
        <v>1</v>
      </c>
      <c r="O868" s="15">
        <f>IF(SUM(Q868:AF868)&lt;1,"",SUM(Q868:AF868)/COUNTIF(Q868:AF868,"&gt;0"))</f>
        <v>75</v>
      </c>
      <c r="P868" s="16"/>
      <c r="Q868" s="13"/>
      <c r="T868" s="4">
        <v>75</v>
      </c>
      <c r="U868" s="2"/>
      <c r="V868" s="2"/>
      <c r="W868" s="2"/>
      <c r="X868" s="2"/>
      <c r="Z868" s="2"/>
      <c r="AA868" s="2"/>
      <c r="AF868" s="14"/>
    </row>
    <row r="869" spans="1:32" s="4" customFormat="1" ht="15.75" customHeight="1" x14ac:dyDescent="0.25">
      <c r="A869" s="33" t="str">
        <f>CONCATENATE(D869,".",F869,"-",G869,".",H869,"")</f>
        <v>2.3-1.1</v>
      </c>
      <c r="B869" s="33" t="s">
        <v>814</v>
      </c>
      <c r="C869" s="39" t="s">
        <v>262</v>
      </c>
      <c r="D869" s="33">
        <f>IF(C869="ID",1,(IF(C869="PR",2,(IF(C869="DE",3,(IF(C869="RS",4,(IF(C869="RC",5,0)))))))))</f>
        <v>2</v>
      </c>
      <c r="E869" s="33" t="s">
        <v>343</v>
      </c>
      <c r="F869" s="33">
        <f>IF(E869="AM",1,(IF(E869="BE",2,(IF(E869="GV",3,(IF(E869="RA",4,(IF(E869="RM",5,(IF(E869="AC",1,(IF(E869="AT",2,(IF(E869="DS",3,(IF(E869="IP",4,(IF(E869="MA",5,(IF(E869="PT",6,(IF(E869="AE",1,(IF(E869="CM",2,(IF(E869="DP",3,(IF(E869="AN",1,(IF(E869="CO",2,(IF(E869="IM",3,(IF(E869="MI",4,(IF(E869="RP",5,(IF(E869="SC",6,0)))))))))))))))))))))))))))))))))))))))</f>
        <v>3</v>
      </c>
      <c r="G869" s="170">
        <v>1</v>
      </c>
      <c r="H869" s="38" t="s">
        <v>511</v>
      </c>
      <c r="I869" s="27" t="s">
        <v>266</v>
      </c>
      <c r="J869" s="149" t="s">
        <v>448</v>
      </c>
      <c r="K869" s="79" t="s">
        <v>1286</v>
      </c>
      <c r="L869" s="5">
        <f>IF(O869="","",N869*O869*M869)</f>
        <v>75</v>
      </c>
      <c r="M869" s="8">
        <v>1</v>
      </c>
      <c r="N869" s="1">
        <v>1</v>
      </c>
      <c r="O869" s="15">
        <f>IF(SUM(Q869:AF869)&lt;1,"",SUM(Q869:AF869)/COUNTIF(Q869:AF869,"&gt;0"))</f>
        <v>75</v>
      </c>
      <c r="P869" s="16"/>
      <c r="Q869" s="13"/>
      <c r="T869" s="4">
        <v>75</v>
      </c>
      <c r="U869" s="2"/>
      <c r="V869" s="2"/>
      <c r="W869" s="2"/>
      <c r="X869" s="2"/>
      <c r="Z869" s="2"/>
      <c r="AA869" s="2"/>
      <c r="AF869" s="14"/>
    </row>
    <row r="870" spans="1:32" s="4" customFormat="1" ht="15.75" customHeight="1" x14ac:dyDescent="0.25">
      <c r="A870" s="33" t="str">
        <f>CONCATENATE(D870,".",F870,"-",G870,".",H870,"")</f>
        <v>2.3-1.1</v>
      </c>
      <c r="B870" s="33" t="s">
        <v>814</v>
      </c>
      <c r="C870" s="39" t="s">
        <v>262</v>
      </c>
      <c r="D870" s="33">
        <f>IF(C870="ID",1,(IF(C870="PR",2,(IF(C870="DE",3,(IF(C870="RS",4,(IF(C870="RC",5,0)))))))))</f>
        <v>2</v>
      </c>
      <c r="E870" s="33" t="s">
        <v>343</v>
      </c>
      <c r="F870" s="33">
        <f>IF(E870="AM",1,(IF(E870="BE",2,(IF(E870="GV",3,(IF(E870="RA",4,(IF(E870="RM",5,(IF(E870="AC",1,(IF(E870="AT",2,(IF(E870="DS",3,(IF(E870="IP",4,(IF(E870="MA",5,(IF(E870="PT",6,(IF(E870="AE",1,(IF(E870="CM",2,(IF(E870="DP",3,(IF(E870="AN",1,(IF(E870="CO",2,(IF(E870="IM",3,(IF(E870="MI",4,(IF(E870="RP",5,(IF(E870="SC",6,0)))))))))))))))))))))))))))))))))))))))</f>
        <v>3</v>
      </c>
      <c r="G870" s="170">
        <v>1</v>
      </c>
      <c r="H870" s="33">
        <v>1</v>
      </c>
      <c r="I870" s="27" t="s">
        <v>266</v>
      </c>
      <c r="J870" s="150" t="s">
        <v>23</v>
      </c>
      <c r="K870" s="79" t="s">
        <v>1384</v>
      </c>
      <c r="L870" s="5">
        <f>IF(O870="","",N870*O870*M870)</f>
        <v>75</v>
      </c>
      <c r="M870" s="8">
        <v>1</v>
      </c>
      <c r="N870" s="1">
        <v>1</v>
      </c>
      <c r="O870" s="15">
        <f>IF(SUM(Q870:AF870)&lt;1,"",SUM(Q870:AF870)/COUNTIF(Q870:AF870,"&gt;0"))</f>
        <v>75</v>
      </c>
      <c r="P870" s="16"/>
      <c r="Q870" s="13"/>
      <c r="R870" s="3"/>
      <c r="S870" s="3"/>
      <c r="T870" s="4">
        <v>75</v>
      </c>
      <c r="U870" s="3"/>
      <c r="V870" s="3"/>
      <c r="W870" s="3"/>
      <c r="X870" s="3"/>
      <c r="Y870" s="3"/>
      <c r="Z870" s="3"/>
      <c r="AA870" s="3"/>
      <c r="AB870" s="3"/>
      <c r="AC870" s="3"/>
      <c r="AD870" s="3"/>
      <c r="AE870" s="3"/>
      <c r="AF870" s="104"/>
    </row>
    <row r="871" spans="1:32" s="4" customFormat="1" ht="15.75" customHeight="1" x14ac:dyDescent="0.25">
      <c r="A871" s="33" t="str">
        <f>CONCATENATE(D871,".",F871,"-",G871,".",H871,"")</f>
        <v>2.3-1.1</v>
      </c>
      <c r="B871" s="33" t="s">
        <v>814</v>
      </c>
      <c r="C871" s="41" t="s">
        <v>262</v>
      </c>
      <c r="D871" s="33">
        <f>IF(C871="ID",1,(IF(C871="PR",2,(IF(C871="DE",3,(IF(C871="RS",4,(IF(C871="RC",5,0)))))))))</f>
        <v>2</v>
      </c>
      <c r="E871" s="33" t="s">
        <v>343</v>
      </c>
      <c r="F871" s="33">
        <f>IF(E871="AM",1,(IF(E871="BE",2,(IF(E871="GV",3,(IF(E871="RA",4,(IF(E871="RM",5,(IF(E871="AC",1,(IF(E871="AT",2,(IF(E871="DS",3,(IF(E871="IP",4,(IF(E871="MA",5,(IF(E871="PT",6,(IF(E871="AE",1,(IF(E871="CM",2,(IF(E871="DP",3,(IF(E871="AN",1,(IF(E871="CO",2,(IF(E871="IM",3,(IF(E871="MI",4,(IF(E871="RP",5,(IF(E871="SC",6,0)))))))))))))))))))))))))))))))))))))))</f>
        <v>3</v>
      </c>
      <c r="G871" s="170">
        <v>1</v>
      </c>
      <c r="H871" s="38" t="s">
        <v>511</v>
      </c>
      <c r="I871" s="27" t="s">
        <v>266</v>
      </c>
      <c r="J871" s="149" t="s">
        <v>292</v>
      </c>
      <c r="K871" s="79" t="s">
        <v>1425</v>
      </c>
      <c r="L871" s="5">
        <f>IF(O871="","",N871*O871*M871)</f>
        <v>75</v>
      </c>
      <c r="M871" s="8">
        <v>1</v>
      </c>
      <c r="N871" s="1">
        <v>1</v>
      </c>
      <c r="O871" s="15">
        <f>IF(SUM(Q871:AF871)&lt;1,"",SUM(Q871:AF871)/COUNTIF(Q871:AF871,"&gt;0"))</f>
        <v>75</v>
      </c>
      <c r="P871" s="16"/>
      <c r="Q871" s="13"/>
      <c r="T871" s="4">
        <v>75</v>
      </c>
      <c r="U871" s="2"/>
      <c r="V871" s="2"/>
      <c r="W871" s="2"/>
      <c r="X871" s="2"/>
      <c r="Z871" s="2"/>
      <c r="AA871" s="2"/>
      <c r="AF871" s="14"/>
    </row>
    <row r="872" spans="1:32" s="4" customFormat="1" ht="15.75" customHeight="1" x14ac:dyDescent="0.25">
      <c r="A872" s="33" t="str">
        <f>CONCATENATE(D872,".",F872,"-",G872,".",H872,"")</f>
        <v>2.3-1.1</v>
      </c>
      <c r="B872" s="33" t="s">
        <v>814</v>
      </c>
      <c r="C872" s="39" t="s">
        <v>262</v>
      </c>
      <c r="D872" s="33">
        <f>IF(C872="ID",1,(IF(C872="PR",2,(IF(C872="DE",3,(IF(C872="RS",4,(IF(C872="RC",5,0)))))))))</f>
        <v>2</v>
      </c>
      <c r="E872" s="33" t="s">
        <v>343</v>
      </c>
      <c r="F872" s="33">
        <f>IF(E872="AM",1,(IF(E872="BE",2,(IF(E872="GV",3,(IF(E872="RA",4,(IF(E872="RM",5,(IF(E872="AC",1,(IF(E872="AT",2,(IF(E872="DS",3,(IF(E872="IP",4,(IF(E872="MA",5,(IF(E872="PT",6,(IF(E872="AE",1,(IF(E872="CM",2,(IF(E872="DP",3,(IF(E872="AN",1,(IF(E872="CO",2,(IF(E872="IM",3,(IF(E872="MI",4,(IF(E872="RP",5,(IF(E872="SC",6,0)))))))))))))))))))))))))))))))))))))))</f>
        <v>3</v>
      </c>
      <c r="G872" s="170">
        <v>1</v>
      </c>
      <c r="H872" s="38" t="s">
        <v>511</v>
      </c>
      <c r="I872" s="105" t="s">
        <v>1449</v>
      </c>
      <c r="J872" s="157" t="s">
        <v>1510</v>
      </c>
      <c r="K872" s="34" t="s">
        <v>1511</v>
      </c>
      <c r="L872" s="5">
        <f>IF(O872="","",N872*O872*M872)</f>
        <v>99</v>
      </c>
      <c r="M872" s="8">
        <v>1</v>
      </c>
      <c r="N872" s="1">
        <v>1</v>
      </c>
      <c r="O872" s="15">
        <f>IF(SUM(Q872:AF872)&lt;1,"",SUM(Q872:AF872)/COUNTIF(Q872:AF872,"&gt;0"))</f>
        <v>99</v>
      </c>
      <c r="P872" s="16"/>
      <c r="Q872" s="13"/>
      <c r="T872" s="4">
        <v>99</v>
      </c>
      <c r="U872" s="2"/>
      <c r="V872" s="2"/>
      <c r="W872" s="2"/>
      <c r="X872" s="2"/>
      <c r="Z872" s="2"/>
      <c r="AA872" s="2"/>
      <c r="AF872" s="14"/>
    </row>
    <row r="873" spans="1:32" s="4" customFormat="1" ht="15.75" customHeight="1" x14ac:dyDescent="0.25">
      <c r="A873" s="33" t="str">
        <f>CONCATENATE(D873,".",F873,"-",G873,".",H873,"")</f>
        <v>2.3-1.1</v>
      </c>
      <c r="B873" s="33" t="s">
        <v>814</v>
      </c>
      <c r="C873" s="39" t="s">
        <v>262</v>
      </c>
      <c r="D873" s="33">
        <f>IF(C873="ID",1,(IF(C873="PR",2,(IF(C873="DE",3,(IF(C873="RS",4,(IF(C873="RC",5,0)))))))))</f>
        <v>2</v>
      </c>
      <c r="E873" s="33" t="s">
        <v>343</v>
      </c>
      <c r="F873" s="33">
        <f>IF(E873="AM",1,(IF(E873="BE",2,(IF(E873="GV",3,(IF(E873="RA",4,(IF(E873="RM",5,(IF(E873="AC",1,(IF(E873="AT",2,(IF(E873="DS",3,(IF(E873="IP",4,(IF(E873="MA",5,(IF(E873="PT",6,(IF(E873="AE",1,(IF(E873="CM",2,(IF(E873="DP",3,(IF(E873="AN",1,(IF(E873="CO",2,(IF(E873="IM",3,(IF(E873="MI",4,(IF(E873="RP",5,(IF(E873="SC",6,0)))))))))))))))))))))))))))))))))))))))</f>
        <v>3</v>
      </c>
      <c r="G873" s="170">
        <v>1</v>
      </c>
      <c r="H873" s="38" t="s">
        <v>511</v>
      </c>
      <c r="I873" s="105" t="s">
        <v>1449</v>
      </c>
      <c r="J873" s="157" t="s">
        <v>1512</v>
      </c>
      <c r="K873" s="34" t="s">
        <v>1513</v>
      </c>
      <c r="L873" s="5">
        <f>IF(O873="","",N873*O873*M873)</f>
        <v>99</v>
      </c>
      <c r="M873" s="8">
        <v>1</v>
      </c>
      <c r="N873" s="1">
        <v>1</v>
      </c>
      <c r="O873" s="15">
        <f>IF(SUM(Q873:AF873)&lt;1,"",SUM(Q873:AF873)/COUNTIF(Q873:AF873,"&gt;0"))</f>
        <v>99</v>
      </c>
      <c r="P873" s="16"/>
      <c r="Q873" s="13"/>
      <c r="T873" s="4">
        <v>99</v>
      </c>
      <c r="U873" s="2"/>
      <c r="V873" s="2"/>
      <c r="W873" s="2"/>
      <c r="X873" s="2"/>
      <c r="Z873" s="2"/>
      <c r="AA873" s="2"/>
      <c r="AF873" s="14"/>
    </row>
    <row r="874" spans="1:32" s="4" customFormat="1" ht="15.75" customHeight="1" x14ac:dyDescent="0.25">
      <c r="A874" s="33" t="str">
        <f>CONCATENATE(D874,".",F874,"-",G874,".",H874,"")</f>
        <v>2.3-1.1</v>
      </c>
      <c r="B874" s="33"/>
      <c r="C874" s="39" t="s">
        <v>262</v>
      </c>
      <c r="D874" s="33">
        <f>IF(C874="ID",1,(IF(C874="PR",2,(IF(C874="DE",3,(IF(C874="RS",4,(IF(C874="RC",5,0)))))))))</f>
        <v>2</v>
      </c>
      <c r="E874" s="33" t="s">
        <v>343</v>
      </c>
      <c r="F874" s="33">
        <f>IF(E874="AM",1,(IF(E874="BE",2,(IF(E874="GV",3,(IF(E874="RA",4,(IF(E874="RM",5,(IF(E874="AC",1,(IF(E874="AT",2,(IF(E874="DS",3,(IF(E874="IP",4,(IF(E874="MA",5,(IF(E874="PT",6,(IF(E874="AE",1,(IF(E874="CM",2,(IF(E874="DP",3,(IF(E874="AN",1,(IF(E874="CO",2,(IF(E874="IM",3,(IF(E874="MI",4,(IF(E874="RP",5,(IF(E874="SC",6,0)))))))))))))))))))))))))))))))))))))))</f>
        <v>3</v>
      </c>
      <c r="G874" s="170">
        <v>1</v>
      </c>
      <c r="H874" s="38" t="s">
        <v>511</v>
      </c>
      <c r="I874" s="105" t="s">
        <v>1449</v>
      </c>
      <c r="J874" s="157" t="s">
        <v>2815</v>
      </c>
      <c r="K874" s="34" t="s">
        <v>2816</v>
      </c>
      <c r="L874" s="5">
        <f>IF(O874="","",N874*O874*M874)</f>
        <v>99</v>
      </c>
      <c r="M874" s="8">
        <v>1</v>
      </c>
      <c r="N874" s="1">
        <v>1</v>
      </c>
      <c r="O874" s="15">
        <f>IF(SUM(Q874:AF874)&lt;1,"",SUM(Q874:AF874)/COUNTIF(Q874:AF874,"&gt;0"))</f>
        <v>99</v>
      </c>
      <c r="P874" s="16"/>
      <c r="Q874" s="13"/>
      <c r="T874" s="4">
        <v>99</v>
      </c>
      <c r="U874" s="2"/>
      <c r="V874" s="2"/>
      <c r="W874" s="2"/>
      <c r="X874" s="2"/>
      <c r="Z874" s="2"/>
      <c r="AA874" s="2"/>
      <c r="AF874" s="14"/>
    </row>
    <row r="875" spans="1:32" s="4" customFormat="1" ht="15.75" customHeight="1" x14ac:dyDescent="0.25">
      <c r="A875" s="33" t="str">
        <f>CONCATENATE(D875,".",F875,"-",G875,".",H875,"")</f>
        <v>2.3-1.1</v>
      </c>
      <c r="B875" s="33"/>
      <c r="C875" s="39" t="s">
        <v>262</v>
      </c>
      <c r="D875" s="33">
        <f>IF(C875="ID",1,(IF(C875="PR",2,(IF(C875="DE",3,(IF(C875="RS",4,(IF(C875="RC",5,0)))))))))</f>
        <v>2</v>
      </c>
      <c r="E875" s="33" t="s">
        <v>343</v>
      </c>
      <c r="F875" s="33">
        <f>IF(E875="AM",1,(IF(E875="BE",2,(IF(E875="GV",3,(IF(E875="RA",4,(IF(E875="RM",5,(IF(E875="AC",1,(IF(E875="AT",2,(IF(E875="DS",3,(IF(E875="IP",4,(IF(E875="MA",5,(IF(E875="PT",6,(IF(E875="AE",1,(IF(E875="CM",2,(IF(E875="DP",3,(IF(E875="AN",1,(IF(E875="CO",2,(IF(E875="IM",3,(IF(E875="MI",4,(IF(E875="RP",5,(IF(E875="SC",6,0)))))))))))))))))))))))))))))))))))))))</f>
        <v>3</v>
      </c>
      <c r="G875" s="170">
        <v>1</v>
      </c>
      <c r="H875" s="38" t="s">
        <v>511</v>
      </c>
      <c r="I875" s="105" t="s">
        <v>1449</v>
      </c>
      <c r="J875" s="157" t="s">
        <v>2817</v>
      </c>
      <c r="K875" s="34" t="s">
        <v>2818</v>
      </c>
      <c r="L875" s="5">
        <f>IF(O875="","",N875*O875*M875)</f>
        <v>99</v>
      </c>
      <c r="M875" s="8">
        <v>1</v>
      </c>
      <c r="N875" s="1">
        <v>1</v>
      </c>
      <c r="O875" s="15">
        <f>IF(SUM(Q875:AF875)&lt;1,"",SUM(Q875:AF875)/COUNTIF(Q875:AF875,"&gt;0"))</f>
        <v>99</v>
      </c>
      <c r="P875" s="16"/>
      <c r="Q875" s="13"/>
      <c r="T875" s="4">
        <v>99</v>
      </c>
      <c r="U875" s="2"/>
      <c r="V875" s="2"/>
      <c r="W875" s="2"/>
      <c r="X875" s="2"/>
      <c r="Z875" s="2"/>
      <c r="AA875" s="2"/>
      <c r="AF875" s="14"/>
    </row>
    <row r="876" spans="1:32" s="4" customFormat="1" ht="15.75" customHeight="1" x14ac:dyDescent="0.25">
      <c r="A876" s="33" t="str">
        <f>CONCATENATE(D876,".",F876,"-",G876,".",H876,"")</f>
        <v>2.3-1.1</v>
      </c>
      <c r="B876" s="33"/>
      <c r="C876" s="39" t="s">
        <v>262</v>
      </c>
      <c r="D876" s="33">
        <f>IF(C876="ID",1,(IF(C876="PR",2,(IF(C876="DE",3,(IF(C876="RS",4,(IF(C876="RC",5,0)))))))))</f>
        <v>2</v>
      </c>
      <c r="E876" s="33" t="s">
        <v>343</v>
      </c>
      <c r="F876" s="33">
        <f>IF(E876="AM",1,(IF(E876="BE",2,(IF(E876="GV",3,(IF(E876="RA",4,(IF(E876="RM",5,(IF(E876="AC",1,(IF(E876="AT",2,(IF(E876="DS",3,(IF(E876="IP",4,(IF(E876="MA",5,(IF(E876="PT",6,(IF(E876="AE",1,(IF(E876="CM",2,(IF(E876="DP",3,(IF(E876="AN",1,(IF(E876="CO",2,(IF(E876="IM",3,(IF(E876="MI",4,(IF(E876="RP",5,(IF(E876="SC",6,0)))))))))))))))))))))))))))))))))))))))</f>
        <v>3</v>
      </c>
      <c r="G876" s="170">
        <v>1</v>
      </c>
      <c r="H876" s="38" t="s">
        <v>511</v>
      </c>
      <c r="I876" s="105" t="s">
        <v>1449</v>
      </c>
      <c r="J876" s="157" t="s">
        <v>2819</v>
      </c>
      <c r="K876" s="34" t="s">
        <v>2820</v>
      </c>
      <c r="L876" s="5">
        <f>IF(O876="","",N876*O876*M876)</f>
        <v>99</v>
      </c>
      <c r="M876" s="8">
        <v>1</v>
      </c>
      <c r="N876" s="1">
        <v>1</v>
      </c>
      <c r="O876" s="15">
        <f>IF(SUM(Q876:AF876)&lt;1,"",SUM(Q876:AF876)/COUNTIF(Q876:AF876,"&gt;0"))</f>
        <v>99</v>
      </c>
      <c r="P876" s="16"/>
      <c r="Q876" s="13"/>
      <c r="T876" s="4">
        <v>99</v>
      </c>
      <c r="U876" s="2"/>
      <c r="V876" s="2"/>
      <c r="W876" s="2"/>
      <c r="X876" s="2"/>
      <c r="Z876" s="2"/>
      <c r="AA876" s="2"/>
      <c r="AF876" s="14"/>
    </row>
    <row r="877" spans="1:32" s="4" customFormat="1" ht="15.75" customHeight="1" x14ac:dyDescent="0.25">
      <c r="A877" s="33" t="str">
        <f>CONCATENATE(D877,".",F877,"-",G877,".",H877,"")</f>
        <v>2.3-1.9</v>
      </c>
      <c r="B877" s="33" t="s">
        <v>814</v>
      </c>
      <c r="C877" s="39" t="s">
        <v>262</v>
      </c>
      <c r="D877" s="33">
        <f>IF(C877="ID",1,(IF(C877="PR",2,(IF(C877="DE",3,(IF(C877="RS",4,(IF(C877="RC",5,0)))))))))</f>
        <v>2</v>
      </c>
      <c r="E877" s="33" t="s">
        <v>343</v>
      </c>
      <c r="F877" s="33">
        <f>IF(E877="AM",1,(IF(E877="BE",2,(IF(E877="GV",3,(IF(E877="RA",4,(IF(E877="RM",5,(IF(E877="AC",1,(IF(E877="AT",2,(IF(E877="DS",3,(IF(E877="IP",4,(IF(E877="MA",5,(IF(E877="PT",6,(IF(E877="AE",1,(IF(E877="CM",2,(IF(E877="DP",3,(IF(E877="AN",1,(IF(E877="CO",2,(IF(E877="IM",3,(IF(E877="MI",4,(IF(E877="RP",5,(IF(E877="SC",6,0)))))))))))))))))))))))))))))))))))))))</f>
        <v>3</v>
      </c>
      <c r="G877" s="170">
        <v>1</v>
      </c>
      <c r="H877" s="38" t="s">
        <v>596</v>
      </c>
      <c r="I877" s="27" t="s">
        <v>266</v>
      </c>
      <c r="J877" s="149" t="s">
        <v>474</v>
      </c>
      <c r="K877" s="79" t="s">
        <v>1354</v>
      </c>
      <c r="L877" s="66">
        <f>IF(O877="","",N877*O877*M877)</f>
        <v>75</v>
      </c>
      <c r="M877" s="8">
        <v>1</v>
      </c>
      <c r="N877" s="1">
        <v>1</v>
      </c>
      <c r="O877" s="15">
        <f>IF(SUM(Q877:AF877)&lt;1,"",SUM(Q877:AF877)/COUNTIF(Q877:AF877,"&gt;0"))</f>
        <v>75</v>
      </c>
      <c r="P877" s="16"/>
      <c r="Q877" s="13"/>
      <c r="T877" s="4">
        <v>75</v>
      </c>
      <c r="U877" s="2"/>
      <c r="V877" s="2"/>
      <c r="W877" s="2"/>
      <c r="X877" s="2"/>
      <c r="Z877" s="2"/>
      <c r="AA877" s="2"/>
      <c r="AF877" s="14"/>
    </row>
    <row r="878" spans="1:32" s="4" customFormat="1" ht="15.75" customHeight="1" x14ac:dyDescent="0.25">
      <c r="A878" s="33" t="str">
        <f>CONCATENATE(D878,".",F878,"-",G878,".",H878,"")</f>
        <v>2.3-1.9</v>
      </c>
      <c r="B878" s="33" t="s">
        <v>814</v>
      </c>
      <c r="C878" s="39" t="s">
        <v>262</v>
      </c>
      <c r="D878" s="33">
        <f>IF(C878="ID",1,(IF(C878="PR",2,(IF(C878="DE",3,(IF(C878="RS",4,(IF(C878="RC",5,0)))))))))</f>
        <v>2</v>
      </c>
      <c r="E878" s="33" t="s">
        <v>343</v>
      </c>
      <c r="F878" s="33">
        <f>IF(E878="AM",1,(IF(E878="BE",2,(IF(E878="GV",3,(IF(E878="RA",4,(IF(E878="RM",5,(IF(E878="AC",1,(IF(E878="AT",2,(IF(E878="DS",3,(IF(E878="IP",4,(IF(E878="MA",5,(IF(E878="PT",6,(IF(E878="AE",1,(IF(E878="CM",2,(IF(E878="DP",3,(IF(E878="AN",1,(IF(E878="CO",2,(IF(E878="IM",3,(IF(E878="MI",4,(IF(E878="RP",5,(IF(E878="SC",6,0)))))))))))))))))))))))))))))))))))))))</f>
        <v>3</v>
      </c>
      <c r="G878" s="170">
        <v>1</v>
      </c>
      <c r="H878" s="38" t="s">
        <v>596</v>
      </c>
      <c r="I878" s="27" t="s">
        <v>266</v>
      </c>
      <c r="J878" s="149" t="s">
        <v>475</v>
      </c>
      <c r="K878" s="79" t="s">
        <v>1355</v>
      </c>
      <c r="L878" s="66">
        <f>IF(O878="","",N878*O878*M878)</f>
        <v>75</v>
      </c>
      <c r="M878" s="8">
        <v>1</v>
      </c>
      <c r="N878" s="1">
        <v>1</v>
      </c>
      <c r="O878" s="15">
        <f>IF(SUM(Q878:AF878)&lt;1,"",SUM(Q878:AF878)/COUNTIF(Q878:AF878,"&gt;0"))</f>
        <v>75</v>
      </c>
      <c r="P878" s="16"/>
      <c r="Q878" s="13"/>
      <c r="T878" s="4">
        <v>75</v>
      </c>
      <c r="U878" s="2"/>
      <c r="V878" s="2"/>
      <c r="W878" s="2"/>
      <c r="X878" s="2"/>
      <c r="Z878" s="2"/>
      <c r="AA878" s="2"/>
      <c r="AF878" s="14"/>
    </row>
    <row r="879" spans="1:32" s="4" customFormat="1" ht="15.75" customHeight="1" x14ac:dyDescent="0.25">
      <c r="A879" s="33" t="str">
        <f>CONCATENATE(D879,".",F879,"-",G879,".",H879,"")</f>
        <v>2.3-2.0</v>
      </c>
      <c r="B879" s="33" t="s">
        <v>814</v>
      </c>
      <c r="C879" s="40" t="s">
        <v>262</v>
      </c>
      <c r="D879" s="33">
        <f>IF(C879="ID",1,(IF(C879="PR",2,(IF(C879="DE",3,(IF(C879="RS",4,(IF(C879="RC",5,0)))))))))</f>
        <v>2</v>
      </c>
      <c r="E879" s="33" t="s">
        <v>343</v>
      </c>
      <c r="F879" s="33">
        <f>IF(E879="AM",1,(IF(E879="BE",2,(IF(E879="GV",3,(IF(E879="RA",4,(IF(E879="RM",5,(IF(E879="AC",1,(IF(E879="AT",2,(IF(E879="DS",3,(IF(E879="IP",4,(IF(E879="MA",5,(IF(E879="PT",6,(IF(E879="AE",1,(IF(E879="CM",2,(IF(E879="DP",3,(IF(E879="AN",1,(IF(E879="CO",2,(IF(E879="IM",3,(IF(E879="MI",4,(IF(E879="RP",5,(IF(E879="SC",6,0)))))))))))))))))))))))))))))))))))))))</f>
        <v>3</v>
      </c>
      <c r="G879" s="170">
        <v>2</v>
      </c>
      <c r="H879" s="38" t="s">
        <v>597</v>
      </c>
      <c r="I879" s="27" t="s">
        <v>1200</v>
      </c>
      <c r="J879" s="149" t="s">
        <v>674</v>
      </c>
      <c r="K879" s="98" t="s">
        <v>441</v>
      </c>
      <c r="L879" s="66">
        <f>IF(O879="","",N879*O879*M879)</f>
        <v>75</v>
      </c>
      <c r="M879" s="8">
        <v>1</v>
      </c>
      <c r="N879" s="1">
        <v>1</v>
      </c>
      <c r="O879" s="15">
        <f>IF(SUM(Q879:AF879)&lt;1,"",SUM(Q879:AF879)/COUNTIF(Q879:AF879,"&gt;0"))</f>
        <v>75</v>
      </c>
      <c r="P879" s="16"/>
      <c r="Q879" s="13"/>
      <c r="T879" s="4">
        <v>75</v>
      </c>
      <c r="U879" s="2"/>
      <c r="V879" s="2"/>
      <c r="W879" s="2"/>
      <c r="X879" s="2"/>
      <c r="Z879" s="2"/>
      <c r="AA879" s="2"/>
      <c r="AF879" s="14"/>
    </row>
    <row r="880" spans="1:32" s="4" customFormat="1" ht="15.75" customHeight="1" x14ac:dyDescent="0.25">
      <c r="A880" s="33" t="str">
        <f>CONCATENATE(D880,".",F880,"-",G880,".",H880,"")</f>
        <v>2.3-2.1</v>
      </c>
      <c r="B880" s="33" t="s">
        <v>814</v>
      </c>
      <c r="C880" s="39" t="s">
        <v>262</v>
      </c>
      <c r="D880" s="33">
        <f>IF(C880="ID",1,(IF(C880="PR",2,(IF(C880="DE",3,(IF(C880="RS",4,(IF(C880="RC",5,0)))))))))</f>
        <v>2</v>
      </c>
      <c r="E880" s="33" t="s">
        <v>343</v>
      </c>
      <c r="F880" s="33">
        <f>IF(E880="AM",1,(IF(E880="BE",2,(IF(E880="GV",3,(IF(E880="RA",4,(IF(E880="RM",5,(IF(E880="AC",1,(IF(E880="AT",2,(IF(E880="DS",3,(IF(E880="IP",4,(IF(E880="MA",5,(IF(E880="PT",6,(IF(E880="AE",1,(IF(E880="CM",2,(IF(E880="DP",3,(IF(E880="AN",1,(IF(E880="CO",2,(IF(E880="IM",3,(IF(E880="MI",4,(IF(E880="RP",5,(IF(E880="SC",6,0)))))))))))))))))))))))))))))))))))))))</f>
        <v>3</v>
      </c>
      <c r="G880" s="170">
        <v>2</v>
      </c>
      <c r="H880" s="38" t="s">
        <v>511</v>
      </c>
      <c r="I880" s="105" t="s">
        <v>821</v>
      </c>
      <c r="J880" s="150">
        <v>2.2999999999999998</v>
      </c>
      <c r="K880" s="79" t="s">
        <v>1283</v>
      </c>
      <c r="L880" s="66">
        <f>IF(O880="","",N880*O880*M880)</f>
        <v>75</v>
      </c>
      <c r="M880" s="8">
        <v>1</v>
      </c>
      <c r="N880" s="3">
        <v>1</v>
      </c>
      <c r="O880" s="15">
        <f>IF(SUM(Q880:AF880)&lt;1,"",SUM(Q880:AF880)/COUNTIF(Q880:AF880,"&gt;0"))</f>
        <v>75</v>
      </c>
      <c r="P880" s="16"/>
      <c r="Q880" s="13"/>
      <c r="T880" s="4">
        <v>75</v>
      </c>
      <c r="U880" s="2"/>
      <c r="V880" s="2"/>
      <c r="W880" s="2"/>
      <c r="X880" s="2"/>
      <c r="Z880" s="2"/>
      <c r="AA880" s="2"/>
      <c r="AF880" s="14"/>
    </row>
    <row r="881" spans="1:32" s="4" customFormat="1" ht="15.75" customHeight="1" x14ac:dyDescent="0.25">
      <c r="A881" s="33" t="str">
        <f>CONCATENATE(D881,".",F881,"-",G881,".",H881,"")</f>
        <v>2.3-2.1</v>
      </c>
      <c r="B881" s="33" t="s">
        <v>814</v>
      </c>
      <c r="C881" s="40" t="s">
        <v>262</v>
      </c>
      <c r="D881" s="33">
        <f>IF(C881="ID",1,(IF(C881="PR",2,(IF(C881="DE",3,(IF(C881="RS",4,(IF(C881="RC",5,0)))))))))</f>
        <v>2</v>
      </c>
      <c r="E881" s="33" t="s">
        <v>343</v>
      </c>
      <c r="F881" s="33">
        <f>IF(E881="AM",1,(IF(E881="BE",2,(IF(E881="GV",3,(IF(E881="RA",4,(IF(E881="RM",5,(IF(E881="AC",1,(IF(E881="AT",2,(IF(E881="DS",3,(IF(E881="IP",4,(IF(E881="MA",5,(IF(E881="PT",6,(IF(E881="AE",1,(IF(E881="CM",2,(IF(E881="DP",3,(IF(E881="AN",1,(IF(E881="CO",2,(IF(E881="IM",3,(IF(E881="MI",4,(IF(E881="RP",5,(IF(E881="SC",6,0)))))))))))))))))))))))))))))))))))))))</f>
        <v>3</v>
      </c>
      <c r="G881" s="171">
        <v>2</v>
      </c>
      <c r="H881" s="38" t="s">
        <v>511</v>
      </c>
      <c r="I881" s="105" t="s">
        <v>821</v>
      </c>
      <c r="J881" s="150">
        <v>4.0999999999999996</v>
      </c>
      <c r="K881" s="79" t="s">
        <v>1283</v>
      </c>
      <c r="L881" s="66">
        <f>IF(O881="","",N881*O881*M881)</f>
        <v>75</v>
      </c>
      <c r="M881" s="8">
        <v>1</v>
      </c>
      <c r="N881" s="3">
        <v>1</v>
      </c>
      <c r="O881" s="15">
        <f>IF(SUM(Q881:AF881)&lt;1,"",SUM(Q881:AF881)/COUNTIF(Q881:AF881,"&gt;0"))</f>
        <v>75</v>
      </c>
      <c r="P881" s="16"/>
      <c r="Q881" s="13"/>
      <c r="T881" s="4">
        <v>75</v>
      </c>
      <c r="U881" s="2"/>
      <c r="V881" s="2"/>
      <c r="W881" s="2"/>
      <c r="X881" s="2"/>
      <c r="Z881" s="2"/>
      <c r="AA881" s="2"/>
      <c r="AF881" s="14"/>
    </row>
    <row r="882" spans="1:32" s="4" customFormat="1" ht="15.75" customHeight="1" x14ac:dyDescent="0.25">
      <c r="A882" s="33" t="str">
        <f>CONCATENATE(D882,".",F882,"-",G882,".",H882,"")</f>
        <v>2.3-2.1</v>
      </c>
      <c r="B882" s="33" t="s">
        <v>814</v>
      </c>
      <c r="C882" s="40" t="s">
        <v>262</v>
      </c>
      <c r="D882" s="33">
        <f>IF(C882="ID",1,(IF(C882="PR",2,(IF(C882="DE",3,(IF(C882="RS",4,(IF(C882="RC",5,0)))))))))</f>
        <v>2</v>
      </c>
      <c r="E882" s="33" t="s">
        <v>343</v>
      </c>
      <c r="F882" s="33">
        <f>IF(E882="AM",1,(IF(E882="BE",2,(IF(E882="GV",3,(IF(E882="RA",4,(IF(E882="RM",5,(IF(E882="AC",1,(IF(E882="AT",2,(IF(E882="DS",3,(IF(E882="IP",4,(IF(E882="MA",5,(IF(E882="PT",6,(IF(E882="AE",1,(IF(E882="CM",2,(IF(E882="DP",3,(IF(E882="AN",1,(IF(E882="CO",2,(IF(E882="IM",3,(IF(E882="MI",4,(IF(E882="RP",5,(IF(E882="SC",6,0)))))))))))))))))))))))))))))))))))))))</f>
        <v>3</v>
      </c>
      <c r="G882" s="171">
        <v>2</v>
      </c>
      <c r="H882" s="38" t="s">
        <v>511</v>
      </c>
      <c r="I882" s="105" t="s">
        <v>821</v>
      </c>
      <c r="J882" s="150">
        <v>11.4</v>
      </c>
      <c r="K882" s="79" t="s">
        <v>1283</v>
      </c>
      <c r="L882" s="66">
        <f>IF(O882="","",N882*O882*M882)</f>
        <v>75</v>
      </c>
      <c r="M882" s="8">
        <v>1</v>
      </c>
      <c r="N882" s="3">
        <v>1</v>
      </c>
      <c r="O882" s="15">
        <f>IF(SUM(Q882:AF882)&lt;1,"",SUM(Q882:AF882)/COUNTIF(Q882:AF882,"&gt;0"))</f>
        <v>75</v>
      </c>
      <c r="P882" s="16"/>
      <c r="Q882" s="13"/>
      <c r="T882" s="4">
        <v>75</v>
      </c>
      <c r="U882" s="2"/>
      <c r="V882" s="2"/>
      <c r="W882" s="2"/>
      <c r="X882" s="2"/>
      <c r="Z882" s="2"/>
      <c r="AA882" s="2"/>
      <c r="AF882" s="14"/>
    </row>
    <row r="883" spans="1:32" s="4" customFormat="1" ht="15.75" customHeight="1" x14ac:dyDescent="0.25">
      <c r="A883" s="33" t="str">
        <f>CONCATENATE(D883,".",F883,"-",G883,".",H883,"")</f>
        <v>2.3-2.1</v>
      </c>
      <c r="B883" s="33" t="s">
        <v>814</v>
      </c>
      <c r="C883" s="39" t="s">
        <v>262</v>
      </c>
      <c r="D883" s="33">
        <f>IF(C883="ID",1,(IF(C883="PR",2,(IF(C883="DE",3,(IF(C883="RS",4,(IF(C883="RC",5,0)))))))))</f>
        <v>2</v>
      </c>
      <c r="E883" s="33" t="s">
        <v>343</v>
      </c>
      <c r="F883" s="33">
        <f>IF(E883="AM",1,(IF(E883="BE",2,(IF(E883="GV",3,(IF(E883="RA",4,(IF(E883="RM",5,(IF(E883="AC",1,(IF(E883="AT",2,(IF(E883="DS",3,(IF(E883="IP",4,(IF(E883="MA",5,(IF(E883="PT",6,(IF(E883="AE",1,(IF(E883="CM",2,(IF(E883="DP",3,(IF(E883="AN",1,(IF(E883="CO",2,(IF(E883="IM",3,(IF(E883="MI",4,(IF(E883="RP",5,(IF(E883="SC",6,0)))))))))))))))))))))))))))))))))))))))</f>
        <v>3</v>
      </c>
      <c r="G883" s="170">
        <v>2</v>
      </c>
      <c r="H883" s="38" t="s">
        <v>511</v>
      </c>
      <c r="I883" s="35" t="s">
        <v>1176</v>
      </c>
      <c r="J883" s="162">
        <v>3.4</v>
      </c>
      <c r="K883" s="80" t="s">
        <v>802</v>
      </c>
      <c r="L883" s="66">
        <f>IF(O883="","",N883*O883*M883)</f>
        <v>75</v>
      </c>
      <c r="M883" s="8">
        <v>1</v>
      </c>
      <c r="N883" s="3">
        <v>1</v>
      </c>
      <c r="O883" s="15">
        <f>IF(SUM(Q883:AF883)&lt;1,"",SUM(Q883:AF883)/COUNTIF(Q883:AF883,"&gt;0"))</f>
        <v>75</v>
      </c>
      <c r="P883" s="16"/>
      <c r="Q883" s="13"/>
      <c r="T883" s="4">
        <v>75</v>
      </c>
      <c r="U883" s="2"/>
      <c r="V883" s="2"/>
      <c r="W883" s="2"/>
      <c r="X883" s="2"/>
      <c r="Z883" s="2"/>
      <c r="AA883" s="2"/>
      <c r="AF883" s="14"/>
    </row>
    <row r="884" spans="1:32" s="4" customFormat="1" ht="15.75" customHeight="1" x14ac:dyDescent="0.25">
      <c r="A884" s="33" t="str">
        <f>CONCATENATE(D884,".",F884,"-",G884,".",H884,"")</f>
        <v>2.3-2.1</v>
      </c>
      <c r="B884" s="33" t="s">
        <v>814</v>
      </c>
      <c r="C884" s="39" t="s">
        <v>262</v>
      </c>
      <c r="D884" s="33">
        <f>IF(C884="ID",1,(IF(C884="PR",2,(IF(C884="DE",3,(IF(C884="RS",4,(IF(C884="RC",5,0)))))))))</f>
        <v>2</v>
      </c>
      <c r="E884" s="33" t="s">
        <v>343</v>
      </c>
      <c r="F884" s="33">
        <f>IF(E884="AM",1,(IF(E884="BE",2,(IF(E884="GV",3,(IF(E884="RA",4,(IF(E884="RM",5,(IF(E884="AC",1,(IF(E884="AT",2,(IF(E884="DS",3,(IF(E884="IP",4,(IF(E884="MA",5,(IF(E884="PT",6,(IF(E884="AE",1,(IF(E884="CM",2,(IF(E884="DP",3,(IF(E884="AN",1,(IF(E884="CO",2,(IF(E884="IM",3,(IF(E884="MI",4,(IF(E884="RP",5,(IF(E884="SC",6,0)))))))))))))))))))))))))))))))))))))))</f>
        <v>3</v>
      </c>
      <c r="G884" s="170">
        <v>2</v>
      </c>
      <c r="H884" s="38" t="s">
        <v>511</v>
      </c>
      <c r="I884" s="35" t="s">
        <v>1176</v>
      </c>
      <c r="J884" s="162">
        <v>14.2</v>
      </c>
      <c r="K884" s="80" t="s">
        <v>1121</v>
      </c>
      <c r="L884" s="66">
        <f>IF(O884="","",N884*O884*M884)</f>
        <v>75</v>
      </c>
      <c r="M884" s="8">
        <v>1</v>
      </c>
      <c r="N884" s="3">
        <v>1</v>
      </c>
      <c r="O884" s="15">
        <f>IF(SUM(Q884:AF884)&lt;1,"",SUM(Q884:AF884)/COUNTIF(Q884:AF884,"&gt;0"))</f>
        <v>75</v>
      </c>
      <c r="P884" s="16"/>
      <c r="Q884" s="13"/>
      <c r="T884" s="4">
        <v>75</v>
      </c>
      <c r="U884" s="2"/>
      <c r="V884" s="2"/>
      <c r="W884" s="2"/>
      <c r="X884" s="2"/>
      <c r="Z884" s="2"/>
      <c r="AA884" s="2"/>
      <c r="AF884" s="14"/>
    </row>
    <row r="885" spans="1:32" s="4" customFormat="1" ht="15.75" customHeight="1" x14ac:dyDescent="0.25">
      <c r="A885" s="33" t="str">
        <f>CONCATENATE(D885,".",F885,"-",G885,".",H885,"")</f>
        <v>2.3-2.1</v>
      </c>
      <c r="B885" s="33" t="s">
        <v>814</v>
      </c>
      <c r="C885" s="39" t="s">
        <v>262</v>
      </c>
      <c r="D885" s="33">
        <f>IF(C885="ID",1,(IF(C885="PR",2,(IF(C885="DE",3,(IF(C885="RS",4,(IF(C885="RC",5,0)))))))))</f>
        <v>2</v>
      </c>
      <c r="E885" s="33" t="s">
        <v>343</v>
      </c>
      <c r="F885" s="33">
        <f>IF(E885="AM",1,(IF(E885="BE",2,(IF(E885="GV",3,(IF(E885="RA",4,(IF(E885="RM",5,(IF(E885="AC",1,(IF(E885="AT",2,(IF(E885="DS",3,(IF(E885="IP",4,(IF(E885="MA",5,(IF(E885="PT",6,(IF(E885="AE",1,(IF(E885="CM",2,(IF(E885="DP",3,(IF(E885="AN",1,(IF(E885="CO",2,(IF(E885="IM",3,(IF(E885="MI",4,(IF(E885="RP",5,(IF(E885="SC",6,0)))))))))))))))))))))))))))))))))))))))</f>
        <v>3</v>
      </c>
      <c r="G885" s="170">
        <v>2</v>
      </c>
      <c r="H885" s="38" t="s">
        <v>511</v>
      </c>
      <c r="I885" s="35" t="s">
        <v>1176</v>
      </c>
      <c r="J885" s="162">
        <v>16.13</v>
      </c>
      <c r="K885" s="80" t="s">
        <v>1147</v>
      </c>
      <c r="L885" s="66">
        <f>IF(O885="","",N885*O885*M885)</f>
        <v>75</v>
      </c>
      <c r="M885" s="8">
        <v>1</v>
      </c>
      <c r="N885" s="3">
        <v>1</v>
      </c>
      <c r="O885" s="15">
        <f>IF(SUM(Q885:AF885)&lt;1,"",SUM(Q885:AF885)/COUNTIF(Q885:AF885,"&gt;0"))</f>
        <v>75</v>
      </c>
      <c r="P885" s="16"/>
      <c r="Q885" s="13"/>
      <c r="T885" s="4">
        <v>75</v>
      </c>
      <c r="U885" s="2"/>
      <c r="V885" s="2"/>
      <c r="W885" s="2"/>
      <c r="X885" s="2"/>
      <c r="Z885" s="2"/>
      <c r="AA885" s="2"/>
      <c r="AF885" s="14"/>
    </row>
    <row r="886" spans="1:32" s="4" customFormat="1" ht="15.75" customHeight="1" x14ac:dyDescent="0.25">
      <c r="A886" s="33" t="str">
        <f>CONCATENATE(D886,".",F886,"-",G886,".",H886,"")</f>
        <v>2.3-2.1</v>
      </c>
      <c r="B886" s="33" t="s">
        <v>814</v>
      </c>
      <c r="C886" s="40" t="s">
        <v>262</v>
      </c>
      <c r="D886" s="33">
        <f>IF(C886="ID",1,(IF(C886="PR",2,(IF(C886="DE",3,(IF(C886="RS",4,(IF(C886="RC",5,0)))))))))</f>
        <v>2</v>
      </c>
      <c r="E886" s="33" t="s">
        <v>343</v>
      </c>
      <c r="F886" s="33">
        <f>IF(E886="AM",1,(IF(E886="BE",2,(IF(E886="GV",3,(IF(E886="RA",4,(IF(E886="RM",5,(IF(E886="AC",1,(IF(E886="AT",2,(IF(E886="DS",3,(IF(E886="IP",4,(IF(E886="MA",5,(IF(E886="PT",6,(IF(E886="AE",1,(IF(E886="CM",2,(IF(E886="DP",3,(IF(E886="AN",1,(IF(E886="CO",2,(IF(E886="IM",3,(IF(E886="MI",4,(IF(E886="RP",5,(IF(E886="SC",6,0)))))))))))))))))))))))))))))))))))))))</f>
        <v>3</v>
      </c>
      <c r="G886" s="171">
        <v>2</v>
      </c>
      <c r="H886" s="38" t="s">
        <v>511</v>
      </c>
      <c r="I886" s="27" t="s">
        <v>936</v>
      </c>
      <c r="J886" s="163" t="s">
        <v>876</v>
      </c>
      <c r="K886" s="34" t="s">
        <v>993</v>
      </c>
      <c r="L886" s="66">
        <f>IF(O886="","",N886*O886*M886)</f>
        <v>75</v>
      </c>
      <c r="M886" s="8">
        <v>1</v>
      </c>
      <c r="N886" s="3">
        <v>1</v>
      </c>
      <c r="O886" s="15">
        <f>IF(SUM(Q886:AF886)&lt;1,"",SUM(Q886:AF886)/COUNTIF(Q886:AF886,"&gt;0"))</f>
        <v>75</v>
      </c>
      <c r="P886" s="16"/>
      <c r="Q886" s="13"/>
      <c r="T886" s="4">
        <v>75</v>
      </c>
      <c r="U886" s="2"/>
      <c r="V886" s="2"/>
      <c r="W886" s="2"/>
      <c r="X886" s="2"/>
      <c r="Z886" s="2"/>
      <c r="AA886" s="2"/>
      <c r="AF886" s="14"/>
    </row>
    <row r="887" spans="1:32" s="4" customFormat="1" ht="15.75" customHeight="1" x14ac:dyDescent="0.25">
      <c r="A887" s="33" t="str">
        <f>CONCATENATE(D887,".",F887,"-",G887,".",H887,"")</f>
        <v>2.3-2.1</v>
      </c>
      <c r="B887" s="33" t="s">
        <v>814</v>
      </c>
      <c r="C887" s="40" t="s">
        <v>262</v>
      </c>
      <c r="D887" s="33">
        <f>IF(C887="ID",1,(IF(C887="PR",2,(IF(C887="DE",3,(IF(C887="RS",4,(IF(C887="RC",5,0)))))))))</f>
        <v>2</v>
      </c>
      <c r="E887" s="33" t="s">
        <v>343</v>
      </c>
      <c r="F887" s="33">
        <f>IF(E887="AM",1,(IF(E887="BE",2,(IF(E887="GV",3,(IF(E887="RA",4,(IF(E887="RM",5,(IF(E887="AC",1,(IF(E887="AT",2,(IF(E887="DS",3,(IF(E887="IP",4,(IF(E887="MA",5,(IF(E887="PT",6,(IF(E887="AE",1,(IF(E887="CM",2,(IF(E887="DP",3,(IF(E887="AN",1,(IF(E887="CO",2,(IF(E887="IM",3,(IF(E887="MI",4,(IF(E887="RP",5,(IF(E887="SC",6,0)))))))))))))))))))))))))))))))))))))))</f>
        <v>3</v>
      </c>
      <c r="G887" s="171">
        <v>2</v>
      </c>
      <c r="H887" s="38" t="s">
        <v>511</v>
      </c>
      <c r="I887" s="27" t="s">
        <v>936</v>
      </c>
      <c r="J887" s="163" t="s">
        <v>911</v>
      </c>
      <c r="K887" s="34" t="s">
        <v>958</v>
      </c>
      <c r="L887" s="66">
        <f>IF(O887="","",N887*O887*M887)</f>
        <v>75</v>
      </c>
      <c r="M887" s="8">
        <v>1</v>
      </c>
      <c r="N887" s="3">
        <v>1</v>
      </c>
      <c r="O887" s="15">
        <f>IF(SUM(Q887:AF887)&lt;1,"",SUM(Q887:AF887)/COUNTIF(Q887:AF887,"&gt;0"))</f>
        <v>75</v>
      </c>
      <c r="P887" s="16"/>
      <c r="Q887" s="13"/>
      <c r="T887" s="4">
        <v>75</v>
      </c>
      <c r="U887" s="2"/>
      <c r="V887" s="2"/>
      <c r="W887" s="2"/>
      <c r="X887" s="2"/>
      <c r="Z887" s="2"/>
      <c r="AA887" s="2"/>
      <c r="AF887" s="14"/>
    </row>
    <row r="888" spans="1:32" s="4" customFormat="1" ht="15.75" customHeight="1" x14ac:dyDescent="0.25">
      <c r="A888" s="33" t="str">
        <f>CONCATENATE(D888,".",F888,"-",G888,".",H888,"")</f>
        <v>2.3-2.1</v>
      </c>
      <c r="B888" s="33" t="s">
        <v>814</v>
      </c>
      <c r="C888" s="40" t="s">
        <v>262</v>
      </c>
      <c r="D888" s="33">
        <f>IF(C888="ID",1,(IF(C888="PR",2,(IF(C888="DE",3,(IF(C888="RS",4,(IF(C888="RC",5,0)))))))))</f>
        <v>2</v>
      </c>
      <c r="E888" s="33" t="s">
        <v>343</v>
      </c>
      <c r="F888" s="33">
        <f>IF(E888="AM",1,(IF(E888="BE",2,(IF(E888="GV",3,(IF(E888="RA",4,(IF(E888="RM",5,(IF(E888="AC",1,(IF(E888="AT",2,(IF(E888="DS",3,(IF(E888="IP",4,(IF(E888="MA",5,(IF(E888="PT",6,(IF(E888="AE",1,(IF(E888="CM",2,(IF(E888="DP",3,(IF(E888="AN",1,(IF(E888="CO",2,(IF(E888="IM",3,(IF(E888="MI",4,(IF(E888="RP",5,(IF(E888="SC",6,0)))))))))))))))))))))))))))))))))))))))</f>
        <v>3</v>
      </c>
      <c r="G888" s="171">
        <v>2</v>
      </c>
      <c r="H888" s="38" t="s">
        <v>511</v>
      </c>
      <c r="I888" s="27" t="s">
        <v>936</v>
      </c>
      <c r="J888" s="163" t="s">
        <v>923</v>
      </c>
      <c r="K888" s="34" t="s">
        <v>959</v>
      </c>
      <c r="L888" s="66">
        <f>IF(O888="","",N888*O888*M888)</f>
        <v>75</v>
      </c>
      <c r="M888" s="8">
        <v>1</v>
      </c>
      <c r="N888" s="3">
        <v>1</v>
      </c>
      <c r="O888" s="15">
        <f>IF(SUM(Q888:AF888)&lt;1,"",SUM(Q888:AF888)/COUNTIF(Q888:AF888,"&gt;0"))</f>
        <v>75</v>
      </c>
      <c r="P888" s="16"/>
      <c r="Q888" s="13"/>
      <c r="T888" s="4">
        <v>75</v>
      </c>
      <c r="U888" s="2"/>
      <c r="V888" s="2"/>
      <c r="W888" s="2"/>
      <c r="X888" s="2"/>
      <c r="Z888" s="2"/>
      <c r="AA888" s="2"/>
      <c r="AF888" s="14"/>
    </row>
    <row r="889" spans="1:32" s="4" customFormat="1" ht="15.75" customHeight="1" x14ac:dyDescent="0.25">
      <c r="A889" s="33" t="str">
        <f>CONCATENATE(D889,".",F889,"-",G889,".",H889,"")</f>
        <v>2.3-2.1</v>
      </c>
      <c r="B889" s="33" t="s">
        <v>814</v>
      </c>
      <c r="C889" s="40" t="s">
        <v>262</v>
      </c>
      <c r="D889" s="33">
        <f>IF(C889="ID",1,(IF(C889="PR",2,(IF(C889="DE",3,(IF(C889="RS",4,(IF(C889="RC",5,0)))))))))</f>
        <v>2</v>
      </c>
      <c r="E889" s="33" t="s">
        <v>343</v>
      </c>
      <c r="F889" s="33">
        <f>IF(E889="AM",1,(IF(E889="BE",2,(IF(E889="GV",3,(IF(E889="RA",4,(IF(E889="RM",5,(IF(E889="AC",1,(IF(E889="AT",2,(IF(E889="DS",3,(IF(E889="IP",4,(IF(E889="MA",5,(IF(E889="PT",6,(IF(E889="AE",1,(IF(E889="CM",2,(IF(E889="DP",3,(IF(E889="AN",1,(IF(E889="CO",2,(IF(E889="IM",3,(IF(E889="MI",4,(IF(E889="RP",5,(IF(E889="SC",6,0)))))))))))))))))))))))))))))))))))))))</f>
        <v>3</v>
      </c>
      <c r="G889" s="171">
        <v>2</v>
      </c>
      <c r="H889" s="38" t="s">
        <v>511</v>
      </c>
      <c r="I889" s="27" t="s">
        <v>936</v>
      </c>
      <c r="J889" s="163" t="s">
        <v>912</v>
      </c>
      <c r="K889" s="34" t="s">
        <v>960</v>
      </c>
      <c r="L889" s="66">
        <f>IF(O889="","",N889*O889*M889)</f>
        <v>75</v>
      </c>
      <c r="M889" s="8">
        <v>1</v>
      </c>
      <c r="N889" s="3">
        <v>1</v>
      </c>
      <c r="O889" s="15">
        <f>IF(SUM(Q889:AF889)&lt;1,"",SUM(Q889:AF889)/COUNTIF(Q889:AF889,"&gt;0"))</f>
        <v>75</v>
      </c>
      <c r="P889" s="16"/>
      <c r="Q889" s="13"/>
      <c r="T889" s="4">
        <v>75</v>
      </c>
      <c r="U889" s="2"/>
      <c r="V889" s="2"/>
      <c r="W889" s="2"/>
      <c r="X889" s="2"/>
      <c r="Z889" s="2"/>
      <c r="AA889" s="2"/>
      <c r="AF889" s="14"/>
    </row>
    <row r="890" spans="1:32" s="4" customFormat="1" ht="15.75" customHeight="1" x14ac:dyDescent="0.25">
      <c r="A890" s="33" t="str">
        <f>CONCATENATE(D890,".",F890,"-",G890,".",H890,"")</f>
        <v>2.3-2.1</v>
      </c>
      <c r="B890" s="33" t="s">
        <v>814</v>
      </c>
      <c r="C890" s="40" t="s">
        <v>262</v>
      </c>
      <c r="D890" s="33">
        <f>IF(C890="ID",1,(IF(C890="PR",2,(IF(C890="DE",3,(IF(C890="RS",4,(IF(C890="RC",5,0)))))))))</f>
        <v>2</v>
      </c>
      <c r="E890" s="33" t="s">
        <v>343</v>
      </c>
      <c r="F890" s="33">
        <f>IF(E890="AM",1,(IF(E890="BE",2,(IF(E890="GV",3,(IF(E890="RA",4,(IF(E890="RM",5,(IF(E890="AC",1,(IF(E890="AT",2,(IF(E890="DS",3,(IF(E890="IP",4,(IF(E890="MA",5,(IF(E890="PT",6,(IF(E890="AE",1,(IF(E890="CM",2,(IF(E890="DP",3,(IF(E890="AN",1,(IF(E890="CO",2,(IF(E890="IM",3,(IF(E890="MI",4,(IF(E890="RP",5,(IF(E890="SC",6,0)))))))))))))))))))))))))))))))))))))))</f>
        <v>3</v>
      </c>
      <c r="G890" s="171">
        <v>2</v>
      </c>
      <c r="H890" s="38" t="s">
        <v>511</v>
      </c>
      <c r="I890" s="105" t="s">
        <v>821</v>
      </c>
      <c r="J890" s="150" t="s">
        <v>91</v>
      </c>
      <c r="K890" s="79" t="s">
        <v>1283</v>
      </c>
      <c r="L890" s="66">
        <f>IF(O890="","",N890*O890*M890)</f>
        <v>75</v>
      </c>
      <c r="M890" s="8">
        <v>1</v>
      </c>
      <c r="N890" s="3">
        <v>1</v>
      </c>
      <c r="O890" s="15">
        <f>IF(SUM(Q890:AF890)&lt;1,"",SUM(Q890:AF890)/COUNTIF(Q890:AF890,"&gt;0"))</f>
        <v>75</v>
      </c>
      <c r="P890" s="16"/>
      <c r="Q890" s="13"/>
      <c r="T890" s="4">
        <v>75</v>
      </c>
      <c r="U890" s="2"/>
      <c r="V890" s="2"/>
      <c r="W890" s="2"/>
      <c r="X890" s="2"/>
      <c r="Z890" s="2"/>
      <c r="AA890" s="2"/>
      <c r="AF890" s="14"/>
    </row>
    <row r="891" spans="1:32" s="4" customFormat="1" ht="15.75" customHeight="1" x14ac:dyDescent="0.25">
      <c r="A891" s="33" t="str">
        <f>CONCATENATE(D891,".",F891,"-",G891,".",H891,"")</f>
        <v>2.3-2.1</v>
      </c>
      <c r="B891" s="33" t="s">
        <v>814</v>
      </c>
      <c r="C891" s="39" t="s">
        <v>262</v>
      </c>
      <c r="D891" s="33">
        <f>IF(C891="ID",1,(IF(C891="PR",2,(IF(C891="DE",3,(IF(C891="RS",4,(IF(C891="RC",5,0)))))))))</f>
        <v>2</v>
      </c>
      <c r="E891" s="33" t="s">
        <v>343</v>
      </c>
      <c r="F891" s="33">
        <f>IF(E891="AM",1,(IF(E891="BE",2,(IF(E891="GV",3,(IF(E891="RA",4,(IF(E891="RM",5,(IF(E891="AC",1,(IF(E891="AT",2,(IF(E891="DS",3,(IF(E891="IP",4,(IF(E891="MA",5,(IF(E891="PT",6,(IF(E891="AE",1,(IF(E891="CM",2,(IF(E891="DP",3,(IF(E891="AN",1,(IF(E891="CO",2,(IF(E891="IM",3,(IF(E891="MI",4,(IF(E891="RP",5,(IF(E891="SC",6,0)))))))))))))))))))))))))))))))))))))))</f>
        <v>3</v>
      </c>
      <c r="G891" s="170">
        <v>2</v>
      </c>
      <c r="H891" s="38" t="s">
        <v>511</v>
      </c>
      <c r="I891" s="105" t="s">
        <v>821</v>
      </c>
      <c r="J891" s="150" t="s">
        <v>123</v>
      </c>
      <c r="K891" s="79" t="s">
        <v>1283</v>
      </c>
      <c r="L891" s="66">
        <f>IF(O891="","",N891*O891*M891)</f>
        <v>75</v>
      </c>
      <c r="M891" s="8">
        <v>1</v>
      </c>
      <c r="N891" s="3">
        <v>1</v>
      </c>
      <c r="O891" s="15">
        <f>IF(SUM(Q891:AF891)&lt;1,"",SUM(Q891:AF891)/COUNTIF(Q891:AF891,"&gt;0"))</f>
        <v>75</v>
      </c>
      <c r="P891" s="16"/>
      <c r="Q891" s="13"/>
      <c r="T891" s="4">
        <v>75</v>
      </c>
      <c r="U891" s="2"/>
      <c r="V891" s="2"/>
      <c r="W891" s="2"/>
      <c r="X891" s="2"/>
      <c r="Z891" s="2"/>
      <c r="AA891" s="2"/>
      <c r="AF891" s="14"/>
    </row>
    <row r="892" spans="1:32" s="4" customFormat="1" ht="15.75" customHeight="1" x14ac:dyDescent="0.25">
      <c r="A892" s="33" t="str">
        <f>CONCATENATE(D892,".",F892,"-",G892,".",H892,"")</f>
        <v>2.3-2.1</v>
      </c>
      <c r="B892" s="33" t="s">
        <v>814</v>
      </c>
      <c r="C892" s="39" t="s">
        <v>262</v>
      </c>
      <c r="D892" s="33">
        <f>IF(C892="ID",1,(IF(C892="PR",2,(IF(C892="DE",3,(IF(C892="RS",4,(IF(C892="RC",5,0)))))))))</f>
        <v>2</v>
      </c>
      <c r="E892" s="33" t="s">
        <v>343</v>
      </c>
      <c r="F892" s="33">
        <f>IF(E892="AM",1,(IF(E892="BE",2,(IF(E892="GV",3,(IF(E892="RA",4,(IF(E892="RM",5,(IF(E892="AC",1,(IF(E892="AT",2,(IF(E892="DS",3,(IF(E892="IP",4,(IF(E892="MA",5,(IF(E892="PT",6,(IF(E892="AE",1,(IF(E892="CM",2,(IF(E892="DP",3,(IF(E892="AN",1,(IF(E892="CO",2,(IF(E892="IM",3,(IF(E892="MI",4,(IF(E892="RP",5,(IF(E892="SC",6,0)))))))))))))))))))))))))))))))))))))))</f>
        <v>3</v>
      </c>
      <c r="G892" s="170">
        <v>2</v>
      </c>
      <c r="H892" s="38" t="s">
        <v>511</v>
      </c>
      <c r="I892" s="105" t="s">
        <v>821</v>
      </c>
      <c r="J892" s="150" t="s">
        <v>81</v>
      </c>
      <c r="K892" s="79" t="s">
        <v>1283</v>
      </c>
      <c r="L892" s="66">
        <f>IF(O892="","",N892*O892*M892)</f>
        <v>75</v>
      </c>
      <c r="M892" s="8">
        <v>1</v>
      </c>
      <c r="N892" s="3">
        <v>1</v>
      </c>
      <c r="O892" s="15">
        <f>IF(SUM(Q892:AF892)&lt;1,"",SUM(Q892:AF892)/COUNTIF(Q892:AF892,"&gt;0"))</f>
        <v>75</v>
      </c>
      <c r="P892" s="16"/>
      <c r="Q892" s="13"/>
      <c r="T892" s="4">
        <v>75</v>
      </c>
      <c r="U892" s="2"/>
      <c r="V892" s="2"/>
      <c r="W892" s="2"/>
      <c r="X892" s="2"/>
      <c r="Z892" s="2"/>
      <c r="AA892" s="2"/>
      <c r="AF892" s="14"/>
    </row>
    <row r="893" spans="1:32" s="4" customFormat="1" ht="15.75" customHeight="1" x14ac:dyDescent="0.25">
      <c r="A893" s="33" t="str">
        <f>CONCATENATE(D893,".",F893,"-",G893,".",H893,"")</f>
        <v>2.3-2.1</v>
      </c>
      <c r="B893" s="33" t="s">
        <v>814</v>
      </c>
      <c r="C893" s="39" t="s">
        <v>262</v>
      </c>
      <c r="D893" s="33">
        <f>IF(C893="ID",1,(IF(C893="PR",2,(IF(C893="DE",3,(IF(C893="RS",4,(IF(C893="RC",5,0)))))))))</f>
        <v>2</v>
      </c>
      <c r="E893" s="33" t="s">
        <v>343</v>
      </c>
      <c r="F893" s="33">
        <f>IF(E893="AM",1,(IF(E893="BE",2,(IF(E893="GV",3,(IF(E893="RA",4,(IF(E893="RM",5,(IF(E893="AC",1,(IF(E893="AT",2,(IF(E893="DS",3,(IF(E893="IP",4,(IF(E893="MA",5,(IF(E893="PT",6,(IF(E893="AE",1,(IF(E893="CM",2,(IF(E893="DP",3,(IF(E893="AN",1,(IF(E893="CO",2,(IF(E893="IM",3,(IF(E893="MI",4,(IF(E893="RP",5,(IF(E893="SC",6,0)))))))))))))))))))))))))))))))))))))))</f>
        <v>3</v>
      </c>
      <c r="G893" s="170">
        <v>2</v>
      </c>
      <c r="H893" s="38" t="s">
        <v>511</v>
      </c>
      <c r="I893" s="27" t="s">
        <v>266</v>
      </c>
      <c r="J893" s="149" t="s">
        <v>448</v>
      </c>
      <c r="K893" s="79" t="s">
        <v>1286</v>
      </c>
      <c r="L893" s="5">
        <f>IF(O893="","",N893*O893*M893)</f>
        <v>75</v>
      </c>
      <c r="M893" s="8">
        <v>1</v>
      </c>
      <c r="N893" s="1">
        <v>1</v>
      </c>
      <c r="O893" s="15">
        <f>IF(SUM(Q893:AF893)&lt;1,"",SUM(Q893:AF893)/COUNTIF(Q893:AF893,"&gt;0"))</f>
        <v>75</v>
      </c>
      <c r="P893" s="16"/>
      <c r="Q893" s="13"/>
      <c r="T893" s="4">
        <v>75</v>
      </c>
      <c r="U893" s="2"/>
      <c r="V893" s="2"/>
      <c r="W893" s="2"/>
      <c r="X893" s="2"/>
      <c r="Z893" s="2"/>
      <c r="AA893" s="2"/>
      <c r="AF893" s="14"/>
    </row>
    <row r="894" spans="1:32" s="4" customFormat="1" ht="15.75" customHeight="1" x14ac:dyDescent="0.25">
      <c r="A894" s="33" t="str">
        <f>CONCATENATE(D894,".",F894,"-",G894,".",H894,"")</f>
        <v>2.3-2.1</v>
      </c>
      <c r="B894" s="33" t="s">
        <v>814</v>
      </c>
      <c r="C894" s="41" t="s">
        <v>262</v>
      </c>
      <c r="D894" s="33">
        <f>IF(C894="ID",1,(IF(C894="PR",2,(IF(C894="DE",3,(IF(C894="RS",4,(IF(C894="RC",5,0)))))))))</f>
        <v>2</v>
      </c>
      <c r="E894" s="33" t="s">
        <v>343</v>
      </c>
      <c r="F894" s="33">
        <f>IF(E894="AM",1,(IF(E894="BE",2,(IF(E894="GV",3,(IF(E894="RA",4,(IF(E894="RM",5,(IF(E894="AC",1,(IF(E894="AT",2,(IF(E894="DS",3,(IF(E894="IP",4,(IF(E894="MA",5,(IF(E894="PT",6,(IF(E894="AE",1,(IF(E894="CM",2,(IF(E894="DP",3,(IF(E894="AN",1,(IF(E894="CO",2,(IF(E894="IM",3,(IF(E894="MI",4,(IF(E894="RP",5,(IF(E894="SC",6,0)))))))))))))))))))))))))))))))))))))))</f>
        <v>3</v>
      </c>
      <c r="G894" s="170">
        <v>2</v>
      </c>
      <c r="H894" s="38" t="s">
        <v>511</v>
      </c>
      <c r="I894" s="27" t="s">
        <v>266</v>
      </c>
      <c r="J894" s="149" t="s">
        <v>2</v>
      </c>
      <c r="K894" s="79" t="s">
        <v>1335</v>
      </c>
      <c r="L894" s="5">
        <f>IF(O894="","",N894*O894*M894)</f>
        <v>75</v>
      </c>
      <c r="M894" s="8">
        <v>1</v>
      </c>
      <c r="N894" s="1">
        <v>1</v>
      </c>
      <c r="O894" s="15">
        <f>IF(SUM(Q894:AF894)&lt;1,"",SUM(Q894:AF894)/COUNTIF(Q894:AF894,"&gt;0"))</f>
        <v>75</v>
      </c>
      <c r="P894" s="16"/>
      <c r="Q894" s="13"/>
      <c r="T894" s="4">
        <v>75</v>
      </c>
      <c r="U894" s="2"/>
      <c r="V894" s="2"/>
      <c r="W894" s="2"/>
      <c r="AF894" s="14"/>
    </row>
    <row r="895" spans="1:32" s="4" customFormat="1" ht="15.75" customHeight="1" x14ac:dyDescent="0.25">
      <c r="A895" s="33" t="str">
        <f>CONCATENATE(D895,".",F895,"-",G895,".",H895,"")</f>
        <v>2.3-2.1</v>
      </c>
      <c r="B895" s="33" t="s">
        <v>814</v>
      </c>
      <c r="C895" s="41" t="s">
        <v>262</v>
      </c>
      <c r="D895" s="33">
        <f>IF(C895="ID",1,(IF(C895="PR",2,(IF(C895="DE",3,(IF(C895="RS",4,(IF(C895="RC",5,0)))))))))</f>
        <v>2</v>
      </c>
      <c r="E895" s="33" t="s">
        <v>343</v>
      </c>
      <c r="F895" s="33">
        <f>IF(E895="AM",1,(IF(E895="BE",2,(IF(E895="GV",3,(IF(E895="RA",4,(IF(E895="RM",5,(IF(E895="AC",1,(IF(E895="AT",2,(IF(E895="DS",3,(IF(E895="IP",4,(IF(E895="MA",5,(IF(E895="PT",6,(IF(E895="AE",1,(IF(E895="CM",2,(IF(E895="DP",3,(IF(E895="AN",1,(IF(E895="CO",2,(IF(E895="IM",3,(IF(E895="MI",4,(IF(E895="RP",5,(IF(E895="SC",6,0)))))))))))))))))))))))))))))))))))))))</f>
        <v>3</v>
      </c>
      <c r="G895" s="170">
        <v>2</v>
      </c>
      <c r="H895" s="38" t="s">
        <v>511</v>
      </c>
      <c r="I895" s="27" t="s">
        <v>266</v>
      </c>
      <c r="J895" s="149" t="s">
        <v>331</v>
      </c>
      <c r="K895" s="79" t="s">
        <v>1337</v>
      </c>
      <c r="L895" s="5">
        <f>IF(O895="","",N895*O895*M895)</f>
        <v>75</v>
      </c>
      <c r="M895" s="8">
        <v>1</v>
      </c>
      <c r="N895" s="1">
        <v>1</v>
      </c>
      <c r="O895" s="15">
        <f>IF(SUM(Q895:AF895)&lt;1,"",SUM(Q895:AF895)/COUNTIF(Q895:AF895,"&gt;0"))</f>
        <v>75</v>
      </c>
      <c r="P895" s="16"/>
      <c r="Q895" s="13"/>
      <c r="T895" s="4">
        <v>75</v>
      </c>
      <c r="U895" s="2"/>
      <c r="V895" s="2"/>
      <c r="W895" s="2"/>
      <c r="X895" s="2"/>
      <c r="Z895" s="2"/>
      <c r="AA895" s="2"/>
      <c r="AF895" s="14"/>
    </row>
    <row r="896" spans="1:32" s="4" customFormat="1" ht="15.75" customHeight="1" x14ac:dyDescent="0.25">
      <c r="A896" s="33" t="str">
        <f>CONCATENATE(D896,".",F896,"-",G896,".",H896,"")</f>
        <v>2.3-2.1</v>
      </c>
      <c r="B896" s="33" t="s">
        <v>814</v>
      </c>
      <c r="C896" s="39" t="s">
        <v>262</v>
      </c>
      <c r="D896" s="33">
        <f>IF(C896="ID",1,(IF(C896="PR",2,(IF(C896="DE",3,(IF(C896="RS",4,(IF(C896="RC",5,0)))))))))</f>
        <v>2</v>
      </c>
      <c r="E896" s="33" t="s">
        <v>343</v>
      </c>
      <c r="F896" s="33">
        <f>IF(E896="AM",1,(IF(E896="BE",2,(IF(E896="GV",3,(IF(E896="RA",4,(IF(E896="RM",5,(IF(E896="AC",1,(IF(E896="AT",2,(IF(E896="DS",3,(IF(E896="IP",4,(IF(E896="MA",5,(IF(E896="PT",6,(IF(E896="AE",1,(IF(E896="CM",2,(IF(E896="DP",3,(IF(E896="AN",1,(IF(E896="CO",2,(IF(E896="IM",3,(IF(E896="MI",4,(IF(E896="RP",5,(IF(E896="SC",6,0)))))))))))))))))))))))))))))))))))))))</f>
        <v>3</v>
      </c>
      <c r="G896" s="170">
        <v>2</v>
      </c>
      <c r="H896" s="33">
        <v>1</v>
      </c>
      <c r="I896" s="27" t="s">
        <v>266</v>
      </c>
      <c r="J896" s="150" t="s">
        <v>19</v>
      </c>
      <c r="K896" s="79" t="s">
        <v>1342</v>
      </c>
      <c r="L896" s="5">
        <f>IF(O896="","",N896*O896*M896)</f>
        <v>75</v>
      </c>
      <c r="M896" s="8">
        <v>1</v>
      </c>
      <c r="N896" s="1">
        <v>1</v>
      </c>
      <c r="O896" s="15">
        <f>IF(SUM(Q896:AF896)&lt;1,"",SUM(Q896:AF896)/COUNTIF(Q896:AF896,"&gt;0"))</f>
        <v>75</v>
      </c>
      <c r="P896" s="16"/>
      <c r="Q896" s="13"/>
      <c r="R896" s="3"/>
      <c r="S896" s="3"/>
      <c r="T896" s="4">
        <v>75</v>
      </c>
      <c r="U896" s="3"/>
      <c r="V896" s="3"/>
      <c r="W896" s="3"/>
      <c r="X896" s="3"/>
      <c r="Y896" s="3"/>
      <c r="Z896" s="3"/>
      <c r="AA896" s="3"/>
      <c r="AB896" s="3"/>
      <c r="AC896" s="3"/>
      <c r="AD896" s="3"/>
      <c r="AE896" s="3"/>
      <c r="AF896" s="104"/>
    </row>
    <row r="897" spans="1:33" s="4" customFormat="1" ht="15.75" customHeight="1" x14ac:dyDescent="0.25">
      <c r="A897" s="33" t="str">
        <f>CONCATENATE(D897,".",F897,"-",G897,".",H897,"")</f>
        <v>2.3-2.1</v>
      </c>
      <c r="B897" s="33" t="s">
        <v>814</v>
      </c>
      <c r="C897" s="39" t="s">
        <v>262</v>
      </c>
      <c r="D897" s="33">
        <f>IF(C897="ID",1,(IF(C897="PR",2,(IF(C897="DE",3,(IF(C897="RS",4,(IF(C897="RC",5,0)))))))))</f>
        <v>2</v>
      </c>
      <c r="E897" s="33" t="s">
        <v>343</v>
      </c>
      <c r="F897" s="33">
        <f>IF(E897="AM",1,(IF(E897="BE",2,(IF(E897="GV",3,(IF(E897="RA",4,(IF(E897="RM",5,(IF(E897="AC",1,(IF(E897="AT",2,(IF(E897="DS",3,(IF(E897="IP",4,(IF(E897="MA",5,(IF(E897="PT",6,(IF(E897="AE",1,(IF(E897="CM",2,(IF(E897="DP",3,(IF(E897="AN",1,(IF(E897="CO",2,(IF(E897="IM",3,(IF(E897="MI",4,(IF(E897="RP",5,(IF(E897="SC",6,0)))))))))))))))))))))))))))))))))))))))</f>
        <v>3</v>
      </c>
      <c r="G897" s="170">
        <v>2</v>
      </c>
      <c r="H897" s="33">
        <v>1</v>
      </c>
      <c r="I897" s="27" t="s">
        <v>266</v>
      </c>
      <c r="J897" s="150" t="s">
        <v>20</v>
      </c>
      <c r="K897" s="79" t="s">
        <v>1343</v>
      </c>
      <c r="L897" s="5">
        <f>IF(O897="","",N897*O897*M897)</f>
        <v>75</v>
      </c>
      <c r="M897" s="8">
        <v>1</v>
      </c>
      <c r="N897" s="1">
        <v>1</v>
      </c>
      <c r="O897" s="15">
        <f>IF(SUM(Q897:AF897)&lt;1,"",SUM(Q897:AF897)/COUNTIF(Q897:AF897,"&gt;0"))</f>
        <v>75</v>
      </c>
      <c r="P897" s="16"/>
      <c r="Q897" s="13"/>
      <c r="R897" s="3"/>
      <c r="S897" s="3"/>
      <c r="T897" s="4">
        <v>75</v>
      </c>
      <c r="U897" s="3"/>
      <c r="V897" s="3"/>
      <c r="W897" s="3"/>
      <c r="X897" s="3"/>
      <c r="Y897" s="3"/>
      <c r="Z897" s="3"/>
      <c r="AA897" s="3"/>
      <c r="AB897" s="3"/>
      <c r="AC897" s="3"/>
      <c r="AD897" s="3"/>
      <c r="AE897" s="3"/>
      <c r="AF897" s="104"/>
    </row>
    <row r="898" spans="1:33" s="4" customFormat="1" ht="15.75" customHeight="1" x14ac:dyDescent="0.25">
      <c r="A898" s="33" t="str">
        <f>CONCATENATE(D898,".",F898,"-",G898,".",H898,"")</f>
        <v>2.3-2.1</v>
      </c>
      <c r="B898" s="33" t="s">
        <v>814</v>
      </c>
      <c r="C898" s="41" t="s">
        <v>262</v>
      </c>
      <c r="D898" s="33">
        <f>IF(C898="ID",1,(IF(C898="PR",2,(IF(C898="DE",3,(IF(C898="RS",4,(IF(C898="RC",5,0)))))))))</f>
        <v>2</v>
      </c>
      <c r="E898" s="33" t="s">
        <v>343</v>
      </c>
      <c r="F898" s="33">
        <f>IF(E898="AM",1,(IF(E898="BE",2,(IF(E898="GV",3,(IF(E898="RA",4,(IF(E898="RM",5,(IF(E898="AC",1,(IF(E898="AT",2,(IF(E898="DS",3,(IF(E898="IP",4,(IF(E898="MA",5,(IF(E898="PT",6,(IF(E898="AE",1,(IF(E898="CM",2,(IF(E898="DP",3,(IF(E898="AN",1,(IF(E898="CO",2,(IF(E898="IM",3,(IF(E898="MI",4,(IF(E898="RP",5,(IF(E898="SC",6,0)))))))))))))))))))))))))))))))))))))))</f>
        <v>3</v>
      </c>
      <c r="G898" s="170">
        <v>2</v>
      </c>
      <c r="H898" s="38" t="s">
        <v>511</v>
      </c>
      <c r="I898" s="27" t="s">
        <v>266</v>
      </c>
      <c r="J898" s="149" t="s">
        <v>292</v>
      </c>
      <c r="K898" s="79" t="s">
        <v>1425</v>
      </c>
      <c r="L898" s="5">
        <f>IF(O898="","",N898*O898*M898)</f>
        <v>75</v>
      </c>
      <c r="M898" s="8">
        <v>1</v>
      </c>
      <c r="N898" s="1">
        <v>1</v>
      </c>
      <c r="O898" s="15">
        <f>IF(SUM(Q898:AF898)&lt;1,"",SUM(Q898:AF898)/COUNTIF(Q898:AF898,"&gt;0"))</f>
        <v>75</v>
      </c>
      <c r="P898" s="16"/>
      <c r="Q898" s="13"/>
      <c r="T898" s="4">
        <v>75</v>
      </c>
      <c r="U898" s="2"/>
      <c r="V898" s="2"/>
      <c r="W898" s="2"/>
      <c r="X898" s="2"/>
      <c r="Z898" s="2"/>
      <c r="AA898" s="2"/>
      <c r="AF898" s="14"/>
    </row>
    <row r="899" spans="1:33" s="4" customFormat="1" ht="15.75" customHeight="1" x14ac:dyDescent="0.25">
      <c r="A899" s="33" t="str">
        <f>CONCATENATE(D899,".",F899,"-",G899,".",H899,"")</f>
        <v>2.3-2.1</v>
      </c>
      <c r="B899" s="33" t="s">
        <v>1232</v>
      </c>
      <c r="C899" s="40" t="s">
        <v>262</v>
      </c>
      <c r="D899" s="33">
        <f>IF(C899="ID",1,(IF(C899="PR",2,(IF(C899="DE",3,(IF(C899="RS",4,(IF(C899="RC",5,0)))))))))</f>
        <v>2</v>
      </c>
      <c r="E899" s="33" t="s">
        <v>343</v>
      </c>
      <c r="F899" s="33">
        <f>IF(E899="AM",1,(IF(E899="BE",2,(IF(E899="GV",3,(IF(E899="RA",4,(IF(E899="RM",5,(IF(E899="AC",1,(IF(E899="AT",2,(IF(E899="DS",3,(IF(E899="IP",4,(IF(E899="MA",5,(IF(E899="PT",6,(IF(E899="AE",1,(IF(E899="CM",2,(IF(E899="DP",3,(IF(E899="AN",1,(IF(E899="CO",2,(IF(E899="IM",3,(IF(E899="MI",4,(IF(E899="RP",5,(IF(E899="SC",6,0)))))))))))))))))))))))))))))))))))))))</f>
        <v>3</v>
      </c>
      <c r="G899" s="170">
        <v>2</v>
      </c>
      <c r="H899" s="38" t="s">
        <v>511</v>
      </c>
      <c r="I899" s="105" t="s">
        <v>821</v>
      </c>
      <c r="J899" s="150" t="s">
        <v>863</v>
      </c>
      <c r="K899" s="79" t="s">
        <v>1283</v>
      </c>
      <c r="L899" s="66">
        <f>IF(O899="","",N899*O899*M899)</f>
        <v>75</v>
      </c>
      <c r="M899" s="8">
        <v>1</v>
      </c>
      <c r="N899" s="3">
        <v>1</v>
      </c>
      <c r="O899" s="15">
        <f>IF(SUM(Q899:AF899)&lt;1,"",SUM(Q899:AF899)/COUNTIF(Q899:AF899,"&gt;0"))</f>
        <v>75</v>
      </c>
      <c r="P899" s="16"/>
      <c r="Q899" s="13"/>
      <c r="T899" s="4">
        <v>75</v>
      </c>
      <c r="U899" s="2"/>
      <c r="V899" s="2"/>
      <c r="W899" s="2"/>
      <c r="X899" s="2"/>
      <c r="Z899" s="2"/>
      <c r="AA899" s="2"/>
      <c r="AF899" s="14"/>
    </row>
    <row r="900" spans="1:33" s="4" customFormat="1" ht="15.75" customHeight="1" x14ac:dyDescent="0.25">
      <c r="A900" s="33" t="str">
        <f>CONCATENATE(D900,".",F900,"-",G900,".",H900,"")</f>
        <v>2.3-2.1</v>
      </c>
      <c r="B900" s="33" t="s">
        <v>1232</v>
      </c>
      <c r="C900" s="40" t="s">
        <v>262</v>
      </c>
      <c r="D900" s="33">
        <f>IF(C900="ID",1,(IF(C900="PR",2,(IF(C900="DE",3,(IF(C900="RS",4,(IF(C900="RC",5,0)))))))))</f>
        <v>2</v>
      </c>
      <c r="E900" s="33" t="s">
        <v>343</v>
      </c>
      <c r="F900" s="33">
        <f>IF(E900="AM",1,(IF(E900="BE",2,(IF(E900="GV",3,(IF(E900="RA",4,(IF(E900="RM",5,(IF(E900="AC",1,(IF(E900="AT",2,(IF(E900="DS",3,(IF(E900="IP",4,(IF(E900="MA",5,(IF(E900="PT",6,(IF(E900="AE",1,(IF(E900="CM",2,(IF(E900="DP",3,(IF(E900="AN",1,(IF(E900="CO",2,(IF(E900="IM",3,(IF(E900="MI",4,(IF(E900="RP",5,(IF(E900="SC",6,0)))))))))))))))))))))))))))))))))))))))</f>
        <v>3</v>
      </c>
      <c r="G900" s="170">
        <v>2</v>
      </c>
      <c r="H900" s="38" t="s">
        <v>511</v>
      </c>
      <c r="I900" s="105" t="s">
        <v>821</v>
      </c>
      <c r="J900" s="150" t="s">
        <v>836</v>
      </c>
      <c r="K900" s="79" t="s">
        <v>1283</v>
      </c>
      <c r="L900" s="66">
        <f>IF(O900="","",N900*O900*M900)</f>
        <v>75</v>
      </c>
      <c r="M900" s="8">
        <v>1</v>
      </c>
      <c r="N900" s="3">
        <v>1</v>
      </c>
      <c r="O900" s="15">
        <f>IF(SUM(Q900:AF900)&lt;1,"",SUM(Q900:AF900)/COUNTIF(Q900:AF900,"&gt;0"))</f>
        <v>75</v>
      </c>
      <c r="P900" s="16"/>
      <c r="Q900" s="13"/>
      <c r="T900" s="4">
        <v>75</v>
      </c>
      <c r="U900" s="2"/>
      <c r="V900" s="2"/>
      <c r="W900" s="2"/>
      <c r="X900" s="2"/>
      <c r="Z900" s="2"/>
      <c r="AA900" s="2"/>
      <c r="AF900" s="14"/>
    </row>
    <row r="901" spans="1:33" s="4" customFormat="1" ht="15.75" customHeight="1" x14ac:dyDescent="0.25">
      <c r="A901" s="33" t="str">
        <f>CONCATENATE(D901,".",F901,"-",G901,".",H901,"")</f>
        <v>2.3-2.1</v>
      </c>
      <c r="B901" s="33" t="s">
        <v>1232</v>
      </c>
      <c r="C901" s="40" t="s">
        <v>262</v>
      </c>
      <c r="D901" s="33">
        <f>IF(C901="ID",1,(IF(C901="PR",2,(IF(C901="DE",3,(IF(C901="RS",4,(IF(C901="RC",5,0)))))))))</f>
        <v>2</v>
      </c>
      <c r="E901" s="33" t="s">
        <v>343</v>
      </c>
      <c r="F901" s="33">
        <f>IF(E901="AM",1,(IF(E901="BE",2,(IF(E901="GV",3,(IF(E901="RA",4,(IF(E901="RM",5,(IF(E901="AC",1,(IF(E901="AT",2,(IF(E901="DS",3,(IF(E901="IP",4,(IF(E901="MA",5,(IF(E901="PT",6,(IF(E901="AE",1,(IF(E901="CM",2,(IF(E901="DP",3,(IF(E901="AN",1,(IF(E901="CO",2,(IF(E901="IM",3,(IF(E901="MI",4,(IF(E901="RP",5,(IF(E901="SC",6,0)))))))))))))))))))))))))))))))))))))))</f>
        <v>3</v>
      </c>
      <c r="G901" s="170">
        <v>2</v>
      </c>
      <c r="H901" s="38" t="s">
        <v>511</v>
      </c>
      <c r="I901" s="105" t="s">
        <v>821</v>
      </c>
      <c r="J901" s="150" t="s">
        <v>838</v>
      </c>
      <c r="K901" s="79" t="s">
        <v>1283</v>
      </c>
      <c r="L901" s="66">
        <f>IF(O901="","",N901*O901*M901)</f>
        <v>75</v>
      </c>
      <c r="M901" s="8">
        <v>1</v>
      </c>
      <c r="N901" s="3">
        <v>1</v>
      </c>
      <c r="O901" s="15">
        <f>IF(SUM(Q901:AF901)&lt;1,"",SUM(Q901:AF901)/COUNTIF(Q901:AF901,"&gt;0"))</f>
        <v>75</v>
      </c>
      <c r="P901" s="16"/>
      <c r="Q901" s="13"/>
      <c r="T901" s="4">
        <v>75</v>
      </c>
      <c r="U901" s="2"/>
      <c r="V901" s="2"/>
      <c r="W901" s="2"/>
      <c r="X901" s="2"/>
      <c r="Z901" s="2"/>
      <c r="AA901" s="2"/>
      <c r="AF901" s="14"/>
    </row>
    <row r="902" spans="1:33" s="4" customFormat="1" ht="15.75" customHeight="1" x14ac:dyDescent="0.25">
      <c r="A902" s="33" t="str">
        <f>CONCATENATE(D902,".",F902,"-",G902,".",H902,"")</f>
        <v>2.3-2.1</v>
      </c>
      <c r="B902" s="33" t="s">
        <v>814</v>
      </c>
      <c r="C902" s="39" t="s">
        <v>262</v>
      </c>
      <c r="D902" s="33">
        <f>IF(C902="ID",1,(IF(C902="PR",2,(IF(C902="DE",3,(IF(C902="RS",4,(IF(C902="RC",5,0)))))))))</f>
        <v>2</v>
      </c>
      <c r="E902" s="33" t="s">
        <v>343</v>
      </c>
      <c r="F902" s="33">
        <f>IF(E902="AM",1,(IF(E902="BE",2,(IF(E902="GV",3,(IF(E902="RA",4,(IF(E902="RM",5,(IF(E902="AC",1,(IF(E902="AT",2,(IF(E902="DS",3,(IF(E902="IP",4,(IF(E902="MA",5,(IF(E902="PT",6,(IF(E902="AE",1,(IF(E902="CM",2,(IF(E902="DP",3,(IF(E902="AN",1,(IF(E902="CO",2,(IF(E902="IM",3,(IF(E902="MI",4,(IF(E902="RP",5,(IF(E902="SC",6,0)))))))))))))))))))))))))))))))))))))))</f>
        <v>3</v>
      </c>
      <c r="G902" s="170">
        <v>2</v>
      </c>
      <c r="H902" s="38" t="s">
        <v>511</v>
      </c>
      <c r="I902" s="105" t="s">
        <v>1449</v>
      </c>
      <c r="J902" s="157" t="s">
        <v>1488</v>
      </c>
      <c r="K902" s="34" t="s">
        <v>1489</v>
      </c>
      <c r="L902" s="5">
        <f>IF(O902="","",N902*O902*M902)</f>
        <v>99</v>
      </c>
      <c r="M902" s="8">
        <v>1</v>
      </c>
      <c r="N902" s="1">
        <v>1</v>
      </c>
      <c r="O902" s="15">
        <f>IF(SUM(Q902:AF902)&lt;1,"",SUM(Q902:AF902)/COUNTIF(Q902:AF902,"&gt;0"))</f>
        <v>99</v>
      </c>
      <c r="P902" s="16"/>
      <c r="Q902" s="13"/>
      <c r="T902" s="4">
        <v>99</v>
      </c>
      <c r="U902" s="2"/>
      <c r="V902" s="2"/>
      <c r="W902" s="2"/>
      <c r="X902" s="2"/>
      <c r="Z902" s="2"/>
      <c r="AA902" s="2"/>
      <c r="AF902" s="14"/>
    </row>
    <row r="903" spans="1:33" s="4" customFormat="1" ht="15.75" customHeight="1" x14ac:dyDescent="0.25">
      <c r="A903" s="33" t="str">
        <f>CONCATENATE(D903,".",F903,"-",G903,".",H903,"")</f>
        <v>2.3-2.1</v>
      </c>
      <c r="B903" s="33" t="s">
        <v>814</v>
      </c>
      <c r="C903" s="39" t="s">
        <v>262</v>
      </c>
      <c r="D903" s="33">
        <f>IF(C903="ID",1,(IF(C903="PR",2,(IF(C903="DE",3,(IF(C903="RS",4,(IF(C903="RC",5,0)))))))))</f>
        <v>2</v>
      </c>
      <c r="E903" s="33" t="s">
        <v>343</v>
      </c>
      <c r="F903" s="33">
        <f>IF(E903="AM",1,(IF(E903="BE",2,(IF(E903="GV",3,(IF(E903="RA",4,(IF(E903="RM",5,(IF(E903="AC",1,(IF(E903="AT",2,(IF(E903="DS",3,(IF(E903="IP",4,(IF(E903="MA",5,(IF(E903="PT",6,(IF(E903="AE",1,(IF(E903="CM",2,(IF(E903="DP",3,(IF(E903="AN",1,(IF(E903="CO",2,(IF(E903="IM",3,(IF(E903="MI",4,(IF(E903="RP",5,(IF(E903="SC",6,0)))))))))))))))))))))))))))))))))))))))</f>
        <v>3</v>
      </c>
      <c r="G903" s="170">
        <v>2</v>
      </c>
      <c r="H903" s="38" t="s">
        <v>511</v>
      </c>
      <c r="I903" s="105" t="s">
        <v>1449</v>
      </c>
      <c r="J903" s="157" t="s">
        <v>1500</v>
      </c>
      <c r="K903" s="34" t="s">
        <v>1501</v>
      </c>
      <c r="L903" s="5">
        <f>IF(O903="","",N903*O903*M903)</f>
        <v>99</v>
      </c>
      <c r="M903" s="8">
        <v>1</v>
      </c>
      <c r="N903" s="1">
        <v>1</v>
      </c>
      <c r="O903" s="15">
        <f>IF(SUM(Q903:AF903)&lt;1,"",SUM(Q903:AF903)/COUNTIF(Q903:AF903,"&gt;0"))</f>
        <v>99</v>
      </c>
      <c r="P903" s="16"/>
      <c r="Q903" s="13"/>
      <c r="T903" s="4">
        <v>99</v>
      </c>
      <c r="U903" s="2"/>
      <c r="V903" s="2"/>
      <c r="W903" s="2"/>
      <c r="X903" s="2"/>
      <c r="Z903" s="2"/>
      <c r="AA903" s="2"/>
      <c r="AF903" s="14"/>
    </row>
    <row r="904" spans="1:33" s="4" customFormat="1" ht="15.75" customHeight="1" x14ac:dyDescent="0.25">
      <c r="A904" s="33" t="str">
        <f>CONCATENATE(D904,".",F904,"-",G904,".",H904,"")</f>
        <v>2.3-2.1</v>
      </c>
      <c r="B904" s="33" t="s">
        <v>814</v>
      </c>
      <c r="C904" s="39" t="s">
        <v>262</v>
      </c>
      <c r="D904" s="33">
        <f>IF(C904="ID",1,(IF(C904="PR",2,(IF(C904="DE",3,(IF(C904="RS",4,(IF(C904="RC",5,0)))))))))</f>
        <v>2</v>
      </c>
      <c r="E904" s="33" t="s">
        <v>343</v>
      </c>
      <c r="F904" s="33">
        <f>IF(E904="AM",1,(IF(E904="BE",2,(IF(E904="GV",3,(IF(E904="RA",4,(IF(E904="RM",5,(IF(E904="AC",1,(IF(E904="AT",2,(IF(E904="DS",3,(IF(E904="IP",4,(IF(E904="MA",5,(IF(E904="PT",6,(IF(E904="AE",1,(IF(E904="CM",2,(IF(E904="DP",3,(IF(E904="AN",1,(IF(E904="CO",2,(IF(E904="IM",3,(IF(E904="MI",4,(IF(E904="RP",5,(IF(E904="SC",6,0)))))))))))))))))))))))))))))))))))))))</f>
        <v>3</v>
      </c>
      <c r="G904" s="170">
        <v>2</v>
      </c>
      <c r="H904" s="38" t="s">
        <v>511</v>
      </c>
      <c r="I904" s="105" t="s">
        <v>1449</v>
      </c>
      <c r="J904" s="157" t="s">
        <v>1510</v>
      </c>
      <c r="K904" s="34" t="s">
        <v>1511</v>
      </c>
      <c r="L904" s="5">
        <f>IF(O904="","",N904*O904*M904)</f>
        <v>99</v>
      </c>
      <c r="M904" s="8">
        <v>1</v>
      </c>
      <c r="N904" s="1">
        <v>1</v>
      </c>
      <c r="O904" s="15">
        <f>IF(SUM(Q904:AF904)&lt;1,"",SUM(Q904:AF904)/COUNTIF(Q904:AF904,"&gt;0"))</f>
        <v>99</v>
      </c>
      <c r="P904" s="16"/>
      <c r="Q904" s="13"/>
      <c r="T904" s="4">
        <v>99</v>
      </c>
      <c r="U904" s="2"/>
      <c r="V904" s="2"/>
      <c r="W904" s="2"/>
      <c r="X904" s="2"/>
      <c r="Z904" s="2"/>
      <c r="AA904" s="2"/>
      <c r="AF904" s="14"/>
    </row>
    <row r="905" spans="1:33" ht="15.75" customHeight="1" x14ac:dyDescent="0.25">
      <c r="A905" s="33" t="str">
        <f>CONCATENATE(D905,".",F905,"-",G905,".",H905,"")</f>
        <v>2.3-2.1</v>
      </c>
      <c r="C905" s="39" t="s">
        <v>262</v>
      </c>
      <c r="D905" s="33">
        <f>IF(C905="ID",1,(IF(C905="PR",2,(IF(C905="DE",3,(IF(C905="RS",4,(IF(C905="RC",5,0)))))))))</f>
        <v>2</v>
      </c>
      <c r="E905" s="33" t="s">
        <v>343</v>
      </c>
      <c r="F905" s="33">
        <f>IF(E905="AM",1,(IF(E905="BE",2,(IF(E905="GV",3,(IF(E905="RA",4,(IF(E905="RM",5,(IF(E905="AC",1,(IF(E905="AT",2,(IF(E905="DS",3,(IF(E905="IP",4,(IF(E905="MA",5,(IF(E905="PT",6,(IF(E905="AE",1,(IF(E905="CM",2,(IF(E905="DP",3,(IF(E905="AN",1,(IF(E905="CO",2,(IF(E905="IM",3,(IF(E905="MI",4,(IF(E905="RP",5,(IF(E905="SC",6,0)))))))))))))))))))))))))))))))))))))))</f>
        <v>3</v>
      </c>
      <c r="G905" s="170">
        <v>2</v>
      </c>
      <c r="H905" s="38" t="s">
        <v>511</v>
      </c>
      <c r="I905" s="105" t="s">
        <v>1449</v>
      </c>
      <c r="J905" s="157" t="s">
        <v>2969</v>
      </c>
      <c r="K905" s="34" t="s">
        <v>2970</v>
      </c>
      <c r="L905" s="5">
        <f>IF(O905="","",N905*O905*M905)</f>
        <v>99</v>
      </c>
      <c r="M905" s="8">
        <v>1</v>
      </c>
      <c r="N905" s="1">
        <v>1</v>
      </c>
      <c r="O905" s="15">
        <f>IF(SUM(Q905:AF905)&lt;1,"",SUM(Q905:AF905)/COUNTIF(Q905:AF905,"&gt;0"))</f>
        <v>99</v>
      </c>
      <c r="P905" s="16"/>
      <c r="Q905" s="13"/>
      <c r="R905" s="4"/>
      <c r="S905" s="4"/>
      <c r="T905" s="4">
        <v>99</v>
      </c>
      <c r="U905" s="2"/>
      <c r="V905" s="2"/>
      <c r="W905" s="2"/>
      <c r="X905" s="2"/>
      <c r="Y905" s="4"/>
      <c r="Z905" s="2"/>
      <c r="AA905" s="2"/>
      <c r="AB905" s="4"/>
      <c r="AC905" s="4"/>
      <c r="AD905" s="4"/>
      <c r="AE905" s="4"/>
      <c r="AF905" s="14"/>
      <c r="AG905" s="3"/>
    </row>
    <row r="906" spans="1:33" ht="15.75" customHeight="1" x14ac:dyDescent="0.25">
      <c r="A906" s="33" t="str">
        <f>CONCATENATE(D906,".",F906,"-",G906,".",H906,"")</f>
        <v>2.3-2.1</v>
      </c>
      <c r="C906" s="39" t="s">
        <v>262</v>
      </c>
      <c r="D906" s="33">
        <f>IF(C906="ID",1,(IF(C906="PR",2,(IF(C906="DE",3,(IF(C906="RS",4,(IF(C906="RC",5,0)))))))))</f>
        <v>2</v>
      </c>
      <c r="E906" s="33" t="s">
        <v>343</v>
      </c>
      <c r="F906" s="33">
        <f>IF(E906="AM",1,(IF(E906="BE",2,(IF(E906="GV",3,(IF(E906="RA",4,(IF(E906="RM",5,(IF(E906="AC",1,(IF(E906="AT",2,(IF(E906="DS",3,(IF(E906="IP",4,(IF(E906="MA",5,(IF(E906="PT",6,(IF(E906="AE",1,(IF(E906="CM",2,(IF(E906="DP",3,(IF(E906="AN",1,(IF(E906="CO",2,(IF(E906="IM",3,(IF(E906="MI",4,(IF(E906="RP",5,(IF(E906="SC",6,0)))))))))))))))))))))))))))))))))))))))</f>
        <v>3</v>
      </c>
      <c r="G906" s="170">
        <v>2</v>
      </c>
      <c r="H906" s="38" t="s">
        <v>511</v>
      </c>
      <c r="I906" s="105" t="s">
        <v>1449</v>
      </c>
      <c r="J906" s="157" t="s">
        <v>2971</v>
      </c>
      <c r="K906" s="34" t="s">
        <v>2972</v>
      </c>
      <c r="L906" s="5">
        <f>IF(O906="","",N906*O906*M906)</f>
        <v>99</v>
      </c>
      <c r="M906" s="8">
        <v>1</v>
      </c>
      <c r="N906" s="1">
        <v>1</v>
      </c>
      <c r="O906" s="15">
        <f>IF(SUM(Q906:AF906)&lt;1,"",SUM(Q906:AF906)/COUNTIF(Q906:AF906,"&gt;0"))</f>
        <v>99</v>
      </c>
      <c r="P906" s="16"/>
      <c r="Q906" s="13"/>
      <c r="R906" s="4"/>
      <c r="S906" s="4"/>
      <c r="T906" s="4">
        <v>99</v>
      </c>
      <c r="U906" s="2"/>
      <c r="V906" s="2"/>
      <c r="W906" s="2"/>
      <c r="X906" s="2"/>
      <c r="Y906" s="4"/>
      <c r="Z906" s="2"/>
      <c r="AA906" s="2"/>
      <c r="AB906" s="4"/>
      <c r="AC906" s="4"/>
      <c r="AD906" s="4"/>
      <c r="AE906" s="4"/>
      <c r="AF906" s="14"/>
      <c r="AG906" s="3"/>
    </row>
    <row r="907" spans="1:33" ht="15.75" customHeight="1" x14ac:dyDescent="0.25">
      <c r="A907" s="33" t="str">
        <f>CONCATENATE(D907,".",F907,"-",G907,".",H907,"")</f>
        <v>2.3-2.1</v>
      </c>
      <c r="C907" s="39" t="s">
        <v>262</v>
      </c>
      <c r="D907" s="33">
        <f>IF(C907="ID",1,(IF(C907="PR",2,(IF(C907="DE",3,(IF(C907="RS",4,(IF(C907="RC",5,0)))))))))</f>
        <v>2</v>
      </c>
      <c r="E907" s="33" t="s">
        <v>343</v>
      </c>
      <c r="F907" s="33">
        <f>IF(E907="AM",1,(IF(E907="BE",2,(IF(E907="GV",3,(IF(E907="RA",4,(IF(E907="RM",5,(IF(E907="AC",1,(IF(E907="AT",2,(IF(E907="DS",3,(IF(E907="IP",4,(IF(E907="MA",5,(IF(E907="PT",6,(IF(E907="AE",1,(IF(E907="CM",2,(IF(E907="DP",3,(IF(E907="AN",1,(IF(E907="CO",2,(IF(E907="IM",3,(IF(E907="MI",4,(IF(E907="RP",5,(IF(E907="SC",6,0)))))))))))))))))))))))))))))))))))))))</f>
        <v>3</v>
      </c>
      <c r="G907" s="170">
        <v>2</v>
      </c>
      <c r="H907" s="38" t="s">
        <v>511</v>
      </c>
      <c r="I907" s="105" t="s">
        <v>1449</v>
      </c>
      <c r="J907" s="157" t="s">
        <v>2973</v>
      </c>
      <c r="K907" s="34" t="s">
        <v>2974</v>
      </c>
      <c r="L907" s="5">
        <f>IF(O907="","",N907*O907*M907)</f>
        <v>99</v>
      </c>
      <c r="M907" s="8">
        <v>1</v>
      </c>
      <c r="N907" s="1">
        <v>1</v>
      </c>
      <c r="O907" s="15">
        <f>IF(SUM(Q907:AF907)&lt;1,"",SUM(Q907:AF907)/COUNTIF(Q907:AF907,"&gt;0"))</f>
        <v>99</v>
      </c>
      <c r="P907" s="16"/>
      <c r="Q907" s="13"/>
      <c r="R907" s="4"/>
      <c r="S907" s="4"/>
      <c r="T907" s="4">
        <v>99</v>
      </c>
      <c r="U907" s="2"/>
      <c r="V907" s="2"/>
      <c r="W907" s="2"/>
      <c r="X907" s="2"/>
      <c r="Y907" s="4"/>
      <c r="Z907" s="2"/>
      <c r="AA907" s="2"/>
      <c r="AB907" s="4"/>
      <c r="AC907" s="4"/>
      <c r="AD907" s="4"/>
      <c r="AE907" s="4"/>
      <c r="AF907" s="14"/>
      <c r="AG907" s="3"/>
    </row>
    <row r="908" spans="1:33" s="4" customFormat="1" ht="15.75" customHeight="1" x14ac:dyDescent="0.25">
      <c r="A908" s="33" t="str">
        <f>CONCATENATE(D908,".",F908,"-",G908,".",H908,"")</f>
        <v>2.3-2.1</v>
      </c>
      <c r="B908" s="33"/>
      <c r="C908" s="39" t="s">
        <v>262</v>
      </c>
      <c r="D908" s="33">
        <f>IF(C908="ID",1,(IF(C908="PR",2,(IF(C908="DE",3,(IF(C908="RS",4,(IF(C908="RC",5,0)))))))))</f>
        <v>2</v>
      </c>
      <c r="E908" s="33" t="s">
        <v>343</v>
      </c>
      <c r="F908" s="33">
        <f>IF(E908="AM",1,(IF(E908="BE",2,(IF(E908="GV",3,(IF(E908="RA",4,(IF(E908="RM",5,(IF(E908="AC",1,(IF(E908="AT",2,(IF(E908="DS",3,(IF(E908="IP",4,(IF(E908="MA",5,(IF(E908="PT",6,(IF(E908="AE",1,(IF(E908="CM",2,(IF(E908="DP",3,(IF(E908="AN",1,(IF(E908="CO",2,(IF(E908="IM",3,(IF(E908="MI",4,(IF(E908="RP",5,(IF(E908="SC",6,0)))))))))))))))))))))))))))))))))))))))</f>
        <v>3</v>
      </c>
      <c r="G908" s="170">
        <v>2</v>
      </c>
      <c r="H908" s="38" t="s">
        <v>511</v>
      </c>
      <c r="I908" s="105" t="s">
        <v>1449</v>
      </c>
      <c r="J908" s="157" t="s">
        <v>2975</v>
      </c>
      <c r="K908" s="34" t="s">
        <v>2976</v>
      </c>
      <c r="L908" s="5">
        <f>IF(O908="","",N908*O908*M908)</f>
        <v>99</v>
      </c>
      <c r="M908" s="8">
        <v>1</v>
      </c>
      <c r="N908" s="1">
        <v>1</v>
      </c>
      <c r="O908" s="15">
        <f>IF(SUM(Q908:AF908)&lt;1,"",SUM(Q908:AF908)/COUNTIF(Q908:AF908,"&gt;0"))</f>
        <v>99</v>
      </c>
      <c r="P908" s="16"/>
      <c r="Q908" s="13"/>
      <c r="T908" s="4">
        <v>99</v>
      </c>
      <c r="U908" s="2"/>
      <c r="V908" s="2"/>
      <c r="W908" s="2"/>
      <c r="X908" s="2"/>
      <c r="Z908" s="2"/>
      <c r="AA908" s="2"/>
      <c r="AF908" s="14"/>
    </row>
    <row r="909" spans="1:33" s="4" customFormat="1" ht="15.75" customHeight="1" x14ac:dyDescent="0.25">
      <c r="A909" s="33" t="str">
        <f>CONCATENATE(D909,".",F909,"-",G909,".",H909,"")</f>
        <v>2.3-2.1</v>
      </c>
      <c r="B909" s="33"/>
      <c r="C909" s="39" t="s">
        <v>262</v>
      </c>
      <c r="D909" s="33">
        <f>IF(C909="ID",1,(IF(C909="PR",2,(IF(C909="DE",3,(IF(C909="RS",4,(IF(C909="RC",5,0)))))))))</f>
        <v>2</v>
      </c>
      <c r="E909" s="33" t="s">
        <v>343</v>
      </c>
      <c r="F909" s="33">
        <f>IF(E909="AM",1,(IF(E909="BE",2,(IF(E909="GV",3,(IF(E909="RA",4,(IF(E909="RM",5,(IF(E909="AC",1,(IF(E909="AT",2,(IF(E909="DS",3,(IF(E909="IP",4,(IF(E909="MA",5,(IF(E909="PT",6,(IF(E909="AE",1,(IF(E909="CM",2,(IF(E909="DP",3,(IF(E909="AN",1,(IF(E909="CO",2,(IF(E909="IM",3,(IF(E909="MI",4,(IF(E909="RP",5,(IF(E909="SC",6,0)))))))))))))))))))))))))))))))))))))))</f>
        <v>3</v>
      </c>
      <c r="G909" s="170">
        <v>2</v>
      </c>
      <c r="H909" s="38" t="s">
        <v>511</v>
      </c>
      <c r="I909" s="105" t="s">
        <v>1449</v>
      </c>
      <c r="J909" s="157" t="s">
        <v>2977</v>
      </c>
      <c r="K909" s="34" t="s">
        <v>2978</v>
      </c>
      <c r="L909" s="5">
        <f>IF(O909="","",N909*O909*M909)</f>
        <v>99</v>
      </c>
      <c r="M909" s="8">
        <v>1</v>
      </c>
      <c r="N909" s="1">
        <v>1</v>
      </c>
      <c r="O909" s="15">
        <f>IF(SUM(Q909:AF909)&lt;1,"",SUM(Q909:AF909)/COUNTIF(Q909:AF909,"&gt;0"))</f>
        <v>99</v>
      </c>
      <c r="P909" s="16"/>
      <c r="Q909" s="13"/>
      <c r="T909" s="4">
        <v>99</v>
      </c>
      <c r="U909" s="2"/>
      <c r="V909" s="2"/>
      <c r="W909" s="2"/>
      <c r="X909" s="2"/>
      <c r="Z909" s="2"/>
      <c r="AA909" s="2"/>
      <c r="AF909" s="14"/>
    </row>
    <row r="910" spans="1:33" s="4" customFormat="1" ht="15.75" customHeight="1" x14ac:dyDescent="0.25">
      <c r="A910" s="33" t="str">
        <f>CONCATENATE(D910,".",F910,"-",G910,".",H910,"")</f>
        <v>2.3-2.3</v>
      </c>
      <c r="B910" s="33" t="s">
        <v>814</v>
      </c>
      <c r="C910" s="39" t="s">
        <v>262</v>
      </c>
      <c r="D910" s="33">
        <f>IF(C910="ID",1,(IF(C910="PR",2,(IF(C910="DE",3,(IF(C910="RS",4,(IF(C910="RC",5,0)))))))))</f>
        <v>2</v>
      </c>
      <c r="E910" s="33" t="s">
        <v>343</v>
      </c>
      <c r="F910" s="33">
        <f>IF(E910="AM",1,(IF(E910="BE",2,(IF(E910="GV",3,(IF(E910="RA",4,(IF(E910="RM",5,(IF(E910="AC",1,(IF(E910="AT",2,(IF(E910="DS",3,(IF(E910="IP",4,(IF(E910="MA",5,(IF(E910="PT",6,(IF(E910="AE",1,(IF(E910="CM",2,(IF(E910="DP",3,(IF(E910="AN",1,(IF(E910="CO",2,(IF(E910="IM",3,(IF(E910="MI",4,(IF(E910="RP",5,(IF(E910="SC",6,0)))))))))))))))))))))))))))))))))))))))</f>
        <v>3</v>
      </c>
      <c r="G910" s="170">
        <v>2</v>
      </c>
      <c r="H910" s="38" t="s">
        <v>513</v>
      </c>
      <c r="I910" s="105" t="s">
        <v>1449</v>
      </c>
      <c r="J910" s="157" t="s">
        <v>1562</v>
      </c>
      <c r="K910" s="34" t="s">
        <v>1563</v>
      </c>
      <c r="L910" s="5">
        <f>IF(O910="","",N910*O910*M910)</f>
        <v>99</v>
      </c>
      <c r="M910" s="8">
        <v>1</v>
      </c>
      <c r="N910" s="1">
        <v>1</v>
      </c>
      <c r="O910" s="15">
        <f>IF(SUM(Q910:AF910)&lt;1,"",SUM(Q910:AF910)/COUNTIF(Q910:AF910,"&gt;0"))</f>
        <v>99</v>
      </c>
      <c r="P910" s="16"/>
      <c r="Q910" s="13"/>
      <c r="T910" s="4">
        <v>99</v>
      </c>
      <c r="U910" s="2"/>
      <c r="V910" s="2"/>
      <c r="W910" s="2"/>
      <c r="X910" s="2"/>
      <c r="Z910" s="2"/>
      <c r="AA910" s="2"/>
      <c r="AF910" s="14"/>
    </row>
    <row r="911" spans="1:33" s="4" customFormat="1" ht="15.75" customHeight="1" x14ac:dyDescent="0.25">
      <c r="A911" s="33" t="str">
        <f>CONCATENATE(D911,".",F911,"-",G911,".",H911,"")</f>
        <v>2.3-2.9</v>
      </c>
      <c r="B911" s="33"/>
      <c r="C911" s="39" t="s">
        <v>262</v>
      </c>
      <c r="D911" s="33">
        <f>IF(C911="ID",1,(IF(C911="PR",2,(IF(C911="DE",3,(IF(C911="RS",4,(IF(C911="RC",5,0)))))))))</f>
        <v>2</v>
      </c>
      <c r="E911" s="33" t="s">
        <v>343</v>
      </c>
      <c r="F911" s="33">
        <f>IF(E911="AM",1,(IF(E911="BE",2,(IF(E911="GV",3,(IF(E911="RA",4,(IF(E911="RM",5,(IF(E911="AC",1,(IF(E911="AT",2,(IF(E911="DS",3,(IF(E911="IP",4,(IF(E911="MA",5,(IF(E911="PT",6,(IF(E911="AE",1,(IF(E911="CM",2,(IF(E911="DP",3,(IF(E911="AN",1,(IF(E911="CO",2,(IF(E911="IM",3,(IF(E911="MI",4,(IF(E911="RP",5,(IF(E911="SC",6,0)))))))))))))))))))))))))))))))))))))))</f>
        <v>3</v>
      </c>
      <c r="G911" s="170">
        <v>2</v>
      </c>
      <c r="H911" s="38" t="s">
        <v>596</v>
      </c>
      <c r="I911" s="105" t="s">
        <v>1449</v>
      </c>
      <c r="J911" s="157" t="s">
        <v>2799</v>
      </c>
      <c r="K911" s="34" t="s">
        <v>2800</v>
      </c>
      <c r="L911" s="5">
        <f>IF(O911="","",N911*O911*M911)</f>
        <v>99</v>
      </c>
      <c r="M911" s="8">
        <v>1</v>
      </c>
      <c r="N911" s="1">
        <v>1</v>
      </c>
      <c r="O911" s="15">
        <f>IF(SUM(Q911:AF911)&lt;1,"",SUM(Q911:AF911)/COUNTIF(Q911:AF911,"&gt;0"))</f>
        <v>99</v>
      </c>
      <c r="P911" s="16"/>
      <c r="Q911" s="13"/>
      <c r="T911" s="4">
        <v>99</v>
      </c>
      <c r="U911" s="2"/>
      <c r="V911" s="2"/>
      <c r="W911" s="2"/>
      <c r="X911" s="2"/>
      <c r="Z911" s="2"/>
      <c r="AA911" s="2"/>
      <c r="AF911" s="14"/>
    </row>
    <row r="912" spans="1:33" s="4" customFormat="1" ht="15.75" customHeight="1" x14ac:dyDescent="0.25">
      <c r="A912" s="33" t="str">
        <f>CONCATENATE(D912,".",F912,"-",G912,".",H912,"")</f>
        <v>2.3-2.9</v>
      </c>
      <c r="B912" s="33"/>
      <c r="C912" s="39" t="s">
        <v>262</v>
      </c>
      <c r="D912" s="33">
        <f>IF(C912="ID",1,(IF(C912="PR",2,(IF(C912="DE",3,(IF(C912="RS",4,(IF(C912="RC",5,0)))))))))</f>
        <v>2</v>
      </c>
      <c r="E912" s="33" t="s">
        <v>343</v>
      </c>
      <c r="F912" s="33">
        <f>IF(E912="AM",1,(IF(E912="BE",2,(IF(E912="GV",3,(IF(E912="RA",4,(IF(E912="RM",5,(IF(E912="AC",1,(IF(E912="AT",2,(IF(E912="DS",3,(IF(E912="IP",4,(IF(E912="MA",5,(IF(E912="PT",6,(IF(E912="AE",1,(IF(E912="CM",2,(IF(E912="DP",3,(IF(E912="AN",1,(IF(E912="CO",2,(IF(E912="IM",3,(IF(E912="MI",4,(IF(E912="RP",5,(IF(E912="SC",6,0)))))))))))))))))))))))))))))))))))))))</f>
        <v>3</v>
      </c>
      <c r="G912" s="170">
        <v>2</v>
      </c>
      <c r="H912" s="38" t="s">
        <v>596</v>
      </c>
      <c r="I912" s="105" t="s">
        <v>1449</v>
      </c>
      <c r="J912" s="157" t="s">
        <v>2801</v>
      </c>
      <c r="K912" s="34" t="s">
        <v>2802</v>
      </c>
      <c r="L912" s="5">
        <f>IF(O912="","",N912*O912*M912)</f>
        <v>99</v>
      </c>
      <c r="M912" s="8">
        <v>1</v>
      </c>
      <c r="N912" s="1">
        <v>1</v>
      </c>
      <c r="O912" s="15">
        <f>IF(SUM(Q912:AF912)&lt;1,"",SUM(Q912:AF912)/COUNTIF(Q912:AF912,"&gt;0"))</f>
        <v>99</v>
      </c>
      <c r="P912" s="16"/>
      <c r="Q912" s="13"/>
      <c r="T912" s="4">
        <v>99</v>
      </c>
      <c r="U912" s="2"/>
      <c r="V912" s="2"/>
      <c r="W912" s="2"/>
      <c r="X912" s="2"/>
      <c r="Z912" s="2"/>
      <c r="AA912" s="2"/>
      <c r="AF912" s="14"/>
    </row>
    <row r="913" spans="1:33" s="4" customFormat="1" ht="15.75" customHeight="1" x14ac:dyDescent="0.25">
      <c r="A913" s="33" t="str">
        <f>CONCATENATE(D913,".",F913,"-",G913,".",H913,"")</f>
        <v>2.3-2.9</v>
      </c>
      <c r="B913" s="33"/>
      <c r="C913" s="39" t="s">
        <v>262</v>
      </c>
      <c r="D913" s="33">
        <f>IF(C913="ID",1,(IF(C913="PR",2,(IF(C913="DE",3,(IF(C913="RS",4,(IF(C913="RC",5,0)))))))))</f>
        <v>2</v>
      </c>
      <c r="E913" s="33" t="s">
        <v>343</v>
      </c>
      <c r="F913" s="33">
        <f>IF(E913="AM",1,(IF(E913="BE",2,(IF(E913="GV",3,(IF(E913="RA",4,(IF(E913="RM",5,(IF(E913="AC",1,(IF(E913="AT",2,(IF(E913="DS",3,(IF(E913="IP",4,(IF(E913="MA",5,(IF(E913="PT",6,(IF(E913="AE",1,(IF(E913="CM",2,(IF(E913="DP",3,(IF(E913="AN",1,(IF(E913="CO",2,(IF(E913="IM",3,(IF(E913="MI",4,(IF(E913="RP",5,(IF(E913="SC",6,0)))))))))))))))))))))))))))))))))))))))</f>
        <v>3</v>
      </c>
      <c r="G913" s="170">
        <v>2</v>
      </c>
      <c r="H913" s="38" t="s">
        <v>596</v>
      </c>
      <c r="I913" s="105" t="s">
        <v>1449</v>
      </c>
      <c r="J913" s="157" t="s">
        <v>2803</v>
      </c>
      <c r="K913" s="34" t="s">
        <v>2804</v>
      </c>
      <c r="L913" s="5">
        <f>IF(O913="","",N913*O913*M913)</f>
        <v>99</v>
      </c>
      <c r="M913" s="8">
        <v>1</v>
      </c>
      <c r="N913" s="1">
        <v>1</v>
      </c>
      <c r="O913" s="15">
        <f>IF(SUM(Q913:AF913)&lt;1,"",SUM(Q913:AF913)/COUNTIF(Q913:AF913,"&gt;0"))</f>
        <v>99</v>
      </c>
      <c r="P913" s="16"/>
      <c r="Q913" s="13"/>
      <c r="T913" s="4">
        <v>99</v>
      </c>
      <c r="U913" s="2"/>
      <c r="V913" s="2"/>
      <c r="W913" s="2"/>
      <c r="X913" s="2"/>
      <c r="Z913" s="2"/>
      <c r="AA913" s="2"/>
      <c r="AF913" s="14"/>
    </row>
    <row r="914" spans="1:33" s="4" customFormat="1" ht="15.75" customHeight="1" x14ac:dyDescent="0.25">
      <c r="A914" s="33" t="str">
        <f>CONCATENATE(D914,".",F914,"-",G914,".",H914,"")</f>
        <v>2.3-2.9</v>
      </c>
      <c r="B914" s="33"/>
      <c r="C914" s="39" t="s">
        <v>262</v>
      </c>
      <c r="D914" s="33">
        <f>IF(C914="ID",1,(IF(C914="PR",2,(IF(C914="DE",3,(IF(C914="RS",4,(IF(C914="RC",5,0)))))))))</f>
        <v>2</v>
      </c>
      <c r="E914" s="33" t="s">
        <v>343</v>
      </c>
      <c r="F914" s="33">
        <f>IF(E914="AM",1,(IF(E914="BE",2,(IF(E914="GV",3,(IF(E914="RA",4,(IF(E914="RM",5,(IF(E914="AC",1,(IF(E914="AT",2,(IF(E914="DS",3,(IF(E914="IP",4,(IF(E914="MA",5,(IF(E914="PT",6,(IF(E914="AE",1,(IF(E914="CM",2,(IF(E914="DP",3,(IF(E914="AN",1,(IF(E914="CO",2,(IF(E914="IM",3,(IF(E914="MI",4,(IF(E914="RP",5,(IF(E914="SC",6,0)))))))))))))))))))))))))))))))))))))))</f>
        <v>3</v>
      </c>
      <c r="G914" s="170">
        <v>2</v>
      </c>
      <c r="H914" s="38" t="s">
        <v>596</v>
      </c>
      <c r="I914" s="105" t="s">
        <v>1449</v>
      </c>
      <c r="J914" s="157" t="s">
        <v>2805</v>
      </c>
      <c r="K914" s="34" t="s">
        <v>2806</v>
      </c>
      <c r="L914" s="5">
        <f>IF(O914="","",N914*O914*M914)</f>
        <v>99</v>
      </c>
      <c r="M914" s="8">
        <v>1</v>
      </c>
      <c r="N914" s="1">
        <v>1</v>
      </c>
      <c r="O914" s="15">
        <f>IF(SUM(Q914:AF914)&lt;1,"",SUM(Q914:AF914)/COUNTIF(Q914:AF914,"&gt;0"))</f>
        <v>99</v>
      </c>
      <c r="P914" s="16"/>
      <c r="Q914" s="13"/>
      <c r="T914" s="4">
        <v>99</v>
      </c>
      <c r="U914" s="2"/>
      <c r="V914" s="2"/>
      <c r="W914" s="2"/>
      <c r="X914" s="2"/>
      <c r="Z914" s="2"/>
      <c r="AA914" s="2"/>
      <c r="AF914" s="14"/>
    </row>
    <row r="915" spans="1:33" s="4" customFormat="1" ht="15.75" customHeight="1" x14ac:dyDescent="0.25">
      <c r="A915" s="33" t="str">
        <f>CONCATENATE(D915,".",F915,"-",G915,".",H915,"")</f>
        <v>2.3-3.0</v>
      </c>
      <c r="B915" s="33" t="s">
        <v>814</v>
      </c>
      <c r="C915" s="40" t="s">
        <v>262</v>
      </c>
      <c r="D915" s="33">
        <f>IF(C915="ID",1,(IF(C915="PR",2,(IF(C915="DE",3,(IF(C915="RS",4,(IF(C915="RC",5,0)))))))))</f>
        <v>2</v>
      </c>
      <c r="E915" s="33" t="s">
        <v>343</v>
      </c>
      <c r="F915" s="33">
        <f>IF(E915="AM",1,(IF(E915="BE",2,(IF(E915="GV",3,(IF(E915="RA",4,(IF(E915="RM",5,(IF(E915="AC",1,(IF(E915="AT",2,(IF(E915="DS",3,(IF(E915="IP",4,(IF(E915="MA",5,(IF(E915="PT",6,(IF(E915="AE",1,(IF(E915="CM",2,(IF(E915="DP",3,(IF(E915="AN",1,(IF(E915="CO",2,(IF(E915="IM",3,(IF(E915="MI",4,(IF(E915="RP",5,(IF(E915="SC",6,0)))))))))))))))))))))))))))))))))))))))</f>
        <v>3</v>
      </c>
      <c r="G915" s="170">
        <v>3</v>
      </c>
      <c r="H915" s="38" t="s">
        <v>597</v>
      </c>
      <c r="I915" s="27" t="s">
        <v>1200</v>
      </c>
      <c r="J915" s="149" t="s">
        <v>615</v>
      </c>
      <c r="K915" s="98" t="s">
        <v>380</v>
      </c>
      <c r="L915" s="66">
        <f>IF(O915="","",N915*O915*M915)</f>
        <v>75</v>
      </c>
      <c r="M915" s="8">
        <v>1</v>
      </c>
      <c r="N915" s="1">
        <v>1</v>
      </c>
      <c r="O915" s="15">
        <f>IF(SUM(Q915:AF915)&lt;1,"",SUM(Q915:AF915)/COUNTIF(Q915:AF915,"&gt;0"))</f>
        <v>75</v>
      </c>
      <c r="P915" s="16"/>
      <c r="Q915" s="13"/>
      <c r="T915" s="4">
        <v>75</v>
      </c>
      <c r="U915" s="2"/>
      <c r="V915" s="2"/>
      <c r="W915" s="2"/>
      <c r="X915" s="2"/>
      <c r="Z915" s="2"/>
      <c r="AA915" s="2"/>
      <c r="AF915" s="14"/>
    </row>
    <row r="916" spans="1:33" s="4" customFormat="1" ht="15.75" customHeight="1" x14ac:dyDescent="0.25">
      <c r="A916" s="33" t="str">
        <f>CONCATENATE(D916,".",F916,"-",G916,".",H916,"")</f>
        <v>2.3-3.1</v>
      </c>
      <c r="B916" s="33" t="s">
        <v>814</v>
      </c>
      <c r="C916" s="39" t="s">
        <v>262</v>
      </c>
      <c r="D916" s="33">
        <f>IF(C916="ID",1,(IF(C916="PR",2,(IF(C916="DE",3,(IF(C916="RS",4,(IF(C916="RC",5,0)))))))))</f>
        <v>2</v>
      </c>
      <c r="E916" s="33" t="s">
        <v>343</v>
      </c>
      <c r="F916" s="33">
        <f>IF(E916="AM",1,(IF(E916="BE",2,(IF(E916="GV",3,(IF(E916="RA",4,(IF(E916="RM",5,(IF(E916="AC",1,(IF(E916="AT",2,(IF(E916="DS",3,(IF(E916="IP",4,(IF(E916="MA",5,(IF(E916="PT",6,(IF(E916="AE",1,(IF(E916="CM",2,(IF(E916="DP",3,(IF(E916="AN",1,(IF(E916="CO",2,(IF(E916="IM",3,(IF(E916="MI",4,(IF(E916="RP",5,(IF(E916="SC",6,0)))))))))))))))))))))))))))))))))))))))</f>
        <v>3</v>
      </c>
      <c r="G916" s="170">
        <v>3</v>
      </c>
      <c r="H916" s="38" t="s">
        <v>511</v>
      </c>
      <c r="I916" s="105" t="s">
        <v>821</v>
      </c>
      <c r="J916" s="150">
        <v>3.1</v>
      </c>
      <c r="K916" s="79" t="s">
        <v>1283</v>
      </c>
      <c r="L916" s="66">
        <f>IF(O916="","",N916*O916*M916)</f>
        <v>75</v>
      </c>
      <c r="M916" s="8">
        <v>1</v>
      </c>
      <c r="N916" s="3">
        <v>1</v>
      </c>
      <c r="O916" s="15">
        <f>IF(SUM(Q916:AF916)&lt;1,"",SUM(Q916:AF916)/COUNTIF(Q916:AF916,"&gt;0"))</f>
        <v>75</v>
      </c>
      <c r="P916" s="16"/>
      <c r="Q916" s="13"/>
      <c r="T916" s="4">
        <v>75</v>
      </c>
      <c r="U916" s="2"/>
      <c r="V916" s="2"/>
      <c r="W916" s="2"/>
      <c r="X916" s="2"/>
      <c r="Z916" s="2"/>
      <c r="AA916" s="2"/>
      <c r="AF916" s="14"/>
    </row>
    <row r="917" spans="1:33" s="4" customFormat="1" ht="15.75" customHeight="1" x14ac:dyDescent="0.25">
      <c r="A917" s="33" t="str">
        <f>CONCATENATE(D917,".",F917,"-",G917,".",H917,"")</f>
        <v>2.3-3.1</v>
      </c>
      <c r="B917" s="33" t="s">
        <v>814</v>
      </c>
      <c r="C917" s="39" t="s">
        <v>262</v>
      </c>
      <c r="D917" s="33">
        <f>IF(C917="ID",1,(IF(C917="PR",2,(IF(C917="DE",3,(IF(C917="RS",4,(IF(C917="RC",5,0)))))))))</f>
        <v>2</v>
      </c>
      <c r="E917" s="33" t="s">
        <v>343</v>
      </c>
      <c r="F917" s="33">
        <f>IF(E917="AM",1,(IF(E917="BE",2,(IF(E917="GV",3,(IF(E917="RA",4,(IF(E917="RM",5,(IF(E917="AC",1,(IF(E917="AT",2,(IF(E917="DS",3,(IF(E917="IP",4,(IF(E917="MA",5,(IF(E917="PT",6,(IF(E917="AE",1,(IF(E917="CM",2,(IF(E917="DP",3,(IF(E917="AN",1,(IF(E917="CO",2,(IF(E917="IM",3,(IF(E917="MI",4,(IF(E917="RP",5,(IF(E917="SC",6,0)))))))))))))))))))))))))))))))))))))))</f>
        <v>3</v>
      </c>
      <c r="G917" s="170">
        <v>3</v>
      </c>
      <c r="H917" s="38" t="s">
        <v>511</v>
      </c>
      <c r="I917" s="105" t="s">
        <v>821</v>
      </c>
      <c r="J917" s="150">
        <v>9.6999999999999993</v>
      </c>
      <c r="K917" s="79" t="s">
        <v>1283</v>
      </c>
      <c r="L917" s="66">
        <f>IF(O917="","",N917*O917*M917)</f>
        <v>75</v>
      </c>
      <c r="M917" s="8">
        <v>1</v>
      </c>
      <c r="N917" s="3">
        <v>1</v>
      </c>
      <c r="O917" s="15">
        <f>IF(SUM(Q917:AF917)&lt;1,"",SUM(Q917:AF917)/COUNTIF(Q917:AF917,"&gt;0"))</f>
        <v>75</v>
      </c>
      <c r="P917" s="16"/>
      <c r="Q917" s="13"/>
      <c r="T917" s="4">
        <v>75</v>
      </c>
      <c r="U917" s="2"/>
      <c r="V917" s="2"/>
      <c r="W917" s="2"/>
      <c r="X917" s="2"/>
      <c r="Z917" s="2"/>
      <c r="AA917" s="2"/>
      <c r="AF917" s="14"/>
    </row>
    <row r="918" spans="1:33" s="4" customFormat="1" ht="15.75" customHeight="1" x14ac:dyDescent="0.25">
      <c r="A918" s="33" t="str">
        <f>CONCATENATE(D918,".",F918,"-",G918,".",H918,"")</f>
        <v>2.3-3.1</v>
      </c>
      <c r="B918" s="33" t="s">
        <v>814</v>
      </c>
      <c r="C918" s="40" t="s">
        <v>262</v>
      </c>
      <c r="D918" s="33">
        <f>IF(C918="ID",1,(IF(C918="PR",2,(IF(C918="DE",3,(IF(C918="RS",4,(IF(C918="RC",5,0)))))))))</f>
        <v>2</v>
      </c>
      <c r="E918" s="33" t="s">
        <v>343</v>
      </c>
      <c r="F918" s="33">
        <f>IF(E918="AM",1,(IF(E918="BE",2,(IF(E918="GV",3,(IF(E918="RA",4,(IF(E918="RM",5,(IF(E918="AC",1,(IF(E918="AT",2,(IF(E918="DS",3,(IF(E918="IP",4,(IF(E918="MA",5,(IF(E918="PT",6,(IF(E918="AE",1,(IF(E918="CM",2,(IF(E918="DP",3,(IF(E918="AN",1,(IF(E918="CO",2,(IF(E918="IM",3,(IF(E918="MI",4,(IF(E918="RP",5,(IF(E918="SC",6,0)))))))))))))))))))))))))))))))))))))))</f>
        <v>3</v>
      </c>
      <c r="G918" s="171">
        <v>3</v>
      </c>
      <c r="H918" s="38" t="s">
        <v>511</v>
      </c>
      <c r="I918" s="105" t="s">
        <v>821</v>
      </c>
      <c r="J918" s="150">
        <v>9.8000000000000007</v>
      </c>
      <c r="K918" s="79" t="s">
        <v>1283</v>
      </c>
      <c r="L918" s="66">
        <f>IF(O918="","",N918*O918*M918)</f>
        <v>75</v>
      </c>
      <c r="M918" s="8">
        <v>1</v>
      </c>
      <c r="N918" s="3">
        <v>1</v>
      </c>
      <c r="O918" s="15">
        <f>IF(SUM(Q918:AF918)&lt;1,"",SUM(Q918:AF918)/COUNTIF(Q918:AF918,"&gt;0"))</f>
        <v>75</v>
      </c>
      <c r="P918" s="16"/>
      <c r="Q918" s="13"/>
      <c r="T918" s="4">
        <v>75</v>
      </c>
      <c r="U918" s="2"/>
      <c r="V918" s="2"/>
      <c r="W918" s="2"/>
      <c r="X918" s="2"/>
      <c r="Z918" s="2"/>
      <c r="AA918" s="2"/>
      <c r="AF918" s="14"/>
    </row>
    <row r="919" spans="1:33" ht="15.75" customHeight="1" x14ac:dyDescent="0.25">
      <c r="A919" s="33" t="str">
        <f>CONCATENATE(D919,".",F919,"-",G919,".",H919,"")</f>
        <v>2.3-3.1</v>
      </c>
      <c r="B919" s="33" t="s">
        <v>814</v>
      </c>
      <c r="C919" s="40" t="s">
        <v>262</v>
      </c>
      <c r="D919" s="33">
        <f>IF(C919="ID",1,(IF(C919="PR",2,(IF(C919="DE",3,(IF(C919="RS",4,(IF(C919="RC",5,0)))))))))</f>
        <v>2</v>
      </c>
      <c r="E919" s="33" t="s">
        <v>343</v>
      </c>
      <c r="F919" s="33">
        <f>IF(E919="AM",1,(IF(E919="BE",2,(IF(E919="GV",3,(IF(E919="RA",4,(IF(E919="RM",5,(IF(E919="AC",1,(IF(E919="AT",2,(IF(E919="DS",3,(IF(E919="IP",4,(IF(E919="MA",5,(IF(E919="PT",6,(IF(E919="AE",1,(IF(E919="CM",2,(IF(E919="DP",3,(IF(E919="AN",1,(IF(E919="CO",2,(IF(E919="IM",3,(IF(E919="MI",4,(IF(E919="RP",5,(IF(E919="SC",6,0)))))))))))))))))))))))))))))))))))))))</f>
        <v>3</v>
      </c>
      <c r="G919" s="171">
        <v>3</v>
      </c>
      <c r="H919" s="38" t="s">
        <v>511</v>
      </c>
      <c r="I919" s="27" t="s">
        <v>936</v>
      </c>
      <c r="J919" s="163" t="s">
        <v>866</v>
      </c>
      <c r="K919" s="34" t="s">
        <v>937</v>
      </c>
      <c r="L919" s="66">
        <f>IF(O919="","",N919*O919*M919)</f>
        <v>75</v>
      </c>
      <c r="M919" s="8">
        <v>1</v>
      </c>
      <c r="N919" s="3">
        <v>1</v>
      </c>
      <c r="O919" s="15">
        <f>IF(SUM(Q919:AF919)&lt;1,"",SUM(Q919:AF919)/COUNTIF(Q919:AF919,"&gt;0"))</f>
        <v>75</v>
      </c>
      <c r="P919" s="16"/>
      <c r="Q919" s="13"/>
      <c r="R919" s="4"/>
      <c r="S919" s="4"/>
      <c r="T919" s="4">
        <v>75</v>
      </c>
      <c r="U919" s="2"/>
      <c r="V919" s="2"/>
      <c r="W919" s="2"/>
      <c r="X919" s="2"/>
      <c r="Y919" s="4"/>
      <c r="Z919" s="2"/>
      <c r="AA919" s="2"/>
      <c r="AB919" s="4"/>
      <c r="AC919" s="4"/>
      <c r="AD919" s="4"/>
      <c r="AE919" s="4"/>
      <c r="AF919" s="14"/>
      <c r="AG919" s="3"/>
    </row>
    <row r="920" spans="1:33" ht="15.75" customHeight="1" x14ac:dyDescent="0.25">
      <c r="A920" s="33" t="str">
        <f>CONCATENATE(D920,".",F920,"-",G920,".",H920,"")</f>
        <v>2.3-3.1</v>
      </c>
      <c r="B920" s="33" t="s">
        <v>814</v>
      </c>
      <c r="C920" s="40" t="s">
        <v>262</v>
      </c>
      <c r="D920" s="33">
        <f>IF(C920="ID",1,(IF(C920="PR",2,(IF(C920="DE",3,(IF(C920="RS",4,(IF(C920="RC",5,0)))))))))</f>
        <v>2</v>
      </c>
      <c r="E920" s="33" t="s">
        <v>343</v>
      </c>
      <c r="F920" s="33">
        <f>IF(E920="AM",1,(IF(E920="BE",2,(IF(E920="GV",3,(IF(E920="RA",4,(IF(E920="RM",5,(IF(E920="AC",1,(IF(E920="AT",2,(IF(E920="DS",3,(IF(E920="IP",4,(IF(E920="MA",5,(IF(E920="PT",6,(IF(E920="AE",1,(IF(E920="CM",2,(IF(E920="DP",3,(IF(E920="AN",1,(IF(E920="CO",2,(IF(E920="IM",3,(IF(E920="MI",4,(IF(E920="RP",5,(IF(E920="SC",6,0)))))))))))))))))))))))))))))))))))))))</f>
        <v>3</v>
      </c>
      <c r="G920" s="171">
        <v>3</v>
      </c>
      <c r="H920" s="38" t="s">
        <v>511</v>
      </c>
      <c r="I920" s="27" t="s">
        <v>936</v>
      </c>
      <c r="J920" s="163" t="s">
        <v>908</v>
      </c>
      <c r="K920" s="34" t="s">
        <v>943</v>
      </c>
      <c r="L920" s="66">
        <f>IF(O920="","",N920*O920*M920)</f>
        <v>75</v>
      </c>
      <c r="M920" s="8">
        <v>1</v>
      </c>
      <c r="N920" s="3">
        <v>1</v>
      </c>
      <c r="O920" s="15">
        <f>IF(SUM(Q920:AF920)&lt;1,"",SUM(Q920:AF920)/COUNTIF(Q920:AF920,"&gt;0"))</f>
        <v>75</v>
      </c>
      <c r="P920" s="16"/>
      <c r="Q920" s="13"/>
      <c r="R920" s="4"/>
      <c r="S920" s="4"/>
      <c r="T920" s="4">
        <v>75</v>
      </c>
      <c r="U920" s="2"/>
      <c r="V920" s="2"/>
      <c r="W920" s="2"/>
      <c r="X920" s="2"/>
      <c r="Y920" s="4"/>
      <c r="Z920" s="2"/>
      <c r="AA920" s="2"/>
      <c r="AB920" s="4"/>
      <c r="AC920" s="4"/>
      <c r="AD920" s="4"/>
      <c r="AE920" s="4"/>
      <c r="AF920" s="14"/>
      <c r="AG920" s="3"/>
    </row>
    <row r="921" spans="1:33" ht="15.75" customHeight="1" x14ac:dyDescent="0.25">
      <c r="A921" s="33" t="str">
        <f>CONCATENATE(D921,".",F921,"-",G921,".",H921,"")</f>
        <v>2.3-3.1</v>
      </c>
      <c r="B921" s="33" t="s">
        <v>814</v>
      </c>
      <c r="C921" s="39" t="s">
        <v>262</v>
      </c>
      <c r="D921" s="33">
        <f>IF(C921="ID",1,(IF(C921="PR",2,(IF(C921="DE",3,(IF(C921="RS",4,(IF(C921="RC",5,0)))))))))</f>
        <v>2</v>
      </c>
      <c r="E921" s="33" t="s">
        <v>343</v>
      </c>
      <c r="F921" s="33">
        <f>IF(E921="AM",1,(IF(E921="BE",2,(IF(E921="GV",3,(IF(E921="RA",4,(IF(E921="RM",5,(IF(E921="AC",1,(IF(E921="AT",2,(IF(E921="DS",3,(IF(E921="IP",4,(IF(E921="MA",5,(IF(E921="PT",6,(IF(E921="AE",1,(IF(E921="CM",2,(IF(E921="DP",3,(IF(E921="AN",1,(IF(E921="CO",2,(IF(E921="IM",3,(IF(E921="MI",4,(IF(E921="RP",5,(IF(E921="SC",6,0)))))))))))))))))))))))))))))))))))))))</f>
        <v>3</v>
      </c>
      <c r="G921" s="170">
        <v>3</v>
      </c>
      <c r="H921" s="38" t="s">
        <v>511</v>
      </c>
      <c r="I921" s="105" t="s">
        <v>821</v>
      </c>
      <c r="J921" s="150" t="s">
        <v>124</v>
      </c>
      <c r="K921" s="79" t="s">
        <v>1283</v>
      </c>
      <c r="L921" s="66">
        <f>IF(O921="","",N921*O921*M921)</f>
        <v>75</v>
      </c>
      <c r="M921" s="8">
        <v>1</v>
      </c>
      <c r="N921" s="3">
        <v>1</v>
      </c>
      <c r="O921" s="15">
        <f>IF(SUM(Q921:AF921)&lt;1,"",SUM(Q921:AF921)/COUNTIF(Q921:AF921,"&gt;0"))</f>
        <v>75</v>
      </c>
      <c r="P921" s="16"/>
      <c r="Q921" s="13"/>
      <c r="R921" s="4"/>
      <c r="S921" s="4"/>
      <c r="T921" s="4">
        <v>75</v>
      </c>
      <c r="U921" s="2"/>
      <c r="V921" s="2"/>
      <c r="W921" s="2"/>
      <c r="X921" s="2"/>
      <c r="Y921" s="4"/>
      <c r="Z921" s="2"/>
      <c r="AA921" s="2"/>
      <c r="AB921" s="4"/>
      <c r="AC921" s="4"/>
      <c r="AD921" s="4"/>
      <c r="AE921" s="4"/>
      <c r="AF921" s="14"/>
      <c r="AG921" s="3"/>
    </row>
    <row r="922" spans="1:33" ht="15.75" customHeight="1" x14ac:dyDescent="0.25">
      <c r="A922" s="33" t="str">
        <f>CONCATENATE(D922,".",F922,"-",G922,".",H922,"")</f>
        <v>2.3-3.1</v>
      </c>
      <c r="B922" s="33" t="s">
        <v>814</v>
      </c>
      <c r="C922" s="39" t="s">
        <v>262</v>
      </c>
      <c r="D922" s="33">
        <f>IF(C922="ID",1,(IF(C922="PR",2,(IF(C922="DE",3,(IF(C922="RS",4,(IF(C922="RC",5,0)))))))))</f>
        <v>2</v>
      </c>
      <c r="E922" s="33" t="s">
        <v>343</v>
      </c>
      <c r="F922" s="33">
        <f>IF(E922="AM",1,(IF(E922="BE",2,(IF(E922="GV",3,(IF(E922="RA",4,(IF(E922="RM",5,(IF(E922="AC",1,(IF(E922="AT",2,(IF(E922="DS",3,(IF(E922="IP",4,(IF(E922="MA",5,(IF(E922="PT",6,(IF(E922="AE",1,(IF(E922="CM",2,(IF(E922="DP",3,(IF(E922="AN",1,(IF(E922="CO",2,(IF(E922="IM",3,(IF(E922="MI",4,(IF(E922="RP",5,(IF(E922="SC",6,0)))))))))))))))))))))))))))))))))))))))</f>
        <v>3</v>
      </c>
      <c r="G922" s="170">
        <v>3</v>
      </c>
      <c r="H922" s="38" t="s">
        <v>511</v>
      </c>
      <c r="I922" s="105" t="s">
        <v>821</v>
      </c>
      <c r="J922" s="150" t="s">
        <v>125</v>
      </c>
      <c r="K922" s="79" t="s">
        <v>1283</v>
      </c>
      <c r="L922" s="66">
        <f>IF(O922="","",N922*O922*M922)</f>
        <v>75</v>
      </c>
      <c r="M922" s="8">
        <v>1</v>
      </c>
      <c r="N922" s="3">
        <v>1</v>
      </c>
      <c r="O922" s="15">
        <f>IF(SUM(Q922:AF922)&lt;1,"",SUM(Q922:AF922)/COUNTIF(Q922:AF922,"&gt;0"))</f>
        <v>75</v>
      </c>
      <c r="P922" s="16"/>
      <c r="Q922" s="13"/>
      <c r="R922" s="4"/>
      <c r="S922" s="4"/>
      <c r="T922" s="4">
        <v>75</v>
      </c>
      <c r="U922" s="2"/>
      <c r="V922" s="2"/>
      <c r="W922" s="2"/>
      <c r="X922" s="2"/>
      <c r="Y922" s="4"/>
      <c r="Z922" s="2"/>
      <c r="AA922" s="2"/>
      <c r="AB922" s="4"/>
      <c r="AC922" s="4"/>
      <c r="AD922" s="4"/>
      <c r="AE922" s="4"/>
      <c r="AF922" s="14"/>
      <c r="AG922" s="3"/>
    </row>
    <row r="923" spans="1:33" ht="15.75" customHeight="1" x14ac:dyDescent="0.25">
      <c r="A923" s="33" t="str">
        <f>CONCATENATE(D923,".",F923,"-",G923,".",H923,"")</f>
        <v>2.3-3.1</v>
      </c>
      <c r="B923" s="33" t="s">
        <v>814</v>
      </c>
      <c r="C923" s="39" t="s">
        <v>262</v>
      </c>
      <c r="D923" s="33">
        <f>IF(C923="ID",1,(IF(C923="PR",2,(IF(C923="DE",3,(IF(C923="RS",4,(IF(C923="RC",5,0)))))))))</f>
        <v>2</v>
      </c>
      <c r="E923" s="33" t="s">
        <v>343</v>
      </c>
      <c r="F923" s="33">
        <f>IF(E923="AM",1,(IF(E923="BE",2,(IF(E923="GV",3,(IF(E923="RA",4,(IF(E923="RM",5,(IF(E923="AC",1,(IF(E923="AT",2,(IF(E923="DS",3,(IF(E923="IP",4,(IF(E923="MA",5,(IF(E923="PT",6,(IF(E923="AE",1,(IF(E923="CM",2,(IF(E923="DP",3,(IF(E923="AN",1,(IF(E923="CO",2,(IF(E923="IM",3,(IF(E923="MI",4,(IF(E923="RP",5,(IF(E923="SC",6,0)))))))))))))))))))))))))))))))))))))))</f>
        <v>3</v>
      </c>
      <c r="G923" s="170">
        <v>3</v>
      </c>
      <c r="H923" s="38" t="s">
        <v>511</v>
      </c>
      <c r="I923" s="105" t="s">
        <v>821</v>
      </c>
      <c r="J923" s="150" t="s">
        <v>183</v>
      </c>
      <c r="K923" s="79" t="s">
        <v>1283</v>
      </c>
      <c r="L923" s="66">
        <f>IF(O923="","",N923*O923*M923)</f>
        <v>75</v>
      </c>
      <c r="M923" s="8">
        <v>1</v>
      </c>
      <c r="N923" s="3">
        <v>1</v>
      </c>
      <c r="O923" s="15">
        <f>IF(SUM(Q923:AF923)&lt;1,"",SUM(Q923:AF923)/COUNTIF(Q923:AF923,"&gt;0"))</f>
        <v>75</v>
      </c>
      <c r="P923" s="16"/>
      <c r="Q923" s="13"/>
      <c r="R923" s="4"/>
      <c r="S923" s="4"/>
      <c r="T923" s="4">
        <v>75</v>
      </c>
      <c r="U923" s="2"/>
      <c r="V923" s="2"/>
      <c r="W923" s="2"/>
      <c r="X923" s="2"/>
      <c r="Y923" s="4"/>
      <c r="Z923" s="2"/>
      <c r="AA923" s="2"/>
      <c r="AB923" s="4"/>
      <c r="AC923" s="4"/>
      <c r="AD923" s="4"/>
      <c r="AE923" s="4"/>
      <c r="AF923" s="14"/>
      <c r="AG923" s="3"/>
    </row>
    <row r="924" spans="1:33" ht="15.75" customHeight="1" x14ac:dyDescent="0.25">
      <c r="A924" s="33" t="str">
        <f>CONCATENATE(D924,".",F924,"-",G924,".",H924,"")</f>
        <v>2.3-3.1</v>
      </c>
      <c r="B924" s="33" t="s">
        <v>814</v>
      </c>
      <c r="C924" s="39" t="s">
        <v>262</v>
      </c>
      <c r="D924" s="33">
        <f>IF(C924="ID",1,(IF(C924="PR",2,(IF(C924="DE",3,(IF(C924="RS",4,(IF(C924="RC",5,0)))))))))</f>
        <v>2</v>
      </c>
      <c r="E924" s="33" t="s">
        <v>343</v>
      </c>
      <c r="F924" s="33">
        <f>IF(E924="AM",1,(IF(E924="BE",2,(IF(E924="GV",3,(IF(E924="RA",4,(IF(E924="RM",5,(IF(E924="AC",1,(IF(E924="AT",2,(IF(E924="DS",3,(IF(E924="IP",4,(IF(E924="MA",5,(IF(E924="PT",6,(IF(E924="AE",1,(IF(E924="CM",2,(IF(E924="DP",3,(IF(E924="AN",1,(IF(E924="CO",2,(IF(E924="IM",3,(IF(E924="MI",4,(IF(E924="RP",5,(IF(E924="SC",6,0)))))))))))))))))))))))))))))))))))))))</f>
        <v>3</v>
      </c>
      <c r="G924" s="170">
        <v>3</v>
      </c>
      <c r="H924" s="38" t="s">
        <v>511</v>
      </c>
      <c r="I924" s="105" t="s">
        <v>821</v>
      </c>
      <c r="J924" s="150" t="s">
        <v>184</v>
      </c>
      <c r="K924" s="79" t="s">
        <v>1283</v>
      </c>
      <c r="L924" s="66">
        <f>IF(O924="","",N924*O924*M924)</f>
        <v>75</v>
      </c>
      <c r="M924" s="8">
        <v>1</v>
      </c>
      <c r="N924" s="3">
        <v>1</v>
      </c>
      <c r="O924" s="15">
        <f>IF(SUM(Q924:AF924)&lt;1,"",SUM(Q924:AF924)/COUNTIF(Q924:AF924,"&gt;0"))</f>
        <v>75</v>
      </c>
      <c r="P924" s="16"/>
      <c r="Q924" s="13"/>
      <c r="R924" s="4"/>
      <c r="S924" s="4"/>
      <c r="T924" s="4">
        <v>75</v>
      </c>
      <c r="U924" s="2"/>
      <c r="V924" s="2"/>
      <c r="W924" s="2"/>
      <c r="X924" s="2"/>
      <c r="Y924" s="4"/>
      <c r="Z924" s="2"/>
      <c r="AA924" s="2"/>
      <c r="AB924" s="4"/>
      <c r="AC924" s="4"/>
      <c r="AD924" s="4"/>
      <c r="AE924" s="4"/>
      <c r="AF924" s="14"/>
      <c r="AG924" s="3"/>
    </row>
    <row r="925" spans="1:33" ht="15.75" customHeight="1" x14ac:dyDescent="0.25">
      <c r="A925" s="33" t="str">
        <f>CONCATENATE(D925,".",F925,"-",G925,".",H925,"")</f>
        <v>2.3-3.1</v>
      </c>
      <c r="B925" s="33" t="s">
        <v>814</v>
      </c>
      <c r="C925" s="39" t="s">
        <v>262</v>
      </c>
      <c r="D925" s="33">
        <f>IF(C925="ID",1,(IF(C925="PR",2,(IF(C925="DE",3,(IF(C925="RS",4,(IF(C925="RC",5,0)))))))))</f>
        <v>2</v>
      </c>
      <c r="E925" s="33" t="s">
        <v>343</v>
      </c>
      <c r="F925" s="33">
        <f>IF(E925="AM",1,(IF(E925="BE",2,(IF(E925="GV",3,(IF(E925="RA",4,(IF(E925="RM",5,(IF(E925="AC",1,(IF(E925="AT",2,(IF(E925="DS",3,(IF(E925="IP",4,(IF(E925="MA",5,(IF(E925="PT",6,(IF(E925="AE",1,(IF(E925="CM",2,(IF(E925="DP",3,(IF(E925="AN",1,(IF(E925="CO",2,(IF(E925="IM",3,(IF(E925="MI",4,(IF(E925="RP",5,(IF(E925="SC",6,0)))))))))))))))))))))))))))))))))))))))</f>
        <v>3</v>
      </c>
      <c r="G925" s="170">
        <v>3</v>
      </c>
      <c r="H925" s="38" t="s">
        <v>511</v>
      </c>
      <c r="I925" s="27" t="s">
        <v>266</v>
      </c>
      <c r="J925" s="150" t="s">
        <v>308</v>
      </c>
      <c r="K925" s="79" t="s">
        <v>1302</v>
      </c>
      <c r="L925" s="5">
        <f>IF(O925="","",N925*O925*M925)</f>
        <v>75</v>
      </c>
      <c r="M925" s="8">
        <v>1</v>
      </c>
      <c r="N925" s="1">
        <v>1</v>
      </c>
      <c r="O925" s="15">
        <f>IF(SUM(Q925:AF925)&lt;1,"",SUM(Q925:AF925)/COUNTIF(Q925:AF925,"&gt;0"))</f>
        <v>75</v>
      </c>
      <c r="P925" s="16"/>
      <c r="Q925" s="13"/>
      <c r="T925" s="4">
        <v>75</v>
      </c>
      <c r="AF925" s="104"/>
      <c r="AG925" s="3"/>
    </row>
    <row r="926" spans="1:33" ht="15.75" customHeight="1" x14ac:dyDescent="0.25">
      <c r="A926" s="33" t="str">
        <f>CONCATENATE(D926,".",F926,"-",G926,".",H926,"")</f>
        <v>2.3-3.1</v>
      </c>
      <c r="B926" s="33" t="s">
        <v>814</v>
      </c>
      <c r="C926" s="41" t="s">
        <v>262</v>
      </c>
      <c r="D926" s="33">
        <f>IF(C926="ID",1,(IF(C926="PR",2,(IF(C926="DE",3,(IF(C926="RS",4,(IF(C926="RC",5,0)))))))))</f>
        <v>2</v>
      </c>
      <c r="E926" s="33" t="s">
        <v>343</v>
      </c>
      <c r="F926" s="33">
        <f>IF(E926="AM",1,(IF(E926="BE",2,(IF(E926="GV",3,(IF(E926="RA",4,(IF(E926="RM",5,(IF(E926="AC",1,(IF(E926="AT",2,(IF(E926="DS",3,(IF(E926="IP",4,(IF(E926="MA",5,(IF(E926="PT",6,(IF(E926="AE",1,(IF(E926="CM",2,(IF(E926="DP",3,(IF(E926="AN",1,(IF(E926="CO",2,(IF(E926="IM",3,(IF(E926="MI",4,(IF(E926="RP",5,(IF(E926="SC",6,0)))))))))))))))))))))))))))))))))))))))</f>
        <v>3</v>
      </c>
      <c r="G926" s="170">
        <v>3</v>
      </c>
      <c r="H926" s="38" t="s">
        <v>511</v>
      </c>
      <c r="I926" s="27" t="s">
        <v>266</v>
      </c>
      <c r="J926" s="149" t="s">
        <v>332</v>
      </c>
      <c r="K926" s="79" t="s">
        <v>1304</v>
      </c>
      <c r="L926" s="5">
        <f>IF(O926="","",N926*O926*M926)</f>
        <v>75</v>
      </c>
      <c r="M926" s="8">
        <v>1</v>
      </c>
      <c r="N926" s="1">
        <v>1</v>
      </c>
      <c r="O926" s="15">
        <f>IF(SUM(Q926:AF926)&lt;1,"",SUM(Q926:AF926)/COUNTIF(Q926:AF926,"&gt;0"))</f>
        <v>75</v>
      </c>
      <c r="P926" s="16"/>
      <c r="Q926" s="13"/>
      <c r="R926" s="4"/>
      <c r="S926" s="4"/>
      <c r="T926" s="4">
        <v>75</v>
      </c>
      <c r="U926" s="2"/>
      <c r="V926" s="2"/>
      <c r="W926" s="2"/>
      <c r="X926" s="2"/>
      <c r="Y926" s="4"/>
      <c r="Z926" s="2"/>
      <c r="AA926" s="2"/>
      <c r="AB926" s="4"/>
      <c r="AC926" s="4"/>
      <c r="AD926" s="4"/>
      <c r="AE926" s="4"/>
      <c r="AF926" s="14"/>
      <c r="AG926" s="3"/>
    </row>
    <row r="927" spans="1:33" ht="15.75" customHeight="1" x14ac:dyDescent="0.25">
      <c r="A927" s="33" t="str">
        <f>CONCATENATE(D927,".",F927,"-",G927,".",H927,"")</f>
        <v>2.3-3.1</v>
      </c>
      <c r="B927" s="33" t="s">
        <v>814</v>
      </c>
      <c r="C927" s="39" t="s">
        <v>262</v>
      </c>
      <c r="D927" s="33">
        <f>IF(C927="ID",1,(IF(C927="PR",2,(IF(C927="DE",3,(IF(C927="RS",4,(IF(C927="RC",5,0)))))))))</f>
        <v>2</v>
      </c>
      <c r="E927" s="33" t="s">
        <v>343</v>
      </c>
      <c r="F927" s="33">
        <f>IF(E927="AM",1,(IF(E927="BE",2,(IF(E927="GV",3,(IF(E927="RA",4,(IF(E927="RM",5,(IF(E927="AC",1,(IF(E927="AT",2,(IF(E927="DS",3,(IF(E927="IP",4,(IF(E927="MA",5,(IF(E927="PT",6,(IF(E927="AE",1,(IF(E927="CM",2,(IF(E927="DP",3,(IF(E927="AN",1,(IF(E927="CO",2,(IF(E927="IM",3,(IF(E927="MI",4,(IF(E927="RP",5,(IF(E927="SC",6,0)))))))))))))))))))))))))))))))))))))))</f>
        <v>3</v>
      </c>
      <c r="G927" s="170">
        <v>3</v>
      </c>
      <c r="H927" s="33">
        <v>1</v>
      </c>
      <c r="I927" s="27" t="s">
        <v>266</v>
      </c>
      <c r="J927" s="150" t="s">
        <v>2</v>
      </c>
      <c r="K927" s="79" t="s">
        <v>1335</v>
      </c>
      <c r="L927" s="5">
        <f>IF(O927="","",N927*O927*M927)</f>
        <v>75</v>
      </c>
      <c r="M927" s="8">
        <v>1</v>
      </c>
      <c r="N927" s="1">
        <v>1</v>
      </c>
      <c r="O927" s="15">
        <f>IF(SUM(Q927:AF927)&lt;1,"",SUM(Q927:AF927)/COUNTIF(Q927:AF927,"&gt;0"))</f>
        <v>75</v>
      </c>
      <c r="P927" s="16"/>
      <c r="Q927" s="13"/>
      <c r="T927" s="4">
        <v>75</v>
      </c>
      <c r="AF927" s="104"/>
      <c r="AG927" s="3"/>
    </row>
    <row r="928" spans="1:33" ht="15.75" customHeight="1" x14ac:dyDescent="0.25">
      <c r="A928" s="33" t="str">
        <f>CONCATENATE(D928,".",F928,"-",G928,".",H928,"")</f>
        <v>2.3-3.1</v>
      </c>
      <c r="B928" s="33" t="s">
        <v>814</v>
      </c>
      <c r="C928" s="39" t="s">
        <v>262</v>
      </c>
      <c r="D928" s="33">
        <f>IF(C928="ID",1,(IF(C928="PR",2,(IF(C928="DE",3,(IF(C928="RS",4,(IF(C928="RC",5,0)))))))))</f>
        <v>2</v>
      </c>
      <c r="E928" s="33" t="s">
        <v>343</v>
      </c>
      <c r="F928" s="33">
        <f>IF(E928="AM",1,(IF(E928="BE",2,(IF(E928="GV",3,(IF(E928="RA",4,(IF(E928="RM",5,(IF(E928="AC",1,(IF(E928="AT",2,(IF(E928="DS",3,(IF(E928="IP",4,(IF(E928="MA",5,(IF(E928="PT",6,(IF(E928="AE",1,(IF(E928="CM",2,(IF(E928="DP",3,(IF(E928="AN",1,(IF(E928="CO",2,(IF(E928="IM",3,(IF(E928="MI",4,(IF(E928="RP",5,(IF(E928="SC",6,0)))))))))))))))))))))))))))))))))))))))</f>
        <v>3</v>
      </c>
      <c r="G928" s="170">
        <v>3</v>
      </c>
      <c r="H928" s="38" t="s">
        <v>511</v>
      </c>
      <c r="I928" s="27" t="s">
        <v>266</v>
      </c>
      <c r="J928" s="149" t="s">
        <v>469</v>
      </c>
      <c r="K928" s="79" t="s">
        <v>1339</v>
      </c>
      <c r="L928" s="66">
        <f>IF(O928="","",N928*O928*M928)</f>
        <v>75</v>
      </c>
      <c r="M928" s="8">
        <v>1</v>
      </c>
      <c r="N928" s="1">
        <v>1</v>
      </c>
      <c r="O928" s="15">
        <f>IF(SUM(Q928:AF928)&lt;1,"",SUM(Q928:AF928)/COUNTIF(Q928:AF928,"&gt;0"))</f>
        <v>75</v>
      </c>
      <c r="P928" s="16"/>
      <c r="Q928" s="13"/>
      <c r="R928" s="4"/>
      <c r="S928" s="4"/>
      <c r="T928" s="4">
        <v>75</v>
      </c>
      <c r="U928" s="2"/>
      <c r="V928" s="2"/>
      <c r="W928" s="2"/>
      <c r="X928" s="2"/>
      <c r="Y928" s="4"/>
      <c r="Z928" s="2"/>
      <c r="AA928" s="2"/>
      <c r="AB928" s="4"/>
      <c r="AC928" s="4"/>
      <c r="AD928" s="4"/>
      <c r="AE928" s="4"/>
      <c r="AF928" s="14"/>
      <c r="AG928" s="3"/>
    </row>
    <row r="929" spans="1:33" ht="15.75" customHeight="1" x14ac:dyDescent="0.25">
      <c r="A929" s="33" t="str">
        <f>CONCATENATE(D929,".",F929,"-",G929,".",H929,"")</f>
        <v>2.3-3.1</v>
      </c>
      <c r="B929" s="33" t="s">
        <v>814</v>
      </c>
      <c r="C929" s="41" t="s">
        <v>262</v>
      </c>
      <c r="D929" s="33">
        <f>IF(C929="ID",1,(IF(C929="PR",2,(IF(C929="DE",3,(IF(C929="RS",4,(IF(C929="RC",5,0)))))))))</f>
        <v>2</v>
      </c>
      <c r="E929" s="33" t="s">
        <v>343</v>
      </c>
      <c r="F929" s="33">
        <f>IF(E929="AM",1,(IF(E929="BE",2,(IF(E929="GV",3,(IF(E929="RA",4,(IF(E929="RM",5,(IF(E929="AC",1,(IF(E929="AT",2,(IF(E929="DS",3,(IF(E929="IP",4,(IF(E929="MA",5,(IF(E929="PT",6,(IF(E929="AE",1,(IF(E929="CM",2,(IF(E929="DP",3,(IF(E929="AN",1,(IF(E929="CO",2,(IF(E929="IM",3,(IF(E929="MI",4,(IF(E929="RP",5,(IF(E929="SC",6,0)))))))))))))))))))))))))))))))))))))))</f>
        <v>3</v>
      </c>
      <c r="G929" s="170">
        <v>3</v>
      </c>
      <c r="H929" s="38" t="s">
        <v>511</v>
      </c>
      <c r="I929" s="27" t="s">
        <v>266</v>
      </c>
      <c r="J929" s="149" t="s">
        <v>292</v>
      </c>
      <c r="K929" s="79" t="s">
        <v>1425</v>
      </c>
      <c r="L929" s="5">
        <f>IF(O929="","",N929*O929*M929)</f>
        <v>75</v>
      </c>
      <c r="M929" s="8">
        <v>1</v>
      </c>
      <c r="N929" s="1">
        <v>1</v>
      </c>
      <c r="O929" s="15">
        <f>IF(SUM(Q929:AF929)&lt;1,"",SUM(Q929:AF929)/COUNTIF(Q929:AF929,"&gt;0"))</f>
        <v>75</v>
      </c>
      <c r="P929" s="16"/>
      <c r="Q929" s="13"/>
      <c r="R929" s="4"/>
      <c r="S929" s="4"/>
      <c r="T929" s="4">
        <v>75</v>
      </c>
      <c r="U929" s="2"/>
      <c r="V929" s="2"/>
      <c r="W929" s="2"/>
      <c r="X929" s="2"/>
      <c r="Y929" s="4"/>
      <c r="Z929" s="2"/>
      <c r="AA929" s="2"/>
      <c r="AB929" s="4"/>
      <c r="AC929" s="4"/>
      <c r="AD929" s="4"/>
      <c r="AE929" s="4"/>
      <c r="AF929" s="14"/>
      <c r="AG929" s="3"/>
    </row>
    <row r="930" spans="1:33" ht="15.75" customHeight="1" x14ac:dyDescent="0.25">
      <c r="A930" s="33" t="str">
        <f>CONCATENATE(D930,".",F930,"-",G930,".",H930,"")</f>
        <v>2.3-3.1</v>
      </c>
      <c r="B930" s="33" t="s">
        <v>814</v>
      </c>
      <c r="C930" s="41" t="s">
        <v>262</v>
      </c>
      <c r="D930" s="33">
        <f>IF(C930="ID",1,(IF(C930="PR",2,(IF(C930="DE",3,(IF(C930="RS",4,(IF(C930="RC",5,0)))))))))</f>
        <v>2</v>
      </c>
      <c r="E930" s="33" t="s">
        <v>343</v>
      </c>
      <c r="F930" s="33">
        <f>IF(E930="AM",1,(IF(E930="BE",2,(IF(E930="GV",3,(IF(E930="RA",4,(IF(E930="RM",5,(IF(E930="AC",1,(IF(E930="AT",2,(IF(E930="DS",3,(IF(E930="IP",4,(IF(E930="MA",5,(IF(E930="PT",6,(IF(E930="AE",1,(IF(E930="CM",2,(IF(E930="DP",3,(IF(E930="AN",1,(IF(E930="CO",2,(IF(E930="IM",3,(IF(E930="MI",4,(IF(E930="RP",5,(IF(E930="SC",6,0)))))))))))))))))))))))))))))))))))))))</f>
        <v>3</v>
      </c>
      <c r="G930" s="170">
        <v>3</v>
      </c>
      <c r="H930" s="38" t="s">
        <v>511</v>
      </c>
      <c r="I930" s="27" t="s">
        <v>266</v>
      </c>
      <c r="J930" s="149" t="s">
        <v>310</v>
      </c>
      <c r="K930" s="79" t="s">
        <v>1427</v>
      </c>
      <c r="L930" s="5">
        <f>IF(O930="","",N930*O930*M930)</f>
        <v>75</v>
      </c>
      <c r="M930" s="8">
        <v>1</v>
      </c>
      <c r="N930" s="1">
        <v>1</v>
      </c>
      <c r="O930" s="15">
        <f>IF(SUM(Q930:AF930)&lt;1,"",SUM(Q930:AF930)/COUNTIF(Q930:AF930,"&gt;0"))</f>
        <v>75</v>
      </c>
      <c r="P930" s="16"/>
      <c r="Q930" s="13"/>
      <c r="R930" s="4"/>
      <c r="S930" s="4"/>
      <c r="T930" s="4">
        <v>75</v>
      </c>
      <c r="U930" s="2"/>
      <c r="V930" s="2"/>
      <c r="W930" s="2"/>
      <c r="X930" s="2"/>
      <c r="Y930" s="4"/>
      <c r="Z930" s="2"/>
      <c r="AA930" s="2"/>
      <c r="AB930" s="4"/>
      <c r="AC930" s="4"/>
      <c r="AD930" s="4"/>
      <c r="AE930" s="4"/>
      <c r="AF930" s="14"/>
      <c r="AG930" s="3"/>
    </row>
    <row r="931" spans="1:33" s="4" customFormat="1" ht="15.75" customHeight="1" x14ac:dyDescent="0.25">
      <c r="A931" s="33" t="str">
        <f>CONCATENATE(D931,".",F931,"-",G931,".",H931,"")</f>
        <v>2.3-3.1</v>
      </c>
      <c r="B931" s="33" t="s">
        <v>814</v>
      </c>
      <c r="C931" s="41" t="s">
        <v>262</v>
      </c>
      <c r="D931" s="33">
        <f>IF(C931="ID",1,(IF(C931="PR",2,(IF(C931="DE",3,(IF(C931="RS",4,(IF(C931="RC",5,0)))))))))</f>
        <v>2</v>
      </c>
      <c r="E931" s="33" t="s">
        <v>343</v>
      </c>
      <c r="F931" s="33">
        <f>IF(E931="AM",1,(IF(E931="BE",2,(IF(E931="GV",3,(IF(E931="RA",4,(IF(E931="RM",5,(IF(E931="AC",1,(IF(E931="AT",2,(IF(E931="DS",3,(IF(E931="IP",4,(IF(E931="MA",5,(IF(E931="PT",6,(IF(E931="AE",1,(IF(E931="CM",2,(IF(E931="DP",3,(IF(E931="AN",1,(IF(E931="CO",2,(IF(E931="IM",3,(IF(E931="MI",4,(IF(E931="RP",5,(IF(E931="SC",6,0)))))))))))))))))))))))))))))))))))))))</f>
        <v>3</v>
      </c>
      <c r="G931" s="170">
        <v>3</v>
      </c>
      <c r="H931" s="38" t="s">
        <v>511</v>
      </c>
      <c r="I931" s="27" t="s">
        <v>266</v>
      </c>
      <c r="J931" s="149" t="s">
        <v>315</v>
      </c>
      <c r="K931" s="79" t="s">
        <v>1428</v>
      </c>
      <c r="L931" s="5">
        <f>IF(O931="","",N931*O931*M931)</f>
        <v>75</v>
      </c>
      <c r="M931" s="8">
        <v>1</v>
      </c>
      <c r="N931" s="1">
        <v>1</v>
      </c>
      <c r="O931" s="15">
        <f>IF(SUM(Q931:AF931)&lt;1,"",SUM(Q931:AF931)/COUNTIF(Q931:AF931,"&gt;0"))</f>
        <v>75</v>
      </c>
      <c r="P931" s="16"/>
      <c r="Q931" s="13"/>
      <c r="T931" s="4">
        <v>75</v>
      </c>
      <c r="U931" s="2"/>
      <c r="V931" s="2"/>
      <c r="W931" s="2"/>
      <c r="X931" s="2"/>
      <c r="Z931" s="2"/>
      <c r="AA931" s="2"/>
      <c r="AF931" s="14"/>
    </row>
    <row r="932" spans="1:33" s="4" customFormat="1" ht="15.75" customHeight="1" x14ac:dyDescent="0.25">
      <c r="A932" s="33" t="str">
        <f>CONCATENATE(D932,".",F932,"-",G932,".",H932,"")</f>
        <v>2.3-3.1</v>
      </c>
      <c r="B932" s="33" t="s">
        <v>814</v>
      </c>
      <c r="C932" s="41" t="s">
        <v>262</v>
      </c>
      <c r="D932" s="33">
        <f>IF(C932="ID",1,(IF(C932="PR",2,(IF(C932="DE",3,(IF(C932="RS",4,(IF(C932="RC",5,0)))))))))</f>
        <v>2</v>
      </c>
      <c r="E932" s="33" t="s">
        <v>343</v>
      </c>
      <c r="F932" s="33">
        <f>IF(E932="AM",1,(IF(E932="BE",2,(IF(E932="GV",3,(IF(E932="RA",4,(IF(E932="RM",5,(IF(E932="AC",1,(IF(E932="AT",2,(IF(E932="DS",3,(IF(E932="IP",4,(IF(E932="MA",5,(IF(E932="PT",6,(IF(E932="AE",1,(IF(E932="CM",2,(IF(E932="DP",3,(IF(E932="AN",1,(IF(E932="CO",2,(IF(E932="IM",3,(IF(E932="MI",4,(IF(E932="RP",5,(IF(E932="SC",6,0)))))))))))))))))))))))))))))))))))))))</f>
        <v>3</v>
      </c>
      <c r="G932" s="170">
        <v>3</v>
      </c>
      <c r="H932" s="38" t="s">
        <v>511</v>
      </c>
      <c r="I932" s="27" t="s">
        <v>266</v>
      </c>
      <c r="J932" s="149" t="s">
        <v>311</v>
      </c>
      <c r="K932" s="79" t="s">
        <v>1429</v>
      </c>
      <c r="L932" s="5">
        <f>IF(O932="","",N932*O932*M932)</f>
        <v>75</v>
      </c>
      <c r="M932" s="8">
        <v>1</v>
      </c>
      <c r="N932" s="1">
        <v>1</v>
      </c>
      <c r="O932" s="15">
        <f>IF(SUM(Q932:AF932)&lt;1,"",SUM(Q932:AF932)/COUNTIF(Q932:AF932,"&gt;0"))</f>
        <v>75</v>
      </c>
      <c r="P932" s="16"/>
      <c r="Q932" s="13"/>
      <c r="T932" s="4">
        <v>75</v>
      </c>
      <c r="U932" s="2"/>
      <c r="V932" s="2"/>
      <c r="W932" s="2"/>
      <c r="X932" s="2"/>
      <c r="Z932" s="2"/>
      <c r="AA932" s="2"/>
      <c r="AF932" s="14"/>
    </row>
    <row r="933" spans="1:33" s="4" customFormat="1" ht="15.75" customHeight="1" x14ac:dyDescent="0.25">
      <c r="A933" s="33" t="str">
        <f>CONCATENATE(D933,".",F933,"-",G933,".",H933,"")</f>
        <v>2.3-3.1</v>
      </c>
      <c r="B933" s="33" t="s">
        <v>814</v>
      </c>
      <c r="C933" s="39" t="s">
        <v>262</v>
      </c>
      <c r="D933" s="33">
        <f>IF(C933="ID",1,(IF(C933="PR",2,(IF(C933="DE",3,(IF(C933="RS",4,(IF(C933="RC",5,0)))))))))</f>
        <v>2</v>
      </c>
      <c r="E933" s="33" t="s">
        <v>343</v>
      </c>
      <c r="F933" s="33">
        <f>IF(E933="AM",1,(IF(E933="BE",2,(IF(E933="GV",3,(IF(E933="RA",4,(IF(E933="RM",5,(IF(E933="AC",1,(IF(E933="AT",2,(IF(E933="DS",3,(IF(E933="IP",4,(IF(E933="MA",5,(IF(E933="PT",6,(IF(E933="AE",1,(IF(E933="CM",2,(IF(E933="DP",3,(IF(E933="AN",1,(IF(E933="CO",2,(IF(E933="IM",3,(IF(E933="MI",4,(IF(E933="RP",5,(IF(E933="SC",6,0)))))))))))))))))))))))))))))))))))))))</f>
        <v>3</v>
      </c>
      <c r="G933" s="170">
        <v>3</v>
      </c>
      <c r="H933" s="38" t="s">
        <v>511</v>
      </c>
      <c r="I933" s="105" t="s">
        <v>1449</v>
      </c>
      <c r="J933" s="157" t="s">
        <v>1715</v>
      </c>
      <c r="K933" s="34" t="s">
        <v>1716</v>
      </c>
      <c r="L933" s="5">
        <f>IF(O933="","",N933*O933*M933)</f>
        <v>99</v>
      </c>
      <c r="M933" s="8">
        <v>1</v>
      </c>
      <c r="N933" s="1">
        <v>1</v>
      </c>
      <c r="O933" s="15">
        <f>IF(SUM(Q933:AF933)&lt;1,"",SUM(Q933:AF933)/COUNTIF(Q933:AF933,"&gt;0"))</f>
        <v>99</v>
      </c>
      <c r="P933" s="16"/>
      <c r="Q933" s="13"/>
      <c r="T933" s="4">
        <v>99</v>
      </c>
      <c r="U933" s="2"/>
      <c r="V933" s="2"/>
      <c r="W933" s="2"/>
      <c r="X933" s="2"/>
      <c r="Z933" s="2"/>
      <c r="AA933" s="2"/>
      <c r="AF933" s="14"/>
    </row>
    <row r="934" spans="1:33" s="4" customFormat="1" ht="15.75" customHeight="1" x14ac:dyDescent="0.25">
      <c r="A934" s="33" t="str">
        <f>CONCATENATE(D934,".",F934,"-",G934,".",H934,"")</f>
        <v>2.3-3.1</v>
      </c>
      <c r="B934" s="33" t="s">
        <v>814</v>
      </c>
      <c r="C934" s="39" t="s">
        <v>262</v>
      </c>
      <c r="D934" s="33">
        <f>IF(C934="ID",1,(IF(C934="PR",2,(IF(C934="DE",3,(IF(C934="RS",4,(IF(C934="RC",5,0)))))))))</f>
        <v>2</v>
      </c>
      <c r="E934" s="33" t="s">
        <v>343</v>
      </c>
      <c r="F934" s="33">
        <f>IF(E934="AM",1,(IF(E934="BE",2,(IF(E934="GV",3,(IF(E934="RA",4,(IF(E934="RM",5,(IF(E934="AC",1,(IF(E934="AT",2,(IF(E934="DS",3,(IF(E934="IP",4,(IF(E934="MA",5,(IF(E934="PT",6,(IF(E934="AE",1,(IF(E934="CM",2,(IF(E934="DP",3,(IF(E934="AN",1,(IF(E934="CO",2,(IF(E934="IM",3,(IF(E934="MI",4,(IF(E934="RP",5,(IF(E934="SC",6,0)))))))))))))))))))))))))))))))))))))))</f>
        <v>3</v>
      </c>
      <c r="G934" s="170">
        <v>3</v>
      </c>
      <c r="H934" s="38" t="s">
        <v>511</v>
      </c>
      <c r="I934" s="105" t="s">
        <v>1449</v>
      </c>
      <c r="J934" s="157" t="s">
        <v>1719</v>
      </c>
      <c r="K934" s="34" t="s">
        <v>1720</v>
      </c>
      <c r="L934" s="5">
        <f>IF(O934="","",N934*O934*M934)</f>
        <v>99</v>
      </c>
      <c r="M934" s="8">
        <v>1</v>
      </c>
      <c r="N934" s="1">
        <v>1</v>
      </c>
      <c r="O934" s="15">
        <f>IF(SUM(Q934:AF934)&lt;1,"",SUM(Q934:AF934)/COUNTIF(Q934:AF934,"&gt;0"))</f>
        <v>99</v>
      </c>
      <c r="P934" s="16"/>
      <c r="Q934" s="13"/>
      <c r="T934" s="4">
        <v>99</v>
      </c>
      <c r="U934" s="2"/>
      <c r="V934" s="2"/>
      <c r="W934" s="2"/>
      <c r="X934" s="2"/>
      <c r="Z934" s="2"/>
      <c r="AA934" s="2"/>
      <c r="AF934" s="14"/>
    </row>
    <row r="935" spans="1:33" s="4" customFormat="1" ht="15.75" customHeight="1" x14ac:dyDescent="0.25">
      <c r="A935" s="33" t="str">
        <f>CONCATENATE(D935,".",F935,"-",G935,".",H935,"")</f>
        <v>2.3-3.1</v>
      </c>
      <c r="B935" s="33"/>
      <c r="C935" s="39" t="s">
        <v>262</v>
      </c>
      <c r="D935" s="33">
        <f>IF(C935="ID",1,(IF(C935="PR",2,(IF(C935="DE",3,(IF(C935="RS",4,(IF(C935="RC",5,0)))))))))</f>
        <v>2</v>
      </c>
      <c r="E935" s="33" t="s">
        <v>343</v>
      </c>
      <c r="F935" s="33">
        <f>IF(E935="AM",1,(IF(E935="BE",2,(IF(E935="GV",3,(IF(E935="RA",4,(IF(E935="RM",5,(IF(E935="AC",1,(IF(E935="AT",2,(IF(E935="DS",3,(IF(E935="IP",4,(IF(E935="MA",5,(IF(E935="PT",6,(IF(E935="AE",1,(IF(E935="CM",2,(IF(E935="DP",3,(IF(E935="AN",1,(IF(E935="CO",2,(IF(E935="IM",3,(IF(E935="MI",4,(IF(E935="RP",5,(IF(E935="SC",6,0)))))))))))))))))))))))))))))))))))))))</f>
        <v>3</v>
      </c>
      <c r="G935" s="170">
        <v>3</v>
      </c>
      <c r="H935" s="38" t="s">
        <v>511</v>
      </c>
      <c r="I935" s="105" t="s">
        <v>1449</v>
      </c>
      <c r="J935" s="157" t="s">
        <v>1945</v>
      </c>
      <c r="K935" s="34" t="s">
        <v>1946</v>
      </c>
      <c r="L935" s="5">
        <f>IF(O935="","",N935*O935*M935)</f>
        <v>99</v>
      </c>
      <c r="M935" s="8">
        <v>1</v>
      </c>
      <c r="N935" s="1">
        <v>1</v>
      </c>
      <c r="O935" s="15">
        <f>IF(SUM(Q935:AF935)&lt;1,"",SUM(Q935:AF935)/COUNTIF(Q935:AF935,"&gt;0"))</f>
        <v>99</v>
      </c>
      <c r="P935" s="16"/>
      <c r="Q935" s="13"/>
      <c r="T935" s="4">
        <v>99</v>
      </c>
      <c r="U935" s="2"/>
      <c r="V935" s="2"/>
      <c r="W935" s="2"/>
      <c r="X935" s="2"/>
      <c r="Z935" s="2"/>
      <c r="AA935" s="2"/>
      <c r="AF935" s="14"/>
    </row>
    <row r="936" spans="1:33" s="4" customFormat="1" ht="15.75" customHeight="1" x14ac:dyDescent="0.25">
      <c r="A936" s="33" t="str">
        <f>CONCATENATE(D936,".",F936,"-",G936,".",H936,"")</f>
        <v>2.3-3.1</v>
      </c>
      <c r="B936" s="33"/>
      <c r="C936" s="39" t="s">
        <v>262</v>
      </c>
      <c r="D936" s="33">
        <f>IF(C936="ID",1,(IF(C936="PR",2,(IF(C936="DE",3,(IF(C936="RS",4,(IF(C936="RC",5,0)))))))))</f>
        <v>2</v>
      </c>
      <c r="E936" s="33" t="s">
        <v>343</v>
      </c>
      <c r="F936" s="33">
        <f>IF(E936="AM",1,(IF(E936="BE",2,(IF(E936="GV",3,(IF(E936="RA",4,(IF(E936="RM",5,(IF(E936="AC",1,(IF(E936="AT",2,(IF(E936="DS",3,(IF(E936="IP",4,(IF(E936="MA",5,(IF(E936="PT",6,(IF(E936="AE",1,(IF(E936="CM",2,(IF(E936="DP",3,(IF(E936="AN",1,(IF(E936="CO",2,(IF(E936="IM",3,(IF(E936="MI",4,(IF(E936="RP",5,(IF(E936="SC",6,0)))))))))))))))))))))))))))))))))))))))</f>
        <v>3</v>
      </c>
      <c r="G936" s="170">
        <v>3</v>
      </c>
      <c r="H936" s="38" t="s">
        <v>511</v>
      </c>
      <c r="I936" s="105" t="s">
        <v>1449</v>
      </c>
      <c r="J936" s="157" t="s">
        <v>1947</v>
      </c>
      <c r="K936" s="34" t="s">
        <v>1948</v>
      </c>
      <c r="L936" s="5">
        <f>IF(O936="","",N936*O936*M936)</f>
        <v>99</v>
      </c>
      <c r="M936" s="8">
        <v>1</v>
      </c>
      <c r="N936" s="1">
        <v>1</v>
      </c>
      <c r="O936" s="15">
        <f>IF(SUM(Q936:AF936)&lt;1,"",SUM(Q936:AF936)/COUNTIF(Q936:AF936,"&gt;0"))</f>
        <v>99</v>
      </c>
      <c r="P936" s="16"/>
      <c r="Q936" s="13"/>
      <c r="T936" s="4">
        <v>99</v>
      </c>
      <c r="U936" s="2"/>
      <c r="V936" s="2"/>
      <c r="W936" s="2"/>
      <c r="X936" s="2"/>
      <c r="Z936" s="2"/>
      <c r="AA936" s="2"/>
      <c r="AF936" s="14"/>
    </row>
    <row r="937" spans="1:33" s="4" customFormat="1" ht="15.75" customHeight="1" x14ac:dyDescent="0.25">
      <c r="A937" s="33" t="str">
        <f>CONCATENATE(D937,".",F937,"-",G937,".",H937,"")</f>
        <v>2.3-3.1</v>
      </c>
      <c r="B937" s="33"/>
      <c r="C937" s="39" t="s">
        <v>262</v>
      </c>
      <c r="D937" s="33">
        <f>IF(C937="ID",1,(IF(C937="PR",2,(IF(C937="DE",3,(IF(C937="RS",4,(IF(C937="RC",5,0)))))))))</f>
        <v>2</v>
      </c>
      <c r="E937" s="33" t="s">
        <v>343</v>
      </c>
      <c r="F937" s="33">
        <f>IF(E937="AM",1,(IF(E937="BE",2,(IF(E937="GV",3,(IF(E937="RA",4,(IF(E937="RM",5,(IF(E937="AC",1,(IF(E937="AT",2,(IF(E937="DS",3,(IF(E937="IP",4,(IF(E937="MA",5,(IF(E937="PT",6,(IF(E937="AE",1,(IF(E937="CM",2,(IF(E937="DP",3,(IF(E937="AN",1,(IF(E937="CO",2,(IF(E937="IM",3,(IF(E937="MI",4,(IF(E937="RP",5,(IF(E937="SC",6,0)))))))))))))))))))))))))))))))))))))))</f>
        <v>3</v>
      </c>
      <c r="G937" s="170">
        <v>3</v>
      </c>
      <c r="H937" s="38" t="s">
        <v>511</v>
      </c>
      <c r="I937" s="105" t="s">
        <v>1449</v>
      </c>
      <c r="J937" s="157" t="s">
        <v>1951</v>
      </c>
      <c r="K937" s="34" t="s">
        <v>1952</v>
      </c>
      <c r="L937" s="5">
        <f>IF(O937="","",N937*O937*M937)</f>
        <v>99</v>
      </c>
      <c r="M937" s="8">
        <v>1</v>
      </c>
      <c r="N937" s="1">
        <v>1</v>
      </c>
      <c r="O937" s="15">
        <f>IF(SUM(Q937:AF937)&lt;1,"",SUM(Q937:AF937)/COUNTIF(Q937:AF937,"&gt;0"))</f>
        <v>99</v>
      </c>
      <c r="P937" s="16"/>
      <c r="Q937" s="13"/>
      <c r="T937" s="4">
        <v>99</v>
      </c>
      <c r="U937" s="2"/>
      <c r="V937" s="2"/>
      <c r="W937" s="2"/>
      <c r="X937" s="2"/>
      <c r="Z937" s="2"/>
      <c r="AA937" s="2"/>
      <c r="AF937" s="14"/>
    </row>
    <row r="938" spans="1:33" s="4" customFormat="1" ht="15.75" customHeight="1" x14ac:dyDescent="0.25">
      <c r="A938" s="33" t="str">
        <f>CONCATENATE(D938,".",F938,"-",G938,".",H938,"")</f>
        <v>2.3-3.1</v>
      </c>
      <c r="B938" s="33"/>
      <c r="C938" s="39" t="s">
        <v>262</v>
      </c>
      <c r="D938" s="33">
        <f>IF(C938="ID",1,(IF(C938="PR",2,(IF(C938="DE",3,(IF(C938="RS",4,(IF(C938="RC",5,0)))))))))</f>
        <v>2</v>
      </c>
      <c r="E938" s="33" t="s">
        <v>343</v>
      </c>
      <c r="F938" s="33">
        <f>IF(E938="AM",1,(IF(E938="BE",2,(IF(E938="GV",3,(IF(E938="RA",4,(IF(E938="RM",5,(IF(E938="AC",1,(IF(E938="AT",2,(IF(E938="DS",3,(IF(E938="IP",4,(IF(E938="MA",5,(IF(E938="PT",6,(IF(E938="AE",1,(IF(E938="CM",2,(IF(E938="DP",3,(IF(E938="AN",1,(IF(E938="CO",2,(IF(E938="IM",3,(IF(E938="MI",4,(IF(E938="RP",5,(IF(E938="SC",6,0)))))))))))))))))))))))))))))))))))))))</f>
        <v>3</v>
      </c>
      <c r="G938" s="170">
        <v>3</v>
      </c>
      <c r="H938" s="38" t="s">
        <v>511</v>
      </c>
      <c r="I938" s="105" t="s">
        <v>1449</v>
      </c>
      <c r="J938" s="157" t="s">
        <v>1953</v>
      </c>
      <c r="K938" s="34" t="s">
        <v>1954</v>
      </c>
      <c r="L938" s="5">
        <f>IF(O938="","",N938*O938*M938)</f>
        <v>99</v>
      </c>
      <c r="M938" s="8">
        <v>1</v>
      </c>
      <c r="N938" s="1">
        <v>1</v>
      </c>
      <c r="O938" s="15">
        <f>IF(SUM(Q938:AF938)&lt;1,"",SUM(Q938:AF938)/COUNTIF(Q938:AF938,"&gt;0"))</f>
        <v>99</v>
      </c>
      <c r="P938" s="16"/>
      <c r="Q938" s="13"/>
      <c r="T938" s="4">
        <v>99</v>
      </c>
      <c r="U938" s="2"/>
      <c r="V938" s="2"/>
      <c r="W938" s="2"/>
      <c r="X938" s="2"/>
      <c r="Z938" s="2"/>
      <c r="AA938" s="2"/>
      <c r="AF938" s="14"/>
    </row>
    <row r="939" spans="1:33" s="4" customFormat="1" ht="15.75" customHeight="1" x14ac:dyDescent="0.25">
      <c r="A939" s="33" t="str">
        <f>CONCATENATE(D939,".",F939,"-",G939,".",H939,"")</f>
        <v>2.3-3.1</v>
      </c>
      <c r="B939" s="33"/>
      <c r="C939" s="39" t="s">
        <v>262</v>
      </c>
      <c r="D939" s="33">
        <f>IF(C939="ID",1,(IF(C939="PR",2,(IF(C939="DE",3,(IF(C939="RS",4,(IF(C939="RC",5,0)))))))))</f>
        <v>2</v>
      </c>
      <c r="E939" s="33" t="s">
        <v>343</v>
      </c>
      <c r="F939" s="33">
        <f>IF(E939="AM",1,(IF(E939="BE",2,(IF(E939="GV",3,(IF(E939="RA",4,(IF(E939="RM",5,(IF(E939="AC",1,(IF(E939="AT",2,(IF(E939="DS",3,(IF(E939="IP",4,(IF(E939="MA",5,(IF(E939="PT",6,(IF(E939="AE",1,(IF(E939="CM",2,(IF(E939="DP",3,(IF(E939="AN",1,(IF(E939="CO",2,(IF(E939="IM",3,(IF(E939="MI",4,(IF(E939="RP",5,(IF(E939="SC",6,0)))))))))))))))))))))))))))))))))))))))</f>
        <v>3</v>
      </c>
      <c r="G939" s="170">
        <v>3</v>
      </c>
      <c r="H939" s="38" t="s">
        <v>511</v>
      </c>
      <c r="I939" s="105" t="s">
        <v>1449</v>
      </c>
      <c r="J939" s="157" t="s">
        <v>1955</v>
      </c>
      <c r="K939" s="34" t="s">
        <v>1956</v>
      </c>
      <c r="L939" s="5">
        <f>IF(O939="","",N939*O939*M939)</f>
        <v>99</v>
      </c>
      <c r="M939" s="8">
        <v>1</v>
      </c>
      <c r="N939" s="1">
        <v>1</v>
      </c>
      <c r="O939" s="15">
        <f>IF(SUM(Q939:AF939)&lt;1,"",SUM(Q939:AF939)/COUNTIF(Q939:AF939,"&gt;0"))</f>
        <v>99</v>
      </c>
      <c r="P939" s="16"/>
      <c r="Q939" s="13"/>
      <c r="T939" s="4">
        <v>99</v>
      </c>
      <c r="U939" s="2"/>
      <c r="V939" s="2"/>
      <c r="W939" s="2"/>
      <c r="X939" s="2"/>
      <c r="Z939" s="2"/>
      <c r="AA939" s="2"/>
      <c r="AF939" s="14"/>
    </row>
    <row r="940" spans="1:33" s="4" customFormat="1" ht="15.75" customHeight="1" x14ac:dyDescent="0.25">
      <c r="A940" s="33" t="str">
        <f>CONCATENATE(D940,".",F940,"-",G940,".",H940,"")</f>
        <v>2.3-3.1</v>
      </c>
      <c r="B940" s="33"/>
      <c r="C940" s="39" t="s">
        <v>262</v>
      </c>
      <c r="D940" s="33">
        <f>IF(C940="ID",1,(IF(C940="PR",2,(IF(C940="DE",3,(IF(C940="RS",4,(IF(C940="RC",5,0)))))))))</f>
        <v>2</v>
      </c>
      <c r="E940" s="33" t="s">
        <v>343</v>
      </c>
      <c r="F940" s="33">
        <f>IF(E940="AM",1,(IF(E940="BE",2,(IF(E940="GV",3,(IF(E940="RA",4,(IF(E940="RM",5,(IF(E940="AC",1,(IF(E940="AT",2,(IF(E940="DS",3,(IF(E940="IP",4,(IF(E940="MA",5,(IF(E940="PT",6,(IF(E940="AE",1,(IF(E940="CM",2,(IF(E940="DP",3,(IF(E940="AN",1,(IF(E940="CO",2,(IF(E940="IM",3,(IF(E940="MI",4,(IF(E940="RP",5,(IF(E940="SC",6,0)))))))))))))))))))))))))))))))))))))))</f>
        <v>3</v>
      </c>
      <c r="G940" s="170">
        <v>3</v>
      </c>
      <c r="H940" s="38" t="s">
        <v>511</v>
      </c>
      <c r="I940" s="105" t="s">
        <v>1449</v>
      </c>
      <c r="J940" s="157" t="s">
        <v>1957</v>
      </c>
      <c r="K940" s="34" t="s">
        <v>1958</v>
      </c>
      <c r="L940" s="5">
        <f>IF(O940="","",N940*O940*M940)</f>
        <v>99</v>
      </c>
      <c r="M940" s="8">
        <v>1</v>
      </c>
      <c r="N940" s="1">
        <v>1</v>
      </c>
      <c r="O940" s="15">
        <f>IF(SUM(Q940:AF940)&lt;1,"",SUM(Q940:AF940)/COUNTIF(Q940:AF940,"&gt;0"))</f>
        <v>99</v>
      </c>
      <c r="P940" s="16"/>
      <c r="Q940" s="13"/>
      <c r="T940" s="4">
        <v>99</v>
      </c>
      <c r="U940" s="2"/>
      <c r="V940" s="2"/>
      <c r="W940" s="2"/>
      <c r="X940" s="2"/>
      <c r="Z940" s="2"/>
      <c r="AA940" s="2"/>
      <c r="AF940" s="14"/>
    </row>
    <row r="941" spans="1:33" s="4" customFormat="1" ht="15.75" customHeight="1" x14ac:dyDescent="0.25">
      <c r="A941" s="33" t="str">
        <f>CONCATENATE(D941,".",F941,"-",G941,".",H941,"")</f>
        <v>2.3-3.1</v>
      </c>
      <c r="B941" s="33"/>
      <c r="C941" s="39" t="s">
        <v>262</v>
      </c>
      <c r="D941" s="33">
        <f>IF(C941="ID",1,(IF(C941="PR",2,(IF(C941="DE",3,(IF(C941="RS",4,(IF(C941="RC",5,0)))))))))</f>
        <v>2</v>
      </c>
      <c r="E941" s="33" t="s">
        <v>343</v>
      </c>
      <c r="F941" s="33">
        <f>IF(E941="AM",1,(IF(E941="BE",2,(IF(E941="GV",3,(IF(E941="RA",4,(IF(E941="RM",5,(IF(E941="AC",1,(IF(E941="AT",2,(IF(E941="DS",3,(IF(E941="IP",4,(IF(E941="MA",5,(IF(E941="PT",6,(IF(E941="AE",1,(IF(E941="CM",2,(IF(E941="DP",3,(IF(E941="AN",1,(IF(E941="CO",2,(IF(E941="IM",3,(IF(E941="MI",4,(IF(E941="RP",5,(IF(E941="SC",6,0)))))))))))))))))))))))))))))))))))))))</f>
        <v>3</v>
      </c>
      <c r="G941" s="170">
        <v>3</v>
      </c>
      <c r="H941" s="38" t="s">
        <v>511</v>
      </c>
      <c r="I941" s="105" t="s">
        <v>1449</v>
      </c>
      <c r="J941" s="157" t="s">
        <v>1959</v>
      </c>
      <c r="K941" s="34" t="s">
        <v>1960</v>
      </c>
      <c r="L941" s="5">
        <f>IF(O941="","",N941*O941*M941)</f>
        <v>99</v>
      </c>
      <c r="M941" s="8">
        <v>1</v>
      </c>
      <c r="N941" s="1">
        <v>1</v>
      </c>
      <c r="O941" s="15">
        <f>IF(SUM(Q941:AF941)&lt;1,"",SUM(Q941:AF941)/COUNTIF(Q941:AF941,"&gt;0"))</f>
        <v>99</v>
      </c>
      <c r="P941" s="16"/>
      <c r="Q941" s="13"/>
      <c r="T941" s="4">
        <v>99</v>
      </c>
      <c r="U941" s="2"/>
      <c r="V941" s="2"/>
      <c r="W941" s="2"/>
      <c r="X941" s="2"/>
      <c r="Z941" s="2"/>
      <c r="AA941" s="2"/>
      <c r="AF941" s="14"/>
    </row>
    <row r="942" spans="1:33" s="4" customFormat="1" ht="15.75" customHeight="1" x14ac:dyDescent="0.25">
      <c r="A942" s="33" t="str">
        <f>CONCATENATE(D942,".",F942,"-",G942,".",H942,"")</f>
        <v>2.3-3.1</v>
      </c>
      <c r="B942" s="33"/>
      <c r="C942" s="39" t="s">
        <v>262</v>
      </c>
      <c r="D942" s="33">
        <f>IF(C942="ID",1,(IF(C942="PR",2,(IF(C942="DE",3,(IF(C942="RS",4,(IF(C942="RC",5,0)))))))))</f>
        <v>2</v>
      </c>
      <c r="E942" s="33" t="s">
        <v>343</v>
      </c>
      <c r="F942" s="33">
        <f>IF(E942="AM",1,(IF(E942="BE",2,(IF(E942="GV",3,(IF(E942="RA",4,(IF(E942="RM",5,(IF(E942="AC",1,(IF(E942="AT",2,(IF(E942="DS",3,(IF(E942="IP",4,(IF(E942="MA",5,(IF(E942="PT",6,(IF(E942="AE",1,(IF(E942="CM",2,(IF(E942="DP",3,(IF(E942="AN",1,(IF(E942="CO",2,(IF(E942="IM",3,(IF(E942="MI",4,(IF(E942="RP",5,(IF(E942="SC",6,0)))))))))))))))))))))))))))))))))))))))</f>
        <v>3</v>
      </c>
      <c r="G942" s="170">
        <v>3</v>
      </c>
      <c r="H942" s="38" t="s">
        <v>511</v>
      </c>
      <c r="I942" s="105" t="s">
        <v>1449</v>
      </c>
      <c r="J942" s="157" t="s">
        <v>1961</v>
      </c>
      <c r="K942" s="34" t="s">
        <v>1962</v>
      </c>
      <c r="L942" s="5">
        <f>IF(O942="","",N942*O942*M942)</f>
        <v>99</v>
      </c>
      <c r="M942" s="8">
        <v>1</v>
      </c>
      <c r="N942" s="1">
        <v>1</v>
      </c>
      <c r="O942" s="15">
        <f>IF(SUM(Q942:AF942)&lt;1,"",SUM(Q942:AF942)/COUNTIF(Q942:AF942,"&gt;0"))</f>
        <v>99</v>
      </c>
      <c r="P942" s="16"/>
      <c r="Q942" s="13"/>
      <c r="T942" s="4">
        <v>99</v>
      </c>
      <c r="U942" s="2"/>
      <c r="V942" s="2"/>
      <c r="W942" s="2"/>
      <c r="X942" s="2"/>
      <c r="Z942" s="2"/>
      <c r="AA942" s="2"/>
      <c r="AF942" s="14"/>
    </row>
    <row r="943" spans="1:33" s="4" customFormat="1" ht="15.75" customHeight="1" x14ac:dyDescent="0.25">
      <c r="A943" s="33" t="str">
        <f>CONCATENATE(D943,".",F943,"-",G943,".",H943,"")</f>
        <v>2.3-3.1</v>
      </c>
      <c r="B943" s="33"/>
      <c r="C943" s="39" t="s">
        <v>262</v>
      </c>
      <c r="D943" s="33">
        <f>IF(C943="ID",1,(IF(C943="PR",2,(IF(C943="DE",3,(IF(C943="RS",4,(IF(C943="RC",5,0)))))))))</f>
        <v>2</v>
      </c>
      <c r="E943" s="33" t="s">
        <v>343</v>
      </c>
      <c r="F943" s="33">
        <f>IF(E943="AM",1,(IF(E943="BE",2,(IF(E943="GV",3,(IF(E943="RA",4,(IF(E943="RM",5,(IF(E943="AC",1,(IF(E943="AT",2,(IF(E943="DS",3,(IF(E943="IP",4,(IF(E943="MA",5,(IF(E943="PT",6,(IF(E943="AE",1,(IF(E943="CM",2,(IF(E943="DP",3,(IF(E943="AN",1,(IF(E943="CO",2,(IF(E943="IM",3,(IF(E943="MI",4,(IF(E943="RP",5,(IF(E943="SC",6,0)))))))))))))))))))))))))))))))))))))))</f>
        <v>3</v>
      </c>
      <c r="G943" s="170">
        <v>3</v>
      </c>
      <c r="H943" s="38" t="s">
        <v>511</v>
      </c>
      <c r="I943" s="105" t="s">
        <v>1449</v>
      </c>
      <c r="J943" s="157" t="s">
        <v>1963</v>
      </c>
      <c r="K943" s="34" t="s">
        <v>1964</v>
      </c>
      <c r="L943" s="5">
        <f>IF(O943="","",N943*O943*M943)</f>
        <v>99</v>
      </c>
      <c r="M943" s="8">
        <v>1</v>
      </c>
      <c r="N943" s="1">
        <v>1</v>
      </c>
      <c r="O943" s="15">
        <f>IF(SUM(Q943:AF943)&lt;1,"",SUM(Q943:AF943)/COUNTIF(Q943:AF943,"&gt;0"))</f>
        <v>99</v>
      </c>
      <c r="P943" s="16"/>
      <c r="Q943" s="13"/>
      <c r="T943" s="4">
        <v>99</v>
      </c>
      <c r="U943" s="2"/>
      <c r="V943" s="2"/>
      <c r="W943" s="2"/>
      <c r="X943" s="2"/>
      <c r="Z943" s="2"/>
      <c r="AA943" s="2"/>
      <c r="AF943" s="14"/>
    </row>
    <row r="944" spans="1:33" s="4" customFormat="1" ht="15.75" customHeight="1" x14ac:dyDescent="0.25">
      <c r="A944" s="33" t="str">
        <f>CONCATENATE(D944,".",F944,"-",G944,".",H944,"")</f>
        <v>2.3-3.1</v>
      </c>
      <c r="B944" s="33"/>
      <c r="C944" s="39" t="s">
        <v>262</v>
      </c>
      <c r="D944" s="33">
        <f>IF(C944="ID",1,(IF(C944="PR",2,(IF(C944="DE",3,(IF(C944="RS",4,(IF(C944="RC",5,0)))))))))</f>
        <v>2</v>
      </c>
      <c r="E944" s="33" t="s">
        <v>343</v>
      </c>
      <c r="F944" s="33">
        <f>IF(E944="AM",1,(IF(E944="BE",2,(IF(E944="GV",3,(IF(E944="RA",4,(IF(E944="RM",5,(IF(E944="AC",1,(IF(E944="AT",2,(IF(E944="DS",3,(IF(E944="IP",4,(IF(E944="MA",5,(IF(E944="PT",6,(IF(E944="AE",1,(IF(E944="CM",2,(IF(E944="DP",3,(IF(E944="AN",1,(IF(E944="CO",2,(IF(E944="IM",3,(IF(E944="MI",4,(IF(E944="RP",5,(IF(E944="SC",6,0)))))))))))))))))))))))))))))))))))))))</f>
        <v>3</v>
      </c>
      <c r="G944" s="170">
        <v>3</v>
      </c>
      <c r="H944" s="38" t="s">
        <v>511</v>
      </c>
      <c r="I944" s="105" t="s">
        <v>1449</v>
      </c>
      <c r="J944" s="157" t="s">
        <v>2333</v>
      </c>
      <c r="K944" s="34" t="s">
        <v>2334</v>
      </c>
      <c r="L944" s="5">
        <f>IF(O944="","",N944*O944*M944)</f>
        <v>99</v>
      </c>
      <c r="M944" s="8">
        <v>1</v>
      </c>
      <c r="N944" s="1">
        <v>1</v>
      </c>
      <c r="O944" s="15">
        <f>IF(SUM(Q944:AF944)&lt;1,"",SUM(Q944:AF944)/COUNTIF(Q944:AF944,"&gt;0"))</f>
        <v>99</v>
      </c>
      <c r="P944" s="16"/>
      <c r="Q944" s="13"/>
      <c r="T944" s="4">
        <v>99</v>
      </c>
      <c r="U944" s="2"/>
      <c r="V944" s="2"/>
      <c r="W944" s="2"/>
      <c r="X944" s="2"/>
      <c r="Z944" s="2"/>
      <c r="AA944" s="2"/>
      <c r="AF944" s="14"/>
    </row>
    <row r="945" spans="1:32" s="4" customFormat="1" ht="15.75" customHeight="1" x14ac:dyDescent="0.25">
      <c r="A945" s="33" t="str">
        <f>CONCATENATE(D945,".",F945,"-",G945,".",H945,"")</f>
        <v>2.3-3.1</v>
      </c>
      <c r="B945" s="33"/>
      <c r="C945" s="39" t="s">
        <v>262</v>
      </c>
      <c r="D945" s="33">
        <f>IF(C945="ID",1,(IF(C945="PR",2,(IF(C945="DE",3,(IF(C945="RS",4,(IF(C945="RC",5,0)))))))))</f>
        <v>2</v>
      </c>
      <c r="E945" s="33" t="s">
        <v>343</v>
      </c>
      <c r="F945" s="33">
        <f>IF(E945="AM",1,(IF(E945="BE",2,(IF(E945="GV",3,(IF(E945="RA",4,(IF(E945="RM",5,(IF(E945="AC",1,(IF(E945="AT",2,(IF(E945="DS",3,(IF(E945="IP",4,(IF(E945="MA",5,(IF(E945="PT",6,(IF(E945="AE",1,(IF(E945="CM",2,(IF(E945="DP",3,(IF(E945="AN",1,(IF(E945="CO",2,(IF(E945="IM",3,(IF(E945="MI",4,(IF(E945="RP",5,(IF(E945="SC",6,0)))))))))))))))))))))))))))))))))))))))</f>
        <v>3</v>
      </c>
      <c r="G945" s="170">
        <v>3</v>
      </c>
      <c r="H945" s="38" t="s">
        <v>511</v>
      </c>
      <c r="I945" s="105" t="s">
        <v>1449</v>
      </c>
      <c r="J945" s="157" t="s">
        <v>2335</v>
      </c>
      <c r="K945" s="34" t="s">
        <v>2336</v>
      </c>
      <c r="L945" s="5">
        <f>IF(O945="","",N945*O945*M945)</f>
        <v>99</v>
      </c>
      <c r="M945" s="8">
        <v>1</v>
      </c>
      <c r="N945" s="1">
        <v>1</v>
      </c>
      <c r="O945" s="15">
        <f>IF(SUM(Q945:AF945)&lt;1,"",SUM(Q945:AF945)/COUNTIF(Q945:AF945,"&gt;0"))</f>
        <v>99</v>
      </c>
      <c r="P945" s="16"/>
      <c r="Q945" s="13"/>
      <c r="T945" s="4">
        <v>99</v>
      </c>
      <c r="U945" s="2"/>
      <c r="V945" s="2"/>
      <c r="W945" s="2"/>
      <c r="X945" s="2"/>
      <c r="Z945" s="2"/>
      <c r="AA945" s="2"/>
      <c r="AF945" s="14"/>
    </row>
    <row r="946" spans="1:32" s="4" customFormat="1" ht="15.75" customHeight="1" x14ac:dyDescent="0.25">
      <c r="A946" s="33" t="str">
        <f>CONCATENATE(D946,".",F946,"-",G946,".",H946,"")</f>
        <v>2.3-3.1</v>
      </c>
      <c r="B946" s="33"/>
      <c r="C946" s="39" t="s">
        <v>262</v>
      </c>
      <c r="D946" s="33">
        <f>IF(C946="ID",1,(IF(C946="PR",2,(IF(C946="DE",3,(IF(C946="RS",4,(IF(C946="RC",5,0)))))))))</f>
        <v>2</v>
      </c>
      <c r="E946" s="33" t="s">
        <v>343</v>
      </c>
      <c r="F946" s="33">
        <f>IF(E946="AM",1,(IF(E946="BE",2,(IF(E946="GV",3,(IF(E946="RA",4,(IF(E946="RM",5,(IF(E946="AC",1,(IF(E946="AT",2,(IF(E946="DS",3,(IF(E946="IP",4,(IF(E946="MA",5,(IF(E946="PT",6,(IF(E946="AE",1,(IF(E946="CM",2,(IF(E946="DP",3,(IF(E946="AN",1,(IF(E946="CO",2,(IF(E946="IM",3,(IF(E946="MI",4,(IF(E946="RP",5,(IF(E946="SC",6,0)))))))))))))))))))))))))))))))))))))))</f>
        <v>3</v>
      </c>
      <c r="G946" s="170">
        <v>3</v>
      </c>
      <c r="H946" s="38" t="s">
        <v>511</v>
      </c>
      <c r="I946" s="105" t="s">
        <v>1449</v>
      </c>
      <c r="J946" s="157" t="s">
        <v>2337</v>
      </c>
      <c r="K946" s="34" t="s">
        <v>2338</v>
      </c>
      <c r="L946" s="5">
        <f>IF(O946="","",N946*O946*M946)</f>
        <v>99</v>
      </c>
      <c r="M946" s="8">
        <v>1</v>
      </c>
      <c r="N946" s="1">
        <v>1</v>
      </c>
      <c r="O946" s="15">
        <f>IF(SUM(Q946:AF946)&lt;1,"",SUM(Q946:AF946)/COUNTIF(Q946:AF946,"&gt;0"))</f>
        <v>99</v>
      </c>
      <c r="P946" s="16"/>
      <c r="Q946" s="13"/>
      <c r="T946" s="4">
        <v>99</v>
      </c>
      <c r="U946" s="2"/>
      <c r="V946" s="2"/>
      <c r="W946" s="2"/>
      <c r="X946" s="2"/>
      <c r="Z946" s="2"/>
      <c r="AA946" s="2"/>
      <c r="AF946" s="14"/>
    </row>
    <row r="947" spans="1:32" s="4" customFormat="1" ht="15.75" customHeight="1" x14ac:dyDescent="0.25">
      <c r="A947" s="33" t="str">
        <f>CONCATENATE(D947,".",F947,"-",G947,".",H947,"")</f>
        <v>2.3-3.1</v>
      </c>
      <c r="B947" s="33"/>
      <c r="C947" s="39" t="s">
        <v>262</v>
      </c>
      <c r="D947" s="33">
        <f>IF(C947="ID",1,(IF(C947="PR",2,(IF(C947="DE",3,(IF(C947="RS",4,(IF(C947="RC",5,0)))))))))</f>
        <v>2</v>
      </c>
      <c r="E947" s="33" t="s">
        <v>343</v>
      </c>
      <c r="F947" s="33">
        <f>IF(E947="AM",1,(IF(E947="BE",2,(IF(E947="GV",3,(IF(E947="RA",4,(IF(E947="RM",5,(IF(E947="AC",1,(IF(E947="AT",2,(IF(E947="DS",3,(IF(E947="IP",4,(IF(E947="MA",5,(IF(E947="PT",6,(IF(E947="AE",1,(IF(E947="CM",2,(IF(E947="DP",3,(IF(E947="AN",1,(IF(E947="CO",2,(IF(E947="IM",3,(IF(E947="MI",4,(IF(E947="RP",5,(IF(E947="SC",6,0)))))))))))))))))))))))))))))))))))))))</f>
        <v>3</v>
      </c>
      <c r="G947" s="170">
        <v>3</v>
      </c>
      <c r="H947" s="38" t="s">
        <v>511</v>
      </c>
      <c r="I947" s="105" t="s">
        <v>1449</v>
      </c>
      <c r="J947" s="157" t="s">
        <v>2339</v>
      </c>
      <c r="K947" s="34" t="s">
        <v>2340</v>
      </c>
      <c r="L947" s="5">
        <f>IF(O947="","",N947*O947*M947)</f>
        <v>99</v>
      </c>
      <c r="M947" s="8">
        <v>1</v>
      </c>
      <c r="N947" s="1">
        <v>1</v>
      </c>
      <c r="O947" s="15">
        <f>IF(SUM(Q947:AF947)&lt;1,"",SUM(Q947:AF947)/COUNTIF(Q947:AF947,"&gt;0"))</f>
        <v>99</v>
      </c>
      <c r="P947" s="16"/>
      <c r="Q947" s="13"/>
      <c r="T947" s="4">
        <v>99</v>
      </c>
      <c r="U947" s="2"/>
      <c r="V947" s="2"/>
      <c r="W947" s="2"/>
      <c r="X947" s="2"/>
      <c r="Z947" s="2"/>
      <c r="AA947" s="2"/>
      <c r="AF947" s="14"/>
    </row>
    <row r="948" spans="1:32" s="4" customFormat="1" ht="15.75" customHeight="1" x14ac:dyDescent="0.25">
      <c r="A948" s="33" t="str">
        <f>CONCATENATE(D948,".",F948,"-",G948,".",H948,"")</f>
        <v>2.3-3.1</v>
      </c>
      <c r="B948" s="33"/>
      <c r="C948" s="39" t="s">
        <v>262</v>
      </c>
      <c r="D948" s="33">
        <f>IF(C948="ID",1,(IF(C948="PR",2,(IF(C948="DE",3,(IF(C948="RS",4,(IF(C948="RC",5,0)))))))))</f>
        <v>2</v>
      </c>
      <c r="E948" s="33" t="s">
        <v>343</v>
      </c>
      <c r="F948" s="33">
        <f>IF(E948="AM",1,(IF(E948="BE",2,(IF(E948="GV",3,(IF(E948="RA",4,(IF(E948="RM",5,(IF(E948="AC",1,(IF(E948="AT",2,(IF(E948="DS",3,(IF(E948="IP",4,(IF(E948="MA",5,(IF(E948="PT",6,(IF(E948="AE",1,(IF(E948="CM",2,(IF(E948="DP",3,(IF(E948="AN",1,(IF(E948="CO",2,(IF(E948="IM",3,(IF(E948="MI",4,(IF(E948="RP",5,(IF(E948="SC",6,0)))))))))))))))))))))))))))))))))))))))</f>
        <v>3</v>
      </c>
      <c r="G948" s="170">
        <v>3</v>
      </c>
      <c r="H948" s="38" t="s">
        <v>511</v>
      </c>
      <c r="I948" s="105" t="s">
        <v>1449</v>
      </c>
      <c r="J948" s="157" t="s">
        <v>2341</v>
      </c>
      <c r="K948" s="34" t="s">
        <v>2342</v>
      </c>
      <c r="L948" s="5">
        <f>IF(O948="","",N948*O948*M948)</f>
        <v>99</v>
      </c>
      <c r="M948" s="8">
        <v>1</v>
      </c>
      <c r="N948" s="1">
        <v>1</v>
      </c>
      <c r="O948" s="15">
        <f>IF(SUM(Q948:AF948)&lt;1,"",SUM(Q948:AF948)/COUNTIF(Q948:AF948,"&gt;0"))</f>
        <v>99</v>
      </c>
      <c r="P948" s="16"/>
      <c r="Q948" s="13"/>
      <c r="T948" s="4">
        <v>99</v>
      </c>
      <c r="U948" s="2"/>
      <c r="V948" s="2"/>
      <c r="W948" s="2"/>
      <c r="X948" s="2"/>
      <c r="Z948" s="2"/>
      <c r="AA948" s="2"/>
      <c r="AF948" s="14"/>
    </row>
    <row r="949" spans="1:32" s="4" customFormat="1" ht="15.75" customHeight="1" x14ac:dyDescent="0.25">
      <c r="A949" s="33" t="str">
        <f>CONCATENATE(D949,".",F949,"-",G949,".",H949,"")</f>
        <v>2.3-3.1</v>
      </c>
      <c r="B949" s="33"/>
      <c r="C949" s="39" t="s">
        <v>262</v>
      </c>
      <c r="D949" s="33">
        <f>IF(C949="ID",1,(IF(C949="PR",2,(IF(C949="DE",3,(IF(C949="RS",4,(IF(C949="RC",5,0)))))))))</f>
        <v>2</v>
      </c>
      <c r="E949" s="33" t="s">
        <v>343</v>
      </c>
      <c r="F949" s="33">
        <f>IF(E949="AM",1,(IF(E949="BE",2,(IF(E949="GV",3,(IF(E949="RA",4,(IF(E949="RM",5,(IF(E949="AC",1,(IF(E949="AT",2,(IF(E949="DS",3,(IF(E949="IP",4,(IF(E949="MA",5,(IF(E949="PT",6,(IF(E949="AE",1,(IF(E949="CM",2,(IF(E949="DP",3,(IF(E949="AN",1,(IF(E949="CO",2,(IF(E949="IM",3,(IF(E949="MI",4,(IF(E949="RP",5,(IF(E949="SC",6,0)))))))))))))))))))))))))))))))))))))))</f>
        <v>3</v>
      </c>
      <c r="G949" s="170">
        <v>3</v>
      </c>
      <c r="H949" s="38" t="s">
        <v>511</v>
      </c>
      <c r="I949" s="105" t="s">
        <v>1449</v>
      </c>
      <c r="J949" s="157" t="s">
        <v>2343</v>
      </c>
      <c r="K949" s="34" t="s">
        <v>2344</v>
      </c>
      <c r="L949" s="5">
        <f>IF(O949="","",N949*O949*M949)</f>
        <v>99</v>
      </c>
      <c r="M949" s="8">
        <v>1</v>
      </c>
      <c r="N949" s="1">
        <v>1</v>
      </c>
      <c r="O949" s="15">
        <f>IF(SUM(Q949:AF949)&lt;1,"",SUM(Q949:AF949)/COUNTIF(Q949:AF949,"&gt;0"))</f>
        <v>99</v>
      </c>
      <c r="P949" s="16"/>
      <c r="Q949" s="13"/>
      <c r="T949" s="4">
        <v>99</v>
      </c>
      <c r="U949" s="2"/>
      <c r="V949" s="2"/>
      <c r="W949" s="2"/>
      <c r="X949" s="2"/>
      <c r="Z949" s="2"/>
      <c r="AA949" s="2"/>
      <c r="AF949" s="14"/>
    </row>
    <row r="950" spans="1:32" s="4" customFormat="1" ht="15.75" customHeight="1" x14ac:dyDescent="0.25">
      <c r="A950" s="33" t="str">
        <f>CONCATENATE(D950,".",F950,"-",G950,".",H950,"")</f>
        <v>2.3-3.1</v>
      </c>
      <c r="B950" s="33"/>
      <c r="C950" s="39" t="s">
        <v>262</v>
      </c>
      <c r="D950" s="33">
        <f>IF(C950="ID",1,(IF(C950="PR",2,(IF(C950="DE",3,(IF(C950="RS",4,(IF(C950="RC",5,0)))))))))</f>
        <v>2</v>
      </c>
      <c r="E950" s="33" t="s">
        <v>343</v>
      </c>
      <c r="F950" s="33">
        <f>IF(E950="AM",1,(IF(E950="BE",2,(IF(E950="GV",3,(IF(E950="RA",4,(IF(E950="RM",5,(IF(E950="AC",1,(IF(E950="AT",2,(IF(E950="DS",3,(IF(E950="IP",4,(IF(E950="MA",5,(IF(E950="PT",6,(IF(E950="AE",1,(IF(E950="CM",2,(IF(E950="DP",3,(IF(E950="AN",1,(IF(E950="CO",2,(IF(E950="IM",3,(IF(E950="MI",4,(IF(E950="RP",5,(IF(E950="SC",6,0)))))))))))))))))))))))))))))))))))))))</f>
        <v>3</v>
      </c>
      <c r="G950" s="170">
        <v>3</v>
      </c>
      <c r="H950" s="38" t="s">
        <v>511</v>
      </c>
      <c r="I950" s="105" t="s">
        <v>1449</v>
      </c>
      <c r="J950" s="157" t="s">
        <v>2395</v>
      </c>
      <c r="K950" s="34" t="s">
        <v>2396</v>
      </c>
      <c r="L950" s="5">
        <f>IF(O950="","",N950*O950*M950)</f>
        <v>99</v>
      </c>
      <c r="M950" s="8">
        <v>1</v>
      </c>
      <c r="N950" s="1">
        <v>1</v>
      </c>
      <c r="O950" s="15">
        <f>IF(SUM(Q950:AF950)&lt;1,"",SUM(Q950:AF950)/COUNTIF(Q950:AF950,"&gt;0"))</f>
        <v>99</v>
      </c>
      <c r="P950" s="16"/>
      <c r="Q950" s="13"/>
      <c r="T950" s="4">
        <v>99</v>
      </c>
      <c r="U950" s="2"/>
      <c r="V950" s="2"/>
      <c r="W950" s="2"/>
      <c r="X950" s="2"/>
      <c r="Z950" s="2"/>
      <c r="AA950" s="2"/>
      <c r="AF950" s="14"/>
    </row>
    <row r="951" spans="1:32" s="4" customFormat="1" ht="15.75" customHeight="1" x14ac:dyDescent="0.25">
      <c r="A951" s="33" t="str">
        <f>CONCATENATE(D951,".",F951,"-",G951,".",H951,"")</f>
        <v>2.3-3.1</v>
      </c>
      <c r="B951" s="33" t="s">
        <v>814</v>
      </c>
      <c r="C951" s="39" t="s">
        <v>262</v>
      </c>
      <c r="D951" s="33">
        <f>IF(C951="ID",1,(IF(C951="PR",2,(IF(C951="DE",3,(IF(C951="RS",4,(IF(C951="RC",5,0)))))))))</f>
        <v>2</v>
      </c>
      <c r="E951" s="33" t="s">
        <v>343</v>
      </c>
      <c r="F951" s="33">
        <f>IF(E951="AM",1,(IF(E951="BE",2,(IF(E951="GV",3,(IF(E951="RA",4,(IF(E951="RM",5,(IF(E951="AC",1,(IF(E951="AT",2,(IF(E951="DS",3,(IF(E951="IP",4,(IF(E951="MA",5,(IF(E951="PT",6,(IF(E951="AE",1,(IF(E951="CM",2,(IF(E951="DP",3,(IF(E951="AN",1,(IF(E951="CO",2,(IF(E951="IM",3,(IF(E951="MI",4,(IF(E951="RP",5,(IF(E951="SC",6,0)))))))))))))))))))))))))))))))))))))))</f>
        <v>3</v>
      </c>
      <c r="G951" s="170">
        <v>3</v>
      </c>
      <c r="H951" s="38" t="s">
        <v>511</v>
      </c>
      <c r="I951" s="105" t="s">
        <v>1449</v>
      </c>
      <c r="J951" s="157" t="s">
        <v>2605</v>
      </c>
      <c r="K951" s="34" t="s">
        <v>2606</v>
      </c>
      <c r="L951" s="5">
        <f>IF(O951="","",N951*O951*M951)</f>
        <v>99</v>
      </c>
      <c r="M951" s="8">
        <v>1</v>
      </c>
      <c r="N951" s="1">
        <v>1</v>
      </c>
      <c r="O951" s="15">
        <f>IF(SUM(Q951:AF951)&lt;1,"",SUM(Q951:AF951)/COUNTIF(Q951:AF951,"&gt;0"))</f>
        <v>99</v>
      </c>
      <c r="P951" s="16"/>
      <c r="Q951" s="13"/>
      <c r="T951" s="4">
        <v>99</v>
      </c>
      <c r="U951" s="2"/>
      <c r="V951" s="2"/>
      <c r="W951" s="2"/>
      <c r="X951" s="2"/>
      <c r="Z951" s="2"/>
      <c r="AA951" s="2"/>
      <c r="AF951" s="14"/>
    </row>
    <row r="952" spans="1:32" s="4" customFormat="1" ht="15.75" customHeight="1" x14ac:dyDescent="0.25">
      <c r="A952" s="33" t="str">
        <f>CONCATENATE(D952,".",F952,"-",G952,".",H952,"")</f>
        <v>2.3-3.2</v>
      </c>
      <c r="B952" s="33" t="s">
        <v>814</v>
      </c>
      <c r="C952" s="40" t="s">
        <v>262</v>
      </c>
      <c r="D952" s="33">
        <f>IF(C952="ID",1,(IF(C952="PR",2,(IF(C952="DE",3,(IF(C952="RS",4,(IF(C952="RC",5,0)))))))))</f>
        <v>2</v>
      </c>
      <c r="E952" s="33" t="s">
        <v>343</v>
      </c>
      <c r="F952" s="33">
        <f>IF(E952="AM",1,(IF(E952="BE",2,(IF(E952="GV",3,(IF(E952="RA",4,(IF(E952="RM",5,(IF(E952="AC",1,(IF(E952="AT",2,(IF(E952="DS",3,(IF(E952="IP",4,(IF(E952="MA",5,(IF(E952="PT",6,(IF(E952="AE",1,(IF(E952="CM",2,(IF(E952="DP",3,(IF(E952="AN",1,(IF(E952="CO",2,(IF(E952="IM",3,(IF(E952="MI",4,(IF(E952="RP",5,(IF(E952="SC",6,0)))))))))))))))))))))))))))))))))))))))</f>
        <v>3</v>
      </c>
      <c r="G952" s="171">
        <v>3</v>
      </c>
      <c r="H952" s="38" t="s">
        <v>512</v>
      </c>
      <c r="I952" s="105" t="s">
        <v>821</v>
      </c>
      <c r="J952" s="149" t="s">
        <v>232</v>
      </c>
      <c r="K952" s="79" t="s">
        <v>1283</v>
      </c>
      <c r="L952" s="66">
        <f>IF(O952="","",N952*O952*M952)</f>
        <v>75</v>
      </c>
      <c r="M952" s="8">
        <v>1</v>
      </c>
      <c r="N952" s="1">
        <v>1</v>
      </c>
      <c r="O952" s="15">
        <f>IF(SUM(Q952:AF952)&lt;1,"",SUM(Q952:AF952)/COUNTIF(Q952:AF952,"&gt;0"))</f>
        <v>75</v>
      </c>
      <c r="P952" s="16"/>
      <c r="Q952" s="13"/>
      <c r="T952" s="4">
        <v>75</v>
      </c>
      <c r="U952" s="2"/>
      <c r="V952" s="2"/>
      <c r="W952" s="2"/>
      <c r="X952" s="2"/>
      <c r="Z952" s="2"/>
      <c r="AA952" s="2"/>
      <c r="AF952" s="14"/>
    </row>
    <row r="953" spans="1:32" s="4" customFormat="1" ht="15.75" customHeight="1" x14ac:dyDescent="0.25">
      <c r="A953" s="33" t="str">
        <f>CONCATENATE(D953,".",F953,"-",G953,".",H953,"")</f>
        <v>2.3-3.3</v>
      </c>
      <c r="B953" s="33" t="s">
        <v>814</v>
      </c>
      <c r="C953" s="39" t="s">
        <v>262</v>
      </c>
      <c r="D953" s="33">
        <f>IF(C953="ID",1,(IF(C953="PR",2,(IF(C953="DE",3,(IF(C953="RS",4,(IF(C953="RC",5,0)))))))))</f>
        <v>2</v>
      </c>
      <c r="E953" s="33" t="s">
        <v>343</v>
      </c>
      <c r="F953" s="33">
        <f>IF(E953="AM",1,(IF(E953="BE",2,(IF(E953="GV",3,(IF(E953="RA",4,(IF(E953="RM",5,(IF(E953="AC",1,(IF(E953="AT",2,(IF(E953="DS",3,(IF(E953="IP",4,(IF(E953="MA",5,(IF(E953="PT",6,(IF(E953="AE",1,(IF(E953="CM",2,(IF(E953="DP",3,(IF(E953="AN",1,(IF(E953="CO",2,(IF(E953="IM",3,(IF(E953="MI",4,(IF(E953="RP",5,(IF(E953="SC",6,0)))))))))))))))))))))))))))))))))))))))</f>
        <v>3</v>
      </c>
      <c r="G953" s="170">
        <v>3</v>
      </c>
      <c r="H953" s="38" t="s">
        <v>513</v>
      </c>
      <c r="I953" s="27" t="s">
        <v>266</v>
      </c>
      <c r="J953" s="149" t="s">
        <v>455</v>
      </c>
      <c r="K953" s="79" t="s">
        <v>1297</v>
      </c>
      <c r="L953" s="66">
        <f>IF(O953="","",N953*O953*M953)</f>
        <v>75</v>
      </c>
      <c r="M953" s="8">
        <v>1</v>
      </c>
      <c r="N953" s="1">
        <v>1</v>
      </c>
      <c r="O953" s="15">
        <f>IF(SUM(Q953:AF953)&lt;1,"",SUM(Q953:AF953)/COUNTIF(Q953:AF953,"&gt;0"))</f>
        <v>75</v>
      </c>
      <c r="P953" s="16"/>
      <c r="Q953" s="13"/>
      <c r="T953" s="4">
        <v>75</v>
      </c>
      <c r="U953" s="2"/>
      <c r="V953" s="2"/>
      <c r="W953" s="2"/>
      <c r="X953" s="2"/>
      <c r="Z953" s="2"/>
      <c r="AA953" s="2"/>
      <c r="AF953" s="14"/>
    </row>
    <row r="954" spans="1:32" s="4" customFormat="1" ht="15.75" customHeight="1" x14ac:dyDescent="0.25">
      <c r="A954" s="33" t="str">
        <f>CONCATENATE(D954,".",F954,"-",G954,".",H954,"")</f>
        <v>2.3-3.9</v>
      </c>
      <c r="B954" s="33"/>
      <c r="C954" s="39" t="s">
        <v>262</v>
      </c>
      <c r="D954" s="33">
        <f>IF(C954="ID",1,(IF(C954="PR",2,(IF(C954="DE",3,(IF(C954="RS",4,(IF(C954="RC",5,0)))))))))</f>
        <v>2</v>
      </c>
      <c r="E954" s="33" t="s">
        <v>343</v>
      </c>
      <c r="F954" s="33">
        <f>IF(E954="AM",1,(IF(E954="BE",2,(IF(E954="GV",3,(IF(E954="RA",4,(IF(E954="RM",5,(IF(E954="AC",1,(IF(E954="AT",2,(IF(E954="DS",3,(IF(E954="IP",4,(IF(E954="MA",5,(IF(E954="PT",6,(IF(E954="AE",1,(IF(E954="CM",2,(IF(E954="DP",3,(IF(E954="AN",1,(IF(E954="CO",2,(IF(E954="IM",3,(IF(E954="MI",4,(IF(E954="RP",5,(IF(E954="SC",6,0)))))))))))))))))))))))))))))))))))))))</f>
        <v>3</v>
      </c>
      <c r="G954" s="170">
        <v>3</v>
      </c>
      <c r="H954" s="38" t="s">
        <v>596</v>
      </c>
      <c r="I954" s="105" t="s">
        <v>1449</v>
      </c>
      <c r="J954" s="157" t="s">
        <v>2999</v>
      </c>
      <c r="K954" s="34" t="s">
        <v>3000</v>
      </c>
      <c r="L954" s="5">
        <f>IF(O954="","",N954*O954*M954)</f>
        <v>99</v>
      </c>
      <c r="M954" s="8">
        <v>1</v>
      </c>
      <c r="N954" s="1">
        <v>1</v>
      </c>
      <c r="O954" s="15">
        <f>IF(SUM(Q954:AF954)&lt;1,"",SUM(Q954:AF954)/COUNTIF(Q954:AF954,"&gt;0"))</f>
        <v>99</v>
      </c>
      <c r="P954" s="16"/>
      <c r="Q954" s="13"/>
      <c r="T954" s="4">
        <v>99</v>
      </c>
      <c r="U954" s="2"/>
      <c r="V954" s="2"/>
      <c r="W954" s="2"/>
      <c r="X954" s="2"/>
      <c r="Z954" s="2"/>
      <c r="AA954" s="2"/>
      <c r="AF954" s="14"/>
    </row>
    <row r="955" spans="1:32" s="4" customFormat="1" ht="15.75" customHeight="1" x14ac:dyDescent="0.25">
      <c r="A955" s="33" t="str">
        <f>CONCATENATE(D955,".",F955,"-",G955,".",H955,"")</f>
        <v>2.3-4.0</v>
      </c>
      <c r="B955" s="33" t="s">
        <v>814</v>
      </c>
      <c r="C955" s="40" t="s">
        <v>262</v>
      </c>
      <c r="D955" s="33">
        <f>IF(C955="ID",1,(IF(C955="PR",2,(IF(C955="DE",3,(IF(C955="RS",4,(IF(C955="RC",5,0)))))))))</f>
        <v>2</v>
      </c>
      <c r="E955" s="33" t="s">
        <v>343</v>
      </c>
      <c r="F955" s="33">
        <f>IF(E955="AM",1,(IF(E955="BE",2,(IF(E955="GV",3,(IF(E955="RA",4,(IF(E955="RM",5,(IF(E955="AC",1,(IF(E955="AT",2,(IF(E955="DS",3,(IF(E955="IP",4,(IF(E955="MA",5,(IF(E955="PT",6,(IF(E955="AE",1,(IF(E955="CM",2,(IF(E955="DP",3,(IF(E955="AN",1,(IF(E955="CO",2,(IF(E955="IM",3,(IF(E955="MI",4,(IF(E955="RP",5,(IF(E955="SC",6,0)))))))))))))))))))))))))))))))))))))))</f>
        <v>3</v>
      </c>
      <c r="G955" s="170">
        <v>4</v>
      </c>
      <c r="H955" s="38" t="s">
        <v>597</v>
      </c>
      <c r="I955" s="27" t="s">
        <v>1200</v>
      </c>
      <c r="J955" s="149" t="s">
        <v>675</v>
      </c>
      <c r="K955" s="98" t="s">
        <v>381</v>
      </c>
      <c r="L955" s="66">
        <f>IF(O955="","",N955*O955*M955)</f>
        <v>75</v>
      </c>
      <c r="M955" s="8">
        <v>1</v>
      </c>
      <c r="N955" s="1">
        <v>1</v>
      </c>
      <c r="O955" s="15">
        <f>IF(SUM(Q955:AF955)&lt;1,"",SUM(Q955:AF955)/COUNTIF(Q955:AF955,"&gt;0"))</f>
        <v>75</v>
      </c>
      <c r="P955" s="16"/>
      <c r="Q955" s="13"/>
      <c r="T955" s="4">
        <v>75</v>
      </c>
      <c r="U955" s="2"/>
      <c r="V955" s="2"/>
      <c r="W955" s="2"/>
      <c r="X955" s="2"/>
      <c r="Z955" s="2"/>
      <c r="AA955" s="2"/>
      <c r="AF955" s="14"/>
    </row>
    <row r="956" spans="1:32" s="4" customFormat="1" ht="15.75" customHeight="1" x14ac:dyDescent="0.25">
      <c r="A956" s="33" t="str">
        <f>CONCATENATE(D956,".",F956,"-",G956,".",H956,"")</f>
        <v>2.3-4.1</v>
      </c>
      <c r="B956" s="33" t="s">
        <v>814</v>
      </c>
      <c r="C956" s="39" t="s">
        <v>262</v>
      </c>
      <c r="D956" s="33">
        <f>IF(C956="ID",1,(IF(C956="PR",2,(IF(C956="DE",3,(IF(C956="RS",4,(IF(C956="RC",5,0)))))))))</f>
        <v>2</v>
      </c>
      <c r="E956" s="33" t="s">
        <v>343</v>
      </c>
      <c r="F956" s="33">
        <f>IF(E956="AM",1,(IF(E956="BE",2,(IF(E956="GV",3,(IF(E956="RA",4,(IF(E956="RM",5,(IF(E956="AC",1,(IF(E956="AT",2,(IF(E956="DS",3,(IF(E956="IP",4,(IF(E956="MA",5,(IF(E956="PT",6,(IF(E956="AE",1,(IF(E956="CM",2,(IF(E956="DP",3,(IF(E956="AN",1,(IF(E956="CO",2,(IF(E956="IM",3,(IF(E956="MI",4,(IF(E956="RP",5,(IF(E956="SC",6,0)))))))))))))))))))))))))))))))))))))))</f>
        <v>3</v>
      </c>
      <c r="G956" s="170">
        <v>4</v>
      </c>
      <c r="H956" s="38" t="s">
        <v>511</v>
      </c>
      <c r="I956" s="35" t="s">
        <v>1176</v>
      </c>
      <c r="J956" s="162">
        <v>6.3</v>
      </c>
      <c r="K956" s="80" t="s">
        <v>1071</v>
      </c>
      <c r="L956" s="66">
        <f>IF(O956="","",N956*O956*M956)</f>
        <v>75</v>
      </c>
      <c r="M956" s="8">
        <v>1</v>
      </c>
      <c r="N956" s="3">
        <v>1</v>
      </c>
      <c r="O956" s="15">
        <f>IF(SUM(Q956:AF956)&lt;1,"",SUM(Q956:AF956)/COUNTIF(Q956:AF956,"&gt;0"))</f>
        <v>75</v>
      </c>
      <c r="P956" s="16"/>
      <c r="Q956" s="13"/>
      <c r="T956" s="4">
        <v>75</v>
      </c>
      <c r="U956" s="2"/>
      <c r="V956" s="2"/>
      <c r="W956" s="2"/>
      <c r="X956" s="2"/>
      <c r="Z956" s="2"/>
      <c r="AA956" s="2"/>
      <c r="AF956" s="14"/>
    </row>
    <row r="957" spans="1:32" s="4" customFormat="1" ht="15.75" customHeight="1" x14ac:dyDescent="0.25">
      <c r="A957" s="33" t="str">
        <f>CONCATENATE(D957,".",F957,"-",G957,".",H957,"")</f>
        <v>2.3-4.1</v>
      </c>
      <c r="B957" s="33" t="s">
        <v>814</v>
      </c>
      <c r="C957" s="40" t="s">
        <v>262</v>
      </c>
      <c r="D957" s="33">
        <f>IF(C957="ID",1,(IF(C957="PR",2,(IF(C957="DE",3,(IF(C957="RS",4,(IF(C957="RC",5,0)))))))))</f>
        <v>2</v>
      </c>
      <c r="E957" s="33" t="s">
        <v>343</v>
      </c>
      <c r="F957" s="33">
        <f>IF(E957="AM",1,(IF(E957="BE",2,(IF(E957="GV",3,(IF(E957="RA",4,(IF(E957="RM",5,(IF(E957="AC",1,(IF(E957="AT",2,(IF(E957="DS",3,(IF(E957="IP",4,(IF(E957="MA",5,(IF(E957="PT",6,(IF(E957="AE",1,(IF(E957="CM",2,(IF(E957="DP",3,(IF(E957="AN",1,(IF(E957="CO",2,(IF(E957="IM",3,(IF(E957="MI",4,(IF(E957="RP",5,(IF(E957="SC",6,0)))))))))))))))))))))))))))))))))))))))</f>
        <v>3</v>
      </c>
      <c r="G957" s="171">
        <v>4</v>
      </c>
      <c r="H957" s="38" t="s">
        <v>511</v>
      </c>
      <c r="I957" s="27" t="s">
        <v>936</v>
      </c>
      <c r="J957" s="163" t="s">
        <v>877</v>
      </c>
      <c r="K957" s="34" t="s">
        <v>989</v>
      </c>
      <c r="L957" s="66">
        <f>IF(O957="","",N957*O957*M957)</f>
        <v>75</v>
      </c>
      <c r="M957" s="8">
        <v>1</v>
      </c>
      <c r="N957" s="3">
        <v>1</v>
      </c>
      <c r="O957" s="15">
        <f>IF(SUM(Q957:AF957)&lt;1,"",SUM(Q957:AF957)/COUNTIF(Q957:AF957,"&gt;0"))</f>
        <v>75</v>
      </c>
      <c r="P957" s="16"/>
      <c r="Q957" s="13"/>
      <c r="T957" s="4">
        <v>75</v>
      </c>
      <c r="U957" s="2"/>
      <c r="V957" s="2"/>
      <c r="W957" s="2"/>
      <c r="X957" s="2"/>
      <c r="Z957" s="2"/>
      <c r="AA957" s="2"/>
      <c r="AF957" s="14"/>
    </row>
    <row r="958" spans="1:32" s="4" customFormat="1" ht="15.75" customHeight="1" x14ac:dyDescent="0.25">
      <c r="A958" s="33" t="str">
        <f>CONCATENATE(D958,".",F958,"-",G958,".",H958,"")</f>
        <v>2.3-4.1</v>
      </c>
      <c r="B958" s="33" t="s">
        <v>814</v>
      </c>
      <c r="C958" s="40" t="s">
        <v>262</v>
      </c>
      <c r="D958" s="33">
        <f>IF(C958="ID",1,(IF(C958="PR",2,(IF(C958="DE",3,(IF(C958="RS",4,(IF(C958="RC",5,0)))))))))</f>
        <v>2</v>
      </c>
      <c r="E958" s="33" t="s">
        <v>343</v>
      </c>
      <c r="F958" s="33">
        <f>IF(E958="AM",1,(IF(E958="BE",2,(IF(E958="GV",3,(IF(E958="RA",4,(IF(E958="RM",5,(IF(E958="AC",1,(IF(E958="AT",2,(IF(E958="DS",3,(IF(E958="IP",4,(IF(E958="MA",5,(IF(E958="PT",6,(IF(E958="AE",1,(IF(E958="CM",2,(IF(E958="DP",3,(IF(E958="AN",1,(IF(E958="CO",2,(IF(E958="IM",3,(IF(E958="MI",4,(IF(E958="RP",5,(IF(E958="SC",6,0)))))))))))))))))))))))))))))))))))))))</f>
        <v>3</v>
      </c>
      <c r="G958" s="171">
        <v>4</v>
      </c>
      <c r="H958" s="38" t="s">
        <v>511</v>
      </c>
      <c r="I958" s="27" t="s">
        <v>936</v>
      </c>
      <c r="J958" s="163" t="s">
        <v>878</v>
      </c>
      <c r="K958" s="34" t="s">
        <v>938</v>
      </c>
      <c r="L958" s="66">
        <f>IF(O958="","",N958*O958*M958)</f>
        <v>75</v>
      </c>
      <c r="M958" s="8">
        <v>1</v>
      </c>
      <c r="N958" s="3">
        <v>1</v>
      </c>
      <c r="O958" s="15">
        <f>IF(SUM(Q958:AF958)&lt;1,"",SUM(Q958:AF958)/COUNTIF(Q958:AF958,"&gt;0"))</f>
        <v>75</v>
      </c>
      <c r="P958" s="16"/>
      <c r="Q958" s="13"/>
      <c r="T958" s="4">
        <v>75</v>
      </c>
      <c r="U958" s="2"/>
      <c r="V958" s="2"/>
      <c r="W958" s="2"/>
      <c r="X958" s="2"/>
      <c r="Z958" s="2"/>
      <c r="AA958" s="2"/>
      <c r="AF958" s="14"/>
    </row>
    <row r="959" spans="1:32" s="4" customFormat="1" ht="15.75" customHeight="1" x14ac:dyDescent="0.25">
      <c r="A959" s="33" t="str">
        <f>CONCATENATE(D959,".",F959,"-",G959,".",H959,"")</f>
        <v>2.3-4.1</v>
      </c>
      <c r="B959" s="33" t="s">
        <v>814</v>
      </c>
      <c r="C959" s="40" t="s">
        <v>262</v>
      </c>
      <c r="D959" s="33">
        <f>IF(C959="ID",1,(IF(C959="PR",2,(IF(C959="DE",3,(IF(C959="RS",4,(IF(C959="RC",5,0)))))))))</f>
        <v>2</v>
      </c>
      <c r="E959" s="33" t="s">
        <v>343</v>
      </c>
      <c r="F959" s="33">
        <f>IF(E959="AM",1,(IF(E959="BE",2,(IF(E959="GV",3,(IF(E959="RA",4,(IF(E959="RM",5,(IF(E959="AC",1,(IF(E959="AT",2,(IF(E959="DS",3,(IF(E959="IP",4,(IF(E959="MA",5,(IF(E959="PT",6,(IF(E959="AE",1,(IF(E959="CM",2,(IF(E959="DP",3,(IF(E959="AN",1,(IF(E959="CO",2,(IF(E959="IM",3,(IF(E959="MI",4,(IF(E959="RP",5,(IF(E959="SC",6,0)))))))))))))))))))))))))))))))))))))))</f>
        <v>3</v>
      </c>
      <c r="G959" s="171">
        <v>4</v>
      </c>
      <c r="H959" s="38" t="s">
        <v>511</v>
      </c>
      <c r="I959" s="27" t="s">
        <v>936</v>
      </c>
      <c r="J959" s="163" t="s">
        <v>925</v>
      </c>
      <c r="K959" s="34" t="s">
        <v>1000</v>
      </c>
      <c r="L959" s="66">
        <f>IF(O959="","",N959*O959*M959)</f>
        <v>75</v>
      </c>
      <c r="M959" s="8">
        <v>1</v>
      </c>
      <c r="N959" s="3">
        <v>1</v>
      </c>
      <c r="O959" s="15">
        <f>IF(SUM(Q959:AF959)&lt;1,"",SUM(Q959:AF959)/COUNTIF(Q959:AF959,"&gt;0"))</f>
        <v>75</v>
      </c>
      <c r="P959" s="16"/>
      <c r="Q959" s="13"/>
      <c r="T959" s="4">
        <v>75</v>
      </c>
      <c r="U959" s="2"/>
      <c r="V959" s="2"/>
      <c r="W959" s="2"/>
      <c r="X959" s="2"/>
      <c r="Z959" s="2"/>
      <c r="AA959" s="2"/>
      <c r="AF959" s="14"/>
    </row>
    <row r="960" spans="1:32" s="4" customFormat="1" ht="15.75" customHeight="1" x14ac:dyDescent="0.25">
      <c r="A960" s="33" t="str">
        <f>CONCATENATE(D960,".",F960,"-",G960,".",H960,"")</f>
        <v>2.3-4.1</v>
      </c>
      <c r="B960" s="33" t="s">
        <v>814</v>
      </c>
      <c r="C960" s="40" t="s">
        <v>262</v>
      </c>
      <c r="D960" s="33">
        <f>IF(C960="ID",1,(IF(C960="PR",2,(IF(C960="DE",3,(IF(C960="RS",4,(IF(C960="RC",5,0)))))))))</f>
        <v>2</v>
      </c>
      <c r="E960" s="33" t="s">
        <v>343</v>
      </c>
      <c r="F960" s="33">
        <f>IF(E960="AM",1,(IF(E960="BE",2,(IF(E960="GV",3,(IF(E960="RA",4,(IF(E960="RM",5,(IF(E960="AC",1,(IF(E960="AT",2,(IF(E960="DS",3,(IF(E960="IP",4,(IF(E960="MA",5,(IF(E960="PT",6,(IF(E960="AE",1,(IF(E960="CM",2,(IF(E960="DP",3,(IF(E960="AN",1,(IF(E960="CO",2,(IF(E960="IM",3,(IF(E960="MI",4,(IF(E960="RP",5,(IF(E960="SC",6,0)))))))))))))))))))))))))))))))))))))))</f>
        <v>3</v>
      </c>
      <c r="G960" s="171">
        <v>4</v>
      </c>
      <c r="H960" s="38" t="s">
        <v>511</v>
      </c>
      <c r="I960" s="27" t="s">
        <v>936</v>
      </c>
      <c r="J960" s="163" t="s">
        <v>882</v>
      </c>
      <c r="K960" s="34" t="s">
        <v>951</v>
      </c>
      <c r="L960" s="66">
        <f>IF(O960="","",N960*O960*M960)</f>
        <v>75</v>
      </c>
      <c r="M960" s="8">
        <v>1</v>
      </c>
      <c r="N960" s="3">
        <v>1</v>
      </c>
      <c r="O960" s="15">
        <f>IF(SUM(Q960:AF960)&lt;1,"",SUM(Q960:AF960)/COUNTIF(Q960:AF960,"&gt;0"))</f>
        <v>75</v>
      </c>
      <c r="P960" s="16"/>
      <c r="Q960" s="13"/>
      <c r="T960" s="4">
        <v>75</v>
      </c>
      <c r="U960" s="2"/>
      <c r="V960" s="2"/>
      <c r="W960" s="2"/>
      <c r="X960" s="2"/>
      <c r="Z960" s="2"/>
      <c r="AA960" s="2"/>
      <c r="AF960" s="14"/>
    </row>
    <row r="961" spans="1:33" s="4" customFormat="1" ht="15.75" customHeight="1" x14ac:dyDescent="0.25">
      <c r="A961" s="33" t="str">
        <f>CONCATENATE(D961,".",F961,"-",G961,".",H961,"")</f>
        <v>2.3-4.1</v>
      </c>
      <c r="B961" s="33" t="s">
        <v>814</v>
      </c>
      <c r="C961" s="41" t="s">
        <v>262</v>
      </c>
      <c r="D961" s="33">
        <f>IF(C961="ID",1,(IF(C961="PR",2,(IF(C961="DE",3,(IF(C961="RS",4,(IF(C961="RC",5,0)))))))))</f>
        <v>2</v>
      </c>
      <c r="E961" s="33" t="s">
        <v>343</v>
      </c>
      <c r="F961" s="33">
        <f>IF(E961="AM",1,(IF(E961="BE",2,(IF(E961="GV",3,(IF(E961="RA",4,(IF(E961="RM",5,(IF(E961="AC",1,(IF(E961="AT",2,(IF(E961="DS",3,(IF(E961="IP",4,(IF(E961="MA",5,(IF(E961="PT",6,(IF(E961="AE",1,(IF(E961="CM",2,(IF(E961="DP",3,(IF(E961="AN",1,(IF(E961="CO",2,(IF(E961="IM",3,(IF(E961="MI",4,(IF(E961="RP",5,(IF(E961="SC",6,0)))))))))))))))))))))))))))))))))))))))</f>
        <v>3</v>
      </c>
      <c r="G961" s="170">
        <v>4</v>
      </c>
      <c r="H961" s="38" t="s">
        <v>511</v>
      </c>
      <c r="I961" s="27" t="s">
        <v>266</v>
      </c>
      <c r="J961" s="149" t="s">
        <v>312</v>
      </c>
      <c r="K961" s="79" t="s">
        <v>1311</v>
      </c>
      <c r="L961" s="5">
        <f>IF(O961="","",N961*O961*M961)</f>
        <v>75</v>
      </c>
      <c r="M961" s="8">
        <v>1</v>
      </c>
      <c r="N961" s="1">
        <v>1</v>
      </c>
      <c r="O961" s="15">
        <f>IF(SUM(Q961:AF961)&lt;1,"",SUM(Q961:AF961)/COUNTIF(Q961:AF961,"&gt;0"))</f>
        <v>75</v>
      </c>
      <c r="P961" s="16"/>
      <c r="Q961" s="13"/>
      <c r="T961" s="4">
        <v>75</v>
      </c>
      <c r="U961" s="2"/>
      <c r="V961" s="2"/>
      <c r="W961" s="2"/>
      <c r="X961" s="2"/>
      <c r="Z961" s="2"/>
      <c r="AA961" s="2"/>
      <c r="AF961" s="14"/>
    </row>
    <row r="962" spans="1:33" s="4" customFormat="1" ht="15.75" customHeight="1" x14ac:dyDescent="0.25">
      <c r="A962" s="33" t="str">
        <f>CONCATENATE(D962,".",F962,"-",G962,".",H962,"")</f>
        <v>2.3-4.1</v>
      </c>
      <c r="B962" s="33" t="s">
        <v>814</v>
      </c>
      <c r="C962" s="41" t="s">
        <v>262</v>
      </c>
      <c r="D962" s="33">
        <f>IF(C962="ID",1,(IF(C962="PR",2,(IF(C962="DE",3,(IF(C962="RS",4,(IF(C962="RC",5,0)))))))))</f>
        <v>2</v>
      </c>
      <c r="E962" s="33" t="s">
        <v>343</v>
      </c>
      <c r="F962" s="33">
        <f>IF(E962="AM",1,(IF(E962="BE",2,(IF(E962="GV",3,(IF(E962="RA",4,(IF(E962="RM",5,(IF(E962="AC",1,(IF(E962="AT",2,(IF(E962="DS",3,(IF(E962="IP",4,(IF(E962="MA",5,(IF(E962="PT",6,(IF(E962="AE",1,(IF(E962="CM",2,(IF(E962="DP",3,(IF(E962="AN",1,(IF(E962="CO",2,(IF(E962="IM",3,(IF(E962="MI",4,(IF(E962="RP",5,(IF(E962="SC",6,0)))))))))))))))))))))))))))))))))))))))</f>
        <v>3</v>
      </c>
      <c r="G962" s="170">
        <v>4</v>
      </c>
      <c r="H962" s="38" t="s">
        <v>511</v>
      </c>
      <c r="I962" s="27" t="s">
        <v>266</v>
      </c>
      <c r="J962" s="149" t="s">
        <v>275</v>
      </c>
      <c r="K962" s="79" t="s">
        <v>1316</v>
      </c>
      <c r="L962" s="5">
        <f>IF(O962="","",N962*O962*M962)</f>
        <v>75</v>
      </c>
      <c r="M962" s="8">
        <v>1</v>
      </c>
      <c r="N962" s="1">
        <v>1</v>
      </c>
      <c r="O962" s="15">
        <f>IF(SUM(Q962:AF962)&lt;1,"",SUM(Q962:AF962)/COUNTIF(Q962:AF962,"&gt;0"))</f>
        <v>75</v>
      </c>
      <c r="P962" s="16"/>
      <c r="Q962" s="13"/>
      <c r="T962" s="4">
        <v>75</v>
      </c>
      <c r="U962" s="2"/>
      <c r="V962" s="2"/>
      <c r="W962" s="2"/>
      <c r="X962" s="2"/>
      <c r="Z962" s="2"/>
      <c r="AA962" s="2"/>
      <c r="AF962" s="14"/>
    </row>
    <row r="963" spans="1:33" s="4" customFormat="1" ht="15.75" customHeight="1" x14ac:dyDescent="0.25">
      <c r="A963" s="33" t="str">
        <f>CONCATENATE(D963,".",F963,"-",G963,".",H963,"")</f>
        <v>2.3-4.1</v>
      </c>
      <c r="B963" s="33" t="s">
        <v>814</v>
      </c>
      <c r="C963" s="39" t="s">
        <v>262</v>
      </c>
      <c r="D963" s="33">
        <f>IF(C963="ID",1,(IF(C963="PR",2,(IF(C963="DE",3,(IF(C963="RS",4,(IF(C963="RC",5,0)))))))))</f>
        <v>2</v>
      </c>
      <c r="E963" s="33" t="s">
        <v>343</v>
      </c>
      <c r="F963" s="33">
        <f>IF(E963="AM",1,(IF(E963="BE",2,(IF(E963="GV",3,(IF(E963="RA",4,(IF(E963="RM",5,(IF(E963="AC",1,(IF(E963="AT",2,(IF(E963="DS",3,(IF(E963="IP",4,(IF(E963="MA",5,(IF(E963="PT",6,(IF(E963="AE",1,(IF(E963="CM",2,(IF(E963="DP",3,(IF(E963="AN",1,(IF(E963="CO",2,(IF(E963="IM",3,(IF(E963="MI",4,(IF(E963="RP",5,(IF(E963="SC",6,0)))))))))))))))))))))))))))))))))))))))</f>
        <v>3</v>
      </c>
      <c r="G963" s="171">
        <v>4</v>
      </c>
      <c r="H963" s="38" t="s">
        <v>511</v>
      </c>
      <c r="I963" s="27" t="s">
        <v>266</v>
      </c>
      <c r="J963" s="149" t="s">
        <v>485</v>
      </c>
      <c r="K963" s="79" t="s">
        <v>1378</v>
      </c>
      <c r="L963" s="5">
        <f>IF(O963="","",N963*O963*M963)</f>
        <v>75</v>
      </c>
      <c r="M963" s="8">
        <v>1</v>
      </c>
      <c r="N963" s="1">
        <v>1</v>
      </c>
      <c r="O963" s="15">
        <f>IF(SUM(Q963:AF963)&lt;1,"",SUM(Q963:AF963)/COUNTIF(Q963:AF963,"&gt;0"))</f>
        <v>75</v>
      </c>
      <c r="P963" s="16"/>
      <c r="Q963" s="13"/>
      <c r="T963" s="4">
        <v>75</v>
      </c>
      <c r="U963" s="2"/>
      <c r="V963" s="2"/>
      <c r="W963" s="2"/>
      <c r="X963" s="2"/>
      <c r="Z963" s="2"/>
      <c r="AA963" s="2"/>
      <c r="AF963" s="14"/>
    </row>
    <row r="964" spans="1:33" s="4" customFormat="1" ht="15.75" customHeight="1" x14ac:dyDescent="0.25">
      <c r="A964" s="33" t="str">
        <f>CONCATENATE(D964,".",F964,"-",G964,".",H964,"")</f>
        <v>2.3-4.1</v>
      </c>
      <c r="B964" s="33" t="s">
        <v>814</v>
      </c>
      <c r="C964" s="41" t="s">
        <v>262</v>
      </c>
      <c r="D964" s="33">
        <f>IF(C964="ID",1,(IF(C964="PR",2,(IF(C964="DE",3,(IF(C964="RS",4,(IF(C964="RC",5,0)))))))))</f>
        <v>2</v>
      </c>
      <c r="E964" s="33" t="s">
        <v>343</v>
      </c>
      <c r="F964" s="33">
        <f>IF(E964="AM",1,(IF(E964="BE",2,(IF(E964="GV",3,(IF(E964="RA",4,(IF(E964="RM",5,(IF(E964="AC",1,(IF(E964="AT",2,(IF(E964="DS",3,(IF(E964="IP",4,(IF(E964="MA",5,(IF(E964="PT",6,(IF(E964="AE",1,(IF(E964="CM",2,(IF(E964="DP",3,(IF(E964="AN",1,(IF(E964="CO",2,(IF(E964="IM",3,(IF(E964="MI",4,(IF(E964="RP",5,(IF(E964="SC",6,0)))))))))))))))))))))))))))))))))))))))</f>
        <v>3</v>
      </c>
      <c r="G964" s="171">
        <v>4</v>
      </c>
      <c r="H964" s="38" t="s">
        <v>511</v>
      </c>
      <c r="I964" s="27" t="s">
        <v>266</v>
      </c>
      <c r="J964" s="152" t="s">
        <v>329</v>
      </c>
      <c r="K964" s="79" t="s">
        <v>1379</v>
      </c>
      <c r="L964" s="5">
        <f>IF(O964="","",N964*O964*M964)</f>
        <v>75</v>
      </c>
      <c r="M964" s="8">
        <v>1</v>
      </c>
      <c r="N964" s="1">
        <v>1</v>
      </c>
      <c r="O964" s="15">
        <f>IF(SUM(Q964:AF964)&lt;1,"",SUM(Q964:AF964)/COUNTIF(Q964:AF964,"&gt;0"))</f>
        <v>75</v>
      </c>
      <c r="P964" s="16"/>
      <c r="Q964" s="13"/>
      <c r="T964" s="4">
        <v>75</v>
      </c>
      <c r="U964" s="2"/>
      <c r="V964" s="2"/>
      <c r="W964" s="2"/>
      <c r="X964" s="2"/>
      <c r="Z964" s="2"/>
      <c r="AA964" s="2"/>
      <c r="AF964" s="14"/>
    </row>
    <row r="965" spans="1:33" s="4" customFormat="1" ht="15.75" customHeight="1" x14ac:dyDescent="0.25">
      <c r="A965" s="33" t="str">
        <f>CONCATENATE(D965,".",F965,"-",G965,".",H965,"")</f>
        <v>2.3-4.1</v>
      </c>
      <c r="B965" s="33" t="s">
        <v>814</v>
      </c>
      <c r="C965" s="39" t="s">
        <v>262</v>
      </c>
      <c r="D965" s="33">
        <f>IF(C965="ID",1,(IF(C965="PR",2,(IF(C965="DE",3,(IF(C965="RS",4,(IF(C965="RC",5,0)))))))))</f>
        <v>2</v>
      </c>
      <c r="E965" s="33" t="s">
        <v>343</v>
      </c>
      <c r="F965" s="33">
        <f>IF(E965="AM",1,(IF(E965="BE",2,(IF(E965="GV",3,(IF(E965="RA",4,(IF(E965="RM",5,(IF(E965="AC",1,(IF(E965="AT",2,(IF(E965="DS",3,(IF(E965="IP",4,(IF(E965="MA",5,(IF(E965="PT",6,(IF(E965="AE",1,(IF(E965="CM",2,(IF(E965="DP",3,(IF(E965="AN",1,(IF(E965="CO",2,(IF(E965="IM",3,(IF(E965="MI",4,(IF(E965="RP",5,(IF(E965="SC",6,0)))))))))))))))))))))))))))))))))))))))</f>
        <v>3</v>
      </c>
      <c r="G965" s="170">
        <v>4</v>
      </c>
      <c r="H965" s="38" t="s">
        <v>511</v>
      </c>
      <c r="I965" s="105" t="s">
        <v>1449</v>
      </c>
      <c r="J965" s="38" t="s">
        <v>1452</v>
      </c>
      <c r="K965" s="34" t="s">
        <v>1453</v>
      </c>
      <c r="L965" s="5">
        <f>IF(O965="","",N965*O965*M965)</f>
        <v>99</v>
      </c>
      <c r="M965" s="8">
        <v>1</v>
      </c>
      <c r="N965" s="1">
        <v>1</v>
      </c>
      <c r="O965" s="15">
        <f>IF(SUM(Q965:AF965)&lt;1,"",SUM(Q965:AF965)/COUNTIF(Q965:AF965,"&gt;0"))</f>
        <v>99</v>
      </c>
      <c r="P965" s="16"/>
      <c r="Q965" s="13"/>
      <c r="T965" s="4">
        <v>99</v>
      </c>
      <c r="U965" s="2"/>
      <c r="V965" s="2"/>
      <c r="W965" s="2"/>
      <c r="X965" s="2"/>
      <c r="Z965" s="2"/>
      <c r="AA965" s="2"/>
      <c r="AF965" s="14"/>
    </row>
    <row r="966" spans="1:33" s="4" customFormat="1" ht="15.75" customHeight="1" x14ac:dyDescent="0.25">
      <c r="A966" s="33" t="str">
        <f>CONCATENATE(D966,".",F966,"-",G966,".",H966,"")</f>
        <v>2.3-4.1</v>
      </c>
      <c r="B966" s="33" t="s">
        <v>814</v>
      </c>
      <c r="C966" s="39" t="s">
        <v>262</v>
      </c>
      <c r="D966" s="33">
        <f>IF(C966="ID",1,(IF(C966="PR",2,(IF(C966="DE",3,(IF(C966="RS",4,(IF(C966="RC",5,0)))))))))</f>
        <v>2</v>
      </c>
      <c r="E966" s="33" t="s">
        <v>343</v>
      </c>
      <c r="F966" s="33">
        <f>IF(E966="AM",1,(IF(E966="BE",2,(IF(E966="GV",3,(IF(E966="RA",4,(IF(E966="RM",5,(IF(E966="AC",1,(IF(E966="AT",2,(IF(E966="DS",3,(IF(E966="IP",4,(IF(E966="MA",5,(IF(E966="PT",6,(IF(E966="AE",1,(IF(E966="CM",2,(IF(E966="DP",3,(IF(E966="AN",1,(IF(E966="CO",2,(IF(E966="IM",3,(IF(E966="MI",4,(IF(E966="RP",5,(IF(E966="SC",6,0)))))))))))))))))))))))))))))))))))))))</f>
        <v>3</v>
      </c>
      <c r="G966" s="170">
        <v>4</v>
      </c>
      <c r="H966" s="38" t="s">
        <v>511</v>
      </c>
      <c r="I966" s="105" t="s">
        <v>1449</v>
      </c>
      <c r="J966" s="38" t="s">
        <v>1749</v>
      </c>
      <c r="K966" s="34" t="s">
        <v>1750</v>
      </c>
      <c r="L966" s="5">
        <f>IF(O966="","",N966*O966*M966)</f>
        <v>99</v>
      </c>
      <c r="M966" s="8">
        <v>1</v>
      </c>
      <c r="N966" s="1">
        <v>1</v>
      </c>
      <c r="O966" s="15">
        <f>IF(SUM(Q966:AF966)&lt;1,"",SUM(Q966:AF966)/COUNTIF(Q966:AF966,"&gt;0"))</f>
        <v>99</v>
      </c>
      <c r="P966" s="16"/>
      <c r="Q966" s="13"/>
      <c r="T966" s="4">
        <v>99</v>
      </c>
      <c r="U966" s="2"/>
      <c r="V966" s="2"/>
      <c r="W966" s="2"/>
      <c r="X966" s="2"/>
      <c r="Z966" s="2"/>
      <c r="AA966" s="2"/>
      <c r="AF966" s="14"/>
    </row>
    <row r="967" spans="1:33" s="4" customFormat="1" ht="15.75" customHeight="1" x14ac:dyDescent="0.25">
      <c r="A967" s="33" t="str">
        <f>CONCATENATE(D967,".",F967,"-",G967,".",H967,"")</f>
        <v>2.3-4.1</v>
      </c>
      <c r="B967" s="33" t="s">
        <v>814</v>
      </c>
      <c r="C967" s="39" t="s">
        <v>262</v>
      </c>
      <c r="D967" s="33">
        <f>IF(C967="ID",1,(IF(C967="PR",2,(IF(C967="DE",3,(IF(C967="RS",4,(IF(C967="RC",5,0)))))))))</f>
        <v>2</v>
      </c>
      <c r="E967" s="33" t="s">
        <v>343</v>
      </c>
      <c r="F967" s="33">
        <f>IF(E967="AM",1,(IF(E967="BE",2,(IF(E967="GV",3,(IF(E967="RA",4,(IF(E967="RM",5,(IF(E967="AC",1,(IF(E967="AT",2,(IF(E967="DS",3,(IF(E967="IP",4,(IF(E967="MA",5,(IF(E967="PT",6,(IF(E967="AE",1,(IF(E967="CM",2,(IF(E967="DP",3,(IF(E967="AN",1,(IF(E967="CO",2,(IF(E967="IM",3,(IF(E967="MI",4,(IF(E967="RP",5,(IF(E967="SC",6,0)))))))))))))))))))))))))))))))))))))))</f>
        <v>3</v>
      </c>
      <c r="G967" s="170">
        <v>4</v>
      </c>
      <c r="H967" s="38" t="s">
        <v>511</v>
      </c>
      <c r="I967" s="105" t="s">
        <v>1449</v>
      </c>
      <c r="J967" s="157" t="s">
        <v>1767</v>
      </c>
      <c r="K967" s="34" t="s">
        <v>1768</v>
      </c>
      <c r="L967" s="5">
        <f>IF(O967="","",N967*O967*M967)</f>
        <v>99</v>
      </c>
      <c r="M967" s="8">
        <v>1</v>
      </c>
      <c r="N967" s="1">
        <v>1</v>
      </c>
      <c r="O967" s="15">
        <f>IF(SUM(Q967:AF967)&lt;1,"",SUM(Q967:AF967)/COUNTIF(Q967:AF967,"&gt;0"))</f>
        <v>99</v>
      </c>
      <c r="P967" s="16"/>
      <c r="Q967" s="13"/>
      <c r="T967" s="4">
        <v>99</v>
      </c>
      <c r="U967" s="2"/>
      <c r="V967" s="2"/>
      <c r="W967" s="2"/>
      <c r="X967" s="2"/>
      <c r="Z967" s="2"/>
      <c r="AA967" s="2"/>
      <c r="AF967" s="14"/>
    </row>
    <row r="968" spans="1:33" s="4" customFormat="1" ht="15.75" customHeight="1" x14ac:dyDescent="0.25">
      <c r="A968" s="33" t="str">
        <f>CONCATENATE(D968,".",F968,"-",G968,".",H968,"")</f>
        <v>2.3-4.1</v>
      </c>
      <c r="B968" s="33" t="s">
        <v>814</v>
      </c>
      <c r="C968" s="39" t="s">
        <v>262</v>
      </c>
      <c r="D968" s="33">
        <f>IF(C968="ID",1,(IF(C968="PR",2,(IF(C968="DE",3,(IF(C968="RS",4,(IF(C968="RC",5,0)))))))))</f>
        <v>2</v>
      </c>
      <c r="E968" s="33" t="s">
        <v>343</v>
      </c>
      <c r="F968" s="33">
        <f>IF(E968="AM",1,(IF(E968="BE",2,(IF(E968="GV",3,(IF(E968="RA",4,(IF(E968="RM",5,(IF(E968="AC",1,(IF(E968="AT",2,(IF(E968="DS",3,(IF(E968="IP",4,(IF(E968="MA",5,(IF(E968="PT",6,(IF(E968="AE",1,(IF(E968="CM",2,(IF(E968="DP",3,(IF(E968="AN",1,(IF(E968="CO",2,(IF(E968="IM",3,(IF(E968="MI",4,(IF(E968="RP",5,(IF(E968="SC",6,0)))))))))))))))))))))))))))))))))))))))</f>
        <v>3</v>
      </c>
      <c r="G968" s="170">
        <v>4</v>
      </c>
      <c r="H968" s="38" t="s">
        <v>511</v>
      </c>
      <c r="I968" s="105" t="s">
        <v>1449</v>
      </c>
      <c r="J968" s="157" t="s">
        <v>1769</v>
      </c>
      <c r="K968" s="34" t="s">
        <v>1770</v>
      </c>
      <c r="L968" s="5">
        <f>IF(O968="","",N968*O968*M968)</f>
        <v>99</v>
      </c>
      <c r="M968" s="8">
        <v>1</v>
      </c>
      <c r="N968" s="1">
        <v>1</v>
      </c>
      <c r="O968" s="15">
        <f>IF(SUM(Q968:AF968)&lt;1,"",SUM(Q968:AF968)/COUNTIF(Q968:AF968,"&gt;0"))</f>
        <v>99</v>
      </c>
      <c r="P968" s="16"/>
      <c r="Q968" s="13"/>
      <c r="T968" s="4">
        <v>99</v>
      </c>
      <c r="U968" s="2"/>
      <c r="V968" s="2"/>
      <c r="W968" s="2"/>
      <c r="X968" s="2"/>
      <c r="Z968" s="2"/>
      <c r="AA968" s="2"/>
      <c r="AF968" s="14"/>
    </row>
    <row r="969" spans="1:33" s="4" customFormat="1" ht="15.75" customHeight="1" x14ac:dyDescent="0.25">
      <c r="A969" s="33" t="str">
        <f>CONCATENATE(D969,".",F969,"-",G969,".",H969,"")</f>
        <v>2.3-4.1</v>
      </c>
      <c r="B969" s="33" t="s">
        <v>814</v>
      </c>
      <c r="C969" s="39" t="s">
        <v>262</v>
      </c>
      <c r="D969" s="33">
        <f>IF(C969="ID",1,(IF(C969="PR",2,(IF(C969="DE",3,(IF(C969="RS",4,(IF(C969="RC",5,0)))))))))</f>
        <v>2</v>
      </c>
      <c r="E969" s="33" t="s">
        <v>343</v>
      </c>
      <c r="F969" s="33">
        <f>IF(E969="AM",1,(IF(E969="BE",2,(IF(E969="GV",3,(IF(E969="RA",4,(IF(E969="RM",5,(IF(E969="AC",1,(IF(E969="AT",2,(IF(E969="DS",3,(IF(E969="IP",4,(IF(E969="MA",5,(IF(E969="PT",6,(IF(E969="AE",1,(IF(E969="CM",2,(IF(E969="DP",3,(IF(E969="AN",1,(IF(E969="CO",2,(IF(E969="IM",3,(IF(E969="MI",4,(IF(E969="RP",5,(IF(E969="SC",6,0)))))))))))))))))))))))))))))))))))))))</f>
        <v>3</v>
      </c>
      <c r="G969" s="170">
        <v>4</v>
      </c>
      <c r="H969" s="38" t="s">
        <v>511</v>
      </c>
      <c r="I969" s="105" t="s">
        <v>1449</v>
      </c>
      <c r="J969" s="157" t="s">
        <v>1771</v>
      </c>
      <c r="K969" s="34" t="s">
        <v>1772</v>
      </c>
      <c r="L969" s="5">
        <f>IF(O969="","",N969*O969*M969)</f>
        <v>99</v>
      </c>
      <c r="M969" s="8">
        <v>1</v>
      </c>
      <c r="N969" s="1">
        <v>1</v>
      </c>
      <c r="O969" s="15">
        <f>IF(SUM(Q969:AF969)&lt;1,"",SUM(Q969:AF969)/COUNTIF(Q969:AF969,"&gt;0"))</f>
        <v>99</v>
      </c>
      <c r="P969" s="16"/>
      <c r="Q969" s="13"/>
      <c r="T969" s="4">
        <v>99</v>
      </c>
      <c r="U969" s="2"/>
      <c r="V969" s="2"/>
      <c r="W969" s="2"/>
      <c r="X969" s="2"/>
      <c r="Z969" s="2"/>
      <c r="AA969" s="2"/>
      <c r="AF969" s="14"/>
    </row>
    <row r="970" spans="1:33" s="4" customFormat="1" ht="15.75" customHeight="1" x14ac:dyDescent="0.25">
      <c r="A970" s="33" t="str">
        <f>CONCATENATE(D970,".",F970,"-",G970,".",H970,"")</f>
        <v>2.3-4.1</v>
      </c>
      <c r="B970" s="33" t="s">
        <v>814</v>
      </c>
      <c r="C970" s="39" t="s">
        <v>262</v>
      </c>
      <c r="D970" s="33">
        <f>IF(C970="ID",1,(IF(C970="PR",2,(IF(C970="DE",3,(IF(C970="RS",4,(IF(C970="RC",5,0)))))))))</f>
        <v>2</v>
      </c>
      <c r="E970" s="33" t="s">
        <v>343</v>
      </c>
      <c r="F970" s="33">
        <f>IF(E970="AM",1,(IF(E970="BE",2,(IF(E970="GV",3,(IF(E970="RA",4,(IF(E970="RM",5,(IF(E970="AC",1,(IF(E970="AT",2,(IF(E970="DS",3,(IF(E970="IP",4,(IF(E970="MA",5,(IF(E970="PT",6,(IF(E970="AE",1,(IF(E970="CM",2,(IF(E970="DP",3,(IF(E970="AN",1,(IF(E970="CO",2,(IF(E970="IM",3,(IF(E970="MI",4,(IF(E970="RP",5,(IF(E970="SC",6,0)))))))))))))))))))))))))))))))))))))))</f>
        <v>3</v>
      </c>
      <c r="G970" s="170">
        <v>4</v>
      </c>
      <c r="H970" s="38" t="s">
        <v>511</v>
      </c>
      <c r="I970" s="105" t="s">
        <v>1449</v>
      </c>
      <c r="J970" s="157" t="s">
        <v>1773</v>
      </c>
      <c r="K970" s="34" t="s">
        <v>1774</v>
      </c>
      <c r="L970" s="5">
        <f>IF(O970="","",N970*O970*M970)</f>
        <v>99</v>
      </c>
      <c r="M970" s="8">
        <v>1</v>
      </c>
      <c r="N970" s="1">
        <v>1</v>
      </c>
      <c r="O970" s="15">
        <f>IF(SUM(Q970:AF970)&lt;1,"",SUM(Q970:AF970)/COUNTIF(Q970:AF970,"&gt;0"))</f>
        <v>99</v>
      </c>
      <c r="P970" s="16"/>
      <c r="Q970" s="13"/>
      <c r="T970" s="4">
        <v>99</v>
      </c>
      <c r="U970" s="2"/>
      <c r="V970" s="2"/>
      <c r="W970" s="2"/>
      <c r="X970" s="2"/>
      <c r="Z970" s="2"/>
      <c r="AA970" s="2"/>
      <c r="AF970" s="14"/>
    </row>
    <row r="971" spans="1:33" s="4" customFormat="1" ht="15.75" customHeight="1" x14ac:dyDescent="0.25">
      <c r="A971" s="33" t="str">
        <f>CONCATENATE(D971,".",F971,"-",G971,".",H971,"")</f>
        <v>2.3-4.1</v>
      </c>
      <c r="B971" s="33"/>
      <c r="C971" s="39" t="s">
        <v>262</v>
      </c>
      <c r="D971" s="33">
        <f>IF(C971="ID",1,(IF(C971="PR",2,(IF(C971="DE",3,(IF(C971="RS",4,(IF(C971="RC",5,0)))))))))</f>
        <v>2</v>
      </c>
      <c r="E971" s="33" t="s">
        <v>343</v>
      </c>
      <c r="F971" s="33">
        <f>IF(E971="AM",1,(IF(E971="BE",2,(IF(E971="GV",3,(IF(E971="RA",4,(IF(E971="RM",5,(IF(E971="AC",1,(IF(E971="AT",2,(IF(E971="DS",3,(IF(E971="IP",4,(IF(E971="MA",5,(IF(E971="PT",6,(IF(E971="AE",1,(IF(E971="CM",2,(IF(E971="DP",3,(IF(E971="AN",1,(IF(E971="CO",2,(IF(E971="IM",3,(IF(E971="MI",4,(IF(E971="RP",5,(IF(E971="SC",6,0)))))))))))))))))))))))))))))))))))))))</f>
        <v>3</v>
      </c>
      <c r="G971" s="170">
        <v>4</v>
      </c>
      <c r="H971" s="38" t="s">
        <v>511</v>
      </c>
      <c r="I971" s="105" t="s">
        <v>1449</v>
      </c>
      <c r="J971" s="157" t="s">
        <v>2397</v>
      </c>
      <c r="K971" s="34" t="s">
        <v>2398</v>
      </c>
      <c r="L971" s="5">
        <f>IF(O971="","",N971*O971*M971)</f>
        <v>99</v>
      </c>
      <c r="M971" s="8">
        <v>1</v>
      </c>
      <c r="N971" s="1">
        <v>1</v>
      </c>
      <c r="O971" s="15">
        <f>IF(SUM(Q971:AF971)&lt;1,"",SUM(Q971:AF971)/COUNTIF(Q971:AF971,"&gt;0"))</f>
        <v>99</v>
      </c>
      <c r="P971" s="16"/>
      <c r="Q971" s="13"/>
      <c r="T971" s="4">
        <v>99</v>
      </c>
      <c r="U971" s="2"/>
      <c r="V971" s="2"/>
      <c r="W971" s="2"/>
      <c r="X971" s="2"/>
      <c r="Z971" s="2"/>
      <c r="AA971" s="2"/>
      <c r="AF971" s="14"/>
    </row>
    <row r="972" spans="1:33" ht="15.75" customHeight="1" x14ac:dyDescent="0.25">
      <c r="A972" s="33" t="str">
        <f>CONCATENATE(D972,".",F972,"-",G972,".",H972,"")</f>
        <v>2.3-4.1</v>
      </c>
      <c r="B972" s="33" t="s">
        <v>814</v>
      </c>
      <c r="C972" s="39" t="s">
        <v>262</v>
      </c>
      <c r="D972" s="33">
        <f>IF(C972="ID",1,(IF(C972="PR",2,(IF(C972="DE",3,(IF(C972="RS",4,(IF(C972="RC",5,0)))))))))</f>
        <v>2</v>
      </c>
      <c r="E972" s="33" t="s">
        <v>343</v>
      </c>
      <c r="F972" s="33">
        <f>IF(E972="AM",1,(IF(E972="BE",2,(IF(E972="GV",3,(IF(E972="RA",4,(IF(E972="RM",5,(IF(E972="AC",1,(IF(E972="AT",2,(IF(E972="DS",3,(IF(E972="IP",4,(IF(E972="MA",5,(IF(E972="PT",6,(IF(E972="AE",1,(IF(E972="CM",2,(IF(E972="DP",3,(IF(E972="AN",1,(IF(E972="CO",2,(IF(E972="IM",3,(IF(E972="MI",4,(IF(E972="RP",5,(IF(E972="SC",6,0)))))))))))))))))))))))))))))))))))))))</f>
        <v>3</v>
      </c>
      <c r="G972" s="170">
        <v>4</v>
      </c>
      <c r="H972" s="38" t="s">
        <v>511</v>
      </c>
      <c r="I972" s="105" t="s">
        <v>1449</v>
      </c>
      <c r="J972" s="157" t="s">
        <v>2613</v>
      </c>
      <c r="K972" s="34" t="s">
        <v>2614</v>
      </c>
      <c r="L972" s="5">
        <f>IF(O972="","",N972*O972*M972)</f>
        <v>99</v>
      </c>
      <c r="M972" s="8">
        <v>1</v>
      </c>
      <c r="N972" s="1">
        <v>1</v>
      </c>
      <c r="O972" s="15">
        <f>IF(SUM(Q972:AF972)&lt;1,"",SUM(Q972:AF972)/COUNTIF(Q972:AF972,"&gt;0"))</f>
        <v>99</v>
      </c>
      <c r="P972" s="16"/>
      <c r="Q972" s="13"/>
      <c r="R972" s="4"/>
      <c r="S972" s="4"/>
      <c r="T972" s="4">
        <v>99</v>
      </c>
      <c r="U972" s="2"/>
      <c r="V972" s="2"/>
      <c r="W972" s="2"/>
      <c r="X972" s="2"/>
      <c r="Y972" s="4"/>
      <c r="Z972" s="2"/>
      <c r="AA972" s="2"/>
      <c r="AB972" s="4"/>
      <c r="AC972" s="4"/>
      <c r="AD972" s="4"/>
      <c r="AE972" s="4"/>
      <c r="AF972" s="14"/>
      <c r="AG972" s="3"/>
    </row>
    <row r="973" spans="1:33" s="4" customFormat="1" ht="15.75" customHeight="1" x14ac:dyDescent="0.25">
      <c r="A973" s="33" t="str">
        <f>CONCATENATE(D973,".",F973,"-",G973,".",H973,"")</f>
        <v>2.3-4.1</v>
      </c>
      <c r="B973" s="33"/>
      <c r="C973" s="39" t="s">
        <v>262</v>
      </c>
      <c r="D973" s="33">
        <f>IF(C973="ID",1,(IF(C973="PR",2,(IF(C973="DE",3,(IF(C973="RS",4,(IF(C973="RC",5,0)))))))))</f>
        <v>2</v>
      </c>
      <c r="E973" s="33" t="s">
        <v>343</v>
      </c>
      <c r="F973" s="33">
        <f>IF(E973="AM",1,(IF(E973="BE",2,(IF(E973="GV",3,(IF(E973="RA",4,(IF(E973="RM",5,(IF(E973="AC",1,(IF(E973="AT",2,(IF(E973="DS",3,(IF(E973="IP",4,(IF(E973="MA",5,(IF(E973="PT",6,(IF(E973="AE",1,(IF(E973="CM",2,(IF(E973="DP",3,(IF(E973="AN",1,(IF(E973="CO",2,(IF(E973="IM",3,(IF(E973="MI",4,(IF(E973="RP",5,(IF(E973="SC",6,0)))))))))))))))))))))))))))))))))))))))</f>
        <v>3</v>
      </c>
      <c r="G973" s="170">
        <v>4</v>
      </c>
      <c r="H973" s="38" t="s">
        <v>511</v>
      </c>
      <c r="I973" s="105" t="s">
        <v>1449</v>
      </c>
      <c r="J973" s="157" t="s">
        <v>2797</v>
      </c>
      <c r="K973" s="34" t="s">
        <v>2798</v>
      </c>
      <c r="L973" s="5">
        <f>IF(O973="","",N973*O973*M973)</f>
        <v>99</v>
      </c>
      <c r="M973" s="8">
        <v>1</v>
      </c>
      <c r="N973" s="1">
        <v>1</v>
      </c>
      <c r="O973" s="15">
        <f>IF(SUM(Q973:AF973)&lt;1,"",SUM(Q973:AF973)/COUNTIF(Q973:AF973,"&gt;0"))</f>
        <v>99</v>
      </c>
      <c r="P973" s="16"/>
      <c r="Q973" s="13"/>
      <c r="T973" s="4">
        <v>99</v>
      </c>
      <c r="U973" s="2"/>
      <c r="V973" s="2"/>
      <c r="W973" s="2"/>
      <c r="X973" s="2"/>
      <c r="Z973" s="2"/>
      <c r="AA973" s="2"/>
      <c r="AF973" s="14"/>
    </row>
    <row r="974" spans="1:33" s="4" customFormat="1" ht="15.75" customHeight="1" x14ac:dyDescent="0.25">
      <c r="A974" s="33" t="str">
        <f>CONCATENATE(D974,".",F974,"-",G974,".",H974,"")</f>
        <v>2.3-4.1</v>
      </c>
      <c r="B974" s="33"/>
      <c r="C974" s="39" t="s">
        <v>262</v>
      </c>
      <c r="D974" s="33">
        <f>IF(C974="ID",1,(IF(C974="PR",2,(IF(C974="DE",3,(IF(C974="RS",4,(IF(C974="RC",5,0)))))))))</f>
        <v>2</v>
      </c>
      <c r="E974" s="33" t="s">
        <v>343</v>
      </c>
      <c r="F974" s="33">
        <f>IF(E974="AM",1,(IF(E974="BE",2,(IF(E974="GV",3,(IF(E974="RA",4,(IF(E974="RM",5,(IF(E974="AC",1,(IF(E974="AT",2,(IF(E974="DS",3,(IF(E974="IP",4,(IF(E974="MA",5,(IF(E974="PT",6,(IF(E974="AE",1,(IF(E974="CM",2,(IF(E974="DP",3,(IF(E974="AN",1,(IF(E974="CO",2,(IF(E974="IM",3,(IF(E974="MI",4,(IF(E974="RP",5,(IF(E974="SC",6,0)))))))))))))))))))))))))))))))))))))))</f>
        <v>3</v>
      </c>
      <c r="G974" s="170">
        <v>4</v>
      </c>
      <c r="H974" s="38" t="s">
        <v>511</v>
      </c>
      <c r="I974" s="105" t="s">
        <v>1449</v>
      </c>
      <c r="J974" s="157" t="s">
        <v>2911</v>
      </c>
      <c r="K974" s="34" t="s">
        <v>2912</v>
      </c>
      <c r="L974" s="5">
        <f>IF(O974="","",N974*O974*M974)</f>
        <v>99</v>
      </c>
      <c r="M974" s="8">
        <v>1</v>
      </c>
      <c r="N974" s="1">
        <v>1</v>
      </c>
      <c r="O974" s="15">
        <f>IF(SUM(Q974:AF974)&lt;1,"",SUM(Q974:AF974)/COUNTIF(Q974:AF974,"&gt;0"))</f>
        <v>99</v>
      </c>
      <c r="P974" s="16"/>
      <c r="Q974" s="13"/>
      <c r="T974" s="4">
        <v>99</v>
      </c>
      <c r="U974" s="2"/>
      <c r="V974" s="2"/>
      <c r="W974" s="2"/>
      <c r="X974" s="2"/>
      <c r="Z974" s="2"/>
      <c r="AA974" s="2"/>
      <c r="AF974" s="14"/>
    </row>
    <row r="975" spans="1:33" s="4" customFormat="1" ht="15.75" customHeight="1" x14ac:dyDescent="0.25">
      <c r="A975" s="33" t="str">
        <f>CONCATENATE(D975,".",F975,"-",G975,".",H975,"")</f>
        <v>2.3-4.1</v>
      </c>
      <c r="B975" s="33"/>
      <c r="C975" s="39" t="s">
        <v>262</v>
      </c>
      <c r="D975" s="33">
        <f>IF(C975="ID",1,(IF(C975="PR",2,(IF(C975="DE",3,(IF(C975="RS",4,(IF(C975="RC",5,0)))))))))</f>
        <v>2</v>
      </c>
      <c r="E975" s="33" t="s">
        <v>343</v>
      </c>
      <c r="F975" s="33">
        <f>IF(E975="AM",1,(IF(E975="BE",2,(IF(E975="GV",3,(IF(E975="RA",4,(IF(E975="RM",5,(IF(E975="AC",1,(IF(E975="AT",2,(IF(E975="DS",3,(IF(E975="IP",4,(IF(E975="MA",5,(IF(E975="PT",6,(IF(E975="AE",1,(IF(E975="CM",2,(IF(E975="DP",3,(IF(E975="AN",1,(IF(E975="CO",2,(IF(E975="IM",3,(IF(E975="MI",4,(IF(E975="RP",5,(IF(E975="SC",6,0)))))))))))))))))))))))))))))))))))))))</f>
        <v>3</v>
      </c>
      <c r="G975" s="170">
        <v>4</v>
      </c>
      <c r="H975" s="38" t="s">
        <v>511</v>
      </c>
      <c r="I975" s="105" t="s">
        <v>1449</v>
      </c>
      <c r="J975" s="157" t="s">
        <v>2913</v>
      </c>
      <c r="K975" s="34" t="s">
        <v>2914</v>
      </c>
      <c r="L975" s="5">
        <f>IF(O975="","",N975*O975*M975)</f>
        <v>99</v>
      </c>
      <c r="M975" s="8">
        <v>1</v>
      </c>
      <c r="N975" s="1">
        <v>1</v>
      </c>
      <c r="O975" s="15">
        <f>IF(SUM(Q975:AF975)&lt;1,"",SUM(Q975:AF975)/COUNTIF(Q975:AF975,"&gt;0"))</f>
        <v>99</v>
      </c>
      <c r="P975" s="16"/>
      <c r="Q975" s="13"/>
      <c r="T975" s="4">
        <v>99</v>
      </c>
      <c r="U975" s="2"/>
      <c r="V975" s="2"/>
      <c r="W975" s="2"/>
      <c r="X975" s="2"/>
      <c r="Z975" s="2"/>
      <c r="AA975" s="2"/>
      <c r="AF975" s="14"/>
    </row>
    <row r="976" spans="1:33" s="4" customFormat="1" ht="15.75" customHeight="1" x14ac:dyDescent="0.25">
      <c r="A976" s="33" t="str">
        <f>CONCATENATE(D976,".",F976,"-",G976,".",H976,"")</f>
        <v>2.3-4.1</v>
      </c>
      <c r="B976" s="33"/>
      <c r="C976" s="39" t="s">
        <v>262</v>
      </c>
      <c r="D976" s="33">
        <f>IF(C976="ID",1,(IF(C976="PR",2,(IF(C976="DE",3,(IF(C976="RS",4,(IF(C976="RC",5,0)))))))))</f>
        <v>2</v>
      </c>
      <c r="E976" s="33" t="s">
        <v>343</v>
      </c>
      <c r="F976" s="33">
        <f>IF(E976="AM",1,(IF(E976="BE",2,(IF(E976="GV",3,(IF(E976="RA",4,(IF(E976="RM",5,(IF(E976="AC",1,(IF(E976="AT",2,(IF(E976="DS",3,(IF(E976="IP",4,(IF(E976="MA",5,(IF(E976="PT",6,(IF(E976="AE",1,(IF(E976="CM",2,(IF(E976="DP",3,(IF(E976="AN",1,(IF(E976="CO",2,(IF(E976="IM",3,(IF(E976="MI",4,(IF(E976="RP",5,(IF(E976="SC",6,0)))))))))))))))))))))))))))))))))))))))</f>
        <v>3</v>
      </c>
      <c r="G976" s="170">
        <v>4</v>
      </c>
      <c r="H976" s="38" t="s">
        <v>511</v>
      </c>
      <c r="I976" s="105" t="s">
        <v>1449</v>
      </c>
      <c r="J976" s="157" t="s">
        <v>2915</v>
      </c>
      <c r="K976" s="34" t="s">
        <v>2916</v>
      </c>
      <c r="L976" s="5">
        <f>IF(O976="","",N976*O976*M976)</f>
        <v>99</v>
      </c>
      <c r="M976" s="8">
        <v>1</v>
      </c>
      <c r="N976" s="1">
        <v>1</v>
      </c>
      <c r="O976" s="15">
        <f>IF(SUM(Q976:AF976)&lt;1,"",SUM(Q976:AF976)/COUNTIF(Q976:AF976,"&gt;0"))</f>
        <v>99</v>
      </c>
      <c r="P976" s="16"/>
      <c r="Q976" s="13"/>
      <c r="T976" s="4">
        <v>99</v>
      </c>
      <c r="U976" s="2"/>
      <c r="V976" s="2"/>
      <c r="W976" s="2"/>
      <c r="X976" s="2"/>
      <c r="Z976" s="2"/>
      <c r="AA976" s="2"/>
      <c r="AF976" s="14"/>
    </row>
    <row r="977" spans="1:33" s="4" customFormat="1" ht="15.75" customHeight="1" x14ac:dyDescent="0.25">
      <c r="A977" s="33" t="str">
        <f>CONCATENATE(D977,".",F977,"-",G977,".",H977,"")</f>
        <v>2.3-4.1</v>
      </c>
      <c r="B977" s="33"/>
      <c r="C977" s="39" t="s">
        <v>262</v>
      </c>
      <c r="D977" s="33">
        <f>IF(C977="ID",1,(IF(C977="PR",2,(IF(C977="DE",3,(IF(C977="RS",4,(IF(C977="RC",5,0)))))))))</f>
        <v>2</v>
      </c>
      <c r="E977" s="33" t="s">
        <v>343</v>
      </c>
      <c r="F977" s="33">
        <f>IF(E977="AM",1,(IF(E977="BE",2,(IF(E977="GV",3,(IF(E977="RA",4,(IF(E977="RM",5,(IF(E977="AC",1,(IF(E977="AT",2,(IF(E977="DS",3,(IF(E977="IP",4,(IF(E977="MA",5,(IF(E977="PT",6,(IF(E977="AE",1,(IF(E977="CM",2,(IF(E977="DP",3,(IF(E977="AN",1,(IF(E977="CO",2,(IF(E977="IM",3,(IF(E977="MI",4,(IF(E977="RP",5,(IF(E977="SC",6,0)))))))))))))))))))))))))))))))))))))))</f>
        <v>3</v>
      </c>
      <c r="G977" s="170">
        <v>4</v>
      </c>
      <c r="H977" s="38" t="s">
        <v>511</v>
      </c>
      <c r="I977" s="105" t="s">
        <v>1449</v>
      </c>
      <c r="J977" s="157" t="s">
        <v>2917</v>
      </c>
      <c r="K977" s="34" t="s">
        <v>2918</v>
      </c>
      <c r="L977" s="5">
        <f>IF(O977="","",N977*O977*M977)</f>
        <v>99</v>
      </c>
      <c r="M977" s="8">
        <v>1</v>
      </c>
      <c r="N977" s="1">
        <v>1</v>
      </c>
      <c r="O977" s="15">
        <f>IF(SUM(Q977:AF977)&lt;1,"",SUM(Q977:AF977)/COUNTIF(Q977:AF977,"&gt;0"))</f>
        <v>99</v>
      </c>
      <c r="P977" s="16"/>
      <c r="Q977" s="13"/>
      <c r="T977" s="4">
        <v>99</v>
      </c>
      <c r="U977" s="2"/>
      <c r="V977" s="2"/>
      <c r="W977" s="2"/>
      <c r="X977" s="2"/>
      <c r="Z977" s="2"/>
      <c r="AA977" s="2"/>
      <c r="AF977" s="14"/>
    </row>
    <row r="978" spans="1:33" s="4" customFormat="1" ht="15.75" customHeight="1" x14ac:dyDescent="0.25">
      <c r="A978" s="33" t="str">
        <f>CONCATENATE(D978,".",F978,"-",G978,".",H978,"")</f>
        <v>2.3-4.2</v>
      </c>
      <c r="B978" s="33" t="s">
        <v>814</v>
      </c>
      <c r="C978" s="40" t="s">
        <v>262</v>
      </c>
      <c r="D978" s="33">
        <f>IF(C978="ID",1,(IF(C978="PR",2,(IF(C978="DE",3,(IF(C978="RS",4,(IF(C978="RC",5,0)))))))))</f>
        <v>2</v>
      </c>
      <c r="E978" s="33" t="s">
        <v>343</v>
      </c>
      <c r="F978" s="33">
        <f>IF(E978="AM",1,(IF(E978="BE",2,(IF(E978="GV",3,(IF(E978="RA",4,(IF(E978="RM",5,(IF(E978="AC",1,(IF(E978="AT",2,(IF(E978="DS",3,(IF(E978="IP",4,(IF(E978="MA",5,(IF(E978="PT",6,(IF(E978="AE",1,(IF(E978="CM",2,(IF(E978="DP",3,(IF(E978="AN",1,(IF(E978="CO",2,(IF(E978="IM",3,(IF(E978="MI",4,(IF(E978="RP",5,(IF(E978="SC",6,0)))))))))))))))))))))))))))))))))))))))</f>
        <v>3</v>
      </c>
      <c r="G978" s="170">
        <v>4</v>
      </c>
      <c r="H978" s="38" t="s">
        <v>512</v>
      </c>
      <c r="I978" s="27" t="s">
        <v>266</v>
      </c>
      <c r="J978" s="149" t="s">
        <v>459</v>
      </c>
      <c r="K978" s="79" t="s">
        <v>1315</v>
      </c>
      <c r="L978" s="66">
        <f>IF(O978="","",N978*O978*M978)</f>
        <v>75</v>
      </c>
      <c r="M978" s="8">
        <v>1</v>
      </c>
      <c r="N978" s="1">
        <v>1</v>
      </c>
      <c r="O978" s="15">
        <f>IF(SUM(Q978:AF978)&lt;1,"",SUM(Q978:AF978)/COUNTIF(Q978:AF978,"&gt;0"))</f>
        <v>75</v>
      </c>
      <c r="P978" s="16"/>
      <c r="Q978" s="13"/>
      <c r="T978" s="4">
        <v>75</v>
      </c>
      <c r="U978" s="2"/>
      <c r="V978" s="2"/>
      <c r="W978" s="2"/>
      <c r="X978" s="2"/>
      <c r="Z978" s="2"/>
      <c r="AA978" s="2"/>
      <c r="AF978" s="14"/>
    </row>
    <row r="979" spans="1:33" s="4" customFormat="1" ht="15.75" customHeight="1" x14ac:dyDescent="0.25">
      <c r="A979" s="33" t="str">
        <f>CONCATENATE(D979,".",F979,"-",G979,".",H979,"")</f>
        <v>2.3-4.9</v>
      </c>
      <c r="B979" s="33"/>
      <c r="C979" s="39" t="s">
        <v>262</v>
      </c>
      <c r="D979" s="33">
        <f>IF(C979="ID",1,(IF(C979="PR",2,(IF(C979="DE",3,(IF(C979="RS",4,(IF(C979="RC",5,0)))))))))</f>
        <v>2</v>
      </c>
      <c r="E979" s="33" t="s">
        <v>343</v>
      </c>
      <c r="F979" s="33">
        <f>IF(E979="AM",1,(IF(E979="BE",2,(IF(E979="GV",3,(IF(E979="RA",4,(IF(E979="RM",5,(IF(E979="AC",1,(IF(E979="AT",2,(IF(E979="DS",3,(IF(E979="IP",4,(IF(E979="MA",5,(IF(E979="PT",6,(IF(E979="AE",1,(IF(E979="CM",2,(IF(E979="DP",3,(IF(E979="AN",1,(IF(E979="CO",2,(IF(E979="IM",3,(IF(E979="MI",4,(IF(E979="RP",5,(IF(E979="SC",6,0)))))))))))))))))))))))))))))))))))))))</f>
        <v>3</v>
      </c>
      <c r="G979" s="170">
        <v>4</v>
      </c>
      <c r="H979" s="38" t="s">
        <v>596</v>
      </c>
      <c r="I979" s="105" t="s">
        <v>1449</v>
      </c>
      <c r="J979" s="157" t="s">
        <v>2919</v>
      </c>
      <c r="K979" s="34" t="s">
        <v>2920</v>
      </c>
      <c r="L979" s="5">
        <f>IF(O979="","",N979*O979*M979)</f>
        <v>99</v>
      </c>
      <c r="M979" s="8">
        <v>1</v>
      </c>
      <c r="N979" s="1">
        <v>1</v>
      </c>
      <c r="O979" s="15">
        <f>IF(SUM(Q979:AF979)&lt;1,"",SUM(Q979:AF979)/COUNTIF(Q979:AF979,"&gt;0"))</f>
        <v>99</v>
      </c>
      <c r="P979" s="16"/>
      <c r="Q979" s="13"/>
      <c r="T979" s="4">
        <v>99</v>
      </c>
      <c r="U979" s="2"/>
      <c r="V979" s="2"/>
      <c r="W979" s="2"/>
      <c r="X979" s="2"/>
      <c r="Z979" s="2"/>
      <c r="AA979" s="2"/>
      <c r="AF979" s="14"/>
    </row>
    <row r="980" spans="1:33" s="4" customFormat="1" ht="15.75" customHeight="1" x14ac:dyDescent="0.25">
      <c r="A980" s="33" t="str">
        <f>CONCATENATE(D980,".",F980,"-",G980,".",H980,"")</f>
        <v>2.3-5.0</v>
      </c>
      <c r="B980" s="33" t="s">
        <v>814</v>
      </c>
      <c r="C980" s="40" t="s">
        <v>262</v>
      </c>
      <c r="D980" s="33">
        <f>IF(C980="ID",1,(IF(C980="PR",2,(IF(C980="DE",3,(IF(C980="RS",4,(IF(C980="RC",5,0)))))))))</f>
        <v>2</v>
      </c>
      <c r="E980" s="33" t="s">
        <v>343</v>
      </c>
      <c r="F980" s="33">
        <f>IF(E980="AM",1,(IF(E980="BE",2,(IF(E980="GV",3,(IF(E980="RA",4,(IF(E980="RM",5,(IF(E980="AC",1,(IF(E980="AT",2,(IF(E980="DS",3,(IF(E980="IP",4,(IF(E980="MA",5,(IF(E980="PT",6,(IF(E980="AE",1,(IF(E980="CM",2,(IF(E980="DP",3,(IF(E980="AN",1,(IF(E980="CO",2,(IF(E980="IM",3,(IF(E980="MI",4,(IF(E980="RP",5,(IF(E980="SC",6,0)))))))))))))))))))))))))))))))))))))))</f>
        <v>3</v>
      </c>
      <c r="G980" s="170">
        <v>5</v>
      </c>
      <c r="H980" s="38" t="s">
        <v>597</v>
      </c>
      <c r="I980" s="27" t="s">
        <v>1200</v>
      </c>
      <c r="J980" s="149" t="s">
        <v>676</v>
      </c>
      <c r="K980" s="98" t="s">
        <v>382</v>
      </c>
      <c r="L980" s="66">
        <f>IF(O980="","",N980*O980*M980)</f>
        <v>75</v>
      </c>
      <c r="M980" s="8">
        <v>1</v>
      </c>
      <c r="N980" s="1">
        <v>1</v>
      </c>
      <c r="O980" s="15">
        <f>IF(SUM(Q980:AF980)&lt;1,"",SUM(Q980:AF980)/COUNTIF(Q980:AF980,"&gt;0"))</f>
        <v>75</v>
      </c>
      <c r="P980" s="16"/>
      <c r="Q980" s="13"/>
      <c r="T980" s="4">
        <v>75</v>
      </c>
      <c r="U980" s="2"/>
      <c r="V980" s="2"/>
      <c r="W980" s="2"/>
      <c r="X980" s="2"/>
      <c r="Z980" s="2"/>
      <c r="AA980" s="2"/>
      <c r="AF980" s="14"/>
    </row>
    <row r="981" spans="1:33" s="4" customFormat="1" ht="15.75" customHeight="1" x14ac:dyDescent="0.25">
      <c r="A981" s="33" t="str">
        <f>CONCATENATE(D981,".",F981,"-",G981,".",H981,"")</f>
        <v>2.3-5.1</v>
      </c>
      <c r="B981" s="33" t="s">
        <v>814</v>
      </c>
      <c r="C981" s="40" t="s">
        <v>262</v>
      </c>
      <c r="D981" s="33">
        <f>IF(C981="ID",1,(IF(C981="PR",2,(IF(C981="DE",3,(IF(C981="RS",4,(IF(C981="RC",5,0)))))))))</f>
        <v>2</v>
      </c>
      <c r="E981" s="33" t="s">
        <v>343</v>
      </c>
      <c r="F981" s="33">
        <f>IF(E981="AM",1,(IF(E981="BE",2,(IF(E981="GV",3,(IF(E981="RA",4,(IF(E981="RM",5,(IF(E981="AC",1,(IF(E981="AT",2,(IF(E981="DS",3,(IF(E981="IP",4,(IF(E981="MA",5,(IF(E981="PT",6,(IF(E981="AE",1,(IF(E981="CM",2,(IF(E981="DP",3,(IF(E981="AN",1,(IF(E981="CO",2,(IF(E981="IM",3,(IF(E981="MI",4,(IF(E981="RP",5,(IF(E981="SC",6,0)))))))))))))))))))))))))))))))))))))))</f>
        <v>3</v>
      </c>
      <c r="G981" s="171">
        <v>5</v>
      </c>
      <c r="H981" s="38" t="s">
        <v>511</v>
      </c>
      <c r="I981" s="105" t="s">
        <v>821</v>
      </c>
      <c r="J981" s="150">
        <v>4.2</v>
      </c>
      <c r="K981" s="79" t="s">
        <v>1284</v>
      </c>
      <c r="L981" s="66">
        <f>IF(O981="","",N981*O981*M981)</f>
        <v>75</v>
      </c>
      <c r="M981" s="8">
        <v>1</v>
      </c>
      <c r="N981" s="3">
        <v>1</v>
      </c>
      <c r="O981" s="15">
        <f>IF(SUM(Q981:AF981)&lt;1,"",SUM(Q981:AF981)/COUNTIF(Q981:AF981,"&gt;0"))</f>
        <v>75</v>
      </c>
      <c r="P981" s="16"/>
      <c r="Q981" s="13"/>
      <c r="T981" s="4">
        <v>75</v>
      </c>
      <c r="U981" s="2"/>
      <c r="V981" s="2"/>
      <c r="W981" s="2"/>
      <c r="X981" s="2"/>
      <c r="Z981" s="2"/>
      <c r="AA981" s="2"/>
      <c r="AF981" s="14"/>
    </row>
    <row r="982" spans="1:33" s="4" customFormat="1" ht="15.75" customHeight="1" x14ac:dyDescent="0.25">
      <c r="A982" s="33" t="str">
        <f>CONCATENATE(D982,".",F982,"-",G982,".",H982,"")</f>
        <v>2.3-5.1</v>
      </c>
      <c r="B982" s="33" t="s">
        <v>814</v>
      </c>
      <c r="C982" s="40" t="s">
        <v>262</v>
      </c>
      <c r="D982" s="33">
        <f>IF(C982="ID",1,(IF(C982="PR",2,(IF(C982="DE",3,(IF(C982="RS",4,(IF(C982="RC",5,0)))))))))</f>
        <v>2</v>
      </c>
      <c r="E982" s="33" t="s">
        <v>343</v>
      </c>
      <c r="F982" s="33">
        <f>IF(E982="AM",1,(IF(E982="BE",2,(IF(E982="GV",3,(IF(E982="RA",4,(IF(E982="RM",5,(IF(E982="AC",1,(IF(E982="AT",2,(IF(E982="DS",3,(IF(E982="IP",4,(IF(E982="MA",5,(IF(E982="PT",6,(IF(E982="AE",1,(IF(E982="CM",2,(IF(E982="DP",3,(IF(E982="AN",1,(IF(E982="CO",2,(IF(E982="IM",3,(IF(E982="MI",4,(IF(E982="RP",5,(IF(E982="SC",6,0)))))))))))))))))))))))))))))))))))))))</f>
        <v>3</v>
      </c>
      <c r="G982" s="171">
        <v>5</v>
      </c>
      <c r="H982" s="38" t="s">
        <v>511</v>
      </c>
      <c r="I982" s="105" t="s">
        <v>821</v>
      </c>
      <c r="J982" s="149">
        <v>11.4</v>
      </c>
      <c r="K982" s="79" t="s">
        <v>1283</v>
      </c>
      <c r="L982" s="66">
        <f>IF(O982="","",N982*O982*M982)</f>
        <v>75</v>
      </c>
      <c r="M982" s="8">
        <v>1</v>
      </c>
      <c r="N982" s="1">
        <v>1</v>
      </c>
      <c r="O982" s="15">
        <f>IF(SUM(Q982:AF982)&lt;1,"",SUM(Q982:AF982)/COUNTIF(Q982:AF982,"&gt;0"))</f>
        <v>75</v>
      </c>
      <c r="P982" s="16"/>
      <c r="Q982" s="13"/>
      <c r="T982" s="4">
        <v>75</v>
      </c>
      <c r="U982" s="2"/>
      <c r="V982" s="2"/>
      <c r="W982" s="2"/>
      <c r="X982" s="2"/>
      <c r="Z982" s="2"/>
      <c r="AA982" s="2"/>
      <c r="AF982" s="14"/>
    </row>
    <row r="983" spans="1:33" s="4" customFormat="1" ht="15.75" customHeight="1" x14ac:dyDescent="0.25">
      <c r="A983" s="33" t="str">
        <f>CONCATENATE(D983,".",F983,"-",G983,".",H983,"")</f>
        <v>2.3-5.1</v>
      </c>
      <c r="B983" s="33" t="s">
        <v>814</v>
      </c>
      <c r="C983" s="39" t="s">
        <v>262</v>
      </c>
      <c r="D983" s="33">
        <f>IF(C983="ID",1,(IF(C983="PR",2,(IF(C983="DE",3,(IF(C983="RS",4,(IF(C983="RC",5,0)))))))))</f>
        <v>2</v>
      </c>
      <c r="E983" s="33" t="s">
        <v>343</v>
      </c>
      <c r="F983" s="33">
        <f>IF(E983="AM",1,(IF(E983="BE",2,(IF(E983="GV",3,(IF(E983="RA",4,(IF(E983="RM",5,(IF(E983="AC",1,(IF(E983="AT",2,(IF(E983="DS",3,(IF(E983="IP",4,(IF(E983="MA",5,(IF(E983="PT",6,(IF(E983="AE",1,(IF(E983="CM",2,(IF(E983="DP",3,(IF(E983="AN",1,(IF(E983="CO",2,(IF(E983="IM",3,(IF(E983="MI",4,(IF(E983="RP",5,(IF(E983="SC",6,0)))))))))))))))))))))))))))))))))))))))</f>
        <v>3</v>
      </c>
      <c r="G983" s="170">
        <v>5</v>
      </c>
      <c r="H983" s="38" t="s">
        <v>511</v>
      </c>
      <c r="I983" s="35" t="s">
        <v>1176</v>
      </c>
      <c r="J983" s="162">
        <v>7.8</v>
      </c>
      <c r="K983" s="80" t="s">
        <v>1076</v>
      </c>
      <c r="L983" s="66">
        <f>IF(O983="","",N983*O983*M983)</f>
        <v>75</v>
      </c>
      <c r="M983" s="8">
        <v>1</v>
      </c>
      <c r="N983" s="3">
        <v>1</v>
      </c>
      <c r="O983" s="15">
        <f>IF(SUM(Q983:AF983)&lt;1,"",SUM(Q983:AF983)/COUNTIF(Q983:AF983,"&gt;0"))</f>
        <v>75</v>
      </c>
      <c r="P983" s="16"/>
      <c r="Q983" s="13"/>
      <c r="T983" s="4">
        <v>75</v>
      </c>
      <c r="U983" s="2"/>
      <c r="V983" s="2"/>
      <c r="W983" s="2"/>
      <c r="X983" s="2"/>
      <c r="Z983" s="2"/>
      <c r="AA983" s="2"/>
      <c r="AF983" s="14"/>
    </row>
    <row r="984" spans="1:33" ht="15.75" customHeight="1" x14ac:dyDescent="0.25">
      <c r="A984" s="33" t="str">
        <f>CONCATENATE(D984,".",F984,"-",G984,".",H984,"")</f>
        <v>2.3-5.1</v>
      </c>
      <c r="B984" s="33" t="s">
        <v>814</v>
      </c>
      <c r="C984" s="39" t="s">
        <v>262</v>
      </c>
      <c r="D984" s="33">
        <f>IF(C984="ID",1,(IF(C984="PR",2,(IF(C984="DE",3,(IF(C984="RS",4,(IF(C984="RC",5,0)))))))))</f>
        <v>2</v>
      </c>
      <c r="E984" s="33" t="s">
        <v>343</v>
      </c>
      <c r="F984" s="33">
        <f>IF(E984="AM",1,(IF(E984="BE",2,(IF(E984="GV",3,(IF(E984="RA",4,(IF(E984="RM",5,(IF(E984="AC",1,(IF(E984="AT",2,(IF(E984="DS",3,(IF(E984="IP",4,(IF(E984="MA",5,(IF(E984="PT",6,(IF(E984="AE",1,(IF(E984="CM",2,(IF(E984="DP",3,(IF(E984="AN",1,(IF(E984="CO",2,(IF(E984="IM",3,(IF(E984="MI",4,(IF(E984="RP",5,(IF(E984="SC",6,0)))))))))))))))))))))))))))))))))))))))</f>
        <v>3</v>
      </c>
      <c r="G984" s="170">
        <v>5</v>
      </c>
      <c r="H984" s="38" t="s">
        <v>511</v>
      </c>
      <c r="I984" s="35" t="s">
        <v>1176</v>
      </c>
      <c r="J984" s="162">
        <v>13</v>
      </c>
      <c r="K984" t="s">
        <v>1110</v>
      </c>
      <c r="L984" s="66">
        <f>IF(O984="","",N984*O984*M984)</f>
        <v>75</v>
      </c>
      <c r="M984" s="8">
        <v>1</v>
      </c>
      <c r="N984" s="3">
        <v>1</v>
      </c>
      <c r="O984" s="15">
        <f>IF(SUM(Q984:AF984)&lt;1,"",SUM(Q984:AF984)/COUNTIF(Q984:AF984,"&gt;0"))</f>
        <v>75</v>
      </c>
      <c r="P984" s="16"/>
      <c r="Q984" s="13"/>
      <c r="R984" s="4"/>
      <c r="S984" s="4"/>
      <c r="T984" s="4">
        <v>75</v>
      </c>
      <c r="U984" s="2"/>
      <c r="V984" s="2"/>
      <c r="W984" s="2"/>
      <c r="X984" s="2"/>
      <c r="Y984" s="4"/>
      <c r="Z984" s="2"/>
      <c r="AA984" s="2"/>
      <c r="AB984" s="4"/>
      <c r="AC984" s="4"/>
      <c r="AD984" s="4"/>
      <c r="AE984" s="4"/>
      <c r="AF984" s="14"/>
      <c r="AG984" s="3"/>
    </row>
    <row r="985" spans="1:33" ht="15.75" customHeight="1" x14ac:dyDescent="0.25">
      <c r="A985" s="33" t="str">
        <f>CONCATENATE(D985,".",F985,"-",G985,".",H985,"")</f>
        <v>2.3-5.1</v>
      </c>
      <c r="B985" s="33" t="s">
        <v>814</v>
      </c>
      <c r="C985" s="39" t="s">
        <v>262</v>
      </c>
      <c r="D985" s="33">
        <f>IF(C985="ID",1,(IF(C985="PR",2,(IF(C985="DE",3,(IF(C985="RS",4,(IF(C985="RC",5,0)))))))))</f>
        <v>2</v>
      </c>
      <c r="E985" s="33" t="s">
        <v>343</v>
      </c>
      <c r="F985" s="33">
        <f>IF(E985="AM",1,(IF(E985="BE",2,(IF(E985="GV",3,(IF(E985="RA",4,(IF(E985="RM",5,(IF(E985="AC",1,(IF(E985="AT",2,(IF(E985="DS",3,(IF(E985="IP",4,(IF(E985="MA",5,(IF(E985="PT",6,(IF(E985="AE",1,(IF(E985="CM",2,(IF(E985="DP",3,(IF(E985="AN",1,(IF(E985="CO",2,(IF(E985="IM",3,(IF(E985="MI",4,(IF(E985="RP",5,(IF(E985="SC",6,0)))))))))))))))))))))))))))))))))))))))</f>
        <v>3</v>
      </c>
      <c r="G985" s="170">
        <v>5</v>
      </c>
      <c r="H985" s="38" t="s">
        <v>511</v>
      </c>
      <c r="I985" s="35" t="s">
        <v>1176</v>
      </c>
      <c r="J985" s="162">
        <v>13.3</v>
      </c>
      <c r="K985" s="80" t="s">
        <v>1113</v>
      </c>
      <c r="L985" s="66">
        <f>IF(O985="","",N985*O985*M985)</f>
        <v>75</v>
      </c>
      <c r="M985" s="8">
        <v>1</v>
      </c>
      <c r="N985" s="3">
        <v>1</v>
      </c>
      <c r="O985" s="15">
        <f>IF(SUM(Q985:AF985)&lt;1,"",SUM(Q985:AF985)/COUNTIF(Q985:AF985,"&gt;0"))</f>
        <v>75</v>
      </c>
      <c r="P985" s="16"/>
      <c r="Q985" s="13"/>
      <c r="R985" s="4"/>
      <c r="S985" s="4"/>
      <c r="T985" s="4">
        <v>75</v>
      </c>
      <c r="U985" s="2"/>
      <c r="V985" s="2"/>
      <c r="W985" s="2"/>
      <c r="X985" s="2"/>
      <c r="Y985" s="4"/>
      <c r="Z985" s="2"/>
      <c r="AA985" s="2"/>
      <c r="AB985" s="4"/>
      <c r="AC985" s="4"/>
      <c r="AD985" s="4"/>
      <c r="AE985" s="4"/>
      <c r="AF985" s="14"/>
      <c r="AG985" s="3"/>
    </row>
    <row r="986" spans="1:33" ht="15.75" customHeight="1" x14ac:dyDescent="0.25">
      <c r="A986" s="33" t="str">
        <f>CONCATENATE(D986,".",F986,"-",G986,".",H986,"")</f>
        <v>2.3-5.1</v>
      </c>
      <c r="B986" s="33" t="s">
        <v>814</v>
      </c>
      <c r="C986" s="39" t="s">
        <v>262</v>
      </c>
      <c r="D986" s="33">
        <f>IF(C986="ID",1,(IF(C986="PR",2,(IF(C986="DE",3,(IF(C986="RS",4,(IF(C986="RC",5,0)))))))))</f>
        <v>2</v>
      </c>
      <c r="E986" s="33" t="s">
        <v>343</v>
      </c>
      <c r="F986" s="33">
        <f>IF(E986="AM",1,(IF(E986="BE",2,(IF(E986="GV",3,(IF(E986="RA",4,(IF(E986="RM",5,(IF(E986="AC",1,(IF(E986="AT",2,(IF(E986="DS",3,(IF(E986="IP",4,(IF(E986="MA",5,(IF(E986="PT",6,(IF(E986="AE",1,(IF(E986="CM",2,(IF(E986="DP",3,(IF(E986="AN",1,(IF(E986="CO",2,(IF(E986="IM",3,(IF(E986="MI",4,(IF(E986="RP",5,(IF(E986="SC",6,0)))))))))))))))))))))))))))))))))))))))</f>
        <v>3</v>
      </c>
      <c r="G986" s="170">
        <v>5</v>
      </c>
      <c r="H986" s="38" t="s">
        <v>511</v>
      </c>
      <c r="I986" s="35" t="s">
        <v>1176</v>
      </c>
      <c r="J986" s="162">
        <v>13.6</v>
      </c>
      <c r="K986" s="80" t="s">
        <v>1115</v>
      </c>
      <c r="L986" s="66">
        <f>IF(O986="","",N986*O986*M986)</f>
        <v>75</v>
      </c>
      <c r="M986" s="8">
        <v>1</v>
      </c>
      <c r="N986" s="3">
        <v>1</v>
      </c>
      <c r="O986" s="15">
        <f>IF(SUM(Q986:AF986)&lt;1,"",SUM(Q986:AF986)/COUNTIF(Q986:AF986,"&gt;0"))</f>
        <v>75</v>
      </c>
      <c r="P986" s="16"/>
      <c r="Q986" s="13"/>
      <c r="R986" s="4"/>
      <c r="S986" s="4"/>
      <c r="T986" s="4">
        <v>75</v>
      </c>
      <c r="U986" s="2"/>
      <c r="V986" s="2"/>
      <c r="W986" s="2"/>
      <c r="X986" s="2"/>
      <c r="Y986" s="4"/>
      <c r="Z986" s="2"/>
      <c r="AA986" s="2"/>
      <c r="AB986" s="4"/>
      <c r="AC986" s="4"/>
      <c r="AD986" s="4"/>
      <c r="AE986" s="4"/>
      <c r="AF986" s="14"/>
      <c r="AG986" s="3"/>
    </row>
    <row r="987" spans="1:33" ht="15.75" customHeight="1" x14ac:dyDescent="0.25">
      <c r="A987" s="33" t="str">
        <f>CONCATENATE(D987,".",F987,"-",G987,".",H987,"")</f>
        <v>2.3-5.1</v>
      </c>
      <c r="B987" s="33" t="s">
        <v>814</v>
      </c>
      <c r="C987" s="39" t="s">
        <v>262</v>
      </c>
      <c r="D987" s="33">
        <f>IF(C987="ID",1,(IF(C987="PR",2,(IF(C987="DE",3,(IF(C987="RS",4,(IF(C987="RC",5,0)))))))))</f>
        <v>2</v>
      </c>
      <c r="E987" s="33" t="s">
        <v>343</v>
      </c>
      <c r="F987" s="33">
        <f>IF(E987="AM",1,(IF(E987="BE",2,(IF(E987="GV",3,(IF(E987="RA",4,(IF(E987="RM",5,(IF(E987="AC",1,(IF(E987="AT",2,(IF(E987="DS",3,(IF(E987="IP",4,(IF(E987="MA",5,(IF(E987="PT",6,(IF(E987="AE",1,(IF(E987="CM",2,(IF(E987="DP",3,(IF(E987="AN",1,(IF(E987="CO",2,(IF(E987="IM",3,(IF(E987="MI",4,(IF(E987="RP",5,(IF(E987="SC",6,0)))))))))))))))))))))))))))))))))))))))</f>
        <v>3</v>
      </c>
      <c r="G987" s="170">
        <v>5</v>
      </c>
      <c r="H987" s="38" t="s">
        <v>511</v>
      </c>
      <c r="I987" s="35" t="s">
        <v>1176</v>
      </c>
      <c r="J987" s="162">
        <v>13.7</v>
      </c>
      <c r="K987" s="80" t="s">
        <v>1116</v>
      </c>
      <c r="L987" s="66">
        <f>IF(O987="","",N987*O987*M987)</f>
        <v>75</v>
      </c>
      <c r="M987" s="8">
        <v>1</v>
      </c>
      <c r="N987" s="3">
        <v>1</v>
      </c>
      <c r="O987" s="15">
        <f>IF(SUM(Q987:AF987)&lt;1,"",SUM(Q987:AF987)/COUNTIF(Q987:AF987,"&gt;0"))</f>
        <v>75</v>
      </c>
      <c r="P987" s="16"/>
      <c r="Q987" s="13"/>
      <c r="R987" s="4"/>
      <c r="S987" s="4"/>
      <c r="T987" s="4">
        <v>75</v>
      </c>
      <c r="U987" s="2"/>
      <c r="V987" s="2"/>
      <c r="W987" s="2"/>
      <c r="X987" s="2"/>
      <c r="Y987" s="4"/>
      <c r="Z987" s="2"/>
      <c r="AA987" s="2"/>
      <c r="AB987" s="4"/>
      <c r="AC987" s="4"/>
      <c r="AD987" s="4"/>
      <c r="AE987" s="4"/>
      <c r="AF987" s="14"/>
      <c r="AG987" s="3"/>
    </row>
    <row r="988" spans="1:33" ht="15.75" customHeight="1" x14ac:dyDescent="0.25">
      <c r="A988" s="33" t="str">
        <f>CONCATENATE(D988,".",F988,"-",G988,".",H988,"")</f>
        <v>2.3-5.1</v>
      </c>
      <c r="B988" s="33" t="s">
        <v>814</v>
      </c>
      <c r="C988" s="39" t="s">
        <v>262</v>
      </c>
      <c r="D988" s="33">
        <f>IF(C988="ID",1,(IF(C988="PR",2,(IF(C988="DE",3,(IF(C988="RS",4,(IF(C988="RC",5,0)))))))))</f>
        <v>2</v>
      </c>
      <c r="E988" s="33" t="s">
        <v>343</v>
      </c>
      <c r="F988" s="33">
        <f>IF(E988="AM",1,(IF(E988="BE",2,(IF(E988="GV",3,(IF(E988="RA",4,(IF(E988="RM",5,(IF(E988="AC",1,(IF(E988="AT",2,(IF(E988="DS",3,(IF(E988="IP",4,(IF(E988="MA",5,(IF(E988="PT",6,(IF(E988="AE",1,(IF(E988="CM",2,(IF(E988="DP",3,(IF(E988="AN",1,(IF(E988="CO",2,(IF(E988="IM",3,(IF(E988="MI",4,(IF(E988="RP",5,(IF(E988="SC",6,0)))))))))))))))))))))))))))))))))))))))</f>
        <v>3</v>
      </c>
      <c r="G988" s="170">
        <v>5</v>
      </c>
      <c r="H988" s="38" t="s">
        <v>511</v>
      </c>
      <c r="I988" s="35" t="s">
        <v>1176</v>
      </c>
      <c r="J988" s="162">
        <v>13.8</v>
      </c>
      <c r="K988" t="s">
        <v>1117</v>
      </c>
      <c r="L988" s="66">
        <f>IF(O988="","",N988*O988*M988)</f>
        <v>75</v>
      </c>
      <c r="M988" s="8">
        <v>1</v>
      </c>
      <c r="N988" s="3">
        <v>1</v>
      </c>
      <c r="O988" s="15">
        <f>IF(SUM(Q988:AF988)&lt;1,"",SUM(Q988:AF988)/COUNTIF(Q988:AF988,"&gt;0"))</f>
        <v>75</v>
      </c>
      <c r="P988" s="16"/>
      <c r="Q988" s="13"/>
      <c r="R988" s="4"/>
      <c r="S988" s="4"/>
      <c r="T988" s="4">
        <v>75</v>
      </c>
      <c r="U988" s="2"/>
      <c r="V988" s="2"/>
      <c r="W988" s="2"/>
      <c r="X988" s="2"/>
      <c r="Y988" s="4"/>
      <c r="Z988" s="2"/>
      <c r="AA988" s="2"/>
      <c r="AB988" s="4"/>
      <c r="AC988" s="4"/>
      <c r="AD988" s="4"/>
      <c r="AE988" s="4"/>
      <c r="AF988" s="14"/>
      <c r="AG988" s="3"/>
    </row>
    <row r="989" spans="1:33" ht="15.75" customHeight="1" x14ac:dyDescent="0.25">
      <c r="A989" s="33" t="str">
        <f>CONCATENATE(D989,".",F989,"-",G989,".",H989,"")</f>
        <v>2.3-5.1</v>
      </c>
      <c r="B989" s="33" t="s">
        <v>814</v>
      </c>
      <c r="C989" s="39" t="s">
        <v>262</v>
      </c>
      <c r="D989" s="33">
        <f>IF(C989="ID",1,(IF(C989="PR",2,(IF(C989="DE",3,(IF(C989="RS",4,(IF(C989="RC",5,0)))))))))</f>
        <v>2</v>
      </c>
      <c r="E989" s="33" t="s">
        <v>343</v>
      </c>
      <c r="F989" s="33">
        <f>IF(E989="AM",1,(IF(E989="BE",2,(IF(E989="GV",3,(IF(E989="RA",4,(IF(E989="RM",5,(IF(E989="AC",1,(IF(E989="AT",2,(IF(E989="DS",3,(IF(E989="IP",4,(IF(E989="MA",5,(IF(E989="PT",6,(IF(E989="AE",1,(IF(E989="CM",2,(IF(E989="DP",3,(IF(E989="AN",1,(IF(E989="CO",2,(IF(E989="IM",3,(IF(E989="MI",4,(IF(E989="RP",5,(IF(E989="SC",6,0)))))))))))))))))))))))))))))))))))))))</f>
        <v>3</v>
      </c>
      <c r="G989" s="170">
        <v>5</v>
      </c>
      <c r="H989" s="38" t="s">
        <v>511</v>
      </c>
      <c r="I989" s="35" t="s">
        <v>1176</v>
      </c>
      <c r="J989" s="162">
        <v>13.9</v>
      </c>
      <c r="K989" s="80" t="s">
        <v>1118</v>
      </c>
      <c r="L989" s="66">
        <f>IF(O989="","",N989*O989*M989)</f>
        <v>75</v>
      </c>
      <c r="M989" s="8">
        <v>1</v>
      </c>
      <c r="N989" s="3">
        <v>1</v>
      </c>
      <c r="O989" s="15">
        <f>IF(SUM(Q989:AF989)&lt;1,"",SUM(Q989:AF989)/COUNTIF(Q989:AF989,"&gt;0"))</f>
        <v>75</v>
      </c>
      <c r="P989" s="16"/>
      <c r="Q989" s="13"/>
      <c r="R989" s="4"/>
      <c r="S989" s="4"/>
      <c r="T989" s="4">
        <v>75</v>
      </c>
      <c r="U989" s="2"/>
      <c r="V989" s="2"/>
      <c r="W989" s="2"/>
      <c r="X989" s="2"/>
      <c r="Y989" s="4"/>
      <c r="Z989" s="2"/>
      <c r="AA989" s="2"/>
      <c r="AB989" s="4"/>
      <c r="AC989" s="4"/>
      <c r="AD989" s="4"/>
      <c r="AE989" s="4"/>
      <c r="AF989" s="14"/>
      <c r="AG989" s="3"/>
    </row>
    <row r="990" spans="1:33" ht="15.75" customHeight="1" x14ac:dyDescent="0.25">
      <c r="A990" s="33" t="str">
        <f>CONCATENATE(D990,".",F990,"-",G990,".",H990,"")</f>
        <v>2.3-5.1</v>
      </c>
      <c r="B990" s="33" t="s">
        <v>814</v>
      </c>
      <c r="C990" s="39" t="s">
        <v>262</v>
      </c>
      <c r="D990" s="33">
        <f>IF(C990="ID",1,(IF(C990="PR",2,(IF(C990="DE",3,(IF(C990="RS",4,(IF(C990="RC",5,0)))))))))</f>
        <v>2</v>
      </c>
      <c r="E990" s="33" t="s">
        <v>343</v>
      </c>
      <c r="F990" s="33">
        <f>IF(E990="AM",1,(IF(E990="BE",2,(IF(E990="GV",3,(IF(E990="RA",4,(IF(E990="RM",5,(IF(E990="AC",1,(IF(E990="AT",2,(IF(E990="DS",3,(IF(E990="IP",4,(IF(E990="MA",5,(IF(E990="PT",6,(IF(E990="AE",1,(IF(E990="CM",2,(IF(E990="DP",3,(IF(E990="AN",1,(IF(E990="CO",2,(IF(E990="IM",3,(IF(E990="MI",4,(IF(E990="RP",5,(IF(E990="SC",6,0)))))))))))))))))))))))))))))))))))))))</f>
        <v>3</v>
      </c>
      <c r="G990" s="170">
        <v>5</v>
      </c>
      <c r="H990" s="38" t="s">
        <v>511</v>
      </c>
      <c r="I990" s="35" t="s">
        <v>1176</v>
      </c>
      <c r="J990" s="162" t="s">
        <v>1177</v>
      </c>
      <c r="K990" s="80" t="s">
        <v>1109</v>
      </c>
      <c r="L990" s="66">
        <f>IF(O990="","",N990*O990*M990)</f>
        <v>75</v>
      </c>
      <c r="M990" s="8">
        <v>1</v>
      </c>
      <c r="N990" s="3">
        <v>1</v>
      </c>
      <c r="O990" s="15">
        <f>IF(SUM(Q990:AF990)&lt;1,"",SUM(Q990:AF990)/COUNTIF(Q990:AF990,"&gt;0"))</f>
        <v>75</v>
      </c>
      <c r="P990" s="16"/>
      <c r="Q990" s="13"/>
      <c r="R990" s="4"/>
      <c r="S990" s="4"/>
      <c r="T990" s="4">
        <v>75</v>
      </c>
      <c r="U990" s="2"/>
      <c r="V990" s="2"/>
      <c r="W990" s="2"/>
      <c r="X990" s="2"/>
      <c r="Y990" s="4"/>
      <c r="Z990" s="2"/>
      <c r="AA990" s="2"/>
      <c r="AB990" s="4"/>
      <c r="AC990" s="4"/>
      <c r="AD990" s="4"/>
      <c r="AE990" s="4"/>
      <c r="AF990" s="14"/>
      <c r="AG990" s="3"/>
    </row>
    <row r="991" spans="1:33" ht="15.75" customHeight="1" x14ac:dyDescent="0.25">
      <c r="A991" s="33" t="str">
        <f>CONCATENATE(D991,".",F991,"-",G991,".",H991,"")</f>
        <v>2.3-5.1</v>
      </c>
      <c r="B991" s="33" t="s">
        <v>814</v>
      </c>
      <c r="C991" s="40" t="s">
        <v>262</v>
      </c>
      <c r="D991" s="33">
        <f>IF(C991="ID",1,(IF(C991="PR",2,(IF(C991="DE",3,(IF(C991="RS",4,(IF(C991="RC",5,0)))))))))</f>
        <v>2</v>
      </c>
      <c r="E991" s="33" t="s">
        <v>343</v>
      </c>
      <c r="F991" s="33">
        <f>IF(E991="AM",1,(IF(E991="BE",2,(IF(E991="GV",3,(IF(E991="RA",4,(IF(E991="RM",5,(IF(E991="AC",1,(IF(E991="AT",2,(IF(E991="DS",3,(IF(E991="IP",4,(IF(E991="MA",5,(IF(E991="PT",6,(IF(E991="AE",1,(IF(E991="CM",2,(IF(E991="DP",3,(IF(E991="AN",1,(IF(E991="CO",2,(IF(E991="IM",3,(IF(E991="MI",4,(IF(E991="RP",5,(IF(E991="SC",6,0)))))))))))))))))))))))))))))))))))))))</f>
        <v>3</v>
      </c>
      <c r="G991" s="171">
        <v>5</v>
      </c>
      <c r="H991" s="38" t="s">
        <v>511</v>
      </c>
      <c r="I991" s="27" t="s">
        <v>936</v>
      </c>
      <c r="J991" s="163" t="s">
        <v>868</v>
      </c>
      <c r="K991" s="34" t="s">
        <v>978</v>
      </c>
      <c r="L991" s="66">
        <f>IF(O991="","",N991*O991*M991)</f>
        <v>75</v>
      </c>
      <c r="M991" s="8">
        <v>1</v>
      </c>
      <c r="N991" s="3">
        <v>1</v>
      </c>
      <c r="O991" s="15">
        <f>IF(SUM(Q991:AF991)&lt;1,"",SUM(Q991:AF991)/COUNTIF(Q991:AF991,"&gt;0"))</f>
        <v>75</v>
      </c>
      <c r="P991" s="16"/>
      <c r="Q991" s="13"/>
      <c r="R991" s="4"/>
      <c r="S991" s="4"/>
      <c r="T991" s="4">
        <v>75</v>
      </c>
      <c r="U991" s="2"/>
      <c r="V991" s="2"/>
      <c r="W991" s="2"/>
      <c r="X991" s="2"/>
      <c r="Y991" s="4"/>
      <c r="Z991" s="2"/>
      <c r="AA991" s="2"/>
      <c r="AB991" s="4"/>
      <c r="AC991" s="4"/>
      <c r="AD991" s="4"/>
      <c r="AE991" s="4"/>
      <c r="AF991" s="14"/>
      <c r="AG991" s="3"/>
    </row>
    <row r="992" spans="1:33" ht="15.75" customHeight="1" x14ac:dyDescent="0.25">
      <c r="A992" s="33" t="str">
        <f>CONCATENATE(D992,".",F992,"-",G992,".",H992,"")</f>
        <v>2.3-5.1</v>
      </c>
      <c r="B992" s="33" t="s">
        <v>814</v>
      </c>
      <c r="C992" s="40" t="s">
        <v>262</v>
      </c>
      <c r="D992" s="33">
        <f>IF(C992="ID",1,(IF(C992="PR",2,(IF(C992="DE",3,(IF(C992="RS",4,(IF(C992="RC",5,0)))))))))</f>
        <v>2</v>
      </c>
      <c r="E992" s="33" t="s">
        <v>343</v>
      </c>
      <c r="F992" s="33">
        <f>IF(E992="AM",1,(IF(E992="BE",2,(IF(E992="GV",3,(IF(E992="RA",4,(IF(E992="RM",5,(IF(E992="AC",1,(IF(E992="AT",2,(IF(E992="DS",3,(IF(E992="IP",4,(IF(E992="MA",5,(IF(E992="PT",6,(IF(E992="AE",1,(IF(E992="CM",2,(IF(E992="DP",3,(IF(E992="AN",1,(IF(E992="CO",2,(IF(E992="IM",3,(IF(E992="MI",4,(IF(E992="RP",5,(IF(E992="SC",6,0)))))))))))))))))))))))))))))))))))))))</f>
        <v>3</v>
      </c>
      <c r="G992" s="171">
        <v>5</v>
      </c>
      <c r="H992" s="38" t="s">
        <v>511</v>
      </c>
      <c r="I992" s="27" t="s">
        <v>936</v>
      </c>
      <c r="J992" s="163" t="s">
        <v>906</v>
      </c>
      <c r="K992" s="34" t="s">
        <v>941</v>
      </c>
      <c r="L992" s="66">
        <f>IF(O992="","",N992*O992*M992)</f>
        <v>75</v>
      </c>
      <c r="M992" s="8">
        <v>1</v>
      </c>
      <c r="N992" s="3">
        <v>1</v>
      </c>
      <c r="O992" s="15">
        <f>IF(SUM(Q992:AF992)&lt;1,"",SUM(Q992:AF992)/COUNTIF(Q992:AF992,"&gt;0"))</f>
        <v>75</v>
      </c>
      <c r="P992" s="16"/>
      <c r="Q992" s="13"/>
      <c r="R992" s="4"/>
      <c r="S992" s="4"/>
      <c r="T992" s="4">
        <v>75</v>
      </c>
      <c r="U992" s="2"/>
      <c r="V992" s="2"/>
      <c r="W992" s="2"/>
      <c r="X992" s="2"/>
      <c r="Y992" s="4"/>
      <c r="Z992" s="2"/>
      <c r="AA992" s="2"/>
      <c r="AB992" s="4"/>
      <c r="AC992" s="4"/>
      <c r="AD992" s="4"/>
      <c r="AE992" s="4"/>
      <c r="AF992" s="14"/>
      <c r="AG992" s="3"/>
    </row>
    <row r="993" spans="1:33" s="4" customFormat="1" ht="15.75" customHeight="1" x14ac:dyDescent="0.25">
      <c r="A993" s="33" t="str">
        <f>CONCATENATE(D993,".",F993,"-",G993,".",H993,"")</f>
        <v>2.3-5.1</v>
      </c>
      <c r="B993" s="33" t="s">
        <v>814</v>
      </c>
      <c r="C993" s="40" t="s">
        <v>262</v>
      </c>
      <c r="D993" s="33">
        <f>IF(C993="ID",1,(IF(C993="PR",2,(IF(C993="DE",3,(IF(C993="RS",4,(IF(C993="RC",5,0)))))))))</f>
        <v>2</v>
      </c>
      <c r="E993" s="33" t="s">
        <v>343</v>
      </c>
      <c r="F993" s="33">
        <f>IF(E993="AM",1,(IF(E993="BE",2,(IF(E993="GV",3,(IF(E993="RA",4,(IF(E993="RM",5,(IF(E993="AC",1,(IF(E993="AT",2,(IF(E993="DS",3,(IF(E993="IP",4,(IF(E993="MA",5,(IF(E993="PT",6,(IF(E993="AE",1,(IF(E993="CM",2,(IF(E993="DP",3,(IF(E993="AN",1,(IF(E993="CO",2,(IF(E993="IM",3,(IF(E993="MI",4,(IF(E993="RP",5,(IF(E993="SC",6,0)))))))))))))))))))))))))))))))))))))))</f>
        <v>3</v>
      </c>
      <c r="G993" s="171">
        <v>5</v>
      </c>
      <c r="H993" s="38" t="s">
        <v>511</v>
      </c>
      <c r="I993" s="27" t="s">
        <v>936</v>
      </c>
      <c r="J993" s="163" t="s">
        <v>907</v>
      </c>
      <c r="K993" s="34" t="s">
        <v>942</v>
      </c>
      <c r="L993" s="66">
        <f>IF(O993="","",N993*O993*M993)</f>
        <v>75</v>
      </c>
      <c r="M993" s="8">
        <v>1</v>
      </c>
      <c r="N993" s="3">
        <v>1</v>
      </c>
      <c r="O993" s="15">
        <f>IF(SUM(Q993:AF993)&lt;1,"",SUM(Q993:AF993)/COUNTIF(Q993:AF993,"&gt;0"))</f>
        <v>75</v>
      </c>
      <c r="P993" s="16"/>
      <c r="Q993" s="13"/>
      <c r="T993" s="4">
        <v>75</v>
      </c>
      <c r="U993" s="2"/>
      <c r="V993" s="2"/>
      <c r="W993" s="2"/>
      <c r="X993" s="2"/>
      <c r="Z993" s="2"/>
      <c r="AA993" s="2"/>
      <c r="AF993" s="14"/>
    </row>
    <row r="994" spans="1:33" s="4" customFormat="1" ht="15.75" customHeight="1" x14ac:dyDescent="0.25">
      <c r="A994" s="33" t="str">
        <f>CONCATENATE(D994,".",F994,"-",G994,".",H994,"")</f>
        <v>2.3-5.1</v>
      </c>
      <c r="B994" s="33" t="s">
        <v>814</v>
      </c>
      <c r="C994" s="39" t="s">
        <v>262</v>
      </c>
      <c r="D994" s="33">
        <f>IF(C994="ID",1,(IF(C994="PR",2,(IF(C994="DE",3,(IF(C994="RS",4,(IF(C994="RC",5,0)))))))))</f>
        <v>2</v>
      </c>
      <c r="E994" s="33" t="s">
        <v>343</v>
      </c>
      <c r="F994" s="33">
        <f>IF(E994="AM",1,(IF(E994="BE",2,(IF(E994="GV",3,(IF(E994="RA",4,(IF(E994="RM",5,(IF(E994="AC",1,(IF(E994="AT",2,(IF(E994="DS",3,(IF(E994="IP",4,(IF(E994="MA",5,(IF(E994="PT",6,(IF(E994="AE",1,(IF(E994="CM",2,(IF(E994="DP",3,(IF(E994="AN",1,(IF(E994="CO",2,(IF(E994="IM",3,(IF(E994="MI",4,(IF(E994="RP",5,(IF(E994="SC",6,0)))))))))))))))))))))))))))))))))))))))</f>
        <v>3</v>
      </c>
      <c r="G994" s="170">
        <v>5</v>
      </c>
      <c r="H994" s="38" t="s">
        <v>511</v>
      </c>
      <c r="I994" s="105" t="s">
        <v>821</v>
      </c>
      <c r="J994" s="150" t="s">
        <v>24</v>
      </c>
      <c r="K994" s="79" t="s">
        <v>1283</v>
      </c>
      <c r="L994" s="66">
        <f>IF(O994="","",N994*O994*M994)</f>
        <v>75</v>
      </c>
      <c r="M994" s="81">
        <v>1</v>
      </c>
      <c r="N994" s="3">
        <v>1</v>
      </c>
      <c r="O994" s="15">
        <f>IF(SUM(Q994:AF994)&lt;1,"",SUM(Q994:AF994)/COUNTIF(Q994:AF994,"&gt;0"))</f>
        <v>75</v>
      </c>
      <c r="P994" s="16"/>
      <c r="Q994" s="13"/>
      <c r="T994" s="4">
        <v>75</v>
      </c>
      <c r="X994" s="2"/>
      <c r="Z994" s="2"/>
      <c r="AA994" s="2"/>
      <c r="AF994" s="14"/>
    </row>
    <row r="995" spans="1:33" s="4" customFormat="1" ht="15.75" customHeight="1" x14ac:dyDescent="0.25">
      <c r="A995" s="33" t="str">
        <f>CONCATENATE(D995,".",F995,"-",G995,".",H995,"")</f>
        <v>2.3-5.1</v>
      </c>
      <c r="B995" s="33" t="s">
        <v>814</v>
      </c>
      <c r="C995" s="39" t="s">
        <v>262</v>
      </c>
      <c r="D995" s="33">
        <f>IF(C995="ID",1,(IF(C995="PR",2,(IF(C995="DE",3,(IF(C995="RS",4,(IF(C995="RC",5,0)))))))))</f>
        <v>2</v>
      </c>
      <c r="E995" s="33" t="s">
        <v>343</v>
      </c>
      <c r="F995" s="33">
        <f>IF(E995="AM",1,(IF(E995="BE",2,(IF(E995="GV",3,(IF(E995="RA",4,(IF(E995="RM",5,(IF(E995="AC",1,(IF(E995="AT",2,(IF(E995="DS",3,(IF(E995="IP",4,(IF(E995="MA",5,(IF(E995="PT",6,(IF(E995="AE",1,(IF(E995="CM",2,(IF(E995="DP",3,(IF(E995="AN",1,(IF(E995="CO",2,(IF(E995="IM",3,(IF(E995="MI",4,(IF(E995="RP",5,(IF(E995="SC",6,0)))))))))))))))))))))))))))))))))))))))</f>
        <v>3</v>
      </c>
      <c r="G995" s="170">
        <v>5</v>
      </c>
      <c r="H995" s="38" t="s">
        <v>511</v>
      </c>
      <c r="I995" s="105" t="s">
        <v>821</v>
      </c>
      <c r="J995" s="150" t="s">
        <v>146</v>
      </c>
      <c r="K995" s="79" t="s">
        <v>1283</v>
      </c>
      <c r="L995" s="66">
        <f>IF(O995="","",N995*O995*M995)</f>
        <v>75</v>
      </c>
      <c r="M995" s="8">
        <v>1</v>
      </c>
      <c r="N995" s="3">
        <v>1</v>
      </c>
      <c r="O995" s="15">
        <f>IF(SUM(Q995:AF995)&lt;1,"",SUM(Q995:AF995)/COUNTIF(Q995:AF995,"&gt;0"))</f>
        <v>75</v>
      </c>
      <c r="P995" s="16"/>
      <c r="Q995" s="13"/>
      <c r="T995" s="4">
        <v>75</v>
      </c>
      <c r="U995" s="2"/>
      <c r="V995" s="2"/>
      <c r="W995" s="2"/>
      <c r="X995" s="2"/>
      <c r="Z995" s="2"/>
      <c r="AA995" s="2"/>
      <c r="AF995" s="14"/>
    </row>
    <row r="996" spans="1:33" s="4" customFormat="1" ht="15.75" customHeight="1" x14ac:dyDescent="0.25">
      <c r="A996" s="33" t="str">
        <f>CONCATENATE(D996,".",F996,"-",G996,".",H996,"")</f>
        <v>2.3-5.1</v>
      </c>
      <c r="B996" s="33" t="s">
        <v>814</v>
      </c>
      <c r="C996" s="39" t="s">
        <v>262</v>
      </c>
      <c r="D996" s="33">
        <f>IF(C996="ID",1,(IF(C996="PR",2,(IF(C996="DE",3,(IF(C996="RS",4,(IF(C996="RC",5,0)))))))))</f>
        <v>2</v>
      </c>
      <c r="E996" s="33" t="s">
        <v>343</v>
      </c>
      <c r="F996" s="33">
        <f>IF(E996="AM",1,(IF(E996="BE",2,(IF(E996="GV",3,(IF(E996="RA",4,(IF(E996="RM",5,(IF(E996="AC",1,(IF(E996="AT",2,(IF(E996="DS",3,(IF(E996="IP",4,(IF(E996="MA",5,(IF(E996="PT",6,(IF(E996="AE",1,(IF(E996="CM",2,(IF(E996="DP",3,(IF(E996="AN",1,(IF(E996="CO",2,(IF(E996="IM",3,(IF(E996="MI",4,(IF(E996="RP",5,(IF(E996="SC",6,0)))))))))))))))))))))))))))))))))))))))</f>
        <v>3</v>
      </c>
      <c r="G996" s="170">
        <v>5</v>
      </c>
      <c r="H996" s="33">
        <v>1</v>
      </c>
      <c r="I996" s="27" t="s">
        <v>266</v>
      </c>
      <c r="J996" s="150" t="s">
        <v>11</v>
      </c>
      <c r="K996" s="79" t="s">
        <v>1306</v>
      </c>
      <c r="L996" s="5">
        <f>IF(O996="","",N996*O996*M996)</f>
        <v>75</v>
      </c>
      <c r="M996" s="8">
        <v>1</v>
      </c>
      <c r="N996" s="1">
        <v>1</v>
      </c>
      <c r="O996" s="15">
        <f>IF(SUM(Q996:AF996)&lt;1,"",SUM(Q996:AF996)/COUNTIF(Q996:AF996,"&gt;0"))</f>
        <v>75</v>
      </c>
      <c r="P996" s="16"/>
      <c r="Q996" s="13"/>
      <c r="R996" s="3"/>
      <c r="S996" s="3"/>
      <c r="T996" s="4">
        <v>75</v>
      </c>
      <c r="U996" s="3"/>
      <c r="V996" s="3"/>
      <c r="W996" s="3"/>
      <c r="X996" s="3"/>
      <c r="Y996" s="3"/>
      <c r="Z996" s="3"/>
      <c r="AA996" s="3"/>
      <c r="AB996" s="3"/>
      <c r="AC996" s="3"/>
      <c r="AD996" s="3"/>
      <c r="AE996" s="3"/>
      <c r="AF996" s="104"/>
    </row>
    <row r="997" spans="1:33" s="4" customFormat="1" ht="15.75" customHeight="1" x14ac:dyDescent="0.25">
      <c r="A997" s="33" t="str">
        <f>CONCATENATE(D997,".",F997,"-",G997,".",H997,"")</f>
        <v>2.3-5.1</v>
      </c>
      <c r="B997" s="33" t="s">
        <v>814</v>
      </c>
      <c r="C997" s="41" t="s">
        <v>262</v>
      </c>
      <c r="D997" s="33">
        <f>IF(C997="ID",1,(IF(C997="PR",2,(IF(C997="DE",3,(IF(C997="RS",4,(IF(C997="RC",5,0)))))))))</f>
        <v>2</v>
      </c>
      <c r="E997" s="33" t="s">
        <v>343</v>
      </c>
      <c r="F997" s="33">
        <f>IF(E997="AM",1,(IF(E997="BE",2,(IF(E997="GV",3,(IF(E997="RA",4,(IF(E997="RM",5,(IF(E997="AC",1,(IF(E997="AT",2,(IF(E997="DS",3,(IF(E997="IP",4,(IF(E997="MA",5,(IF(E997="PT",6,(IF(E997="AE",1,(IF(E997="CM",2,(IF(E997="DP",3,(IF(E997="AN",1,(IF(E997="CO",2,(IF(E997="IM",3,(IF(E997="MI",4,(IF(E997="RP",5,(IF(E997="SC",6,0)))))))))))))))))))))))))))))))))))))))</f>
        <v>3</v>
      </c>
      <c r="G997" s="170">
        <v>5</v>
      </c>
      <c r="H997" s="38" t="s">
        <v>511</v>
      </c>
      <c r="I997" s="27" t="s">
        <v>266</v>
      </c>
      <c r="J997" s="149" t="s">
        <v>2</v>
      </c>
      <c r="K997" s="79" t="s">
        <v>1335</v>
      </c>
      <c r="L997" s="5">
        <f>IF(O997="","",N997*O997*M997)</f>
        <v>75</v>
      </c>
      <c r="M997" s="8">
        <v>1</v>
      </c>
      <c r="N997" s="1">
        <v>1</v>
      </c>
      <c r="O997" s="15">
        <f>IF(SUM(Q997:AF997)&lt;1,"",SUM(Q997:AF997)/COUNTIF(Q997:AF997,"&gt;0"))</f>
        <v>75</v>
      </c>
      <c r="P997" s="16"/>
      <c r="Q997" s="13"/>
      <c r="T997" s="4">
        <v>75</v>
      </c>
      <c r="U997" s="2"/>
      <c r="V997" s="2"/>
      <c r="W997" s="2"/>
      <c r="X997" s="2"/>
      <c r="Z997" s="2"/>
      <c r="AA997" s="2"/>
      <c r="AF997" s="14"/>
    </row>
    <row r="998" spans="1:33" s="4" customFormat="1" ht="15.75" customHeight="1" x14ac:dyDescent="0.25">
      <c r="A998" s="33" t="str">
        <f>CONCATENATE(D998,".",F998,"-",G998,".",H998,"")</f>
        <v>2.3-5.1</v>
      </c>
      <c r="B998" s="33" t="s">
        <v>814</v>
      </c>
      <c r="C998" s="41" t="s">
        <v>262</v>
      </c>
      <c r="D998" s="33">
        <f>IF(C998="ID",1,(IF(C998="PR",2,(IF(C998="DE",3,(IF(C998="RS",4,(IF(C998="RC",5,0)))))))))</f>
        <v>2</v>
      </c>
      <c r="E998" s="33" t="s">
        <v>343</v>
      </c>
      <c r="F998" s="33">
        <f>IF(E998="AM",1,(IF(E998="BE",2,(IF(E998="GV",3,(IF(E998="RA",4,(IF(E998="RM",5,(IF(E998="AC",1,(IF(E998="AT",2,(IF(E998="DS",3,(IF(E998="IP",4,(IF(E998="MA",5,(IF(E998="PT",6,(IF(E998="AE",1,(IF(E998="CM",2,(IF(E998="DP",3,(IF(E998="AN",1,(IF(E998="CO",2,(IF(E998="IM",3,(IF(E998="MI",4,(IF(E998="RP",5,(IF(E998="SC",6,0)))))))))))))))))))))))))))))))))))))))</f>
        <v>3</v>
      </c>
      <c r="G998" s="170">
        <v>5</v>
      </c>
      <c r="H998" s="38" t="s">
        <v>511</v>
      </c>
      <c r="I998" s="27" t="s">
        <v>266</v>
      </c>
      <c r="J998" s="149" t="s">
        <v>331</v>
      </c>
      <c r="K998" s="79" t="s">
        <v>1337</v>
      </c>
      <c r="L998" s="5">
        <f>IF(O998="","",N998*O998*M998)</f>
        <v>75</v>
      </c>
      <c r="M998" s="8">
        <v>1</v>
      </c>
      <c r="N998" s="1">
        <v>1</v>
      </c>
      <c r="O998" s="15">
        <f>IF(SUM(Q998:AF998)&lt;1,"",SUM(Q998:AF998)/COUNTIF(Q998:AF998,"&gt;0"))</f>
        <v>75</v>
      </c>
      <c r="P998" s="16"/>
      <c r="Q998" s="13"/>
      <c r="T998" s="4">
        <v>75</v>
      </c>
      <c r="U998" s="2"/>
      <c r="V998" s="2"/>
      <c r="W998" s="2"/>
      <c r="X998" s="2"/>
      <c r="Z998" s="2"/>
      <c r="AA998" s="2"/>
      <c r="AF998" s="14"/>
    </row>
    <row r="999" spans="1:33" s="4" customFormat="1" ht="15.75" customHeight="1" x14ac:dyDescent="0.25">
      <c r="A999" s="33" t="str">
        <f>CONCATENATE(D999,".",F999,"-",G999,".",H999,"")</f>
        <v>2.3-5.1</v>
      </c>
      <c r="B999" s="33" t="s">
        <v>814</v>
      </c>
      <c r="C999" s="41" t="s">
        <v>262</v>
      </c>
      <c r="D999" s="33">
        <f>IF(C999="ID",1,(IF(C999="PR",2,(IF(C999="DE",3,(IF(C999="RS",4,(IF(C999="RC",5,0)))))))))</f>
        <v>2</v>
      </c>
      <c r="E999" s="33" t="s">
        <v>343</v>
      </c>
      <c r="F999" s="33">
        <f>IF(E999="AM",1,(IF(E999="BE",2,(IF(E999="GV",3,(IF(E999="RA",4,(IF(E999="RM",5,(IF(E999="AC",1,(IF(E999="AT",2,(IF(E999="DS",3,(IF(E999="IP",4,(IF(E999="MA",5,(IF(E999="PT",6,(IF(E999="AE",1,(IF(E999="CM",2,(IF(E999="DP",3,(IF(E999="AN",1,(IF(E999="CO",2,(IF(E999="IM",3,(IF(E999="MI",4,(IF(E999="RP",5,(IF(E999="SC",6,0)))))))))))))))))))))))))))))))))))))))</f>
        <v>3</v>
      </c>
      <c r="G999" s="170">
        <v>5</v>
      </c>
      <c r="H999" s="38" t="s">
        <v>511</v>
      </c>
      <c r="I999" s="27" t="s">
        <v>266</v>
      </c>
      <c r="J999" s="149" t="s">
        <v>333</v>
      </c>
      <c r="K999" s="79" t="s">
        <v>1338</v>
      </c>
      <c r="L999" s="5">
        <f>IF(O999="","",N999*O999*M999)</f>
        <v>75</v>
      </c>
      <c r="M999" s="8">
        <v>1</v>
      </c>
      <c r="N999" s="1">
        <v>1</v>
      </c>
      <c r="O999" s="15">
        <f>IF(SUM(Q999:AF999)&lt;1,"",SUM(Q999:AF999)/COUNTIF(Q999:AF999,"&gt;0"))</f>
        <v>75</v>
      </c>
      <c r="P999" s="16"/>
      <c r="Q999" s="13"/>
      <c r="T999" s="4">
        <v>75</v>
      </c>
      <c r="U999" s="2"/>
      <c r="V999" s="2"/>
      <c r="W999" s="2"/>
      <c r="X999" s="2"/>
      <c r="Z999" s="2"/>
      <c r="AA999" s="2"/>
      <c r="AF999" s="14"/>
    </row>
    <row r="1000" spans="1:33" s="4" customFormat="1" ht="15.75" customHeight="1" x14ac:dyDescent="0.25">
      <c r="A1000" s="33" t="str">
        <f>CONCATENATE(D1000,".",F1000,"-",G1000,".",H1000,"")</f>
        <v>2.3-5.1</v>
      </c>
      <c r="B1000" s="33" t="s">
        <v>814</v>
      </c>
      <c r="C1000" s="39" t="s">
        <v>262</v>
      </c>
      <c r="D1000" s="33">
        <f>IF(C1000="ID",1,(IF(C1000="PR",2,(IF(C1000="DE",3,(IF(C1000="RS",4,(IF(C1000="RC",5,0)))))))))</f>
        <v>2</v>
      </c>
      <c r="E1000" s="33" t="s">
        <v>343</v>
      </c>
      <c r="F1000" s="33">
        <f>IF(E1000="AM",1,(IF(E1000="BE",2,(IF(E1000="GV",3,(IF(E1000="RA",4,(IF(E1000="RM",5,(IF(E1000="AC",1,(IF(E1000="AT",2,(IF(E1000="DS",3,(IF(E1000="IP",4,(IF(E1000="MA",5,(IF(E1000="PT",6,(IF(E1000="AE",1,(IF(E1000="CM",2,(IF(E1000="DP",3,(IF(E1000="AN",1,(IF(E1000="CO",2,(IF(E1000="IM",3,(IF(E1000="MI",4,(IF(E1000="RP",5,(IF(E1000="SC",6,0)))))))))))))))))))))))))))))))))))))))</f>
        <v>3</v>
      </c>
      <c r="G1000" s="170">
        <v>5</v>
      </c>
      <c r="H1000" s="38" t="s">
        <v>511</v>
      </c>
      <c r="I1000" s="27" t="s">
        <v>266</v>
      </c>
      <c r="J1000" s="149" t="s">
        <v>19</v>
      </c>
      <c r="K1000" s="79" t="s">
        <v>1342</v>
      </c>
      <c r="L1000" s="66">
        <f>IF(O1000="","",N1000*O1000*M1000)</f>
        <v>75</v>
      </c>
      <c r="M1000" s="8">
        <v>1</v>
      </c>
      <c r="N1000" s="1">
        <v>1</v>
      </c>
      <c r="O1000" s="15">
        <f>IF(SUM(Q1000:AF1000)&lt;1,"",SUM(Q1000:AF1000)/COUNTIF(Q1000:AF1000,"&gt;0"))</f>
        <v>75</v>
      </c>
      <c r="P1000" s="16"/>
      <c r="Q1000" s="13"/>
      <c r="T1000" s="4">
        <v>75</v>
      </c>
      <c r="U1000" s="2"/>
      <c r="V1000" s="2"/>
      <c r="W1000" s="2"/>
      <c r="X1000" s="2"/>
      <c r="Z1000" s="2"/>
      <c r="AA1000" s="2"/>
      <c r="AF1000" s="14"/>
    </row>
    <row r="1001" spans="1:33" s="4" customFormat="1" ht="15.75" customHeight="1" x14ac:dyDescent="0.25">
      <c r="A1001" s="33" t="str">
        <f>CONCATENATE(D1001,".",F1001,"-",G1001,".",H1001,"")</f>
        <v>2.3-5.1</v>
      </c>
      <c r="B1001" s="33" t="s">
        <v>814</v>
      </c>
      <c r="C1001" s="41" t="s">
        <v>262</v>
      </c>
      <c r="D1001" s="33">
        <f>IF(C1001="ID",1,(IF(C1001="PR",2,(IF(C1001="DE",3,(IF(C1001="RS",4,(IF(C1001="RC",5,0)))))))))</f>
        <v>2</v>
      </c>
      <c r="E1001" s="33" t="s">
        <v>343</v>
      </c>
      <c r="F1001" s="33">
        <f>IF(E1001="AM",1,(IF(E1001="BE",2,(IF(E1001="GV",3,(IF(E1001="RA",4,(IF(E1001="RM",5,(IF(E1001="AC",1,(IF(E1001="AT",2,(IF(E1001="DS",3,(IF(E1001="IP",4,(IF(E1001="MA",5,(IF(E1001="PT",6,(IF(E1001="AE",1,(IF(E1001="CM",2,(IF(E1001="DP",3,(IF(E1001="AN",1,(IF(E1001="CO",2,(IF(E1001="IM",3,(IF(E1001="MI",4,(IF(E1001="RP",5,(IF(E1001="SC",6,0)))))))))))))))))))))))))))))))))))))))</f>
        <v>3</v>
      </c>
      <c r="G1001" s="170">
        <v>5</v>
      </c>
      <c r="H1001" s="38" t="s">
        <v>511</v>
      </c>
      <c r="I1001" s="27" t="s">
        <v>266</v>
      </c>
      <c r="J1001" s="149" t="s">
        <v>20</v>
      </c>
      <c r="K1001" s="79" t="s">
        <v>1343</v>
      </c>
      <c r="L1001" s="5">
        <f>IF(O1001="","",N1001*O1001*M1001)</f>
        <v>75</v>
      </c>
      <c r="M1001" s="8">
        <v>1</v>
      </c>
      <c r="N1001" s="1">
        <v>1</v>
      </c>
      <c r="O1001" s="15">
        <f>IF(SUM(Q1001:AF1001)&lt;1,"",SUM(Q1001:AF1001)/COUNTIF(Q1001:AF1001,"&gt;0"))</f>
        <v>75</v>
      </c>
      <c r="P1001" s="16"/>
      <c r="Q1001" s="13"/>
      <c r="T1001" s="4">
        <v>75</v>
      </c>
      <c r="U1001" s="2"/>
      <c r="V1001" s="2"/>
      <c r="W1001" s="2"/>
      <c r="X1001" s="2"/>
      <c r="Z1001" s="2"/>
      <c r="AA1001" s="2"/>
      <c r="AF1001" s="14"/>
    </row>
    <row r="1002" spans="1:33" s="4" customFormat="1" ht="15.75" customHeight="1" x14ac:dyDescent="0.25">
      <c r="A1002" s="33" t="str">
        <f>CONCATENATE(D1002,".",F1002,"-",G1002,".",H1002,"")</f>
        <v>2.3-5.1</v>
      </c>
      <c r="B1002" s="33" t="s">
        <v>814</v>
      </c>
      <c r="C1002" s="39" t="s">
        <v>262</v>
      </c>
      <c r="D1002" s="33">
        <f>IF(C1002="ID",1,(IF(C1002="PR",2,(IF(C1002="DE",3,(IF(C1002="RS",4,(IF(C1002="RC",5,0)))))))))</f>
        <v>2</v>
      </c>
      <c r="E1002" s="33" t="s">
        <v>343</v>
      </c>
      <c r="F1002" s="33">
        <f>IF(E1002="AM",1,(IF(E1002="BE",2,(IF(E1002="GV",3,(IF(E1002="RA",4,(IF(E1002="RM",5,(IF(E1002="AC",1,(IF(E1002="AT",2,(IF(E1002="DS",3,(IF(E1002="IP",4,(IF(E1002="MA",5,(IF(E1002="PT",6,(IF(E1002="AE",1,(IF(E1002="CM",2,(IF(E1002="DP",3,(IF(E1002="AN",1,(IF(E1002="CO",2,(IF(E1002="IM",3,(IF(E1002="MI",4,(IF(E1002="RP",5,(IF(E1002="SC",6,0)))))))))))))))))))))))))))))))))))))))</f>
        <v>3</v>
      </c>
      <c r="G1002" s="170">
        <v>5</v>
      </c>
      <c r="H1002" s="33">
        <v>1</v>
      </c>
      <c r="I1002" s="27" t="s">
        <v>266</v>
      </c>
      <c r="J1002" s="150" t="s">
        <v>23</v>
      </c>
      <c r="K1002" s="79" t="s">
        <v>1384</v>
      </c>
      <c r="L1002" s="5">
        <f>IF(O1002="","",N1002*O1002*M1002)</f>
        <v>75</v>
      </c>
      <c r="M1002" s="8">
        <v>1</v>
      </c>
      <c r="N1002" s="1">
        <v>1</v>
      </c>
      <c r="O1002" s="15">
        <f>IF(SUM(Q1002:AF1002)&lt;1,"",SUM(Q1002:AF1002)/COUNTIF(Q1002:AF1002,"&gt;0"))</f>
        <v>75</v>
      </c>
      <c r="P1002" s="16"/>
      <c r="Q1002" s="13"/>
      <c r="R1002" s="3"/>
      <c r="S1002" s="3"/>
      <c r="T1002" s="4">
        <v>75</v>
      </c>
      <c r="U1002" s="3"/>
      <c r="V1002" s="3"/>
      <c r="W1002" s="3"/>
      <c r="X1002" s="3"/>
      <c r="Y1002" s="3"/>
      <c r="Z1002" s="3"/>
      <c r="AA1002" s="3"/>
      <c r="AB1002" s="3"/>
      <c r="AC1002" s="3"/>
      <c r="AD1002" s="3"/>
      <c r="AE1002" s="3"/>
      <c r="AF1002" s="104"/>
    </row>
    <row r="1003" spans="1:33" s="4" customFormat="1" ht="15.75" customHeight="1" x14ac:dyDescent="0.25">
      <c r="A1003" s="33" t="str">
        <f>CONCATENATE(D1003,".",F1003,"-",G1003,".",H1003,"")</f>
        <v>2.3-5.1</v>
      </c>
      <c r="B1003" s="33" t="s">
        <v>814</v>
      </c>
      <c r="C1003" s="39" t="s">
        <v>262</v>
      </c>
      <c r="D1003" s="33">
        <f>IF(C1003="ID",1,(IF(C1003="PR",2,(IF(C1003="DE",3,(IF(C1003="RS",4,(IF(C1003="RC",5,0)))))))))</f>
        <v>2</v>
      </c>
      <c r="E1003" s="33" t="s">
        <v>343</v>
      </c>
      <c r="F1003" s="33">
        <f>IF(E1003="AM",1,(IF(E1003="BE",2,(IF(E1003="GV",3,(IF(E1003="RA",4,(IF(E1003="RM",5,(IF(E1003="AC",1,(IF(E1003="AT",2,(IF(E1003="DS",3,(IF(E1003="IP",4,(IF(E1003="MA",5,(IF(E1003="PT",6,(IF(E1003="AE",1,(IF(E1003="CM",2,(IF(E1003="DP",3,(IF(E1003="AN",1,(IF(E1003="CO",2,(IF(E1003="IM",3,(IF(E1003="MI",4,(IF(E1003="RP",5,(IF(E1003="SC",6,0)))))))))))))))))))))))))))))))))))))))</f>
        <v>3</v>
      </c>
      <c r="G1003" s="170">
        <v>5</v>
      </c>
      <c r="H1003" s="33">
        <v>1</v>
      </c>
      <c r="I1003" s="27" t="s">
        <v>266</v>
      </c>
      <c r="J1003" s="149" t="s">
        <v>23</v>
      </c>
      <c r="K1003" s="79" t="s">
        <v>1384</v>
      </c>
      <c r="L1003" s="5">
        <f>IF(O1003="","",N1003*O1003*M1003)</f>
        <v>75</v>
      </c>
      <c r="M1003" s="8">
        <v>1</v>
      </c>
      <c r="N1003" s="1">
        <v>1</v>
      </c>
      <c r="O1003" s="15">
        <f>IF(SUM(Q1003:AF1003)&lt;1,"",SUM(Q1003:AF1003)/COUNTIF(Q1003:AF1003,"&gt;0"))</f>
        <v>75</v>
      </c>
      <c r="P1003" s="16"/>
      <c r="Q1003" s="13"/>
      <c r="R1003" s="3"/>
      <c r="S1003" s="3"/>
      <c r="T1003" s="4">
        <v>75</v>
      </c>
      <c r="U1003" s="3"/>
      <c r="V1003" s="3"/>
      <c r="W1003" s="3"/>
      <c r="X1003" s="3"/>
      <c r="Y1003" s="3"/>
      <c r="Z1003" s="3"/>
      <c r="AA1003" s="3"/>
      <c r="AB1003" s="3"/>
      <c r="AC1003" s="3"/>
      <c r="AD1003" s="3"/>
      <c r="AE1003" s="3"/>
      <c r="AF1003" s="104"/>
    </row>
    <row r="1004" spans="1:33" s="4" customFormat="1" ht="15.75" customHeight="1" x14ac:dyDescent="0.25">
      <c r="A1004" s="33" t="str">
        <f>CONCATENATE(D1004,".",F1004,"-",G1004,".",H1004,"")</f>
        <v>2.3-5.1</v>
      </c>
      <c r="B1004" s="33" t="s">
        <v>814</v>
      </c>
      <c r="C1004" s="41" t="s">
        <v>262</v>
      </c>
      <c r="D1004" s="33">
        <f>IF(C1004="ID",1,(IF(C1004="PR",2,(IF(C1004="DE",3,(IF(C1004="RS",4,(IF(C1004="RC",5,0)))))))))</f>
        <v>2</v>
      </c>
      <c r="E1004" s="33" t="s">
        <v>343</v>
      </c>
      <c r="F1004" s="33">
        <f>IF(E1004="AM",1,(IF(E1004="BE",2,(IF(E1004="GV",3,(IF(E1004="RA",4,(IF(E1004="RM",5,(IF(E1004="AC",1,(IF(E1004="AT",2,(IF(E1004="DS",3,(IF(E1004="IP",4,(IF(E1004="MA",5,(IF(E1004="PT",6,(IF(E1004="AE",1,(IF(E1004="CM",2,(IF(E1004="DP",3,(IF(E1004="AN",1,(IF(E1004="CO",2,(IF(E1004="IM",3,(IF(E1004="MI",4,(IF(E1004="RP",5,(IF(E1004="SC",6,0)))))))))))))))))))))))))))))))))))))))</f>
        <v>3</v>
      </c>
      <c r="G1004" s="170">
        <v>5</v>
      </c>
      <c r="H1004" s="38" t="s">
        <v>511</v>
      </c>
      <c r="I1004" s="27" t="s">
        <v>266</v>
      </c>
      <c r="J1004" s="149" t="s">
        <v>267</v>
      </c>
      <c r="K1004" s="79" t="s">
        <v>1408</v>
      </c>
      <c r="L1004" s="5">
        <f>IF(O1004="","",N1004*O1004*M1004)</f>
        <v>75</v>
      </c>
      <c r="M1004" s="8">
        <v>1</v>
      </c>
      <c r="N1004" s="1">
        <v>1</v>
      </c>
      <c r="O1004" s="15">
        <f>IF(SUM(Q1004:AF1004)&lt;1,"",SUM(Q1004:AF1004)/COUNTIF(Q1004:AF1004,"&gt;0"))</f>
        <v>75</v>
      </c>
      <c r="P1004" s="16"/>
      <c r="Q1004" s="13"/>
      <c r="T1004" s="4">
        <v>75</v>
      </c>
      <c r="U1004" s="2"/>
      <c r="V1004" s="2"/>
      <c r="W1004" s="2"/>
      <c r="X1004" s="2"/>
      <c r="Z1004" s="2"/>
      <c r="AA1004" s="2"/>
      <c r="AF1004" s="14"/>
    </row>
    <row r="1005" spans="1:33" s="4" customFormat="1" ht="15.75" customHeight="1" x14ac:dyDescent="0.25">
      <c r="A1005" s="33" t="str">
        <f>CONCATENATE(D1005,".",F1005,"-",G1005,".",H1005,"")</f>
        <v>2.3-5.1</v>
      </c>
      <c r="B1005" s="33" t="s">
        <v>814</v>
      </c>
      <c r="C1005" s="41" t="s">
        <v>262</v>
      </c>
      <c r="D1005" s="33">
        <f>IF(C1005="ID",1,(IF(C1005="PR",2,(IF(C1005="DE",3,(IF(C1005="RS",4,(IF(C1005="RC",5,0)))))))))</f>
        <v>2</v>
      </c>
      <c r="E1005" s="33" t="s">
        <v>343</v>
      </c>
      <c r="F1005" s="33">
        <f>IF(E1005="AM",1,(IF(E1005="BE",2,(IF(E1005="GV",3,(IF(E1005="RA",4,(IF(E1005="RM",5,(IF(E1005="AC",1,(IF(E1005="AT",2,(IF(E1005="DS",3,(IF(E1005="IP",4,(IF(E1005="MA",5,(IF(E1005="PT",6,(IF(E1005="AE",1,(IF(E1005="CM",2,(IF(E1005="DP",3,(IF(E1005="AN",1,(IF(E1005="CO",2,(IF(E1005="IM",3,(IF(E1005="MI",4,(IF(E1005="RP",5,(IF(E1005="SC",6,0)))))))))))))))))))))))))))))))))))))))</f>
        <v>3</v>
      </c>
      <c r="G1005" s="170">
        <v>5</v>
      </c>
      <c r="H1005" s="38" t="s">
        <v>511</v>
      </c>
      <c r="I1005" s="27" t="s">
        <v>266</v>
      </c>
      <c r="J1005" s="149" t="s">
        <v>316</v>
      </c>
      <c r="K1005" s="79" t="s">
        <v>1415</v>
      </c>
      <c r="L1005" s="5">
        <f>IF(O1005="","",N1005*O1005*M1005)</f>
        <v>75</v>
      </c>
      <c r="M1005" s="8">
        <v>1</v>
      </c>
      <c r="N1005" s="1">
        <v>1</v>
      </c>
      <c r="O1005" s="15">
        <f>IF(SUM(Q1005:AF1005)&lt;1,"",SUM(Q1005:AF1005)/COUNTIF(Q1005:AF1005,"&gt;0"))</f>
        <v>75</v>
      </c>
      <c r="P1005" s="16"/>
      <c r="Q1005" s="13"/>
      <c r="T1005" s="4">
        <v>75</v>
      </c>
      <c r="U1005" s="2"/>
      <c r="V1005" s="2"/>
      <c r="W1005" s="2"/>
      <c r="X1005" s="2"/>
      <c r="Z1005" s="2"/>
      <c r="AA1005" s="2"/>
      <c r="AF1005" s="14"/>
    </row>
    <row r="1006" spans="1:33" s="4" customFormat="1" ht="15.75" customHeight="1" x14ac:dyDescent="0.25">
      <c r="A1006" s="33" t="str">
        <f>CONCATENATE(D1006,".",F1006,"-",G1006,".",H1006,"")</f>
        <v>2.3-5.1</v>
      </c>
      <c r="B1006" s="33" t="s">
        <v>814</v>
      </c>
      <c r="C1006" s="41" t="s">
        <v>262</v>
      </c>
      <c r="D1006" s="33">
        <f>IF(C1006="ID",1,(IF(C1006="PR",2,(IF(C1006="DE",3,(IF(C1006="RS",4,(IF(C1006="RC",5,0)))))))))</f>
        <v>2</v>
      </c>
      <c r="E1006" s="33" t="s">
        <v>343</v>
      </c>
      <c r="F1006" s="33">
        <f>IF(E1006="AM",1,(IF(E1006="BE",2,(IF(E1006="GV",3,(IF(E1006="RA",4,(IF(E1006="RM",5,(IF(E1006="AC",1,(IF(E1006="AT",2,(IF(E1006="DS",3,(IF(E1006="IP",4,(IF(E1006="MA",5,(IF(E1006="PT",6,(IF(E1006="AE",1,(IF(E1006="CM",2,(IF(E1006="DP",3,(IF(E1006="AN",1,(IF(E1006="CO",2,(IF(E1006="IM",3,(IF(E1006="MI",4,(IF(E1006="RP",5,(IF(E1006="SC",6,0)))))))))))))))))))))))))))))))))))))))</f>
        <v>3</v>
      </c>
      <c r="G1006" s="170">
        <v>5</v>
      </c>
      <c r="H1006" s="38" t="s">
        <v>511</v>
      </c>
      <c r="I1006" s="27" t="s">
        <v>266</v>
      </c>
      <c r="J1006" s="149" t="s">
        <v>309</v>
      </c>
      <c r="K1006" s="79" t="s">
        <v>1424</v>
      </c>
      <c r="L1006" s="5">
        <f>IF(O1006="","",N1006*O1006*M1006)</f>
        <v>75</v>
      </c>
      <c r="M1006" s="8">
        <v>1</v>
      </c>
      <c r="N1006" s="1">
        <v>1</v>
      </c>
      <c r="O1006" s="15">
        <f>IF(SUM(Q1006:AF1006)&lt;1,"",SUM(Q1006:AF1006)/COUNTIF(Q1006:AF1006,"&gt;0"))</f>
        <v>75</v>
      </c>
      <c r="P1006" s="16"/>
      <c r="Q1006" s="13"/>
      <c r="T1006" s="4">
        <v>75</v>
      </c>
      <c r="U1006" s="2"/>
      <c r="V1006" s="2"/>
      <c r="W1006" s="2"/>
      <c r="X1006" s="2"/>
      <c r="Z1006" s="2"/>
      <c r="AA1006" s="2"/>
      <c r="AF1006" s="14"/>
    </row>
    <row r="1007" spans="1:33" s="4" customFormat="1" ht="15.75" customHeight="1" x14ac:dyDescent="0.25">
      <c r="A1007" s="33" t="str">
        <f>CONCATENATE(D1007,".",F1007,"-",G1007,".",H1007,"")</f>
        <v>2.3-5.1</v>
      </c>
      <c r="B1007" s="33" t="s">
        <v>814</v>
      </c>
      <c r="C1007" s="41" t="s">
        <v>262</v>
      </c>
      <c r="D1007" s="33">
        <f>IF(C1007="ID",1,(IF(C1007="PR",2,(IF(C1007="DE",3,(IF(C1007="RS",4,(IF(C1007="RC",5,0)))))))))</f>
        <v>2</v>
      </c>
      <c r="E1007" s="33" t="s">
        <v>343</v>
      </c>
      <c r="F1007" s="33">
        <f>IF(E1007="AM",1,(IF(E1007="BE",2,(IF(E1007="GV",3,(IF(E1007="RA",4,(IF(E1007="RM",5,(IF(E1007="AC",1,(IF(E1007="AT",2,(IF(E1007="DS",3,(IF(E1007="IP",4,(IF(E1007="MA",5,(IF(E1007="PT",6,(IF(E1007="AE",1,(IF(E1007="CM",2,(IF(E1007="DP",3,(IF(E1007="AN",1,(IF(E1007="CO",2,(IF(E1007="IM",3,(IF(E1007="MI",4,(IF(E1007="RP",5,(IF(E1007="SC",6,0)))))))))))))))))))))))))))))))))))))))</f>
        <v>3</v>
      </c>
      <c r="G1007" s="170">
        <v>5</v>
      </c>
      <c r="H1007" s="38" t="s">
        <v>511</v>
      </c>
      <c r="I1007" s="27" t="s">
        <v>266</v>
      </c>
      <c r="J1007" s="149" t="s">
        <v>292</v>
      </c>
      <c r="K1007" s="79" t="s">
        <v>1425</v>
      </c>
      <c r="L1007" s="5">
        <f>IF(O1007="","",N1007*O1007*M1007)</f>
        <v>75</v>
      </c>
      <c r="M1007" s="8">
        <v>1</v>
      </c>
      <c r="N1007" s="1">
        <v>1</v>
      </c>
      <c r="O1007" s="15">
        <f>IF(SUM(Q1007:AF1007)&lt;1,"",SUM(Q1007:AF1007)/COUNTIF(Q1007:AF1007,"&gt;0"))</f>
        <v>75</v>
      </c>
      <c r="P1007" s="16"/>
      <c r="Q1007" s="13"/>
      <c r="T1007" s="4">
        <v>75</v>
      </c>
      <c r="U1007" s="2"/>
      <c r="V1007" s="2"/>
      <c r="W1007" s="2"/>
      <c r="X1007" s="2"/>
      <c r="Z1007" s="2"/>
      <c r="AA1007" s="2"/>
      <c r="AF1007" s="14"/>
    </row>
    <row r="1008" spans="1:33" ht="15.75" customHeight="1" x14ac:dyDescent="0.25">
      <c r="A1008" s="33" t="str">
        <f>CONCATENATE(D1008,".",F1008,"-",G1008,".",H1008,"")</f>
        <v>2.3-5.1</v>
      </c>
      <c r="B1008" s="33" t="s">
        <v>814</v>
      </c>
      <c r="C1008" s="41" t="s">
        <v>262</v>
      </c>
      <c r="D1008" s="33">
        <f>IF(C1008="ID",1,(IF(C1008="PR",2,(IF(C1008="DE",3,(IF(C1008="RS",4,(IF(C1008="RC",5,0)))))))))</f>
        <v>2</v>
      </c>
      <c r="E1008" s="33" t="s">
        <v>343</v>
      </c>
      <c r="F1008" s="33">
        <f>IF(E1008="AM",1,(IF(E1008="BE",2,(IF(E1008="GV",3,(IF(E1008="RA",4,(IF(E1008="RM",5,(IF(E1008="AC",1,(IF(E1008="AT",2,(IF(E1008="DS",3,(IF(E1008="IP",4,(IF(E1008="MA",5,(IF(E1008="PT",6,(IF(E1008="AE",1,(IF(E1008="CM",2,(IF(E1008="DP",3,(IF(E1008="AN",1,(IF(E1008="CO",2,(IF(E1008="IM",3,(IF(E1008="MI",4,(IF(E1008="RP",5,(IF(E1008="SC",6,0)))))))))))))))))))))))))))))))))))))))</f>
        <v>3</v>
      </c>
      <c r="G1008" s="170">
        <v>5</v>
      </c>
      <c r="H1008" s="38" t="s">
        <v>511</v>
      </c>
      <c r="I1008" s="27" t="s">
        <v>266</v>
      </c>
      <c r="J1008" s="149" t="s">
        <v>16</v>
      </c>
      <c r="K1008" s="79" t="s">
        <v>1444</v>
      </c>
      <c r="L1008" s="5">
        <f>IF(O1008="","",N1008*O1008*M1008)</f>
        <v>75</v>
      </c>
      <c r="M1008" s="8">
        <v>1</v>
      </c>
      <c r="N1008" s="1">
        <v>1</v>
      </c>
      <c r="O1008" s="15">
        <f>IF(SUM(Q1008:AF1008)&lt;1,"",SUM(Q1008:AF1008)/COUNTIF(Q1008:AF1008,"&gt;0"))</f>
        <v>75</v>
      </c>
      <c r="P1008" s="16"/>
      <c r="Q1008" s="13"/>
      <c r="R1008" s="4"/>
      <c r="S1008" s="4"/>
      <c r="T1008" s="4">
        <v>75</v>
      </c>
      <c r="U1008" s="2"/>
      <c r="V1008" s="2"/>
      <c r="W1008" s="2"/>
      <c r="X1008" s="2"/>
      <c r="Y1008" s="4"/>
      <c r="Z1008" s="2"/>
      <c r="AA1008" s="2"/>
      <c r="AB1008" s="4"/>
      <c r="AC1008" s="4"/>
      <c r="AD1008" s="4"/>
      <c r="AE1008" s="4"/>
      <c r="AF1008" s="14"/>
      <c r="AG1008" s="3"/>
    </row>
    <row r="1009" spans="1:33" ht="15.75" customHeight="1" x14ac:dyDescent="0.25">
      <c r="A1009" s="33" t="str">
        <f>CONCATENATE(D1009,".",F1009,"-",G1009,".",H1009,"")</f>
        <v>2.3-5.1</v>
      </c>
      <c r="B1009" s="33" t="s">
        <v>814</v>
      </c>
      <c r="C1009" s="41" t="s">
        <v>262</v>
      </c>
      <c r="D1009" s="33">
        <f>IF(C1009="ID",1,(IF(C1009="PR",2,(IF(C1009="DE",3,(IF(C1009="RS",4,(IF(C1009="RC",5,0)))))))))</f>
        <v>2</v>
      </c>
      <c r="E1009" s="33" t="s">
        <v>343</v>
      </c>
      <c r="F1009" s="33">
        <f>IF(E1009="AM",1,(IF(E1009="BE",2,(IF(E1009="GV",3,(IF(E1009="RA",4,(IF(E1009="RM",5,(IF(E1009="AC",1,(IF(E1009="AT",2,(IF(E1009="DS",3,(IF(E1009="IP",4,(IF(E1009="MA",5,(IF(E1009="PT",6,(IF(E1009="AE",1,(IF(E1009="CM",2,(IF(E1009="DP",3,(IF(E1009="AN",1,(IF(E1009="CO",2,(IF(E1009="IM",3,(IF(E1009="MI",4,(IF(E1009="RP",5,(IF(E1009="SC",6,0)))))))))))))))))))))))))))))))))))))))</f>
        <v>3</v>
      </c>
      <c r="G1009" s="170">
        <v>5</v>
      </c>
      <c r="H1009" s="38" t="s">
        <v>511</v>
      </c>
      <c r="I1009" s="27" t="s">
        <v>266</v>
      </c>
      <c r="J1009" s="149" t="s">
        <v>22</v>
      </c>
      <c r="K1009" s="79" t="s">
        <v>1448</v>
      </c>
      <c r="L1009" s="5">
        <f>IF(O1009="","",N1009*O1009*M1009)</f>
        <v>75</v>
      </c>
      <c r="M1009" s="8">
        <v>1</v>
      </c>
      <c r="N1009" s="1">
        <v>1</v>
      </c>
      <c r="O1009" s="15">
        <f>IF(SUM(Q1009:AF1009)&lt;1,"",SUM(Q1009:AF1009)/COUNTIF(Q1009:AF1009,"&gt;0"))</f>
        <v>75</v>
      </c>
      <c r="P1009" s="16"/>
      <c r="Q1009" s="13"/>
      <c r="R1009" s="4"/>
      <c r="S1009" s="4"/>
      <c r="T1009" s="4">
        <v>75</v>
      </c>
      <c r="U1009" s="2"/>
      <c r="V1009" s="2"/>
      <c r="W1009" s="2"/>
      <c r="X1009" s="2"/>
      <c r="Y1009" s="4"/>
      <c r="Z1009" s="2"/>
      <c r="AA1009" s="2"/>
      <c r="AB1009" s="4"/>
      <c r="AC1009" s="4"/>
      <c r="AD1009" s="4"/>
      <c r="AE1009" s="4"/>
      <c r="AF1009" s="14"/>
      <c r="AG1009" s="3"/>
    </row>
    <row r="1010" spans="1:33" ht="15.75" customHeight="1" x14ac:dyDescent="0.25">
      <c r="A1010" s="33" t="str">
        <f>CONCATENATE(D1010,".",F1010,"-",G1010,".",H1010,"")</f>
        <v>2.3-5.1</v>
      </c>
      <c r="B1010" s="33" t="s">
        <v>1232</v>
      </c>
      <c r="C1010" s="40" t="s">
        <v>262</v>
      </c>
      <c r="D1010" s="33">
        <f>IF(C1010="ID",1,(IF(C1010="PR",2,(IF(C1010="DE",3,(IF(C1010="RS",4,(IF(C1010="RC",5,0)))))))))</f>
        <v>2</v>
      </c>
      <c r="E1010" s="33" t="s">
        <v>343</v>
      </c>
      <c r="F1010" s="33">
        <f>IF(E1010="AM",1,(IF(E1010="BE",2,(IF(E1010="GV",3,(IF(E1010="RA",4,(IF(E1010="RM",5,(IF(E1010="AC",1,(IF(E1010="AT",2,(IF(E1010="DS",3,(IF(E1010="IP",4,(IF(E1010="MA",5,(IF(E1010="PT",6,(IF(E1010="AE",1,(IF(E1010="CM",2,(IF(E1010="DP",3,(IF(E1010="AN",1,(IF(E1010="CO",2,(IF(E1010="IM",3,(IF(E1010="MI",4,(IF(E1010="RP",5,(IF(E1010="SC",6,0)))))))))))))))))))))))))))))))))))))))</f>
        <v>3</v>
      </c>
      <c r="G1010" s="170">
        <v>5</v>
      </c>
      <c r="H1010" s="38" t="s">
        <v>511</v>
      </c>
      <c r="I1010" s="105" t="s">
        <v>821</v>
      </c>
      <c r="J1010" s="150" t="s">
        <v>831</v>
      </c>
      <c r="K1010" s="79" t="s">
        <v>1283</v>
      </c>
      <c r="L1010" s="66">
        <f>IF(O1010="","",N1010*O1010*M1010)</f>
        <v>75</v>
      </c>
      <c r="M1010" s="8">
        <v>1</v>
      </c>
      <c r="N1010" s="3">
        <v>1</v>
      </c>
      <c r="O1010" s="15">
        <f>IF(SUM(Q1010:AF1010)&lt;1,"",SUM(Q1010:AF1010)/COUNTIF(Q1010:AF1010,"&gt;0"))</f>
        <v>75</v>
      </c>
      <c r="P1010" s="16"/>
      <c r="Q1010" s="13"/>
      <c r="R1010" s="4"/>
      <c r="S1010" s="4"/>
      <c r="T1010" s="4">
        <v>75</v>
      </c>
      <c r="U1010" s="2"/>
      <c r="V1010" s="2"/>
      <c r="W1010" s="2"/>
      <c r="X1010" s="2"/>
      <c r="Y1010" s="4"/>
      <c r="Z1010" s="2"/>
      <c r="AA1010" s="2"/>
      <c r="AB1010" s="4"/>
      <c r="AC1010" s="4"/>
      <c r="AD1010" s="4"/>
      <c r="AE1010" s="4"/>
      <c r="AF1010" s="14"/>
      <c r="AG1010" s="3"/>
    </row>
    <row r="1011" spans="1:33" ht="15.75" customHeight="1" x14ac:dyDescent="0.25">
      <c r="A1011" s="33" t="str">
        <f>CONCATENATE(D1011,".",F1011,"-",G1011,".",H1011,"")</f>
        <v>2.3-5.1</v>
      </c>
      <c r="B1011" s="33" t="s">
        <v>1232</v>
      </c>
      <c r="C1011" s="40" t="s">
        <v>262</v>
      </c>
      <c r="D1011" s="33">
        <f>IF(C1011="ID",1,(IF(C1011="PR",2,(IF(C1011="DE",3,(IF(C1011="RS",4,(IF(C1011="RC",5,0)))))))))</f>
        <v>2</v>
      </c>
      <c r="E1011" s="33" t="s">
        <v>343</v>
      </c>
      <c r="F1011" s="33">
        <f>IF(E1011="AM",1,(IF(E1011="BE",2,(IF(E1011="GV",3,(IF(E1011="RA",4,(IF(E1011="RM",5,(IF(E1011="AC",1,(IF(E1011="AT",2,(IF(E1011="DS",3,(IF(E1011="IP",4,(IF(E1011="MA",5,(IF(E1011="PT",6,(IF(E1011="AE",1,(IF(E1011="CM",2,(IF(E1011="DP",3,(IF(E1011="AN",1,(IF(E1011="CO",2,(IF(E1011="IM",3,(IF(E1011="MI",4,(IF(E1011="RP",5,(IF(E1011="SC",6,0)))))))))))))))))))))))))))))))))))))))</f>
        <v>3</v>
      </c>
      <c r="G1011" s="170">
        <v>5</v>
      </c>
      <c r="H1011" s="38" t="s">
        <v>511</v>
      </c>
      <c r="I1011" s="105" t="s">
        <v>821</v>
      </c>
      <c r="J1011" s="150" t="s">
        <v>853</v>
      </c>
      <c r="K1011" s="79" t="s">
        <v>1283</v>
      </c>
      <c r="L1011" s="66">
        <f>IF(O1011="","",N1011*O1011*M1011)</f>
        <v>75</v>
      </c>
      <c r="M1011" s="8">
        <v>1</v>
      </c>
      <c r="N1011" s="3">
        <v>1</v>
      </c>
      <c r="O1011" s="15">
        <f>IF(SUM(Q1011:AF1011)&lt;1,"",SUM(Q1011:AF1011)/COUNTIF(Q1011:AF1011,"&gt;0"))</f>
        <v>75</v>
      </c>
      <c r="P1011" s="16"/>
      <c r="Q1011" s="13"/>
      <c r="R1011" s="4"/>
      <c r="S1011" s="4"/>
      <c r="T1011" s="4">
        <v>75</v>
      </c>
      <c r="U1011" s="2"/>
      <c r="V1011" s="2"/>
      <c r="W1011" s="2"/>
      <c r="X1011" s="2"/>
      <c r="Y1011" s="4"/>
      <c r="Z1011" s="2"/>
      <c r="AA1011" s="2"/>
      <c r="AB1011" s="4"/>
      <c r="AC1011" s="4"/>
      <c r="AD1011" s="4"/>
      <c r="AE1011" s="4"/>
      <c r="AF1011" s="14"/>
      <c r="AG1011" s="3"/>
    </row>
    <row r="1012" spans="1:33" ht="15.75" customHeight="1" x14ac:dyDescent="0.25">
      <c r="A1012" s="33" t="str">
        <f>CONCATENATE(D1012,".",F1012,"-",G1012,".",H1012,"")</f>
        <v>2.3-5.1</v>
      </c>
      <c r="B1012" s="33" t="s">
        <v>814</v>
      </c>
      <c r="C1012" s="39" t="s">
        <v>262</v>
      </c>
      <c r="D1012" s="33">
        <f>IF(C1012="ID",1,(IF(C1012="PR",2,(IF(C1012="DE",3,(IF(C1012="RS",4,(IF(C1012="RC",5,0)))))))))</f>
        <v>2</v>
      </c>
      <c r="E1012" s="33" t="s">
        <v>343</v>
      </c>
      <c r="F1012" s="33">
        <f>IF(E1012="AM",1,(IF(E1012="BE",2,(IF(E1012="GV",3,(IF(E1012="RA",4,(IF(E1012="RM",5,(IF(E1012="AC",1,(IF(E1012="AT",2,(IF(E1012="DS",3,(IF(E1012="IP",4,(IF(E1012="MA",5,(IF(E1012="PT",6,(IF(E1012="AE",1,(IF(E1012="CM",2,(IF(E1012="DP",3,(IF(E1012="AN",1,(IF(E1012="CO",2,(IF(E1012="IM",3,(IF(E1012="MI",4,(IF(E1012="RP",5,(IF(E1012="SC",6,0)))))))))))))))))))))))))))))))))))))))</f>
        <v>3</v>
      </c>
      <c r="G1012" s="170">
        <v>5</v>
      </c>
      <c r="H1012" s="38" t="s">
        <v>511</v>
      </c>
      <c r="I1012" s="105" t="s">
        <v>1449</v>
      </c>
      <c r="J1012" s="157" t="s">
        <v>1506</v>
      </c>
      <c r="K1012" s="34" t="s">
        <v>1507</v>
      </c>
      <c r="L1012" s="5">
        <f>IF(O1012="","",N1012*O1012*M1012)</f>
        <v>99</v>
      </c>
      <c r="M1012" s="8">
        <v>1</v>
      </c>
      <c r="N1012" s="1">
        <v>1</v>
      </c>
      <c r="O1012" s="15">
        <f>IF(SUM(Q1012:AF1012)&lt;1,"",SUM(Q1012:AF1012)/COUNTIF(Q1012:AF1012,"&gt;0"))</f>
        <v>99</v>
      </c>
      <c r="P1012" s="16"/>
      <c r="Q1012" s="13"/>
      <c r="R1012" s="4"/>
      <c r="S1012" s="4"/>
      <c r="T1012" s="4">
        <v>99</v>
      </c>
      <c r="U1012" s="2"/>
      <c r="V1012" s="2"/>
      <c r="W1012" s="2"/>
      <c r="X1012" s="2"/>
      <c r="Y1012" s="4"/>
      <c r="Z1012" s="2"/>
      <c r="AA1012" s="2"/>
      <c r="AB1012" s="4"/>
      <c r="AC1012" s="4"/>
      <c r="AD1012" s="4"/>
      <c r="AE1012" s="4"/>
      <c r="AF1012" s="14"/>
      <c r="AG1012" s="3"/>
    </row>
    <row r="1013" spans="1:33" ht="15.75" customHeight="1" x14ac:dyDescent="0.25">
      <c r="A1013" s="33" t="str">
        <f>CONCATENATE(D1013,".",F1013,"-",G1013,".",H1013,"")</f>
        <v>2.3-5.1</v>
      </c>
      <c r="B1013" s="33" t="s">
        <v>814</v>
      </c>
      <c r="C1013" s="39" t="s">
        <v>262</v>
      </c>
      <c r="D1013" s="33">
        <f>IF(C1013="ID",1,(IF(C1013="PR",2,(IF(C1013="DE",3,(IF(C1013="RS",4,(IF(C1013="RC",5,0)))))))))</f>
        <v>2</v>
      </c>
      <c r="E1013" s="33" t="s">
        <v>343</v>
      </c>
      <c r="F1013" s="33">
        <f>IF(E1013="AM",1,(IF(E1013="BE",2,(IF(E1013="GV",3,(IF(E1013="RA",4,(IF(E1013="RM",5,(IF(E1013="AC",1,(IF(E1013="AT",2,(IF(E1013="DS",3,(IF(E1013="IP",4,(IF(E1013="MA",5,(IF(E1013="PT",6,(IF(E1013="AE",1,(IF(E1013="CM",2,(IF(E1013="DP",3,(IF(E1013="AN",1,(IF(E1013="CO",2,(IF(E1013="IM",3,(IF(E1013="MI",4,(IF(E1013="RP",5,(IF(E1013="SC",6,0)))))))))))))))))))))))))))))))))))))))</f>
        <v>3</v>
      </c>
      <c r="G1013" s="170">
        <v>5</v>
      </c>
      <c r="H1013" s="38" t="s">
        <v>511</v>
      </c>
      <c r="I1013" s="105" t="s">
        <v>1449</v>
      </c>
      <c r="J1013" s="157" t="s">
        <v>1554</v>
      </c>
      <c r="K1013" s="34" t="s">
        <v>1555</v>
      </c>
      <c r="L1013" s="5">
        <f>IF(O1013="","",N1013*O1013*M1013)</f>
        <v>99</v>
      </c>
      <c r="M1013" s="8">
        <v>1</v>
      </c>
      <c r="N1013" s="1">
        <v>1</v>
      </c>
      <c r="O1013" s="15">
        <f>IF(SUM(Q1013:AF1013)&lt;1,"",SUM(Q1013:AF1013)/COUNTIF(Q1013:AF1013,"&gt;0"))</f>
        <v>99</v>
      </c>
      <c r="P1013" s="16"/>
      <c r="Q1013" s="13"/>
      <c r="R1013" s="4"/>
      <c r="S1013" s="4"/>
      <c r="T1013" s="4">
        <v>99</v>
      </c>
      <c r="U1013" s="2"/>
      <c r="V1013" s="2"/>
      <c r="W1013" s="2"/>
      <c r="X1013" s="2"/>
      <c r="Y1013" s="4"/>
      <c r="Z1013" s="2"/>
      <c r="AA1013" s="2"/>
      <c r="AB1013" s="4"/>
      <c r="AC1013" s="4"/>
      <c r="AD1013" s="4"/>
      <c r="AE1013" s="4"/>
      <c r="AF1013" s="14"/>
      <c r="AG1013" s="3"/>
    </row>
    <row r="1014" spans="1:33" ht="15.75" customHeight="1" x14ac:dyDescent="0.25">
      <c r="A1014" s="33" t="str">
        <f>CONCATENATE(D1014,".",F1014,"-",G1014,".",H1014,"")</f>
        <v>2.3-5.1</v>
      </c>
      <c r="B1014" s="33" t="s">
        <v>814</v>
      </c>
      <c r="C1014" s="39" t="s">
        <v>262</v>
      </c>
      <c r="D1014" s="33">
        <f>IF(C1014="ID",1,(IF(C1014="PR",2,(IF(C1014="DE",3,(IF(C1014="RS",4,(IF(C1014="RC",5,0)))))))))</f>
        <v>2</v>
      </c>
      <c r="E1014" s="33" t="s">
        <v>343</v>
      </c>
      <c r="F1014" s="33">
        <f>IF(E1014="AM",1,(IF(E1014="BE",2,(IF(E1014="GV",3,(IF(E1014="RA",4,(IF(E1014="RM",5,(IF(E1014="AC",1,(IF(E1014="AT",2,(IF(E1014="DS",3,(IF(E1014="IP",4,(IF(E1014="MA",5,(IF(E1014="PT",6,(IF(E1014="AE",1,(IF(E1014="CM",2,(IF(E1014="DP",3,(IF(E1014="AN",1,(IF(E1014="CO",2,(IF(E1014="IM",3,(IF(E1014="MI",4,(IF(E1014="RP",5,(IF(E1014="SC",6,0)))))))))))))))))))))))))))))))))))))))</f>
        <v>3</v>
      </c>
      <c r="G1014" s="170">
        <v>5</v>
      </c>
      <c r="H1014" s="38" t="s">
        <v>511</v>
      </c>
      <c r="I1014" s="105" t="s">
        <v>1449</v>
      </c>
      <c r="J1014" s="157" t="s">
        <v>1558</v>
      </c>
      <c r="K1014" s="34" t="s">
        <v>1559</v>
      </c>
      <c r="L1014" s="5">
        <f>IF(O1014="","",N1014*O1014*M1014)</f>
        <v>99</v>
      </c>
      <c r="M1014" s="8">
        <v>1</v>
      </c>
      <c r="N1014" s="1">
        <v>1</v>
      </c>
      <c r="O1014" s="15">
        <f>IF(SUM(Q1014:AF1014)&lt;1,"",SUM(Q1014:AF1014)/COUNTIF(Q1014:AF1014,"&gt;0"))</f>
        <v>99</v>
      </c>
      <c r="P1014" s="16"/>
      <c r="Q1014" s="13"/>
      <c r="R1014" s="4"/>
      <c r="S1014" s="4"/>
      <c r="T1014" s="4">
        <v>99</v>
      </c>
      <c r="U1014" s="2"/>
      <c r="V1014" s="2"/>
      <c r="W1014" s="2"/>
      <c r="X1014" s="2"/>
      <c r="Y1014" s="4"/>
      <c r="Z1014" s="2"/>
      <c r="AA1014" s="2"/>
      <c r="AB1014" s="4"/>
      <c r="AC1014" s="4"/>
      <c r="AD1014" s="4"/>
      <c r="AE1014" s="4"/>
      <c r="AF1014" s="14"/>
      <c r="AG1014" s="3"/>
    </row>
    <row r="1015" spans="1:33" ht="15.75" customHeight="1" x14ac:dyDescent="0.25">
      <c r="A1015" s="33" t="str">
        <f>CONCATENATE(D1015,".",F1015,"-",G1015,".",H1015,"")</f>
        <v>2.3-5.1</v>
      </c>
      <c r="B1015" s="33" t="s">
        <v>814</v>
      </c>
      <c r="C1015" s="39" t="s">
        <v>262</v>
      </c>
      <c r="D1015" s="33">
        <f>IF(C1015="ID",1,(IF(C1015="PR",2,(IF(C1015="DE",3,(IF(C1015="RS",4,(IF(C1015="RC",5,0)))))))))</f>
        <v>2</v>
      </c>
      <c r="E1015" s="33" t="s">
        <v>343</v>
      </c>
      <c r="F1015" s="33">
        <f>IF(E1015="AM",1,(IF(E1015="BE",2,(IF(E1015="GV",3,(IF(E1015="RA",4,(IF(E1015="RM",5,(IF(E1015="AC",1,(IF(E1015="AT",2,(IF(E1015="DS",3,(IF(E1015="IP",4,(IF(E1015="MA",5,(IF(E1015="PT",6,(IF(E1015="AE",1,(IF(E1015="CM",2,(IF(E1015="DP",3,(IF(E1015="AN",1,(IF(E1015="CO",2,(IF(E1015="IM",3,(IF(E1015="MI",4,(IF(E1015="RP",5,(IF(E1015="SC",6,0)))))))))))))))))))))))))))))))))))))))</f>
        <v>3</v>
      </c>
      <c r="G1015" s="170">
        <v>5</v>
      </c>
      <c r="H1015" s="38" t="s">
        <v>511</v>
      </c>
      <c r="I1015" s="105" t="s">
        <v>1449</v>
      </c>
      <c r="J1015" s="157" t="s">
        <v>1584</v>
      </c>
      <c r="K1015" s="34" t="s">
        <v>1585</v>
      </c>
      <c r="L1015" s="5">
        <f>IF(O1015="","",N1015*O1015*M1015)</f>
        <v>99</v>
      </c>
      <c r="M1015" s="8">
        <v>1</v>
      </c>
      <c r="N1015" s="1">
        <v>1</v>
      </c>
      <c r="O1015" s="15">
        <f>IF(SUM(Q1015:AF1015)&lt;1,"",SUM(Q1015:AF1015)/COUNTIF(Q1015:AF1015,"&gt;0"))</f>
        <v>99</v>
      </c>
      <c r="P1015" s="16"/>
      <c r="Q1015" s="13"/>
      <c r="R1015" s="4"/>
      <c r="S1015" s="4"/>
      <c r="T1015" s="4">
        <v>99</v>
      </c>
      <c r="U1015" s="2"/>
      <c r="V1015" s="2"/>
      <c r="W1015" s="2"/>
      <c r="X1015" s="2"/>
      <c r="Y1015" s="4"/>
      <c r="Z1015" s="2"/>
      <c r="AA1015" s="2"/>
      <c r="AB1015" s="4"/>
      <c r="AC1015" s="4"/>
      <c r="AD1015" s="4"/>
      <c r="AE1015" s="4"/>
      <c r="AF1015" s="14"/>
      <c r="AG1015" s="3"/>
    </row>
    <row r="1016" spans="1:33" s="4" customFormat="1" ht="15.75" customHeight="1" x14ac:dyDescent="0.25">
      <c r="A1016" s="33" t="str">
        <f>CONCATENATE(D1016,".",F1016,"-",G1016,".",H1016,"")</f>
        <v>2.3-5.1</v>
      </c>
      <c r="B1016" s="33" t="s">
        <v>814</v>
      </c>
      <c r="C1016" s="39" t="s">
        <v>262</v>
      </c>
      <c r="D1016" s="33">
        <f>IF(C1016="ID",1,(IF(C1016="PR",2,(IF(C1016="DE",3,(IF(C1016="RS",4,(IF(C1016="RC",5,0)))))))))</f>
        <v>2</v>
      </c>
      <c r="E1016" s="33" t="s">
        <v>343</v>
      </c>
      <c r="F1016" s="33">
        <f>IF(E1016="AM",1,(IF(E1016="BE",2,(IF(E1016="GV",3,(IF(E1016="RA",4,(IF(E1016="RM",5,(IF(E1016="AC",1,(IF(E1016="AT",2,(IF(E1016="DS",3,(IF(E1016="IP",4,(IF(E1016="MA",5,(IF(E1016="PT",6,(IF(E1016="AE",1,(IF(E1016="CM",2,(IF(E1016="DP",3,(IF(E1016="AN",1,(IF(E1016="CO",2,(IF(E1016="IM",3,(IF(E1016="MI",4,(IF(E1016="RP",5,(IF(E1016="SC",6,0)))))))))))))))))))))))))))))))))))))))</f>
        <v>3</v>
      </c>
      <c r="G1016" s="170">
        <v>5</v>
      </c>
      <c r="H1016" s="38" t="s">
        <v>511</v>
      </c>
      <c r="I1016" s="105" t="s">
        <v>1449</v>
      </c>
      <c r="J1016" s="157" t="s">
        <v>1735</v>
      </c>
      <c r="K1016" s="34" t="s">
        <v>1736</v>
      </c>
      <c r="L1016" s="5">
        <f>IF(O1016="","",N1016*O1016*M1016)</f>
        <v>99</v>
      </c>
      <c r="M1016" s="8">
        <v>1</v>
      </c>
      <c r="N1016" s="1">
        <v>1</v>
      </c>
      <c r="O1016" s="15">
        <f>IF(SUM(Q1016:AF1016)&lt;1,"",SUM(Q1016:AF1016)/COUNTIF(Q1016:AF1016,"&gt;0"))</f>
        <v>99</v>
      </c>
      <c r="P1016" s="16"/>
      <c r="Q1016" s="13"/>
      <c r="T1016" s="4">
        <v>99</v>
      </c>
      <c r="U1016" s="2"/>
      <c r="V1016" s="2"/>
      <c r="W1016" s="2"/>
      <c r="X1016" s="2"/>
      <c r="Z1016" s="2"/>
      <c r="AA1016" s="2"/>
      <c r="AF1016" s="14"/>
    </row>
    <row r="1017" spans="1:33" s="4" customFormat="1" ht="15.75" customHeight="1" x14ac:dyDescent="0.25">
      <c r="A1017" s="33" t="str">
        <f>CONCATENATE(D1017,".",F1017,"-",G1017,".",H1017,"")</f>
        <v>2.3-5.1</v>
      </c>
      <c r="B1017" s="33" t="s">
        <v>814</v>
      </c>
      <c r="C1017" s="39" t="s">
        <v>262</v>
      </c>
      <c r="D1017" s="33">
        <f>IF(C1017="ID",1,(IF(C1017="PR",2,(IF(C1017="DE",3,(IF(C1017="RS",4,(IF(C1017="RC",5,0)))))))))</f>
        <v>2</v>
      </c>
      <c r="E1017" s="33" t="s">
        <v>343</v>
      </c>
      <c r="F1017" s="33">
        <f>IF(E1017="AM",1,(IF(E1017="BE",2,(IF(E1017="GV",3,(IF(E1017="RA",4,(IF(E1017="RM",5,(IF(E1017="AC",1,(IF(E1017="AT",2,(IF(E1017="DS",3,(IF(E1017="IP",4,(IF(E1017="MA",5,(IF(E1017="PT",6,(IF(E1017="AE",1,(IF(E1017="CM",2,(IF(E1017="DP",3,(IF(E1017="AN",1,(IF(E1017="CO",2,(IF(E1017="IM",3,(IF(E1017="MI",4,(IF(E1017="RP",5,(IF(E1017="SC",6,0)))))))))))))))))))))))))))))))))))))))</f>
        <v>3</v>
      </c>
      <c r="G1017" s="170">
        <v>5</v>
      </c>
      <c r="H1017" s="38" t="s">
        <v>511</v>
      </c>
      <c r="I1017" s="105" t="s">
        <v>1449</v>
      </c>
      <c r="J1017" s="157" t="s">
        <v>1737</v>
      </c>
      <c r="K1017" s="34" t="s">
        <v>1738</v>
      </c>
      <c r="L1017" s="5">
        <f>IF(O1017="","",N1017*O1017*M1017)</f>
        <v>99</v>
      </c>
      <c r="M1017" s="8">
        <v>1</v>
      </c>
      <c r="N1017" s="1">
        <v>1</v>
      </c>
      <c r="O1017" s="15">
        <f>IF(SUM(Q1017:AF1017)&lt;1,"",SUM(Q1017:AF1017)/COUNTIF(Q1017:AF1017,"&gt;0"))</f>
        <v>99</v>
      </c>
      <c r="P1017" s="16"/>
      <c r="Q1017" s="13"/>
      <c r="T1017" s="4">
        <v>99</v>
      </c>
      <c r="U1017" s="2"/>
      <c r="V1017" s="2"/>
      <c r="W1017" s="2"/>
      <c r="X1017" s="2"/>
      <c r="Z1017" s="2"/>
      <c r="AA1017" s="2"/>
      <c r="AF1017" s="14"/>
    </row>
    <row r="1018" spans="1:33" s="4" customFormat="1" ht="15.75" customHeight="1" x14ac:dyDescent="0.25">
      <c r="A1018" s="33" t="str">
        <f>CONCATENATE(D1018,".",F1018,"-",G1018,".",H1018,"")</f>
        <v>2.3-5.1</v>
      </c>
      <c r="B1018" s="33" t="s">
        <v>814</v>
      </c>
      <c r="C1018" s="39" t="s">
        <v>262</v>
      </c>
      <c r="D1018" s="33">
        <f>IF(C1018="ID",1,(IF(C1018="PR",2,(IF(C1018="DE",3,(IF(C1018="RS",4,(IF(C1018="RC",5,0)))))))))</f>
        <v>2</v>
      </c>
      <c r="E1018" s="33" t="s">
        <v>343</v>
      </c>
      <c r="F1018" s="33">
        <f>IF(E1018="AM",1,(IF(E1018="BE",2,(IF(E1018="GV",3,(IF(E1018="RA",4,(IF(E1018="RM",5,(IF(E1018="AC",1,(IF(E1018="AT",2,(IF(E1018="DS",3,(IF(E1018="IP",4,(IF(E1018="MA",5,(IF(E1018="PT",6,(IF(E1018="AE",1,(IF(E1018="CM",2,(IF(E1018="DP",3,(IF(E1018="AN",1,(IF(E1018="CO",2,(IF(E1018="IM",3,(IF(E1018="MI",4,(IF(E1018="RP",5,(IF(E1018="SC",6,0)))))))))))))))))))))))))))))))))))))))</f>
        <v>3</v>
      </c>
      <c r="G1018" s="170">
        <v>5</v>
      </c>
      <c r="H1018" s="38" t="s">
        <v>511</v>
      </c>
      <c r="I1018" s="105" t="s">
        <v>1449</v>
      </c>
      <c r="J1018" s="157" t="s">
        <v>1739</v>
      </c>
      <c r="K1018" s="34" t="s">
        <v>1740</v>
      </c>
      <c r="L1018" s="5">
        <f>IF(O1018="","",N1018*O1018*M1018)</f>
        <v>99</v>
      </c>
      <c r="M1018" s="8">
        <v>1</v>
      </c>
      <c r="N1018" s="1">
        <v>1</v>
      </c>
      <c r="O1018" s="15">
        <f>IF(SUM(Q1018:AF1018)&lt;1,"",SUM(Q1018:AF1018)/COUNTIF(Q1018:AF1018,"&gt;0"))</f>
        <v>99</v>
      </c>
      <c r="P1018" s="16"/>
      <c r="Q1018" s="13"/>
      <c r="T1018" s="4">
        <v>99</v>
      </c>
      <c r="U1018" s="2"/>
      <c r="V1018" s="2"/>
      <c r="W1018" s="2"/>
      <c r="X1018" s="2"/>
      <c r="Z1018" s="2"/>
      <c r="AA1018" s="2"/>
      <c r="AF1018" s="14"/>
    </row>
    <row r="1019" spans="1:33" s="4" customFormat="1" ht="15.75" customHeight="1" x14ac:dyDescent="0.25">
      <c r="A1019" s="33" t="str">
        <f>CONCATENATE(D1019,".",F1019,"-",G1019,".",H1019,"")</f>
        <v>2.3-5.1</v>
      </c>
      <c r="B1019" s="33"/>
      <c r="C1019" s="39" t="s">
        <v>262</v>
      </c>
      <c r="D1019" s="33">
        <f>IF(C1019="ID",1,(IF(C1019="PR",2,(IF(C1019="DE",3,(IF(C1019="RS",4,(IF(C1019="RC",5,0)))))))))</f>
        <v>2</v>
      </c>
      <c r="E1019" s="33" t="s">
        <v>343</v>
      </c>
      <c r="F1019" s="33">
        <f>IF(E1019="AM",1,(IF(E1019="BE",2,(IF(E1019="GV",3,(IF(E1019="RA",4,(IF(E1019="RM",5,(IF(E1019="AC",1,(IF(E1019="AT",2,(IF(E1019="DS",3,(IF(E1019="IP",4,(IF(E1019="MA",5,(IF(E1019="PT",6,(IF(E1019="AE",1,(IF(E1019="CM",2,(IF(E1019="DP",3,(IF(E1019="AN",1,(IF(E1019="CO",2,(IF(E1019="IM",3,(IF(E1019="MI",4,(IF(E1019="RP",5,(IF(E1019="SC",6,0)))))))))))))))))))))))))))))))))))))))</f>
        <v>3</v>
      </c>
      <c r="G1019" s="170">
        <v>5</v>
      </c>
      <c r="H1019" s="38" t="s">
        <v>511</v>
      </c>
      <c r="I1019" s="105" t="s">
        <v>1449</v>
      </c>
      <c r="J1019" s="157" t="s">
        <v>2403</v>
      </c>
      <c r="K1019" s="34" t="s">
        <v>2404</v>
      </c>
      <c r="L1019" s="5">
        <f>IF(O1019="","",N1019*O1019*M1019)</f>
        <v>99</v>
      </c>
      <c r="M1019" s="8">
        <v>1</v>
      </c>
      <c r="N1019" s="1">
        <v>1</v>
      </c>
      <c r="O1019" s="15">
        <f>IF(SUM(Q1019:AF1019)&lt;1,"",SUM(Q1019:AF1019)/COUNTIF(Q1019:AF1019,"&gt;0"))</f>
        <v>99</v>
      </c>
      <c r="P1019" s="16"/>
      <c r="Q1019" s="13"/>
      <c r="T1019" s="4">
        <v>99</v>
      </c>
      <c r="U1019" s="2"/>
      <c r="V1019" s="2"/>
      <c r="W1019" s="2"/>
      <c r="X1019" s="2"/>
      <c r="Z1019" s="2"/>
      <c r="AA1019" s="2"/>
      <c r="AF1019" s="14"/>
    </row>
    <row r="1020" spans="1:33" s="4" customFormat="1" ht="15.75" customHeight="1" x14ac:dyDescent="0.25">
      <c r="A1020" s="33" t="str">
        <f>CONCATENATE(D1020,".",F1020,"-",G1020,".",H1020,"")</f>
        <v>2.3-5.1</v>
      </c>
      <c r="B1020" s="33"/>
      <c r="C1020" s="39" t="s">
        <v>262</v>
      </c>
      <c r="D1020" s="33">
        <f>IF(C1020="ID",1,(IF(C1020="PR",2,(IF(C1020="DE",3,(IF(C1020="RS",4,(IF(C1020="RC",5,0)))))))))</f>
        <v>2</v>
      </c>
      <c r="E1020" s="33" t="s">
        <v>343</v>
      </c>
      <c r="F1020" s="33">
        <f>IF(E1020="AM",1,(IF(E1020="BE",2,(IF(E1020="GV",3,(IF(E1020="RA",4,(IF(E1020="RM",5,(IF(E1020="AC",1,(IF(E1020="AT",2,(IF(E1020="DS",3,(IF(E1020="IP",4,(IF(E1020="MA",5,(IF(E1020="PT",6,(IF(E1020="AE",1,(IF(E1020="CM",2,(IF(E1020="DP",3,(IF(E1020="AN",1,(IF(E1020="CO",2,(IF(E1020="IM",3,(IF(E1020="MI",4,(IF(E1020="RP",5,(IF(E1020="SC",6,0)))))))))))))))))))))))))))))))))))))))</f>
        <v>3</v>
      </c>
      <c r="G1020" s="170">
        <v>5</v>
      </c>
      <c r="H1020" s="38" t="s">
        <v>511</v>
      </c>
      <c r="I1020" s="105" t="s">
        <v>1449</v>
      </c>
      <c r="J1020" s="157" t="s">
        <v>2405</v>
      </c>
      <c r="K1020" s="34" t="s">
        <v>2406</v>
      </c>
      <c r="L1020" s="5">
        <f>IF(O1020="","",N1020*O1020*M1020)</f>
        <v>99</v>
      </c>
      <c r="M1020" s="8">
        <v>1</v>
      </c>
      <c r="N1020" s="1">
        <v>1</v>
      </c>
      <c r="O1020" s="15">
        <f>IF(SUM(Q1020:AF1020)&lt;1,"",SUM(Q1020:AF1020)/COUNTIF(Q1020:AF1020,"&gt;0"))</f>
        <v>99</v>
      </c>
      <c r="P1020" s="16"/>
      <c r="Q1020" s="13"/>
      <c r="T1020" s="4">
        <v>99</v>
      </c>
      <c r="U1020" s="2"/>
      <c r="V1020" s="2"/>
      <c r="W1020" s="2"/>
      <c r="X1020" s="2"/>
      <c r="Z1020" s="2"/>
      <c r="AA1020" s="2"/>
      <c r="AF1020" s="14"/>
    </row>
    <row r="1021" spans="1:33" s="4" customFormat="1" ht="15.75" customHeight="1" x14ac:dyDescent="0.25">
      <c r="A1021" s="33" t="str">
        <f>CONCATENATE(D1021,".",F1021,"-",G1021,".",H1021,"")</f>
        <v>2.3-5.1</v>
      </c>
      <c r="B1021" s="33"/>
      <c r="C1021" s="39" t="s">
        <v>262</v>
      </c>
      <c r="D1021" s="33">
        <f>IF(C1021="ID",1,(IF(C1021="PR",2,(IF(C1021="DE",3,(IF(C1021="RS",4,(IF(C1021="RC",5,0)))))))))</f>
        <v>2</v>
      </c>
      <c r="E1021" s="33" t="s">
        <v>343</v>
      </c>
      <c r="F1021" s="33">
        <f>IF(E1021="AM",1,(IF(E1021="BE",2,(IF(E1021="GV",3,(IF(E1021="RA",4,(IF(E1021="RM",5,(IF(E1021="AC",1,(IF(E1021="AT",2,(IF(E1021="DS",3,(IF(E1021="IP",4,(IF(E1021="MA",5,(IF(E1021="PT",6,(IF(E1021="AE",1,(IF(E1021="CM",2,(IF(E1021="DP",3,(IF(E1021="AN",1,(IF(E1021="CO",2,(IF(E1021="IM",3,(IF(E1021="MI",4,(IF(E1021="RP",5,(IF(E1021="SC",6,0)))))))))))))))))))))))))))))))))))))))</f>
        <v>3</v>
      </c>
      <c r="G1021" s="170">
        <v>5</v>
      </c>
      <c r="H1021" s="38" t="s">
        <v>511</v>
      </c>
      <c r="I1021" s="105" t="s">
        <v>1449</v>
      </c>
      <c r="J1021" s="157" t="s">
        <v>2517</v>
      </c>
      <c r="K1021" s="34" t="s">
        <v>2518</v>
      </c>
      <c r="L1021" s="5">
        <f>IF(O1021="","",N1021*O1021*M1021)</f>
        <v>99</v>
      </c>
      <c r="M1021" s="8">
        <v>1</v>
      </c>
      <c r="N1021" s="1">
        <v>1</v>
      </c>
      <c r="O1021" s="15">
        <f>IF(SUM(Q1021:AF1021)&lt;1,"",SUM(Q1021:AF1021)/COUNTIF(Q1021:AF1021,"&gt;0"))</f>
        <v>99</v>
      </c>
      <c r="P1021" s="16"/>
      <c r="Q1021" s="13"/>
      <c r="T1021" s="4">
        <v>99</v>
      </c>
      <c r="U1021" s="2"/>
      <c r="V1021" s="2"/>
      <c r="W1021" s="2"/>
      <c r="X1021" s="2"/>
      <c r="Z1021" s="2"/>
      <c r="AA1021" s="2"/>
      <c r="AF1021" s="14"/>
    </row>
    <row r="1022" spans="1:33" s="4" customFormat="1" ht="15.75" customHeight="1" x14ac:dyDescent="0.25">
      <c r="A1022" s="33" t="str">
        <f>CONCATENATE(D1022,".",F1022,"-",G1022,".",H1022,"")</f>
        <v>2.3-5.1</v>
      </c>
      <c r="B1022" s="33"/>
      <c r="C1022" s="39" t="s">
        <v>262</v>
      </c>
      <c r="D1022" s="33">
        <f>IF(C1022="ID",1,(IF(C1022="PR",2,(IF(C1022="DE",3,(IF(C1022="RS",4,(IF(C1022="RC",5,0)))))))))</f>
        <v>2</v>
      </c>
      <c r="E1022" s="33" t="s">
        <v>343</v>
      </c>
      <c r="F1022" s="33">
        <f>IF(E1022="AM",1,(IF(E1022="BE",2,(IF(E1022="GV",3,(IF(E1022="RA",4,(IF(E1022="RM",5,(IF(E1022="AC",1,(IF(E1022="AT",2,(IF(E1022="DS",3,(IF(E1022="IP",4,(IF(E1022="MA",5,(IF(E1022="PT",6,(IF(E1022="AE",1,(IF(E1022="CM",2,(IF(E1022="DP",3,(IF(E1022="AN",1,(IF(E1022="CO",2,(IF(E1022="IM",3,(IF(E1022="MI",4,(IF(E1022="RP",5,(IF(E1022="SC",6,0)))))))))))))))))))))))))))))))))))))))</f>
        <v>3</v>
      </c>
      <c r="G1022" s="170">
        <v>5</v>
      </c>
      <c r="H1022" s="38" t="s">
        <v>511</v>
      </c>
      <c r="I1022" s="105" t="s">
        <v>1449</v>
      </c>
      <c r="J1022" s="157" t="s">
        <v>2519</v>
      </c>
      <c r="K1022" s="34" t="s">
        <v>2520</v>
      </c>
      <c r="L1022" s="5">
        <f>IF(O1022="","",N1022*O1022*M1022)</f>
        <v>99</v>
      </c>
      <c r="M1022" s="8">
        <v>1</v>
      </c>
      <c r="N1022" s="1">
        <v>1</v>
      </c>
      <c r="O1022" s="15">
        <f>IF(SUM(Q1022:AF1022)&lt;1,"",SUM(Q1022:AF1022)/COUNTIF(Q1022:AF1022,"&gt;0"))</f>
        <v>99</v>
      </c>
      <c r="P1022" s="16"/>
      <c r="Q1022" s="13"/>
      <c r="T1022" s="4">
        <v>99</v>
      </c>
      <c r="U1022" s="2"/>
      <c r="V1022" s="2"/>
      <c r="W1022" s="2"/>
      <c r="X1022" s="2"/>
      <c r="Z1022" s="2"/>
      <c r="AA1022" s="2"/>
      <c r="AF1022" s="14"/>
    </row>
    <row r="1023" spans="1:33" s="4" customFormat="1" ht="15.75" customHeight="1" x14ac:dyDescent="0.25">
      <c r="A1023" s="33" t="str">
        <f>CONCATENATE(D1023,".",F1023,"-",G1023,".",H1023,"")</f>
        <v>2.3-5.1</v>
      </c>
      <c r="B1023" s="33"/>
      <c r="C1023" s="39" t="s">
        <v>262</v>
      </c>
      <c r="D1023" s="33">
        <f>IF(C1023="ID",1,(IF(C1023="PR",2,(IF(C1023="DE",3,(IF(C1023="RS",4,(IF(C1023="RC",5,0)))))))))</f>
        <v>2</v>
      </c>
      <c r="E1023" s="33" t="s">
        <v>343</v>
      </c>
      <c r="F1023" s="33">
        <f>IF(E1023="AM",1,(IF(E1023="BE",2,(IF(E1023="GV",3,(IF(E1023="RA",4,(IF(E1023="RM",5,(IF(E1023="AC",1,(IF(E1023="AT",2,(IF(E1023="DS",3,(IF(E1023="IP",4,(IF(E1023="MA",5,(IF(E1023="PT",6,(IF(E1023="AE",1,(IF(E1023="CM",2,(IF(E1023="DP",3,(IF(E1023="AN",1,(IF(E1023="CO",2,(IF(E1023="IM",3,(IF(E1023="MI",4,(IF(E1023="RP",5,(IF(E1023="SC",6,0)))))))))))))))))))))))))))))))))))))))</f>
        <v>3</v>
      </c>
      <c r="G1023" s="170">
        <v>5</v>
      </c>
      <c r="H1023" s="38" t="s">
        <v>511</v>
      </c>
      <c r="I1023" s="105" t="s">
        <v>1449</v>
      </c>
      <c r="J1023" s="157" t="s">
        <v>2521</v>
      </c>
      <c r="K1023" s="34" t="s">
        <v>2522</v>
      </c>
      <c r="L1023" s="5">
        <f>IF(O1023="","",N1023*O1023*M1023)</f>
        <v>99</v>
      </c>
      <c r="M1023" s="8">
        <v>1</v>
      </c>
      <c r="N1023" s="1">
        <v>1</v>
      </c>
      <c r="O1023" s="15">
        <f>IF(SUM(Q1023:AF1023)&lt;1,"",SUM(Q1023:AF1023)/COUNTIF(Q1023:AF1023,"&gt;0"))</f>
        <v>99</v>
      </c>
      <c r="P1023" s="16"/>
      <c r="Q1023" s="13"/>
      <c r="T1023" s="4">
        <v>99</v>
      </c>
      <c r="U1023" s="2"/>
      <c r="V1023" s="2"/>
      <c r="W1023" s="2"/>
      <c r="X1023" s="2"/>
      <c r="Z1023" s="2"/>
      <c r="AA1023" s="2"/>
      <c r="AF1023" s="14"/>
    </row>
    <row r="1024" spans="1:33" s="4" customFormat="1" ht="15.75" customHeight="1" x14ac:dyDescent="0.25">
      <c r="A1024" s="33" t="str">
        <f>CONCATENATE(D1024,".",F1024,"-",G1024,".",H1024,"")</f>
        <v>2.3-5.1</v>
      </c>
      <c r="B1024" s="33"/>
      <c r="C1024" s="39" t="s">
        <v>262</v>
      </c>
      <c r="D1024" s="33">
        <f>IF(C1024="ID",1,(IF(C1024="PR",2,(IF(C1024="DE",3,(IF(C1024="RS",4,(IF(C1024="RC",5,0)))))))))</f>
        <v>2</v>
      </c>
      <c r="E1024" s="33" t="s">
        <v>343</v>
      </c>
      <c r="F1024" s="33">
        <f>IF(E1024="AM",1,(IF(E1024="BE",2,(IF(E1024="GV",3,(IF(E1024="RA",4,(IF(E1024="RM",5,(IF(E1024="AC",1,(IF(E1024="AT",2,(IF(E1024="DS",3,(IF(E1024="IP",4,(IF(E1024="MA",5,(IF(E1024="PT",6,(IF(E1024="AE",1,(IF(E1024="CM",2,(IF(E1024="DP",3,(IF(E1024="AN",1,(IF(E1024="CO",2,(IF(E1024="IM",3,(IF(E1024="MI",4,(IF(E1024="RP",5,(IF(E1024="SC",6,0)))))))))))))))))))))))))))))))))))))))</f>
        <v>3</v>
      </c>
      <c r="G1024" s="170">
        <v>5</v>
      </c>
      <c r="H1024" s="38" t="s">
        <v>511</v>
      </c>
      <c r="I1024" s="105" t="s">
        <v>1449</v>
      </c>
      <c r="J1024" s="157" t="s">
        <v>2523</v>
      </c>
      <c r="K1024" s="34" t="s">
        <v>2524</v>
      </c>
      <c r="L1024" s="5">
        <f>IF(O1024="","",N1024*O1024*M1024)</f>
        <v>99</v>
      </c>
      <c r="M1024" s="8">
        <v>1</v>
      </c>
      <c r="N1024" s="1">
        <v>1</v>
      </c>
      <c r="O1024" s="15">
        <f>IF(SUM(Q1024:AF1024)&lt;1,"",SUM(Q1024:AF1024)/COUNTIF(Q1024:AF1024,"&gt;0"))</f>
        <v>99</v>
      </c>
      <c r="P1024" s="16"/>
      <c r="Q1024" s="13"/>
      <c r="T1024" s="4">
        <v>99</v>
      </c>
      <c r="U1024" s="2"/>
      <c r="V1024" s="2"/>
      <c r="W1024" s="2"/>
      <c r="X1024" s="2"/>
      <c r="Z1024" s="2"/>
      <c r="AA1024" s="2"/>
      <c r="AF1024" s="14"/>
    </row>
    <row r="1025" spans="1:33" s="4" customFormat="1" ht="15.75" customHeight="1" x14ac:dyDescent="0.25">
      <c r="A1025" s="33" t="str">
        <f>CONCATENATE(D1025,".",F1025,"-",G1025,".",H1025,"")</f>
        <v>2.3-5.1</v>
      </c>
      <c r="B1025" s="33"/>
      <c r="C1025" s="39" t="s">
        <v>262</v>
      </c>
      <c r="D1025" s="33">
        <f>IF(C1025="ID",1,(IF(C1025="PR",2,(IF(C1025="DE",3,(IF(C1025="RS",4,(IF(C1025="RC",5,0)))))))))</f>
        <v>2</v>
      </c>
      <c r="E1025" s="33" t="s">
        <v>343</v>
      </c>
      <c r="F1025" s="33">
        <f>IF(E1025="AM",1,(IF(E1025="BE",2,(IF(E1025="GV",3,(IF(E1025="RA",4,(IF(E1025="RM",5,(IF(E1025="AC",1,(IF(E1025="AT",2,(IF(E1025="DS",3,(IF(E1025="IP",4,(IF(E1025="MA",5,(IF(E1025="PT",6,(IF(E1025="AE",1,(IF(E1025="CM",2,(IF(E1025="DP",3,(IF(E1025="AN",1,(IF(E1025="CO",2,(IF(E1025="IM",3,(IF(E1025="MI",4,(IF(E1025="RP",5,(IF(E1025="SC",6,0)))))))))))))))))))))))))))))))))))))))</f>
        <v>3</v>
      </c>
      <c r="G1025" s="170">
        <v>5</v>
      </c>
      <c r="H1025" s="38" t="s">
        <v>511</v>
      </c>
      <c r="I1025" s="105" t="s">
        <v>1449</v>
      </c>
      <c r="J1025" s="157" t="s">
        <v>2533</v>
      </c>
      <c r="K1025" s="34" t="s">
        <v>2534</v>
      </c>
      <c r="L1025" s="5">
        <f>IF(O1025="","",N1025*O1025*M1025)</f>
        <v>99</v>
      </c>
      <c r="M1025" s="8">
        <v>1</v>
      </c>
      <c r="N1025" s="1">
        <v>1</v>
      </c>
      <c r="O1025" s="15">
        <f>IF(SUM(Q1025:AF1025)&lt;1,"",SUM(Q1025:AF1025)/COUNTIF(Q1025:AF1025,"&gt;0"))</f>
        <v>99</v>
      </c>
      <c r="P1025" s="16"/>
      <c r="Q1025" s="13"/>
      <c r="T1025" s="4">
        <v>99</v>
      </c>
      <c r="U1025" s="2"/>
      <c r="V1025" s="2"/>
      <c r="W1025" s="2"/>
      <c r="X1025" s="2"/>
      <c r="Z1025" s="2"/>
      <c r="AA1025" s="2"/>
      <c r="AF1025" s="14"/>
    </row>
    <row r="1026" spans="1:33" s="4" customFormat="1" ht="15.75" customHeight="1" x14ac:dyDescent="0.25">
      <c r="A1026" s="33" t="str">
        <f>CONCATENATE(D1026,".",F1026,"-",G1026,".",H1026,"")</f>
        <v>2.3-5.1</v>
      </c>
      <c r="B1026" s="33"/>
      <c r="C1026" s="39" t="s">
        <v>262</v>
      </c>
      <c r="D1026" s="33">
        <f>IF(C1026="ID",1,(IF(C1026="PR",2,(IF(C1026="DE",3,(IF(C1026="RS",4,(IF(C1026="RC",5,0)))))))))</f>
        <v>2</v>
      </c>
      <c r="E1026" s="33" t="s">
        <v>343</v>
      </c>
      <c r="F1026" s="33">
        <f>IF(E1026="AM",1,(IF(E1026="BE",2,(IF(E1026="GV",3,(IF(E1026="RA",4,(IF(E1026="RM",5,(IF(E1026="AC",1,(IF(E1026="AT",2,(IF(E1026="DS",3,(IF(E1026="IP",4,(IF(E1026="MA",5,(IF(E1026="PT",6,(IF(E1026="AE",1,(IF(E1026="CM",2,(IF(E1026="DP",3,(IF(E1026="AN",1,(IF(E1026="CO",2,(IF(E1026="IM",3,(IF(E1026="MI",4,(IF(E1026="RP",5,(IF(E1026="SC",6,0)))))))))))))))))))))))))))))))))))))))</f>
        <v>3</v>
      </c>
      <c r="G1026" s="170">
        <v>5</v>
      </c>
      <c r="H1026" s="38" t="s">
        <v>511</v>
      </c>
      <c r="I1026" s="105" t="s">
        <v>1449</v>
      </c>
      <c r="J1026" s="157" t="s">
        <v>2535</v>
      </c>
      <c r="K1026" s="34" t="s">
        <v>2536</v>
      </c>
      <c r="L1026" s="5">
        <f>IF(O1026="","",N1026*O1026*M1026)</f>
        <v>99</v>
      </c>
      <c r="M1026" s="8">
        <v>1</v>
      </c>
      <c r="N1026" s="1">
        <v>1</v>
      </c>
      <c r="O1026" s="15">
        <f>IF(SUM(Q1026:AF1026)&lt;1,"",SUM(Q1026:AF1026)/COUNTIF(Q1026:AF1026,"&gt;0"))</f>
        <v>99</v>
      </c>
      <c r="P1026" s="16"/>
      <c r="Q1026" s="13"/>
      <c r="T1026" s="4">
        <v>99</v>
      </c>
      <c r="U1026" s="2"/>
      <c r="V1026" s="2"/>
      <c r="W1026" s="2"/>
      <c r="X1026" s="2"/>
      <c r="Z1026" s="2"/>
      <c r="AA1026" s="2"/>
      <c r="AF1026" s="14"/>
    </row>
    <row r="1027" spans="1:33" s="4" customFormat="1" ht="15.75" customHeight="1" x14ac:dyDescent="0.25">
      <c r="A1027" s="33" t="str">
        <f>CONCATENATE(D1027,".",F1027,"-",G1027,".",H1027,"")</f>
        <v>2.3-5.1</v>
      </c>
      <c r="B1027" s="33"/>
      <c r="C1027" s="39" t="s">
        <v>262</v>
      </c>
      <c r="D1027" s="33">
        <f>IF(C1027="ID",1,(IF(C1027="PR",2,(IF(C1027="DE",3,(IF(C1027="RS",4,(IF(C1027="RC",5,0)))))))))</f>
        <v>2</v>
      </c>
      <c r="E1027" s="33" t="s">
        <v>343</v>
      </c>
      <c r="F1027" s="33">
        <f>IF(E1027="AM",1,(IF(E1027="BE",2,(IF(E1027="GV",3,(IF(E1027="RA",4,(IF(E1027="RM",5,(IF(E1027="AC",1,(IF(E1027="AT",2,(IF(E1027="DS",3,(IF(E1027="IP",4,(IF(E1027="MA",5,(IF(E1027="PT",6,(IF(E1027="AE",1,(IF(E1027="CM",2,(IF(E1027="DP",3,(IF(E1027="AN",1,(IF(E1027="CO",2,(IF(E1027="IM",3,(IF(E1027="MI",4,(IF(E1027="RP",5,(IF(E1027="SC",6,0)))))))))))))))))))))))))))))))))))))))</f>
        <v>3</v>
      </c>
      <c r="G1027" s="170">
        <v>5</v>
      </c>
      <c r="H1027" s="38" t="s">
        <v>511</v>
      </c>
      <c r="I1027" s="105" t="s">
        <v>1449</v>
      </c>
      <c r="J1027" s="157" t="s">
        <v>2537</v>
      </c>
      <c r="K1027" s="34" t="s">
        <v>2538</v>
      </c>
      <c r="L1027" s="5">
        <f>IF(O1027="","",N1027*O1027*M1027)</f>
        <v>99</v>
      </c>
      <c r="M1027" s="8">
        <v>1</v>
      </c>
      <c r="N1027" s="1">
        <v>1</v>
      </c>
      <c r="O1027" s="15">
        <f>IF(SUM(Q1027:AF1027)&lt;1,"",SUM(Q1027:AF1027)/COUNTIF(Q1027:AF1027,"&gt;0"))</f>
        <v>99</v>
      </c>
      <c r="P1027" s="16"/>
      <c r="Q1027" s="13"/>
      <c r="T1027" s="4">
        <v>99</v>
      </c>
      <c r="U1027" s="2"/>
      <c r="V1027" s="2"/>
      <c r="W1027" s="2"/>
      <c r="X1027" s="2"/>
      <c r="Z1027" s="2"/>
      <c r="AA1027" s="2"/>
      <c r="AF1027" s="14"/>
    </row>
    <row r="1028" spans="1:33" ht="15.75" customHeight="1" x14ac:dyDescent="0.25">
      <c r="A1028" s="33" t="str">
        <f>CONCATENATE(D1028,".",F1028,"-",G1028,".",H1028,"")</f>
        <v>2.3-5.1</v>
      </c>
      <c r="C1028" s="39" t="s">
        <v>262</v>
      </c>
      <c r="D1028" s="33">
        <f>IF(C1028="ID",1,(IF(C1028="PR",2,(IF(C1028="DE",3,(IF(C1028="RS",4,(IF(C1028="RC",5,0)))))))))</f>
        <v>2</v>
      </c>
      <c r="E1028" s="33" t="s">
        <v>343</v>
      </c>
      <c r="F1028" s="33">
        <f>IF(E1028="AM",1,(IF(E1028="BE",2,(IF(E1028="GV",3,(IF(E1028="RA",4,(IF(E1028="RM",5,(IF(E1028="AC",1,(IF(E1028="AT",2,(IF(E1028="DS",3,(IF(E1028="IP",4,(IF(E1028="MA",5,(IF(E1028="PT",6,(IF(E1028="AE",1,(IF(E1028="CM",2,(IF(E1028="DP",3,(IF(E1028="AN",1,(IF(E1028="CO",2,(IF(E1028="IM",3,(IF(E1028="MI",4,(IF(E1028="RP",5,(IF(E1028="SC",6,0)))))))))))))))))))))))))))))))))))))))</f>
        <v>3</v>
      </c>
      <c r="G1028" s="170">
        <v>5</v>
      </c>
      <c r="H1028" s="38" t="s">
        <v>511</v>
      </c>
      <c r="I1028" s="105" t="s">
        <v>1449</v>
      </c>
      <c r="J1028" s="157" t="s">
        <v>2757</v>
      </c>
      <c r="K1028" s="34" t="s">
        <v>2758</v>
      </c>
      <c r="L1028" s="5">
        <f>IF(O1028="","",N1028*O1028*M1028)</f>
        <v>99</v>
      </c>
      <c r="M1028" s="8">
        <v>1</v>
      </c>
      <c r="N1028" s="1">
        <v>1</v>
      </c>
      <c r="O1028" s="15">
        <f>IF(SUM(Q1028:AF1028)&lt;1,"",SUM(Q1028:AF1028)/COUNTIF(Q1028:AF1028,"&gt;0"))</f>
        <v>99</v>
      </c>
      <c r="P1028" s="16"/>
      <c r="Q1028" s="13"/>
      <c r="R1028" s="4"/>
      <c r="S1028" s="4"/>
      <c r="T1028" s="4">
        <v>99</v>
      </c>
      <c r="U1028" s="2"/>
      <c r="V1028" s="2"/>
      <c r="W1028" s="2"/>
      <c r="X1028" s="2"/>
      <c r="Y1028" s="4"/>
      <c r="Z1028" s="2"/>
      <c r="AA1028" s="2"/>
      <c r="AB1028" s="4"/>
      <c r="AC1028" s="4"/>
      <c r="AD1028" s="4"/>
      <c r="AE1028" s="4"/>
      <c r="AF1028" s="14"/>
      <c r="AG1028" s="3"/>
    </row>
    <row r="1029" spans="1:33" ht="15.75" customHeight="1" x14ac:dyDescent="0.25">
      <c r="A1029" s="33" t="str">
        <f>CONCATENATE(D1029,".",F1029,"-",G1029,".",H1029,"")</f>
        <v>2.3-5.1</v>
      </c>
      <c r="C1029" s="39" t="s">
        <v>262</v>
      </c>
      <c r="D1029" s="33">
        <f>IF(C1029="ID",1,(IF(C1029="PR",2,(IF(C1029="DE",3,(IF(C1029="RS",4,(IF(C1029="RC",5,0)))))))))</f>
        <v>2</v>
      </c>
      <c r="E1029" s="33" t="s">
        <v>343</v>
      </c>
      <c r="F1029" s="33">
        <f>IF(E1029="AM",1,(IF(E1029="BE",2,(IF(E1029="GV",3,(IF(E1029="RA",4,(IF(E1029="RM",5,(IF(E1029="AC",1,(IF(E1029="AT",2,(IF(E1029="DS",3,(IF(E1029="IP",4,(IF(E1029="MA",5,(IF(E1029="PT",6,(IF(E1029="AE",1,(IF(E1029="CM",2,(IF(E1029="DP",3,(IF(E1029="AN",1,(IF(E1029="CO",2,(IF(E1029="IM",3,(IF(E1029="MI",4,(IF(E1029="RP",5,(IF(E1029="SC",6,0)))))))))))))))))))))))))))))))))))))))</f>
        <v>3</v>
      </c>
      <c r="G1029" s="170">
        <v>5</v>
      </c>
      <c r="H1029" s="38" t="s">
        <v>511</v>
      </c>
      <c r="I1029" s="105" t="s">
        <v>1449</v>
      </c>
      <c r="J1029" s="157" t="s">
        <v>2847</v>
      </c>
      <c r="K1029" s="34" t="s">
        <v>2848</v>
      </c>
      <c r="L1029" s="5">
        <f>IF(O1029="","",N1029*O1029*M1029)</f>
        <v>99</v>
      </c>
      <c r="M1029" s="8">
        <v>1</v>
      </c>
      <c r="N1029" s="1">
        <v>1</v>
      </c>
      <c r="O1029" s="15">
        <f>IF(SUM(Q1029:AF1029)&lt;1,"",SUM(Q1029:AF1029)/COUNTIF(Q1029:AF1029,"&gt;0"))</f>
        <v>99</v>
      </c>
      <c r="P1029" s="16"/>
      <c r="Q1029" s="13"/>
      <c r="R1029" s="4"/>
      <c r="S1029" s="4"/>
      <c r="T1029" s="4">
        <v>99</v>
      </c>
      <c r="U1029" s="2"/>
      <c r="V1029" s="2"/>
      <c r="W1029" s="2"/>
      <c r="X1029" s="2"/>
      <c r="Y1029" s="4"/>
      <c r="Z1029" s="2"/>
      <c r="AA1029" s="2"/>
      <c r="AB1029" s="4"/>
      <c r="AC1029" s="4"/>
      <c r="AD1029" s="4"/>
      <c r="AE1029" s="4"/>
      <c r="AF1029" s="14"/>
      <c r="AG1029" s="3"/>
    </row>
    <row r="1030" spans="1:33" s="4" customFormat="1" ht="15.75" customHeight="1" x14ac:dyDescent="0.25">
      <c r="A1030" s="33" t="str">
        <f>CONCATENATE(D1030,".",F1030,"-",G1030,".",H1030,"")</f>
        <v>2.3-5.1</v>
      </c>
      <c r="B1030" s="33"/>
      <c r="C1030" s="39" t="s">
        <v>262</v>
      </c>
      <c r="D1030" s="33">
        <f>IF(C1030="ID",1,(IF(C1030="PR",2,(IF(C1030="DE",3,(IF(C1030="RS",4,(IF(C1030="RC",5,0)))))))))</f>
        <v>2</v>
      </c>
      <c r="E1030" s="33" t="s">
        <v>343</v>
      </c>
      <c r="F1030" s="33">
        <f>IF(E1030="AM",1,(IF(E1030="BE",2,(IF(E1030="GV",3,(IF(E1030="RA",4,(IF(E1030="RM",5,(IF(E1030="AC",1,(IF(E1030="AT",2,(IF(E1030="DS",3,(IF(E1030="IP",4,(IF(E1030="MA",5,(IF(E1030="PT",6,(IF(E1030="AE",1,(IF(E1030="CM",2,(IF(E1030="DP",3,(IF(E1030="AN",1,(IF(E1030="CO",2,(IF(E1030="IM",3,(IF(E1030="MI",4,(IF(E1030="RP",5,(IF(E1030="SC",6,0)))))))))))))))))))))))))))))))))))))))</f>
        <v>3</v>
      </c>
      <c r="G1030" s="170">
        <v>5</v>
      </c>
      <c r="H1030" s="38" t="s">
        <v>511</v>
      </c>
      <c r="I1030" s="105" t="s">
        <v>1449</v>
      </c>
      <c r="J1030" s="157" t="s">
        <v>2849</v>
      </c>
      <c r="K1030" s="34" t="s">
        <v>2850</v>
      </c>
      <c r="L1030" s="5">
        <f>IF(O1030="","",N1030*O1030*M1030)</f>
        <v>99</v>
      </c>
      <c r="M1030" s="8">
        <v>1</v>
      </c>
      <c r="N1030" s="1">
        <v>1</v>
      </c>
      <c r="O1030" s="15">
        <f>IF(SUM(Q1030:AF1030)&lt;1,"",SUM(Q1030:AF1030)/COUNTIF(Q1030:AF1030,"&gt;0"))</f>
        <v>99</v>
      </c>
      <c r="P1030" s="16"/>
      <c r="Q1030" s="13"/>
      <c r="T1030" s="4">
        <v>99</v>
      </c>
      <c r="U1030" s="2"/>
      <c r="V1030" s="2"/>
      <c r="W1030" s="2"/>
      <c r="X1030" s="2"/>
      <c r="Z1030" s="2"/>
      <c r="AA1030" s="2"/>
      <c r="AF1030" s="14"/>
    </row>
    <row r="1031" spans="1:33" s="4" customFormat="1" ht="15.75" customHeight="1" x14ac:dyDescent="0.25">
      <c r="A1031" s="33" t="str">
        <f>CONCATENATE(D1031,".",F1031,"-",G1031,".",H1031,"")</f>
        <v>2.3-5.1</v>
      </c>
      <c r="B1031" s="33"/>
      <c r="C1031" s="39" t="s">
        <v>262</v>
      </c>
      <c r="D1031" s="33">
        <f>IF(C1031="ID",1,(IF(C1031="PR",2,(IF(C1031="DE",3,(IF(C1031="RS",4,(IF(C1031="RC",5,0)))))))))</f>
        <v>2</v>
      </c>
      <c r="E1031" s="33" t="s">
        <v>343</v>
      </c>
      <c r="F1031" s="33">
        <f>IF(E1031="AM",1,(IF(E1031="BE",2,(IF(E1031="GV",3,(IF(E1031="RA",4,(IF(E1031="RM",5,(IF(E1031="AC",1,(IF(E1031="AT",2,(IF(E1031="DS",3,(IF(E1031="IP",4,(IF(E1031="MA",5,(IF(E1031="PT",6,(IF(E1031="AE",1,(IF(E1031="CM",2,(IF(E1031="DP",3,(IF(E1031="AN",1,(IF(E1031="CO",2,(IF(E1031="IM",3,(IF(E1031="MI",4,(IF(E1031="RP",5,(IF(E1031="SC",6,0)))))))))))))))))))))))))))))))))))))))</f>
        <v>3</v>
      </c>
      <c r="G1031" s="170">
        <v>5</v>
      </c>
      <c r="H1031" s="38" t="s">
        <v>511</v>
      </c>
      <c r="I1031" s="105" t="s">
        <v>1449</v>
      </c>
      <c r="J1031" s="157" t="s">
        <v>2851</v>
      </c>
      <c r="K1031" s="34" t="s">
        <v>2852</v>
      </c>
      <c r="L1031" s="5">
        <f>IF(O1031="","",N1031*O1031*M1031)</f>
        <v>99</v>
      </c>
      <c r="M1031" s="8">
        <v>1</v>
      </c>
      <c r="N1031" s="1">
        <v>1</v>
      </c>
      <c r="O1031" s="15">
        <f>IF(SUM(Q1031:AF1031)&lt;1,"",SUM(Q1031:AF1031)/COUNTIF(Q1031:AF1031,"&gt;0"))</f>
        <v>99</v>
      </c>
      <c r="P1031" s="16"/>
      <c r="Q1031" s="13"/>
      <c r="T1031" s="4">
        <v>99</v>
      </c>
      <c r="U1031" s="2"/>
      <c r="V1031" s="2"/>
      <c r="W1031" s="2"/>
      <c r="X1031" s="2"/>
      <c r="Z1031" s="2"/>
      <c r="AA1031" s="2"/>
      <c r="AF1031" s="14"/>
    </row>
    <row r="1032" spans="1:33" s="4" customFormat="1" ht="15.75" customHeight="1" x14ac:dyDescent="0.25">
      <c r="A1032" s="33" t="str">
        <f>CONCATENATE(D1032,".",F1032,"-",G1032,".",H1032,"")</f>
        <v>2.3-5.1</v>
      </c>
      <c r="B1032" s="33"/>
      <c r="C1032" s="39" t="s">
        <v>262</v>
      </c>
      <c r="D1032" s="33">
        <f>IF(C1032="ID",1,(IF(C1032="PR",2,(IF(C1032="DE",3,(IF(C1032="RS",4,(IF(C1032="RC",5,0)))))))))</f>
        <v>2</v>
      </c>
      <c r="E1032" s="33" t="s">
        <v>343</v>
      </c>
      <c r="F1032" s="33">
        <f>IF(E1032="AM",1,(IF(E1032="BE",2,(IF(E1032="GV",3,(IF(E1032="RA",4,(IF(E1032="RM",5,(IF(E1032="AC",1,(IF(E1032="AT",2,(IF(E1032="DS",3,(IF(E1032="IP",4,(IF(E1032="MA",5,(IF(E1032="PT",6,(IF(E1032="AE",1,(IF(E1032="CM",2,(IF(E1032="DP",3,(IF(E1032="AN",1,(IF(E1032="CO",2,(IF(E1032="IM",3,(IF(E1032="MI",4,(IF(E1032="RP",5,(IF(E1032="SC",6,0)))))))))))))))))))))))))))))))))))))))</f>
        <v>3</v>
      </c>
      <c r="G1032" s="170">
        <v>5</v>
      </c>
      <c r="H1032" s="38" t="s">
        <v>511</v>
      </c>
      <c r="I1032" s="105" t="s">
        <v>1449</v>
      </c>
      <c r="J1032" s="157" t="s">
        <v>2853</v>
      </c>
      <c r="K1032" s="34" t="s">
        <v>2854</v>
      </c>
      <c r="L1032" s="5">
        <f>IF(O1032="","",N1032*O1032*M1032)</f>
        <v>99</v>
      </c>
      <c r="M1032" s="8">
        <v>1</v>
      </c>
      <c r="N1032" s="1">
        <v>1</v>
      </c>
      <c r="O1032" s="15">
        <f>IF(SUM(Q1032:AF1032)&lt;1,"",SUM(Q1032:AF1032)/COUNTIF(Q1032:AF1032,"&gt;0"))</f>
        <v>99</v>
      </c>
      <c r="P1032" s="16"/>
      <c r="Q1032" s="13"/>
      <c r="T1032" s="4">
        <v>99</v>
      </c>
      <c r="U1032" s="2"/>
      <c r="V1032" s="2"/>
      <c r="W1032" s="2"/>
      <c r="X1032" s="2"/>
      <c r="Z1032" s="2"/>
      <c r="AA1032" s="2"/>
      <c r="AF1032" s="14"/>
    </row>
    <row r="1033" spans="1:33" s="4" customFormat="1" ht="15.75" customHeight="1" x14ac:dyDescent="0.25">
      <c r="A1033" s="33" t="str">
        <f>CONCATENATE(D1033,".",F1033,"-",G1033,".",H1033,"")</f>
        <v>2.3-5.1</v>
      </c>
      <c r="B1033" s="33"/>
      <c r="C1033" s="39" t="s">
        <v>262</v>
      </c>
      <c r="D1033" s="33">
        <f>IF(C1033="ID",1,(IF(C1033="PR",2,(IF(C1033="DE",3,(IF(C1033="RS",4,(IF(C1033="RC",5,0)))))))))</f>
        <v>2</v>
      </c>
      <c r="E1033" s="33" t="s">
        <v>343</v>
      </c>
      <c r="F1033" s="33">
        <f>IF(E1033="AM",1,(IF(E1033="BE",2,(IF(E1033="GV",3,(IF(E1033="RA",4,(IF(E1033="RM",5,(IF(E1033="AC",1,(IF(E1033="AT",2,(IF(E1033="DS",3,(IF(E1033="IP",4,(IF(E1033="MA",5,(IF(E1033="PT",6,(IF(E1033="AE",1,(IF(E1033="CM",2,(IF(E1033="DP",3,(IF(E1033="AN",1,(IF(E1033="CO",2,(IF(E1033="IM",3,(IF(E1033="MI",4,(IF(E1033="RP",5,(IF(E1033="SC",6,0)))))))))))))))))))))))))))))))))))))))</f>
        <v>3</v>
      </c>
      <c r="G1033" s="170">
        <v>5</v>
      </c>
      <c r="H1033" s="38" t="s">
        <v>511</v>
      </c>
      <c r="I1033" s="105" t="s">
        <v>1449</v>
      </c>
      <c r="J1033" s="157" t="s">
        <v>3073</v>
      </c>
      <c r="K1033" s="34" t="s">
        <v>3074</v>
      </c>
      <c r="L1033" s="5">
        <f>IF(O1033="","",N1033*O1033*M1033)</f>
        <v>99</v>
      </c>
      <c r="M1033" s="8">
        <v>1</v>
      </c>
      <c r="N1033" s="1">
        <v>1</v>
      </c>
      <c r="O1033" s="15">
        <f>IF(SUM(Q1033:AF1033)&lt;1,"",SUM(Q1033:AF1033)/COUNTIF(Q1033:AF1033,"&gt;0"))</f>
        <v>99</v>
      </c>
      <c r="P1033" s="16"/>
      <c r="Q1033" s="13"/>
      <c r="T1033" s="4">
        <v>99</v>
      </c>
      <c r="U1033" s="2"/>
      <c r="V1033" s="2"/>
      <c r="W1033" s="2"/>
      <c r="X1033" s="2"/>
      <c r="Z1033" s="2"/>
      <c r="AA1033" s="2"/>
      <c r="AF1033" s="14"/>
    </row>
    <row r="1034" spans="1:33" ht="15.75" customHeight="1" x14ac:dyDescent="0.25">
      <c r="A1034" s="33" t="str">
        <f>CONCATENATE(D1034,".",F1034,"-",G1034,".",H1034,"")</f>
        <v>2.3-5.1</v>
      </c>
      <c r="C1034" s="39" t="s">
        <v>262</v>
      </c>
      <c r="D1034" s="33">
        <f>IF(C1034="ID",1,(IF(C1034="PR",2,(IF(C1034="DE",3,(IF(C1034="RS",4,(IF(C1034="RC",5,0)))))))))</f>
        <v>2</v>
      </c>
      <c r="E1034" s="33" t="s">
        <v>343</v>
      </c>
      <c r="F1034" s="33">
        <f>IF(E1034="AM",1,(IF(E1034="BE",2,(IF(E1034="GV",3,(IF(E1034="RA",4,(IF(E1034="RM",5,(IF(E1034="AC",1,(IF(E1034="AT",2,(IF(E1034="DS",3,(IF(E1034="IP",4,(IF(E1034="MA",5,(IF(E1034="PT",6,(IF(E1034="AE",1,(IF(E1034="CM",2,(IF(E1034="DP",3,(IF(E1034="AN",1,(IF(E1034="CO",2,(IF(E1034="IM",3,(IF(E1034="MI",4,(IF(E1034="RP",5,(IF(E1034="SC",6,0)))))))))))))))))))))))))))))))))))))))</f>
        <v>3</v>
      </c>
      <c r="G1034" s="170">
        <v>5</v>
      </c>
      <c r="H1034" s="38" t="s">
        <v>511</v>
      </c>
      <c r="I1034" s="105" t="s">
        <v>1449</v>
      </c>
      <c r="J1034" s="157" t="s">
        <v>3075</v>
      </c>
      <c r="K1034" s="34" t="s">
        <v>3076</v>
      </c>
      <c r="L1034" s="5">
        <f>IF(O1034="","",N1034*O1034*M1034)</f>
        <v>99</v>
      </c>
      <c r="M1034" s="8">
        <v>1</v>
      </c>
      <c r="N1034" s="1">
        <v>1</v>
      </c>
      <c r="O1034" s="15">
        <f>IF(SUM(Q1034:AF1034)&lt;1,"",SUM(Q1034:AF1034)/COUNTIF(Q1034:AF1034,"&gt;0"))</f>
        <v>99</v>
      </c>
      <c r="P1034" s="16"/>
      <c r="Q1034" s="13"/>
      <c r="R1034" s="4"/>
      <c r="S1034" s="4"/>
      <c r="T1034" s="4">
        <v>99</v>
      </c>
      <c r="U1034" s="2"/>
      <c r="V1034" s="2"/>
      <c r="W1034" s="2"/>
      <c r="X1034" s="2"/>
      <c r="Y1034" s="4"/>
      <c r="Z1034" s="2"/>
      <c r="AA1034" s="2"/>
      <c r="AB1034" s="4"/>
      <c r="AC1034" s="4"/>
      <c r="AD1034" s="4"/>
      <c r="AE1034" s="4"/>
      <c r="AF1034" s="14"/>
      <c r="AG1034" s="3"/>
    </row>
    <row r="1035" spans="1:33" ht="15.75" customHeight="1" x14ac:dyDescent="0.25">
      <c r="A1035" s="33" t="str">
        <f>CONCATENATE(D1035,".",F1035,"-",G1035,".",H1035,"")</f>
        <v>2.3-5.1</v>
      </c>
      <c r="C1035" s="39" t="s">
        <v>262</v>
      </c>
      <c r="D1035" s="33">
        <f>IF(C1035="ID",1,(IF(C1035="PR",2,(IF(C1035="DE",3,(IF(C1035="RS",4,(IF(C1035="RC",5,0)))))))))</f>
        <v>2</v>
      </c>
      <c r="E1035" s="33" t="s">
        <v>343</v>
      </c>
      <c r="F1035" s="33">
        <f>IF(E1035="AM",1,(IF(E1035="BE",2,(IF(E1035="GV",3,(IF(E1035="RA",4,(IF(E1035="RM",5,(IF(E1035="AC",1,(IF(E1035="AT",2,(IF(E1035="DS",3,(IF(E1035="IP",4,(IF(E1035="MA",5,(IF(E1035="PT",6,(IF(E1035="AE",1,(IF(E1035="CM",2,(IF(E1035="DP",3,(IF(E1035="AN",1,(IF(E1035="CO",2,(IF(E1035="IM",3,(IF(E1035="MI",4,(IF(E1035="RP",5,(IF(E1035="SC",6,0)))))))))))))))))))))))))))))))))))))))</f>
        <v>3</v>
      </c>
      <c r="G1035" s="170">
        <v>5</v>
      </c>
      <c r="H1035" s="38" t="s">
        <v>511</v>
      </c>
      <c r="I1035" s="105" t="s">
        <v>1449</v>
      </c>
      <c r="J1035" s="157" t="s">
        <v>3079</v>
      </c>
      <c r="K1035" s="34" t="s">
        <v>3080</v>
      </c>
      <c r="L1035" s="5">
        <f>IF(O1035="","",N1035*O1035*M1035)</f>
        <v>99</v>
      </c>
      <c r="M1035" s="8">
        <v>1</v>
      </c>
      <c r="N1035" s="1">
        <v>1</v>
      </c>
      <c r="O1035" s="15">
        <f>IF(SUM(Q1035:AF1035)&lt;1,"",SUM(Q1035:AF1035)/COUNTIF(Q1035:AF1035,"&gt;0"))</f>
        <v>99</v>
      </c>
      <c r="P1035" s="16"/>
      <c r="Q1035" s="13"/>
      <c r="R1035" s="4"/>
      <c r="S1035" s="4"/>
      <c r="T1035" s="4">
        <v>99</v>
      </c>
      <c r="U1035" s="2"/>
      <c r="V1035" s="2"/>
      <c r="W1035" s="2"/>
      <c r="X1035" s="2"/>
      <c r="Y1035" s="4"/>
      <c r="Z1035" s="2"/>
      <c r="AA1035" s="2"/>
      <c r="AB1035" s="4"/>
      <c r="AC1035" s="4"/>
      <c r="AD1035" s="4"/>
      <c r="AE1035" s="4"/>
      <c r="AF1035" s="14"/>
      <c r="AG1035" s="3"/>
    </row>
    <row r="1036" spans="1:33" ht="15.75" customHeight="1" x14ac:dyDescent="0.25">
      <c r="A1036" s="33" t="str">
        <f>CONCATENATE(D1036,".",F1036,"-",G1036,".",H1036,"")</f>
        <v>2.3-5.1</v>
      </c>
      <c r="C1036" s="39" t="s">
        <v>262</v>
      </c>
      <c r="D1036" s="33">
        <f>IF(C1036="ID",1,(IF(C1036="PR",2,(IF(C1036="DE",3,(IF(C1036="RS",4,(IF(C1036="RC",5,0)))))))))</f>
        <v>2</v>
      </c>
      <c r="E1036" s="33" t="s">
        <v>343</v>
      </c>
      <c r="F1036" s="33">
        <f>IF(E1036="AM",1,(IF(E1036="BE",2,(IF(E1036="GV",3,(IF(E1036="RA",4,(IF(E1036="RM",5,(IF(E1036="AC",1,(IF(E1036="AT",2,(IF(E1036="DS",3,(IF(E1036="IP",4,(IF(E1036="MA",5,(IF(E1036="PT",6,(IF(E1036="AE",1,(IF(E1036="CM",2,(IF(E1036="DP",3,(IF(E1036="AN",1,(IF(E1036="CO",2,(IF(E1036="IM",3,(IF(E1036="MI",4,(IF(E1036="RP",5,(IF(E1036="SC",6,0)))))))))))))))))))))))))))))))))))))))</f>
        <v>3</v>
      </c>
      <c r="G1036" s="170">
        <v>5</v>
      </c>
      <c r="H1036" s="38" t="s">
        <v>511</v>
      </c>
      <c r="I1036" s="105" t="s">
        <v>1449</v>
      </c>
      <c r="J1036" s="157" t="s">
        <v>3081</v>
      </c>
      <c r="K1036" s="34" t="s">
        <v>3082</v>
      </c>
      <c r="L1036" s="5">
        <f>IF(O1036="","",N1036*O1036*M1036)</f>
        <v>99</v>
      </c>
      <c r="M1036" s="8">
        <v>1</v>
      </c>
      <c r="N1036" s="1">
        <v>1</v>
      </c>
      <c r="O1036" s="15">
        <f>IF(SUM(Q1036:AF1036)&lt;1,"",SUM(Q1036:AF1036)/COUNTIF(Q1036:AF1036,"&gt;0"))</f>
        <v>99</v>
      </c>
      <c r="P1036" s="16"/>
      <c r="Q1036" s="13"/>
      <c r="R1036" s="4"/>
      <c r="S1036" s="4"/>
      <c r="T1036" s="4">
        <v>99</v>
      </c>
      <c r="U1036" s="2"/>
      <c r="V1036" s="2"/>
      <c r="W1036" s="2"/>
      <c r="X1036" s="2"/>
      <c r="Y1036" s="4"/>
      <c r="Z1036" s="2"/>
      <c r="AA1036" s="2"/>
      <c r="AB1036" s="4"/>
      <c r="AC1036" s="4"/>
      <c r="AD1036" s="4"/>
      <c r="AE1036" s="4"/>
      <c r="AF1036" s="14"/>
      <c r="AG1036" s="3"/>
    </row>
    <row r="1037" spans="1:33" ht="15.75" customHeight="1" x14ac:dyDescent="0.25">
      <c r="A1037" s="33" t="str">
        <f>CONCATENATE(D1037,".",F1037,"-",G1037,".",H1037,"")</f>
        <v>2.3-5.1</v>
      </c>
      <c r="C1037" s="39" t="s">
        <v>262</v>
      </c>
      <c r="D1037" s="33">
        <f>IF(C1037="ID",1,(IF(C1037="PR",2,(IF(C1037="DE",3,(IF(C1037="RS",4,(IF(C1037="RC",5,0)))))))))</f>
        <v>2</v>
      </c>
      <c r="E1037" s="33" t="s">
        <v>343</v>
      </c>
      <c r="F1037" s="33">
        <f>IF(E1037="AM",1,(IF(E1037="BE",2,(IF(E1037="GV",3,(IF(E1037="RA",4,(IF(E1037="RM",5,(IF(E1037="AC",1,(IF(E1037="AT",2,(IF(E1037="DS",3,(IF(E1037="IP",4,(IF(E1037="MA",5,(IF(E1037="PT",6,(IF(E1037="AE",1,(IF(E1037="CM",2,(IF(E1037="DP",3,(IF(E1037="AN",1,(IF(E1037="CO",2,(IF(E1037="IM",3,(IF(E1037="MI",4,(IF(E1037="RP",5,(IF(E1037="SC",6,0)))))))))))))))))))))))))))))))))))))))</f>
        <v>3</v>
      </c>
      <c r="G1037" s="170">
        <v>5</v>
      </c>
      <c r="H1037" s="38" t="s">
        <v>511</v>
      </c>
      <c r="I1037" s="105" t="s">
        <v>1449</v>
      </c>
      <c r="J1037" s="157" t="s">
        <v>3085</v>
      </c>
      <c r="K1037" s="34" t="s">
        <v>3086</v>
      </c>
      <c r="L1037" s="5">
        <f>IF(O1037="","",N1037*O1037*M1037)</f>
        <v>99</v>
      </c>
      <c r="M1037" s="8">
        <v>1</v>
      </c>
      <c r="N1037" s="1">
        <v>1</v>
      </c>
      <c r="O1037" s="15">
        <f>IF(SUM(Q1037:AF1037)&lt;1,"",SUM(Q1037:AF1037)/COUNTIF(Q1037:AF1037,"&gt;0"))</f>
        <v>99</v>
      </c>
      <c r="P1037" s="16"/>
      <c r="Q1037" s="13"/>
      <c r="R1037" s="4"/>
      <c r="S1037" s="4"/>
      <c r="T1037" s="4">
        <v>99</v>
      </c>
      <c r="U1037" s="2"/>
      <c r="V1037" s="2"/>
      <c r="W1037" s="2"/>
      <c r="X1037" s="2"/>
      <c r="Y1037" s="4"/>
      <c r="Z1037" s="2"/>
      <c r="AA1037" s="2"/>
      <c r="AB1037" s="4"/>
      <c r="AC1037" s="4"/>
      <c r="AD1037" s="4"/>
      <c r="AE1037" s="4"/>
      <c r="AF1037" s="14"/>
      <c r="AG1037" s="3"/>
    </row>
    <row r="1038" spans="1:33" ht="15.75" customHeight="1" x14ac:dyDescent="0.25">
      <c r="A1038" s="33" t="str">
        <f>CONCATENATE(D1038,".",F1038,"-",G1038,".",H1038,"")</f>
        <v>2.3-5.1</v>
      </c>
      <c r="C1038" s="39" t="s">
        <v>262</v>
      </c>
      <c r="D1038" s="33">
        <f>IF(C1038="ID",1,(IF(C1038="PR",2,(IF(C1038="DE",3,(IF(C1038="RS",4,(IF(C1038="RC",5,0)))))))))</f>
        <v>2</v>
      </c>
      <c r="E1038" s="33" t="s">
        <v>343</v>
      </c>
      <c r="F1038" s="33">
        <f>IF(E1038="AM",1,(IF(E1038="BE",2,(IF(E1038="GV",3,(IF(E1038="RA",4,(IF(E1038="RM",5,(IF(E1038="AC",1,(IF(E1038="AT",2,(IF(E1038="DS",3,(IF(E1038="IP",4,(IF(E1038="MA",5,(IF(E1038="PT",6,(IF(E1038="AE",1,(IF(E1038="CM",2,(IF(E1038="DP",3,(IF(E1038="AN",1,(IF(E1038="CO",2,(IF(E1038="IM",3,(IF(E1038="MI",4,(IF(E1038="RP",5,(IF(E1038="SC",6,0)))))))))))))))))))))))))))))))))))))))</f>
        <v>3</v>
      </c>
      <c r="G1038" s="170">
        <v>5</v>
      </c>
      <c r="H1038" s="38" t="s">
        <v>511</v>
      </c>
      <c r="I1038" s="105" t="s">
        <v>1449</v>
      </c>
      <c r="J1038" s="157" t="s">
        <v>3093</v>
      </c>
      <c r="K1038" s="34" t="s">
        <v>3094</v>
      </c>
      <c r="L1038" s="5">
        <f>IF(O1038="","",N1038*O1038*M1038)</f>
        <v>99</v>
      </c>
      <c r="M1038" s="8">
        <v>1</v>
      </c>
      <c r="N1038" s="1">
        <v>1</v>
      </c>
      <c r="O1038" s="15">
        <f>IF(SUM(Q1038:AF1038)&lt;1,"",SUM(Q1038:AF1038)/COUNTIF(Q1038:AF1038,"&gt;0"))</f>
        <v>99</v>
      </c>
      <c r="P1038" s="16"/>
      <c r="Q1038" s="13"/>
      <c r="R1038" s="4"/>
      <c r="S1038" s="4"/>
      <c r="T1038" s="4">
        <v>99</v>
      </c>
      <c r="U1038" s="2"/>
      <c r="V1038" s="2"/>
      <c r="W1038" s="2"/>
      <c r="X1038" s="2"/>
      <c r="Y1038" s="4"/>
      <c r="Z1038" s="2"/>
      <c r="AA1038" s="2"/>
      <c r="AB1038" s="4"/>
      <c r="AC1038" s="4"/>
      <c r="AD1038" s="4"/>
      <c r="AE1038" s="4"/>
      <c r="AF1038" s="14"/>
      <c r="AG1038" s="3"/>
    </row>
    <row r="1039" spans="1:33" ht="15.75" customHeight="1" x14ac:dyDescent="0.25">
      <c r="A1039" s="33" t="str">
        <f>CONCATENATE(D1039,".",F1039,"-",G1039,".",H1039,"")</f>
        <v>2.3-5.2</v>
      </c>
      <c r="B1039" s="33" t="s">
        <v>814</v>
      </c>
      <c r="C1039" s="39" t="s">
        <v>262</v>
      </c>
      <c r="D1039" s="33">
        <f>IF(C1039="ID",1,(IF(C1039="PR",2,(IF(C1039="DE",3,(IF(C1039="RS",4,(IF(C1039="RC",5,0)))))))))</f>
        <v>2</v>
      </c>
      <c r="E1039" s="33" t="s">
        <v>343</v>
      </c>
      <c r="F1039" s="33">
        <f>IF(E1039="AM",1,(IF(E1039="BE",2,(IF(E1039="GV",3,(IF(E1039="RA",4,(IF(E1039="RM",5,(IF(E1039="AC",1,(IF(E1039="AT",2,(IF(E1039="DS",3,(IF(E1039="IP",4,(IF(E1039="MA",5,(IF(E1039="PT",6,(IF(E1039="AE",1,(IF(E1039="CM",2,(IF(E1039="DP",3,(IF(E1039="AN",1,(IF(E1039="CO",2,(IF(E1039="IM",3,(IF(E1039="MI",4,(IF(E1039="RP",5,(IF(E1039="SC",6,0)))))))))))))))))))))))))))))))))))))))</f>
        <v>3</v>
      </c>
      <c r="G1039" s="170">
        <v>5</v>
      </c>
      <c r="H1039" s="38" t="s">
        <v>512</v>
      </c>
      <c r="I1039" s="27" t="s">
        <v>266</v>
      </c>
      <c r="J1039" s="149" t="s">
        <v>467</v>
      </c>
      <c r="K1039" s="79" t="s">
        <v>1334</v>
      </c>
      <c r="L1039" s="66">
        <f>IF(O1039="","",N1039*O1039*M1039)</f>
        <v>75</v>
      </c>
      <c r="M1039" s="8">
        <v>1</v>
      </c>
      <c r="N1039" s="1">
        <v>1</v>
      </c>
      <c r="O1039" s="15">
        <f>IF(SUM(Q1039:AF1039)&lt;1,"",SUM(Q1039:AF1039)/COUNTIF(Q1039:AF1039,"&gt;0"))</f>
        <v>75</v>
      </c>
      <c r="P1039" s="16"/>
      <c r="Q1039" s="13"/>
      <c r="R1039" s="4"/>
      <c r="S1039" s="4"/>
      <c r="T1039" s="4">
        <v>75</v>
      </c>
      <c r="U1039" s="2"/>
      <c r="V1039" s="2"/>
      <c r="W1039" s="2"/>
      <c r="X1039" s="2"/>
      <c r="Y1039" s="4"/>
      <c r="Z1039" s="2"/>
      <c r="AA1039" s="2"/>
      <c r="AB1039" s="4"/>
      <c r="AC1039" s="4"/>
      <c r="AD1039" s="4"/>
      <c r="AE1039" s="4"/>
      <c r="AF1039" s="14"/>
      <c r="AG1039" s="3"/>
    </row>
    <row r="1040" spans="1:33" ht="15.75" customHeight="1" x14ac:dyDescent="0.25">
      <c r="A1040" s="33" t="str">
        <f>CONCATENATE(D1040,".",F1040,"-",G1040,".",H1040,"")</f>
        <v>2.3-5.9</v>
      </c>
      <c r="C1040" s="39" t="s">
        <v>262</v>
      </c>
      <c r="D1040" s="33">
        <f>IF(C1040="ID",1,(IF(C1040="PR",2,(IF(C1040="DE",3,(IF(C1040="RS",4,(IF(C1040="RC",5,0)))))))))</f>
        <v>2</v>
      </c>
      <c r="E1040" s="33" t="s">
        <v>343</v>
      </c>
      <c r="F1040" s="33">
        <f>IF(E1040="AM",1,(IF(E1040="BE",2,(IF(E1040="GV",3,(IF(E1040="RA",4,(IF(E1040="RM",5,(IF(E1040="AC",1,(IF(E1040="AT",2,(IF(E1040="DS",3,(IF(E1040="IP",4,(IF(E1040="MA",5,(IF(E1040="PT",6,(IF(E1040="AE",1,(IF(E1040="CM",2,(IF(E1040="DP",3,(IF(E1040="AN",1,(IF(E1040="CO",2,(IF(E1040="IM",3,(IF(E1040="MI",4,(IF(E1040="RP",5,(IF(E1040="SC",6,0)))))))))))))))))))))))))))))))))))))))</f>
        <v>3</v>
      </c>
      <c r="G1040" s="170">
        <v>5</v>
      </c>
      <c r="H1040" s="38" t="s">
        <v>596</v>
      </c>
      <c r="I1040" s="105" t="s">
        <v>1449</v>
      </c>
      <c r="J1040" s="157" t="s">
        <v>2767</v>
      </c>
      <c r="K1040" s="34" t="s">
        <v>2768</v>
      </c>
      <c r="L1040" s="5">
        <f>IF(O1040="","",N1040*O1040*M1040)</f>
        <v>99</v>
      </c>
      <c r="M1040" s="8">
        <v>1</v>
      </c>
      <c r="N1040" s="1">
        <v>1</v>
      </c>
      <c r="O1040" s="15">
        <f>IF(SUM(Q1040:AF1040)&lt;1,"",SUM(Q1040:AF1040)/COUNTIF(Q1040:AF1040,"&gt;0"))</f>
        <v>99</v>
      </c>
      <c r="P1040" s="16"/>
      <c r="Q1040" s="13"/>
      <c r="R1040" s="4"/>
      <c r="S1040" s="4"/>
      <c r="T1040" s="4">
        <v>99</v>
      </c>
      <c r="U1040" s="2"/>
      <c r="V1040" s="2"/>
      <c r="W1040" s="2"/>
      <c r="X1040" s="2"/>
      <c r="Y1040" s="4"/>
      <c r="Z1040" s="2"/>
      <c r="AA1040" s="2"/>
      <c r="AB1040" s="4"/>
      <c r="AC1040" s="4"/>
      <c r="AD1040" s="4"/>
      <c r="AE1040" s="4"/>
      <c r="AF1040" s="14"/>
      <c r="AG1040" s="3"/>
    </row>
    <row r="1041" spans="1:33" ht="15.75" customHeight="1" x14ac:dyDescent="0.25">
      <c r="A1041" s="33" t="str">
        <f>CONCATENATE(D1041,".",F1041,"-",G1041,".",H1041,"")</f>
        <v>2.3-5.9</v>
      </c>
      <c r="C1041" s="39" t="s">
        <v>262</v>
      </c>
      <c r="D1041" s="33">
        <f>IF(C1041="ID",1,(IF(C1041="PR",2,(IF(C1041="DE",3,(IF(C1041="RS",4,(IF(C1041="RC",5,0)))))))))</f>
        <v>2</v>
      </c>
      <c r="E1041" s="33" t="s">
        <v>343</v>
      </c>
      <c r="F1041" s="33">
        <f>IF(E1041="AM",1,(IF(E1041="BE",2,(IF(E1041="GV",3,(IF(E1041="RA",4,(IF(E1041="RM",5,(IF(E1041="AC",1,(IF(E1041="AT",2,(IF(E1041="DS",3,(IF(E1041="IP",4,(IF(E1041="MA",5,(IF(E1041="PT",6,(IF(E1041="AE",1,(IF(E1041="CM",2,(IF(E1041="DP",3,(IF(E1041="AN",1,(IF(E1041="CO",2,(IF(E1041="IM",3,(IF(E1041="MI",4,(IF(E1041="RP",5,(IF(E1041="SC",6,0)))))))))))))))))))))))))))))))))))))))</f>
        <v>3</v>
      </c>
      <c r="G1041" s="170">
        <v>5</v>
      </c>
      <c r="H1041" s="38" t="s">
        <v>596</v>
      </c>
      <c r="I1041" s="105" t="s">
        <v>1449</v>
      </c>
      <c r="J1041" s="157" t="s">
        <v>3015</v>
      </c>
      <c r="K1041" s="34" t="s">
        <v>3016</v>
      </c>
      <c r="L1041" s="5">
        <f>IF(O1041="","",N1041*O1041*M1041)</f>
        <v>99</v>
      </c>
      <c r="M1041" s="8">
        <v>1</v>
      </c>
      <c r="N1041" s="1">
        <v>1</v>
      </c>
      <c r="O1041" s="15">
        <f>IF(SUM(Q1041:AF1041)&lt;1,"",SUM(Q1041:AF1041)/COUNTIF(Q1041:AF1041,"&gt;0"))</f>
        <v>99</v>
      </c>
      <c r="P1041" s="16"/>
      <c r="Q1041" s="13"/>
      <c r="R1041" s="4"/>
      <c r="S1041" s="4"/>
      <c r="T1041" s="4">
        <v>99</v>
      </c>
      <c r="U1041" s="2"/>
      <c r="V1041" s="2"/>
      <c r="W1041" s="2"/>
      <c r="X1041" s="2"/>
      <c r="Y1041" s="4"/>
      <c r="Z1041" s="2"/>
      <c r="AA1041" s="2"/>
      <c r="AB1041" s="4"/>
      <c r="AC1041" s="4"/>
      <c r="AD1041" s="4"/>
      <c r="AE1041" s="4"/>
      <c r="AF1041" s="14"/>
      <c r="AG1041" s="3"/>
    </row>
    <row r="1042" spans="1:33" s="4" customFormat="1" ht="15.75" customHeight="1" x14ac:dyDescent="0.25">
      <c r="A1042" s="33" t="str">
        <f>CONCATENATE(D1042,".",F1042,"-",G1042,".",H1042,"")</f>
        <v>2.3-5.9</v>
      </c>
      <c r="B1042" s="33"/>
      <c r="C1042" s="39" t="s">
        <v>262</v>
      </c>
      <c r="D1042" s="33">
        <f>IF(C1042="ID",1,(IF(C1042="PR",2,(IF(C1042="DE",3,(IF(C1042="RS",4,(IF(C1042="RC",5,0)))))))))</f>
        <v>2</v>
      </c>
      <c r="E1042" s="33" t="s">
        <v>343</v>
      </c>
      <c r="F1042" s="33">
        <f>IF(E1042="AM",1,(IF(E1042="BE",2,(IF(E1042="GV",3,(IF(E1042="RA",4,(IF(E1042="RM",5,(IF(E1042="AC",1,(IF(E1042="AT",2,(IF(E1042="DS",3,(IF(E1042="IP",4,(IF(E1042="MA",5,(IF(E1042="PT",6,(IF(E1042="AE",1,(IF(E1042="CM",2,(IF(E1042="DP",3,(IF(E1042="AN",1,(IF(E1042="CO",2,(IF(E1042="IM",3,(IF(E1042="MI",4,(IF(E1042="RP",5,(IF(E1042="SC",6,0)))))))))))))))))))))))))))))))))))))))</f>
        <v>3</v>
      </c>
      <c r="G1042" s="170">
        <v>5</v>
      </c>
      <c r="H1042" s="38" t="s">
        <v>596</v>
      </c>
      <c r="I1042" s="105" t="s">
        <v>1449</v>
      </c>
      <c r="J1042" s="157" t="s">
        <v>3017</v>
      </c>
      <c r="K1042" s="34" t="s">
        <v>3018</v>
      </c>
      <c r="L1042" s="5">
        <f>IF(O1042="","",N1042*O1042*M1042)</f>
        <v>99</v>
      </c>
      <c r="M1042" s="8">
        <v>1</v>
      </c>
      <c r="N1042" s="1">
        <v>1</v>
      </c>
      <c r="O1042" s="15">
        <f>IF(SUM(Q1042:AF1042)&lt;1,"",SUM(Q1042:AF1042)/COUNTIF(Q1042:AF1042,"&gt;0"))</f>
        <v>99</v>
      </c>
      <c r="P1042" s="16"/>
      <c r="Q1042" s="13"/>
      <c r="T1042" s="4">
        <v>99</v>
      </c>
      <c r="U1042" s="2"/>
      <c r="V1042" s="2"/>
      <c r="W1042" s="2"/>
      <c r="X1042" s="2"/>
      <c r="Z1042" s="2"/>
      <c r="AA1042" s="2"/>
      <c r="AF1042" s="14"/>
    </row>
    <row r="1043" spans="1:33" s="4" customFormat="1" ht="15.75" customHeight="1" x14ac:dyDescent="0.25">
      <c r="A1043" s="33" t="str">
        <f>CONCATENATE(D1043,".",F1043,"-",G1043,".",H1043,"")</f>
        <v>2.3-6.0</v>
      </c>
      <c r="B1043" s="33" t="s">
        <v>814</v>
      </c>
      <c r="C1043" s="40" t="s">
        <v>262</v>
      </c>
      <c r="D1043" s="33">
        <f>IF(C1043="ID",1,(IF(C1043="PR",2,(IF(C1043="DE",3,(IF(C1043="RS",4,(IF(C1043="RC",5,0)))))))))</f>
        <v>2</v>
      </c>
      <c r="E1043" s="33" t="s">
        <v>343</v>
      </c>
      <c r="F1043" s="33">
        <f>IF(E1043="AM",1,(IF(E1043="BE",2,(IF(E1043="GV",3,(IF(E1043="RA",4,(IF(E1043="RM",5,(IF(E1043="AC",1,(IF(E1043="AT",2,(IF(E1043="DS",3,(IF(E1043="IP",4,(IF(E1043="MA",5,(IF(E1043="PT",6,(IF(E1043="AE",1,(IF(E1043="CM",2,(IF(E1043="DP",3,(IF(E1043="AN",1,(IF(E1043="CO",2,(IF(E1043="IM",3,(IF(E1043="MI",4,(IF(E1043="RP",5,(IF(E1043="SC",6,0)))))))))))))))))))))))))))))))))))))))</f>
        <v>3</v>
      </c>
      <c r="G1043" s="170">
        <v>6</v>
      </c>
      <c r="H1043" s="38" t="s">
        <v>597</v>
      </c>
      <c r="I1043" s="27" t="s">
        <v>1200</v>
      </c>
      <c r="J1043" s="149" t="s">
        <v>677</v>
      </c>
      <c r="K1043" s="98" t="s">
        <v>383</v>
      </c>
      <c r="L1043" s="5">
        <f>IF(O1043="","",N1043*O1043*M1043)</f>
        <v>75</v>
      </c>
      <c r="M1043" s="8">
        <v>1</v>
      </c>
      <c r="N1043" s="1">
        <v>1</v>
      </c>
      <c r="O1043" s="15">
        <f>IF(SUM(Q1043:AF1043)&lt;1,"",SUM(Q1043:AF1043)/COUNTIF(Q1043:AF1043,"&gt;0"))</f>
        <v>75</v>
      </c>
      <c r="P1043" s="16"/>
      <c r="Q1043" s="13"/>
      <c r="T1043" s="4">
        <v>75</v>
      </c>
      <c r="U1043" s="2"/>
      <c r="V1043" s="2"/>
      <c r="W1043" s="2"/>
      <c r="X1043" s="2"/>
      <c r="Z1043" s="2"/>
      <c r="AA1043" s="2"/>
      <c r="AF1043" s="14"/>
    </row>
    <row r="1044" spans="1:33" s="4" customFormat="1" ht="15.75" customHeight="1" x14ac:dyDescent="0.25">
      <c r="A1044" s="33" t="str">
        <f>CONCATENATE(D1044,".",F1044,"-",G1044,".",H1044,"")</f>
        <v>2.3-6.1</v>
      </c>
      <c r="B1044" s="33" t="s">
        <v>814</v>
      </c>
      <c r="C1044" s="40" t="s">
        <v>262</v>
      </c>
      <c r="D1044" s="33">
        <f>IF(C1044="ID",1,(IF(C1044="PR",2,(IF(C1044="DE",3,(IF(C1044="RS",4,(IF(C1044="RC",5,0)))))))))</f>
        <v>2</v>
      </c>
      <c r="E1044" s="33" t="s">
        <v>343</v>
      </c>
      <c r="F1044" s="33">
        <f>IF(E1044="AM",1,(IF(E1044="BE",2,(IF(E1044="GV",3,(IF(E1044="RA",4,(IF(E1044="RM",5,(IF(E1044="AC",1,(IF(E1044="AT",2,(IF(E1044="DS",3,(IF(E1044="IP",4,(IF(E1044="MA",5,(IF(E1044="PT",6,(IF(E1044="AE",1,(IF(E1044="CM",2,(IF(E1044="DP",3,(IF(E1044="AN",1,(IF(E1044="CO",2,(IF(E1044="IM",3,(IF(E1044="MI",4,(IF(E1044="RP",5,(IF(E1044="SC",6,0)))))))))))))))))))))))))))))))))))))))</f>
        <v>3</v>
      </c>
      <c r="G1044" s="171">
        <v>6</v>
      </c>
      <c r="H1044" s="38" t="s">
        <v>511</v>
      </c>
      <c r="I1044" s="105" t="s">
        <v>821</v>
      </c>
      <c r="J1044" s="149">
        <v>11.5</v>
      </c>
      <c r="K1044" s="79" t="s">
        <v>1283</v>
      </c>
      <c r="L1044" s="66">
        <f>IF(O1044="","",N1044*O1044*M1044)</f>
        <v>75</v>
      </c>
      <c r="M1044" s="8">
        <v>1</v>
      </c>
      <c r="N1044" s="1">
        <v>1</v>
      </c>
      <c r="O1044" s="15">
        <f>IF(SUM(Q1044:AF1044)&lt;1,"",SUM(Q1044:AF1044)/COUNTIF(Q1044:AF1044,"&gt;0"))</f>
        <v>75</v>
      </c>
      <c r="P1044" s="16"/>
      <c r="Q1044" s="13"/>
      <c r="T1044" s="4">
        <v>75</v>
      </c>
      <c r="U1044" s="2"/>
      <c r="V1044" s="2"/>
      <c r="W1044" s="2"/>
      <c r="X1044" s="2"/>
      <c r="Z1044" s="2"/>
      <c r="AA1044" s="2"/>
      <c r="AF1044" s="14"/>
    </row>
    <row r="1045" spans="1:33" s="4" customFormat="1" ht="15.75" customHeight="1" x14ac:dyDescent="0.25">
      <c r="A1045" s="33" t="str">
        <f>CONCATENATE(D1045,".",F1045,"-",G1045,".",H1045,"")</f>
        <v>2.3-6.1</v>
      </c>
      <c r="B1045" s="33" t="s">
        <v>814</v>
      </c>
      <c r="C1045" s="39" t="s">
        <v>262</v>
      </c>
      <c r="D1045" s="33">
        <f>IF(C1045="ID",1,(IF(C1045="PR",2,(IF(C1045="DE",3,(IF(C1045="RS",4,(IF(C1045="RC",5,0)))))))))</f>
        <v>2</v>
      </c>
      <c r="E1045" s="33" t="s">
        <v>343</v>
      </c>
      <c r="F1045" s="33">
        <f>IF(E1045="AM",1,(IF(E1045="BE",2,(IF(E1045="GV",3,(IF(E1045="RA",4,(IF(E1045="RM",5,(IF(E1045="AC",1,(IF(E1045="AT",2,(IF(E1045="DS",3,(IF(E1045="IP",4,(IF(E1045="MA",5,(IF(E1045="PT",6,(IF(E1045="AE",1,(IF(E1045="CM",2,(IF(E1045="DP",3,(IF(E1045="AN",1,(IF(E1045="CO",2,(IF(E1045="IM",3,(IF(E1045="MI",4,(IF(E1045="RP",5,(IF(E1045="SC",6,0)))))))))))))))))))))))))))))))))))))))</f>
        <v>3</v>
      </c>
      <c r="G1045" s="170">
        <v>6</v>
      </c>
      <c r="H1045" s="38" t="s">
        <v>511</v>
      </c>
      <c r="I1045" s="35" t="s">
        <v>1176</v>
      </c>
      <c r="J1045" s="168">
        <v>2.1</v>
      </c>
      <c r="K1045" t="s">
        <v>1046</v>
      </c>
      <c r="L1045" s="66">
        <f>IF(O1045="","",N1045*O1045*M1045)</f>
        <v>75</v>
      </c>
      <c r="M1045" s="8">
        <v>1</v>
      </c>
      <c r="N1045" s="3">
        <v>1</v>
      </c>
      <c r="O1045" s="15">
        <f>IF(SUM(Q1045:AF1045)&lt;1,"",SUM(Q1045:AF1045)/COUNTIF(Q1045:AF1045,"&gt;0"))</f>
        <v>75</v>
      </c>
      <c r="P1045" s="16"/>
      <c r="Q1045" s="13"/>
      <c r="T1045" s="4">
        <v>75</v>
      </c>
      <c r="U1045" s="2"/>
      <c r="V1045" s="2"/>
      <c r="W1045" s="2"/>
      <c r="X1045" s="2"/>
      <c r="Z1045" s="2"/>
      <c r="AA1045" s="2"/>
      <c r="AF1045" s="14"/>
    </row>
    <row r="1046" spans="1:33" s="4" customFormat="1" ht="15.75" customHeight="1" x14ac:dyDescent="0.25">
      <c r="A1046" s="33" t="str">
        <f>CONCATENATE(D1046,".",F1046,"-",G1046,".",H1046,"")</f>
        <v>2.3-6.1</v>
      </c>
      <c r="B1046" s="33" t="s">
        <v>814</v>
      </c>
      <c r="C1046" s="39" t="s">
        <v>262</v>
      </c>
      <c r="D1046" s="33">
        <f>IF(C1046="ID",1,(IF(C1046="PR",2,(IF(C1046="DE",3,(IF(C1046="RS",4,(IF(C1046="RC",5,0)))))))))</f>
        <v>2</v>
      </c>
      <c r="E1046" s="33" t="s">
        <v>343</v>
      </c>
      <c r="F1046" s="33">
        <f>IF(E1046="AM",1,(IF(E1046="BE",2,(IF(E1046="GV",3,(IF(E1046="RA",4,(IF(E1046="RM",5,(IF(E1046="AC",1,(IF(E1046="AT",2,(IF(E1046="DS",3,(IF(E1046="IP",4,(IF(E1046="MA",5,(IF(E1046="PT",6,(IF(E1046="AE",1,(IF(E1046="CM",2,(IF(E1046="DP",3,(IF(E1046="AN",1,(IF(E1046="CO",2,(IF(E1046="IM",3,(IF(E1046="MI",4,(IF(E1046="RP",5,(IF(E1046="SC",6,0)))))))))))))))))))))))))))))))))))))))</f>
        <v>3</v>
      </c>
      <c r="G1046" s="170">
        <v>6</v>
      </c>
      <c r="H1046" s="38" t="s">
        <v>511</v>
      </c>
      <c r="I1046" s="35" t="s">
        <v>1176</v>
      </c>
      <c r="J1046" s="162">
        <v>3.3</v>
      </c>
      <c r="K1046" s="80" t="s">
        <v>1241</v>
      </c>
      <c r="L1046" s="66">
        <f>IF(O1046="","",N1046*O1046*M1046)</f>
        <v>75</v>
      </c>
      <c r="M1046" s="8">
        <v>1</v>
      </c>
      <c r="N1046" s="3">
        <v>1</v>
      </c>
      <c r="O1046" s="15">
        <f>IF(SUM(Q1046:AF1046)&lt;1,"",SUM(Q1046:AF1046)/COUNTIF(Q1046:AF1046,"&gt;0"))</f>
        <v>75</v>
      </c>
      <c r="P1046" s="16"/>
      <c r="Q1046" s="13"/>
      <c r="T1046" s="4">
        <v>75</v>
      </c>
      <c r="U1046" s="2"/>
      <c r="V1046" s="2"/>
      <c r="W1046" s="2"/>
      <c r="X1046" s="2"/>
      <c r="Z1046" s="2"/>
      <c r="AA1046" s="2"/>
      <c r="AF1046" s="14"/>
    </row>
    <row r="1047" spans="1:33" s="4" customFormat="1" ht="15.75" customHeight="1" x14ac:dyDescent="0.25">
      <c r="A1047" s="33" t="str">
        <f>CONCATENATE(D1047,".",F1047,"-",G1047,".",H1047,"")</f>
        <v>2.3-6.1</v>
      </c>
      <c r="B1047" s="33" t="s">
        <v>814</v>
      </c>
      <c r="C1047" s="39" t="s">
        <v>262</v>
      </c>
      <c r="D1047" s="33">
        <f>IF(C1047="ID",1,(IF(C1047="PR",2,(IF(C1047="DE",3,(IF(C1047="RS",4,(IF(C1047="RC",5,0)))))))))</f>
        <v>2</v>
      </c>
      <c r="E1047" s="33" t="s">
        <v>343</v>
      </c>
      <c r="F1047" s="33">
        <f>IF(E1047="AM",1,(IF(E1047="BE",2,(IF(E1047="GV",3,(IF(E1047="RA",4,(IF(E1047="RM",5,(IF(E1047="AC",1,(IF(E1047="AT",2,(IF(E1047="DS",3,(IF(E1047="IP",4,(IF(E1047="MA",5,(IF(E1047="PT",6,(IF(E1047="AE",1,(IF(E1047="CM",2,(IF(E1047="DP",3,(IF(E1047="AN",1,(IF(E1047="CO",2,(IF(E1047="IM",3,(IF(E1047="MI",4,(IF(E1047="RP",5,(IF(E1047="SC",6,0)))))))))))))))))))))))))))))))))))))))</f>
        <v>3</v>
      </c>
      <c r="G1047" s="170">
        <v>6</v>
      </c>
      <c r="H1047" s="38" t="s">
        <v>511</v>
      </c>
      <c r="I1047" s="35" t="s">
        <v>1176</v>
      </c>
      <c r="J1047" s="162">
        <v>3.5</v>
      </c>
      <c r="K1047" s="80" t="s">
        <v>1053</v>
      </c>
      <c r="L1047" s="66">
        <f>IF(O1047="","",N1047*O1047*M1047)</f>
        <v>75</v>
      </c>
      <c r="M1047" s="8">
        <v>1</v>
      </c>
      <c r="N1047" s="3">
        <v>1</v>
      </c>
      <c r="O1047" s="15">
        <f>IF(SUM(Q1047:AF1047)&lt;1,"",SUM(Q1047:AF1047)/COUNTIF(Q1047:AF1047,"&gt;0"))</f>
        <v>75</v>
      </c>
      <c r="P1047" s="16"/>
      <c r="Q1047" s="13"/>
      <c r="T1047" s="4">
        <v>75</v>
      </c>
      <c r="U1047" s="2"/>
      <c r="V1047" s="2"/>
      <c r="W1047" s="2"/>
      <c r="X1047" s="2"/>
      <c r="Z1047" s="2"/>
      <c r="AA1047" s="2"/>
      <c r="AF1047" s="14"/>
    </row>
    <row r="1048" spans="1:33" s="4" customFormat="1" ht="15.75" customHeight="1" x14ac:dyDescent="0.25">
      <c r="A1048" s="33" t="str">
        <f>CONCATENATE(D1048,".",F1048,"-",G1048,".",H1048,"")</f>
        <v>2.3-6.1</v>
      </c>
      <c r="B1048" s="33" t="s">
        <v>814</v>
      </c>
      <c r="C1048" s="39" t="s">
        <v>262</v>
      </c>
      <c r="D1048" s="33">
        <f>IF(C1048="ID",1,(IF(C1048="PR",2,(IF(C1048="DE",3,(IF(C1048="RS",4,(IF(C1048="RC",5,0)))))))))</f>
        <v>2</v>
      </c>
      <c r="E1048" s="33" t="s">
        <v>343</v>
      </c>
      <c r="F1048" s="33">
        <f>IF(E1048="AM",1,(IF(E1048="BE",2,(IF(E1048="GV",3,(IF(E1048="RA",4,(IF(E1048="RM",5,(IF(E1048="AC",1,(IF(E1048="AT",2,(IF(E1048="DS",3,(IF(E1048="IP",4,(IF(E1048="MA",5,(IF(E1048="PT",6,(IF(E1048="AE",1,(IF(E1048="CM",2,(IF(E1048="DP",3,(IF(E1048="AN",1,(IF(E1048="CO",2,(IF(E1048="IM",3,(IF(E1048="MI",4,(IF(E1048="RP",5,(IF(E1048="SC",6,0)))))))))))))))))))))))))))))))))))))))</f>
        <v>3</v>
      </c>
      <c r="G1048" s="170">
        <v>6</v>
      </c>
      <c r="H1048" s="38" t="s">
        <v>511</v>
      </c>
      <c r="I1048" s="35" t="s">
        <v>1176</v>
      </c>
      <c r="J1048" s="162">
        <v>7.7</v>
      </c>
      <c r="K1048" s="80" t="s">
        <v>1075</v>
      </c>
      <c r="L1048" s="66">
        <f>IF(O1048="","",N1048*O1048*M1048)</f>
        <v>75</v>
      </c>
      <c r="M1048" s="8">
        <v>1</v>
      </c>
      <c r="N1048" s="3">
        <v>1</v>
      </c>
      <c r="O1048" s="15">
        <f>IF(SUM(Q1048:AF1048)&lt;1,"",SUM(Q1048:AF1048)/COUNTIF(Q1048:AF1048,"&gt;0"))</f>
        <v>75</v>
      </c>
      <c r="P1048" s="16"/>
      <c r="Q1048" s="13"/>
      <c r="T1048" s="4">
        <v>75</v>
      </c>
      <c r="U1048" s="2"/>
      <c r="V1048" s="2"/>
      <c r="W1048" s="2"/>
      <c r="X1048" s="2"/>
      <c r="Z1048" s="2"/>
      <c r="AA1048" s="2"/>
      <c r="AF1048" s="14"/>
    </row>
    <row r="1049" spans="1:33" s="4" customFormat="1" ht="15.75" customHeight="1" x14ac:dyDescent="0.25">
      <c r="A1049" s="33" t="str">
        <f>CONCATENATE(D1049,".",F1049,"-",G1049,".",H1049,"")</f>
        <v>2.3-6.1</v>
      </c>
      <c r="B1049" s="33" t="s">
        <v>814</v>
      </c>
      <c r="C1049" s="39" t="s">
        <v>262</v>
      </c>
      <c r="D1049" s="33">
        <f>IF(C1049="ID",1,(IF(C1049="PR",2,(IF(C1049="DE",3,(IF(C1049="RS",4,(IF(C1049="RC",5,0)))))))))</f>
        <v>2</v>
      </c>
      <c r="E1049" s="33" t="s">
        <v>343</v>
      </c>
      <c r="F1049" s="33">
        <f>IF(E1049="AM",1,(IF(E1049="BE",2,(IF(E1049="GV",3,(IF(E1049="RA",4,(IF(E1049="RM",5,(IF(E1049="AC",1,(IF(E1049="AT",2,(IF(E1049="DS",3,(IF(E1049="IP",4,(IF(E1049="MA",5,(IF(E1049="PT",6,(IF(E1049="AE",1,(IF(E1049="CM",2,(IF(E1049="DP",3,(IF(E1049="AN",1,(IF(E1049="CO",2,(IF(E1049="IM",3,(IF(E1049="MI",4,(IF(E1049="RP",5,(IF(E1049="SC",6,0)))))))))))))))))))))))))))))))))))))))</f>
        <v>3</v>
      </c>
      <c r="G1049" s="170">
        <v>6</v>
      </c>
      <c r="H1049" s="38" t="s">
        <v>511</v>
      </c>
      <c r="I1049" s="35" t="s">
        <v>1176</v>
      </c>
      <c r="J1049" s="162">
        <v>12.7</v>
      </c>
      <c r="K1049" s="80" t="s">
        <v>1106</v>
      </c>
      <c r="L1049" s="66">
        <f>IF(O1049="","",N1049*O1049*M1049)</f>
        <v>75</v>
      </c>
      <c r="M1049" s="8">
        <v>1</v>
      </c>
      <c r="N1049" s="3">
        <v>1</v>
      </c>
      <c r="O1049" s="15">
        <f>IF(SUM(Q1049:AF1049)&lt;1,"",SUM(Q1049:AF1049)/COUNTIF(Q1049:AF1049,"&gt;0"))</f>
        <v>75</v>
      </c>
      <c r="P1049" s="16"/>
      <c r="Q1049" s="13"/>
      <c r="T1049" s="4">
        <v>75</v>
      </c>
      <c r="U1049" s="2"/>
      <c r="V1049" s="2"/>
      <c r="W1049" s="2"/>
      <c r="X1049" s="2"/>
      <c r="Z1049" s="2"/>
      <c r="AA1049" s="2"/>
      <c r="AF1049" s="14"/>
    </row>
    <row r="1050" spans="1:33" s="4" customFormat="1" ht="15.75" customHeight="1" x14ac:dyDescent="0.25">
      <c r="A1050" s="33" t="str">
        <f>CONCATENATE(D1050,".",F1050,"-",G1050,".",H1050,"")</f>
        <v>2.3-6.1</v>
      </c>
      <c r="B1050" s="33" t="s">
        <v>814</v>
      </c>
      <c r="C1050" s="40" t="s">
        <v>262</v>
      </c>
      <c r="D1050" s="33">
        <f>IF(C1050="ID",1,(IF(C1050="PR",2,(IF(C1050="DE",3,(IF(C1050="RS",4,(IF(C1050="RC",5,0)))))))))</f>
        <v>2</v>
      </c>
      <c r="E1050" s="33" t="s">
        <v>343</v>
      </c>
      <c r="F1050" s="33">
        <f>IF(E1050="AM",1,(IF(E1050="BE",2,(IF(E1050="GV",3,(IF(E1050="RA",4,(IF(E1050="RM",5,(IF(E1050="AC",1,(IF(E1050="AT",2,(IF(E1050="DS",3,(IF(E1050="IP",4,(IF(E1050="MA",5,(IF(E1050="PT",6,(IF(E1050="AE",1,(IF(E1050="CM",2,(IF(E1050="DP",3,(IF(E1050="AN",1,(IF(E1050="CO",2,(IF(E1050="IM",3,(IF(E1050="MI",4,(IF(E1050="RP",5,(IF(E1050="SC",6,0)))))))))))))))))))))))))))))))))))))))</f>
        <v>3</v>
      </c>
      <c r="G1050" s="171">
        <v>6</v>
      </c>
      <c r="H1050" s="38" t="s">
        <v>511</v>
      </c>
      <c r="I1050" s="105" t="s">
        <v>821</v>
      </c>
      <c r="J1050" s="149" t="s">
        <v>82</v>
      </c>
      <c r="K1050" s="79" t="s">
        <v>1283</v>
      </c>
      <c r="L1050" s="66">
        <f>IF(O1050="","",N1050*O1050*M1050)</f>
        <v>75</v>
      </c>
      <c r="M1050" s="8">
        <v>1</v>
      </c>
      <c r="N1050" s="1">
        <v>1</v>
      </c>
      <c r="O1050" s="15">
        <f>IF(SUM(Q1050:AF1050)&lt;1,"",SUM(Q1050:AF1050)/COUNTIF(Q1050:AF1050,"&gt;0"))</f>
        <v>75</v>
      </c>
      <c r="P1050" s="16"/>
      <c r="Q1050" s="13"/>
      <c r="T1050" s="4">
        <v>75</v>
      </c>
      <c r="U1050" s="2"/>
      <c r="V1050" s="2"/>
      <c r="W1050" s="2"/>
      <c r="X1050" s="2"/>
      <c r="Z1050" s="2"/>
      <c r="AA1050" s="2"/>
      <c r="AF1050" s="14"/>
    </row>
    <row r="1051" spans="1:33" s="4" customFormat="1" ht="15.75" customHeight="1" x14ac:dyDescent="0.25">
      <c r="A1051" s="33" t="str">
        <f>CONCATENATE(D1051,".",F1051,"-",G1051,".",H1051,"")</f>
        <v>2.3-6.1</v>
      </c>
      <c r="B1051" s="33" t="s">
        <v>814</v>
      </c>
      <c r="C1051" s="40" t="s">
        <v>262</v>
      </c>
      <c r="D1051" s="33">
        <f>IF(C1051="ID",1,(IF(C1051="PR",2,(IF(C1051="DE",3,(IF(C1051="RS",4,(IF(C1051="RC",5,0)))))))))</f>
        <v>2</v>
      </c>
      <c r="E1051" s="33" t="s">
        <v>343</v>
      </c>
      <c r="F1051" s="33">
        <f>IF(E1051="AM",1,(IF(E1051="BE",2,(IF(E1051="GV",3,(IF(E1051="RA",4,(IF(E1051="RM",5,(IF(E1051="AC",1,(IF(E1051="AT",2,(IF(E1051="DS",3,(IF(E1051="IP",4,(IF(E1051="MA",5,(IF(E1051="PT",6,(IF(E1051="AE",1,(IF(E1051="CM",2,(IF(E1051="DP",3,(IF(E1051="AN",1,(IF(E1051="CO",2,(IF(E1051="IM",3,(IF(E1051="MI",4,(IF(E1051="RP",5,(IF(E1051="SC",6,0)))))))))))))))))))))))))))))))))))))))</f>
        <v>3</v>
      </c>
      <c r="G1051" s="171">
        <v>6</v>
      </c>
      <c r="H1051" s="38" t="s">
        <v>511</v>
      </c>
      <c r="I1051" s="27" t="s">
        <v>936</v>
      </c>
      <c r="J1051" s="163" t="s">
        <v>926</v>
      </c>
      <c r="K1051" s="34" t="s">
        <v>955</v>
      </c>
      <c r="L1051" s="66">
        <f>IF(O1051="","",N1051*O1051*M1051)</f>
        <v>75</v>
      </c>
      <c r="M1051" s="8">
        <v>1</v>
      </c>
      <c r="N1051" s="3">
        <v>1</v>
      </c>
      <c r="O1051" s="15">
        <f>IF(SUM(Q1051:AF1051)&lt;1,"",SUM(Q1051:AF1051)/COUNTIF(Q1051:AF1051,"&gt;0"))</f>
        <v>75</v>
      </c>
      <c r="P1051" s="16"/>
      <c r="Q1051" s="13"/>
      <c r="T1051" s="4">
        <v>75</v>
      </c>
      <c r="U1051" s="2"/>
      <c r="V1051" s="2"/>
      <c r="W1051" s="2"/>
      <c r="X1051" s="2"/>
      <c r="Z1051" s="2"/>
      <c r="AA1051" s="2"/>
      <c r="AF1051" s="14"/>
    </row>
    <row r="1052" spans="1:33" s="4" customFormat="1" ht="15.75" customHeight="1" x14ac:dyDescent="0.25">
      <c r="A1052" s="33" t="str">
        <f>CONCATENATE(D1052,".",F1052,"-",G1052,".",H1052,"")</f>
        <v>2.3-6.1</v>
      </c>
      <c r="B1052" s="33" t="s">
        <v>814</v>
      </c>
      <c r="C1052" s="40" t="s">
        <v>262</v>
      </c>
      <c r="D1052" s="33">
        <f>IF(C1052="ID",1,(IF(C1052="PR",2,(IF(C1052="DE",3,(IF(C1052="RS",4,(IF(C1052="RC",5,0)))))))))</f>
        <v>2</v>
      </c>
      <c r="E1052" s="33" t="s">
        <v>343</v>
      </c>
      <c r="F1052" s="33">
        <f>IF(E1052="AM",1,(IF(E1052="BE",2,(IF(E1052="GV",3,(IF(E1052="RA",4,(IF(E1052="RM",5,(IF(E1052="AC",1,(IF(E1052="AT",2,(IF(E1052="DS",3,(IF(E1052="IP",4,(IF(E1052="MA",5,(IF(E1052="PT",6,(IF(E1052="AE",1,(IF(E1052="CM",2,(IF(E1052="DP",3,(IF(E1052="AN",1,(IF(E1052="CO",2,(IF(E1052="IM",3,(IF(E1052="MI",4,(IF(E1052="RP",5,(IF(E1052="SC",6,0)))))))))))))))))))))))))))))))))))))))</f>
        <v>3</v>
      </c>
      <c r="G1052" s="171">
        <v>6</v>
      </c>
      <c r="H1052" s="38" t="s">
        <v>511</v>
      </c>
      <c r="I1052" s="27" t="s">
        <v>936</v>
      </c>
      <c r="J1052" s="163" t="s">
        <v>927</v>
      </c>
      <c r="K1052" s="34" t="s">
        <v>956</v>
      </c>
      <c r="L1052" s="66">
        <f>IF(O1052="","",N1052*O1052*M1052)</f>
        <v>75</v>
      </c>
      <c r="M1052" s="8">
        <v>1</v>
      </c>
      <c r="N1052" s="3">
        <v>1</v>
      </c>
      <c r="O1052" s="15">
        <f>IF(SUM(Q1052:AF1052)&lt;1,"",SUM(Q1052:AF1052)/COUNTIF(Q1052:AF1052,"&gt;0"))</f>
        <v>75</v>
      </c>
      <c r="P1052" s="16"/>
      <c r="Q1052" s="13"/>
      <c r="T1052" s="4">
        <v>75</v>
      </c>
      <c r="U1052" s="2"/>
      <c r="V1052" s="2"/>
      <c r="W1052" s="2"/>
      <c r="X1052" s="2"/>
      <c r="Z1052" s="2"/>
      <c r="AA1052" s="2"/>
      <c r="AF1052" s="14"/>
    </row>
    <row r="1053" spans="1:33" ht="15.75" customHeight="1" x14ac:dyDescent="0.25">
      <c r="A1053" s="33" t="str">
        <f>CONCATENATE(D1053,".",F1053,"-",G1053,".",H1053,"")</f>
        <v>2.3-6.1</v>
      </c>
      <c r="B1053" s="33" t="s">
        <v>814</v>
      </c>
      <c r="C1053" s="40" t="s">
        <v>262</v>
      </c>
      <c r="D1053" s="33">
        <f>IF(C1053="ID",1,(IF(C1053="PR",2,(IF(C1053="DE",3,(IF(C1053="RS",4,(IF(C1053="RC",5,0)))))))))</f>
        <v>2</v>
      </c>
      <c r="E1053" s="33" t="s">
        <v>343</v>
      </c>
      <c r="F1053" s="33">
        <f>IF(E1053="AM",1,(IF(E1053="BE",2,(IF(E1053="GV",3,(IF(E1053="RA",4,(IF(E1053="RM",5,(IF(E1053="AC",1,(IF(E1053="AT",2,(IF(E1053="DS",3,(IF(E1053="IP",4,(IF(E1053="MA",5,(IF(E1053="PT",6,(IF(E1053="AE",1,(IF(E1053="CM",2,(IF(E1053="DP",3,(IF(E1053="AN",1,(IF(E1053="CO",2,(IF(E1053="IM",3,(IF(E1053="MI",4,(IF(E1053="RP",5,(IF(E1053="SC",6,0)))))))))))))))))))))))))))))))))))))))</f>
        <v>3</v>
      </c>
      <c r="G1053" s="171">
        <v>6</v>
      </c>
      <c r="H1053" s="38" t="s">
        <v>511</v>
      </c>
      <c r="I1053" s="27" t="s">
        <v>936</v>
      </c>
      <c r="J1053" s="163" t="s">
        <v>923</v>
      </c>
      <c r="K1053" s="34" t="s">
        <v>959</v>
      </c>
      <c r="L1053" s="66">
        <f>IF(O1053="","",N1053*O1053*M1053)</f>
        <v>75</v>
      </c>
      <c r="M1053" s="8">
        <v>1</v>
      </c>
      <c r="N1053" s="3">
        <v>1</v>
      </c>
      <c r="O1053" s="15">
        <f>IF(SUM(Q1053:AF1053)&lt;1,"",SUM(Q1053:AF1053)/COUNTIF(Q1053:AF1053,"&gt;0"))</f>
        <v>75</v>
      </c>
      <c r="P1053" s="16"/>
      <c r="Q1053" s="13"/>
      <c r="R1053" s="4"/>
      <c r="S1053" s="4"/>
      <c r="T1053" s="4">
        <v>75</v>
      </c>
      <c r="U1053" s="2"/>
      <c r="V1053" s="2"/>
      <c r="W1053" s="2"/>
      <c r="X1053" s="2"/>
      <c r="Y1053" s="4"/>
      <c r="Z1053" s="2"/>
      <c r="AA1053" s="2"/>
      <c r="AB1053" s="4"/>
      <c r="AC1053" s="4"/>
      <c r="AD1053" s="4"/>
      <c r="AE1053" s="4"/>
      <c r="AF1053" s="14"/>
      <c r="AG1053" s="3"/>
    </row>
    <row r="1054" spans="1:33" s="4" customFormat="1" ht="15.75" customHeight="1" x14ac:dyDescent="0.25">
      <c r="A1054" s="33" t="str">
        <f>CONCATENATE(D1054,".",F1054,"-",G1054,".",H1054,"")</f>
        <v>2.3-6.1</v>
      </c>
      <c r="B1054" s="33" t="s">
        <v>814</v>
      </c>
      <c r="C1054" s="41" t="s">
        <v>262</v>
      </c>
      <c r="D1054" s="33">
        <f>IF(C1054="ID",1,(IF(C1054="PR",2,(IF(C1054="DE",3,(IF(C1054="RS",4,(IF(C1054="RC",5,0)))))))))</f>
        <v>2</v>
      </c>
      <c r="E1054" s="33" t="s">
        <v>343</v>
      </c>
      <c r="F1054" s="33">
        <f>IF(E1054="AM",1,(IF(E1054="BE",2,(IF(E1054="GV",3,(IF(E1054="RA",4,(IF(E1054="RM",5,(IF(E1054="AC",1,(IF(E1054="AT",2,(IF(E1054="DS",3,(IF(E1054="IP",4,(IF(E1054="MA",5,(IF(E1054="PT",6,(IF(E1054="AE",1,(IF(E1054="CM",2,(IF(E1054="DP",3,(IF(E1054="AN",1,(IF(E1054="CO",2,(IF(E1054="IM",3,(IF(E1054="MI",4,(IF(E1054="RP",5,(IF(E1054="SC",6,0)))))))))))))))))))))))))))))))))))))))</f>
        <v>3</v>
      </c>
      <c r="G1054" s="170">
        <v>6</v>
      </c>
      <c r="H1054" s="38" t="s">
        <v>511</v>
      </c>
      <c r="I1054" s="27" t="s">
        <v>266</v>
      </c>
      <c r="J1054" s="149" t="s">
        <v>286</v>
      </c>
      <c r="K1054" s="79" t="s">
        <v>1323</v>
      </c>
      <c r="L1054" s="5">
        <f>IF(O1054="","",N1054*O1054*M1054)</f>
        <v>75</v>
      </c>
      <c r="M1054" s="8">
        <v>1</v>
      </c>
      <c r="N1054" s="1">
        <v>1</v>
      </c>
      <c r="O1054" s="15">
        <f>IF(SUM(Q1054:AF1054)&lt;1,"",SUM(Q1054:AF1054)/COUNTIF(Q1054:AF1054,"&gt;0"))</f>
        <v>75</v>
      </c>
      <c r="P1054" s="16"/>
      <c r="Q1054" s="13"/>
      <c r="T1054" s="4">
        <v>75</v>
      </c>
      <c r="U1054" s="2"/>
      <c r="V1054" s="2"/>
      <c r="W1054" s="2"/>
      <c r="X1054" s="2"/>
      <c r="Z1054" s="2"/>
      <c r="AA1054" s="2"/>
      <c r="AF1054" s="14"/>
    </row>
    <row r="1055" spans="1:33" s="4" customFormat="1" ht="15.75" customHeight="1" x14ac:dyDescent="0.25">
      <c r="A1055" s="33" t="str">
        <f>CONCATENATE(D1055,".",F1055,"-",G1055,".",H1055,"")</f>
        <v>2.3-6.1</v>
      </c>
      <c r="B1055" s="33" t="s">
        <v>814</v>
      </c>
      <c r="C1055" s="41" t="s">
        <v>262</v>
      </c>
      <c r="D1055" s="33">
        <f>IF(C1055="ID",1,(IF(C1055="PR",2,(IF(C1055="DE",3,(IF(C1055="RS",4,(IF(C1055="RC",5,0)))))))))</f>
        <v>2</v>
      </c>
      <c r="E1055" s="33" t="s">
        <v>343</v>
      </c>
      <c r="F1055" s="33">
        <f>IF(E1055="AM",1,(IF(E1055="BE",2,(IF(E1055="GV",3,(IF(E1055="RA",4,(IF(E1055="RM",5,(IF(E1055="AC",1,(IF(E1055="AT",2,(IF(E1055="DS",3,(IF(E1055="IP",4,(IF(E1055="MA",5,(IF(E1055="PT",6,(IF(E1055="AE",1,(IF(E1055="CM",2,(IF(E1055="DP",3,(IF(E1055="AN",1,(IF(E1055="CO",2,(IF(E1055="IM",3,(IF(E1055="MI",4,(IF(E1055="RP",5,(IF(E1055="SC",6,0)))))))))))))))))))))))))))))))))))))))</f>
        <v>3</v>
      </c>
      <c r="G1055" s="170">
        <v>6</v>
      </c>
      <c r="H1055" s="38" t="s">
        <v>511</v>
      </c>
      <c r="I1055" s="27" t="s">
        <v>266</v>
      </c>
      <c r="J1055" s="149" t="s">
        <v>20</v>
      </c>
      <c r="K1055" s="79" t="s">
        <v>1343</v>
      </c>
      <c r="L1055" s="5">
        <f>IF(O1055="","",N1055*O1055*M1055)</f>
        <v>75</v>
      </c>
      <c r="M1055" s="8">
        <v>1</v>
      </c>
      <c r="N1055" s="1">
        <v>1</v>
      </c>
      <c r="O1055" s="15">
        <f>IF(SUM(Q1055:AF1055)&lt;1,"",SUM(Q1055:AF1055)/COUNTIF(Q1055:AF1055,"&gt;0"))</f>
        <v>75</v>
      </c>
      <c r="P1055" s="16"/>
      <c r="Q1055" s="13"/>
      <c r="T1055" s="4">
        <v>75</v>
      </c>
      <c r="U1055" s="2"/>
      <c r="V1055" s="2"/>
      <c r="W1055" s="2"/>
      <c r="X1055" s="2"/>
      <c r="Z1055" s="2"/>
      <c r="AA1055" s="2"/>
      <c r="AF1055" s="14"/>
    </row>
    <row r="1056" spans="1:33" s="4" customFormat="1" ht="15.75" customHeight="1" x14ac:dyDescent="0.25">
      <c r="A1056" s="33" t="str">
        <f>CONCATENATE(D1056,".",F1056,"-",G1056,".",H1056,"")</f>
        <v>2.3-6.1</v>
      </c>
      <c r="B1056" s="33" t="s">
        <v>814</v>
      </c>
      <c r="C1056" s="39" t="s">
        <v>262</v>
      </c>
      <c r="D1056" s="33">
        <f>IF(C1056="ID",1,(IF(C1056="PR",2,(IF(C1056="DE",3,(IF(C1056="RS",4,(IF(C1056="RC",5,0)))))))))</f>
        <v>2</v>
      </c>
      <c r="E1056" s="33" t="s">
        <v>343</v>
      </c>
      <c r="F1056" s="33">
        <f>IF(E1056="AM",1,(IF(E1056="BE",2,(IF(E1056="GV",3,(IF(E1056="RA",4,(IF(E1056="RM",5,(IF(E1056="AC",1,(IF(E1056="AT",2,(IF(E1056="DS",3,(IF(E1056="IP",4,(IF(E1056="MA",5,(IF(E1056="PT",6,(IF(E1056="AE",1,(IF(E1056="CM",2,(IF(E1056="DP",3,(IF(E1056="AN",1,(IF(E1056="CO",2,(IF(E1056="IM",3,(IF(E1056="MI",4,(IF(E1056="RP",5,(IF(E1056="SC",6,0)))))))))))))))))))))))))))))))))))))))</f>
        <v>3</v>
      </c>
      <c r="G1056" s="171">
        <v>6</v>
      </c>
      <c r="H1056" s="33">
        <v>1</v>
      </c>
      <c r="I1056" s="27" t="s">
        <v>266</v>
      </c>
      <c r="J1056" s="150" t="s">
        <v>290</v>
      </c>
      <c r="K1056" s="79" t="s">
        <v>1348</v>
      </c>
      <c r="L1056" s="5">
        <f>IF(O1056="","",N1056*O1056*M1056)</f>
        <v>75</v>
      </c>
      <c r="M1056" s="8">
        <v>1</v>
      </c>
      <c r="N1056" s="1">
        <v>1</v>
      </c>
      <c r="O1056" s="15">
        <f>IF(SUM(Q1056:AF1056)&lt;1,"",SUM(Q1056:AF1056)/COUNTIF(Q1056:AF1056,"&gt;0"))</f>
        <v>75</v>
      </c>
      <c r="P1056" s="16"/>
      <c r="Q1056" s="13"/>
      <c r="R1056" s="3"/>
      <c r="S1056" s="3"/>
      <c r="T1056" s="4">
        <v>75</v>
      </c>
      <c r="U1056" s="3"/>
      <c r="V1056" s="3"/>
      <c r="W1056" s="3"/>
      <c r="X1056" s="3"/>
      <c r="Y1056" s="3"/>
      <c r="Z1056" s="3"/>
      <c r="AA1056" s="3"/>
      <c r="AB1056" s="3"/>
      <c r="AC1056" s="3"/>
      <c r="AD1056" s="3"/>
      <c r="AE1056" s="3"/>
      <c r="AF1056" s="104"/>
    </row>
    <row r="1057" spans="1:33" s="4" customFormat="1" ht="15.75" customHeight="1" x14ac:dyDescent="0.25">
      <c r="A1057" s="33" t="str">
        <f>CONCATENATE(D1057,".",F1057,"-",G1057,".",H1057,"")</f>
        <v>2.3-6.1</v>
      </c>
      <c r="B1057" s="33" t="s">
        <v>814</v>
      </c>
      <c r="C1057" s="39" t="s">
        <v>262</v>
      </c>
      <c r="D1057" s="33">
        <f>IF(C1057="ID",1,(IF(C1057="PR",2,(IF(C1057="DE",3,(IF(C1057="RS",4,(IF(C1057="RC",5,0)))))))))</f>
        <v>2</v>
      </c>
      <c r="E1057" s="33" t="s">
        <v>343</v>
      </c>
      <c r="F1057" s="33">
        <f>IF(E1057="AM",1,(IF(E1057="BE",2,(IF(E1057="GV",3,(IF(E1057="RA",4,(IF(E1057="RM",5,(IF(E1057="AC",1,(IF(E1057="AT",2,(IF(E1057="DS",3,(IF(E1057="IP",4,(IF(E1057="MA",5,(IF(E1057="PT",6,(IF(E1057="AE",1,(IF(E1057="CM",2,(IF(E1057="DP",3,(IF(E1057="AN",1,(IF(E1057="CO",2,(IF(E1057="IM",3,(IF(E1057="MI",4,(IF(E1057="RP",5,(IF(E1057="SC",6,0)))))))))))))))))))))))))))))))))))))))</f>
        <v>3</v>
      </c>
      <c r="G1057" s="170">
        <v>6</v>
      </c>
      <c r="H1057" s="38" t="s">
        <v>511</v>
      </c>
      <c r="I1057" s="105" t="s">
        <v>1449</v>
      </c>
      <c r="J1057" s="157" t="s">
        <v>1478</v>
      </c>
      <c r="K1057" s="34" t="s">
        <v>1479</v>
      </c>
      <c r="L1057" s="5">
        <f>IF(O1057="","",N1057*O1057*M1057)</f>
        <v>99</v>
      </c>
      <c r="M1057" s="8">
        <v>1</v>
      </c>
      <c r="N1057" s="1">
        <v>1</v>
      </c>
      <c r="O1057" s="15">
        <f>IF(SUM(Q1057:AF1057)&lt;1,"",SUM(Q1057:AF1057)/COUNTIF(Q1057:AF1057,"&gt;0"))</f>
        <v>99</v>
      </c>
      <c r="P1057" s="16"/>
      <c r="Q1057" s="13"/>
      <c r="T1057" s="4">
        <v>99</v>
      </c>
      <c r="U1057" s="2"/>
      <c r="V1057" s="2"/>
      <c r="W1057" s="2"/>
      <c r="X1057" s="2"/>
      <c r="Z1057" s="2"/>
      <c r="AA1057" s="2"/>
      <c r="AF1057" s="14"/>
    </row>
    <row r="1058" spans="1:33" s="4" customFormat="1" ht="15.75" customHeight="1" x14ac:dyDescent="0.25">
      <c r="A1058" s="33" t="str">
        <f>CONCATENATE(D1058,".",F1058,"-",G1058,".",H1058,"")</f>
        <v>2.3-6.1</v>
      </c>
      <c r="B1058" s="33" t="s">
        <v>814</v>
      </c>
      <c r="C1058" s="39" t="s">
        <v>262</v>
      </c>
      <c r="D1058" s="33">
        <f>IF(C1058="ID",1,(IF(C1058="PR",2,(IF(C1058="DE",3,(IF(C1058="RS",4,(IF(C1058="RC",5,0)))))))))</f>
        <v>2</v>
      </c>
      <c r="E1058" s="33" t="s">
        <v>343</v>
      </c>
      <c r="F1058" s="33">
        <f>IF(E1058="AM",1,(IF(E1058="BE",2,(IF(E1058="GV",3,(IF(E1058="RA",4,(IF(E1058="RM",5,(IF(E1058="AC",1,(IF(E1058="AT",2,(IF(E1058="DS",3,(IF(E1058="IP",4,(IF(E1058="MA",5,(IF(E1058="PT",6,(IF(E1058="AE",1,(IF(E1058="CM",2,(IF(E1058="DP",3,(IF(E1058="AN",1,(IF(E1058="CO",2,(IF(E1058="IM",3,(IF(E1058="MI",4,(IF(E1058="RP",5,(IF(E1058="SC",6,0)))))))))))))))))))))))))))))))))))))))</f>
        <v>3</v>
      </c>
      <c r="G1058" s="170">
        <v>6</v>
      </c>
      <c r="H1058" s="38" t="s">
        <v>511</v>
      </c>
      <c r="I1058" s="105" t="s">
        <v>1449</v>
      </c>
      <c r="J1058" s="157" t="s">
        <v>1482</v>
      </c>
      <c r="K1058" s="34" t="s">
        <v>1483</v>
      </c>
      <c r="L1058" s="5">
        <f>IF(O1058="","",N1058*O1058*M1058)</f>
        <v>99</v>
      </c>
      <c r="M1058" s="8">
        <v>1</v>
      </c>
      <c r="N1058" s="1">
        <v>1</v>
      </c>
      <c r="O1058" s="15">
        <f>IF(SUM(Q1058:AF1058)&lt;1,"",SUM(Q1058:AF1058)/COUNTIF(Q1058:AF1058,"&gt;0"))</f>
        <v>99</v>
      </c>
      <c r="P1058" s="16"/>
      <c r="Q1058" s="13"/>
      <c r="T1058" s="4">
        <v>99</v>
      </c>
      <c r="U1058" s="2"/>
      <c r="V1058" s="2"/>
      <c r="W1058" s="2"/>
      <c r="X1058" s="2"/>
      <c r="Z1058" s="2"/>
      <c r="AA1058" s="2"/>
      <c r="AF1058" s="14"/>
    </row>
    <row r="1059" spans="1:33" s="4" customFormat="1" ht="15.75" customHeight="1" x14ac:dyDescent="0.25">
      <c r="A1059" s="33" t="str">
        <f>CONCATENATE(D1059,".",F1059,"-",G1059,".",H1059,"")</f>
        <v>2.3-6.1</v>
      </c>
      <c r="B1059" s="33" t="s">
        <v>814</v>
      </c>
      <c r="C1059" s="39" t="s">
        <v>262</v>
      </c>
      <c r="D1059" s="33">
        <f>IF(C1059="ID",1,(IF(C1059="PR",2,(IF(C1059="DE",3,(IF(C1059="RS",4,(IF(C1059="RC",5,0)))))))))</f>
        <v>2</v>
      </c>
      <c r="E1059" s="33" t="s">
        <v>343</v>
      </c>
      <c r="F1059" s="33">
        <f>IF(E1059="AM",1,(IF(E1059="BE",2,(IF(E1059="GV",3,(IF(E1059="RA",4,(IF(E1059="RM",5,(IF(E1059="AC",1,(IF(E1059="AT",2,(IF(E1059="DS",3,(IF(E1059="IP",4,(IF(E1059="MA",5,(IF(E1059="PT",6,(IF(E1059="AE",1,(IF(E1059="CM",2,(IF(E1059="DP",3,(IF(E1059="AN",1,(IF(E1059="CO",2,(IF(E1059="IM",3,(IF(E1059="MI",4,(IF(E1059="RP",5,(IF(E1059="SC",6,0)))))))))))))))))))))))))))))))))))))))</f>
        <v>3</v>
      </c>
      <c r="G1059" s="170">
        <v>6</v>
      </c>
      <c r="H1059" s="38" t="s">
        <v>511</v>
      </c>
      <c r="I1059" s="105" t="s">
        <v>1449</v>
      </c>
      <c r="J1059" s="157" t="s">
        <v>1594</v>
      </c>
      <c r="K1059" s="34" t="s">
        <v>1595</v>
      </c>
      <c r="L1059" s="5">
        <f>IF(O1059="","",N1059*O1059*M1059)</f>
        <v>99</v>
      </c>
      <c r="M1059" s="8">
        <v>1</v>
      </c>
      <c r="N1059" s="1">
        <v>1</v>
      </c>
      <c r="O1059" s="15">
        <f>IF(SUM(Q1059:AF1059)&lt;1,"",SUM(Q1059:AF1059)/COUNTIF(Q1059:AF1059,"&gt;0"))</f>
        <v>99</v>
      </c>
      <c r="P1059" s="16"/>
      <c r="Q1059" s="13"/>
      <c r="T1059" s="4">
        <v>99</v>
      </c>
      <c r="U1059" s="2"/>
      <c r="V1059" s="2"/>
      <c r="W1059" s="2"/>
      <c r="X1059" s="2"/>
      <c r="Z1059" s="2"/>
      <c r="AA1059" s="2"/>
      <c r="AF1059" s="14"/>
    </row>
    <row r="1060" spans="1:33" s="4" customFormat="1" ht="15.75" customHeight="1" x14ac:dyDescent="0.25">
      <c r="A1060" s="33" t="str">
        <f>CONCATENATE(D1060,".",F1060,"-",G1060,".",H1060,"")</f>
        <v>2.3-6.1</v>
      </c>
      <c r="B1060" s="33" t="s">
        <v>814</v>
      </c>
      <c r="C1060" s="39" t="s">
        <v>262</v>
      </c>
      <c r="D1060" s="33">
        <f>IF(C1060="ID",1,(IF(C1060="PR",2,(IF(C1060="DE",3,(IF(C1060="RS",4,(IF(C1060="RC",5,0)))))))))</f>
        <v>2</v>
      </c>
      <c r="E1060" s="33" t="s">
        <v>343</v>
      </c>
      <c r="F1060" s="33">
        <f>IF(E1060="AM",1,(IF(E1060="BE",2,(IF(E1060="GV",3,(IF(E1060="RA",4,(IF(E1060="RM",5,(IF(E1060="AC",1,(IF(E1060="AT",2,(IF(E1060="DS",3,(IF(E1060="IP",4,(IF(E1060="MA",5,(IF(E1060="PT",6,(IF(E1060="AE",1,(IF(E1060="CM",2,(IF(E1060="DP",3,(IF(E1060="AN",1,(IF(E1060="CO",2,(IF(E1060="IM",3,(IF(E1060="MI",4,(IF(E1060="RP",5,(IF(E1060="SC",6,0)))))))))))))))))))))))))))))))))))))))</f>
        <v>3</v>
      </c>
      <c r="G1060" s="170">
        <v>6</v>
      </c>
      <c r="H1060" s="38" t="s">
        <v>511</v>
      </c>
      <c r="I1060" s="105" t="s">
        <v>1449</v>
      </c>
      <c r="J1060" s="157" t="s">
        <v>1620</v>
      </c>
      <c r="K1060" s="34" t="s">
        <v>1621</v>
      </c>
      <c r="L1060" s="5">
        <f>IF(O1060="","",N1060*O1060*M1060)</f>
        <v>99</v>
      </c>
      <c r="M1060" s="8">
        <v>1</v>
      </c>
      <c r="N1060" s="1">
        <v>1</v>
      </c>
      <c r="O1060" s="15">
        <f>IF(SUM(Q1060:AF1060)&lt;1,"",SUM(Q1060:AF1060)/COUNTIF(Q1060:AF1060,"&gt;0"))</f>
        <v>99</v>
      </c>
      <c r="P1060" s="16"/>
      <c r="Q1060" s="13"/>
      <c r="T1060" s="4">
        <v>99</v>
      </c>
      <c r="U1060" s="2"/>
      <c r="V1060" s="2"/>
      <c r="W1060" s="2"/>
      <c r="X1060" s="2"/>
      <c r="Z1060" s="2"/>
      <c r="AA1060" s="2"/>
      <c r="AF1060" s="14"/>
    </row>
    <row r="1061" spans="1:33" s="4" customFormat="1" ht="15.75" customHeight="1" x14ac:dyDescent="0.25">
      <c r="A1061" s="33" t="str">
        <f>CONCATENATE(D1061,".",F1061,"-",G1061,".",H1061,"")</f>
        <v>2.3-6.1</v>
      </c>
      <c r="B1061" s="33" t="s">
        <v>814</v>
      </c>
      <c r="C1061" s="39" t="s">
        <v>262</v>
      </c>
      <c r="D1061" s="33">
        <f>IF(C1061="ID",1,(IF(C1061="PR",2,(IF(C1061="DE",3,(IF(C1061="RS",4,(IF(C1061="RC",5,0)))))))))</f>
        <v>2</v>
      </c>
      <c r="E1061" s="33" t="s">
        <v>343</v>
      </c>
      <c r="F1061" s="33">
        <f>IF(E1061="AM",1,(IF(E1061="BE",2,(IF(E1061="GV",3,(IF(E1061="RA",4,(IF(E1061="RM",5,(IF(E1061="AC",1,(IF(E1061="AT",2,(IF(E1061="DS",3,(IF(E1061="IP",4,(IF(E1061="MA",5,(IF(E1061="PT",6,(IF(E1061="AE",1,(IF(E1061="CM",2,(IF(E1061="DP",3,(IF(E1061="AN",1,(IF(E1061="CO",2,(IF(E1061="IM",3,(IF(E1061="MI",4,(IF(E1061="RP",5,(IF(E1061="SC",6,0)))))))))))))))))))))))))))))))))))))))</f>
        <v>3</v>
      </c>
      <c r="G1061" s="170">
        <v>6</v>
      </c>
      <c r="H1061" s="38" t="s">
        <v>511</v>
      </c>
      <c r="I1061" s="105" t="s">
        <v>1449</v>
      </c>
      <c r="J1061" s="157" t="s">
        <v>1713</v>
      </c>
      <c r="K1061" s="34" t="s">
        <v>1714</v>
      </c>
      <c r="L1061" s="5">
        <f>IF(O1061="","",N1061*O1061*M1061)</f>
        <v>99</v>
      </c>
      <c r="M1061" s="8">
        <v>1</v>
      </c>
      <c r="N1061" s="1">
        <v>1</v>
      </c>
      <c r="O1061" s="15">
        <f>IF(SUM(Q1061:AF1061)&lt;1,"",SUM(Q1061:AF1061)/COUNTIF(Q1061:AF1061,"&gt;0"))</f>
        <v>99</v>
      </c>
      <c r="P1061" s="16"/>
      <c r="Q1061" s="13"/>
      <c r="T1061" s="4">
        <v>99</v>
      </c>
      <c r="U1061" s="2"/>
      <c r="V1061" s="2"/>
      <c r="W1061" s="2"/>
      <c r="X1061" s="2"/>
      <c r="Z1061" s="2"/>
      <c r="AA1061" s="2"/>
      <c r="AG1061" s="147"/>
    </row>
    <row r="1062" spans="1:33" s="4" customFormat="1" ht="15.75" customHeight="1" x14ac:dyDescent="0.25">
      <c r="A1062" s="33" t="str">
        <f>CONCATENATE(D1062,".",F1062,"-",G1062,".",H1062,"")</f>
        <v>2.3-6.1</v>
      </c>
      <c r="B1062" s="33" t="s">
        <v>814</v>
      </c>
      <c r="C1062" s="39" t="s">
        <v>262</v>
      </c>
      <c r="D1062" s="33">
        <f>IF(C1062="ID",1,(IF(C1062="PR",2,(IF(C1062="DE",3,(IF(C1062="RS",4,(IF(C1062="RC",5,0)))))))))</f>
        <v>2</v>
      </c>
      <c r="E1062" s="33" t="s">
        <v>343</v>
      </c>
      <c r="F1062" s="33">
        <f>IF(E1062="AM",1,(IF(E1062="BE",2,(IF(E1062="GV",3,(IF(E1062="RA",4,(IF(E1062="RM",5,(IF(E1062="AC",1,(IF(E1062="AT",2,(IF(E1062="DS",3,(IF(E1062="IP",4,(IF(E1062="MA",5,(IF(E1062="PT",6,(IF(E1062="AE",1,(IF(E1062="CM",2,(IF(E1062="DP",3,(IF(E1062="AN",1,(IF(E1062="CO",2,(IF(E1062="IM",3,(IF(E1062="MI",4,(IF(E1062="RP",5,(IF(E1062="SC",6,0)))))))))))))))))))))))))))))))))))))))</f>
        <v>3</v>
      </c>
      <c r="G1062" s="170">
        <v>6</v>
      </c>
      <c r="H1062" s="38" t="s">
        <v>511</v>
      </c>
      <c r="I1062" s="105" t="s">
        <v>1449</v>
      </c>
      <c r="J1062" s="157" t="s">
        <v>1717</v>
      </c>
      <c r="K1062" s="34" t="s">
        <v>1718</v>
      </c>
      <c r="L1062" s="5">
        <f>IF(O1062="","",N1062*O1062*M1062)</f>
        <v>99</v>
      </c>
      <c r="M1062" s="8">
        <v>1</v>
      </c>
      <c r="N1062" s="1">
        <v>1</v>
      </c>
      <c r="O1062" s="15">
        <f>IF(SUM(Q1062:AF1062)&lt;1,"",SUM(Q1062:AF1062)/COUNTIF(Q1062:AF1062,"&gt;0"))</f>
        <v>99</v>
      </c>
      <c r="P1062" s="16"/>
      <c r="Q1062" s="13"/>
      <c r="T1062" s="4">
        <v>99</v>
      </c>
      <c r="U1062" s="2"/>
      <c r="V1062" s="2"/>
      <c r="W1062" s="2"/>
      <c r="X1062" s="2"/>
      <c r="Z1062" s="2"/>
      <c r="AA1062" s="2"/>
      <c r="AF1062" s="14"/>
    </row>
    <row r="1063" spans="1:33" s="4" customFormat="1" ht="15.75" customHeight="1" x14ac:dyDescent="0.25">
      <c r="A1063" s="33" t="str">
        <f>CONCATENATE(D1063,".",F1063,"-",G1063,".",H1063,"")</f>
        <v>2.3-6.1</v>
      </c>
      <c r="B1063" s="33" t="s">
        <v>814</v>
      </c>
      <c r="C1063" s="39" t="s">
        <v>262</v>
      </c>
      <c r="D1063" s="33">
        <f>IF(C1063="ID",1,(IF(C1063="PR",2,(IF(C1063="DE",3,(IF(C1063="RS",4,(IF(C1063="RC",5,0)))))))))</f>
        <v>2</v>
      </c>
      <c r="E1063" s="33" t="s">
        <v>343</v>
      </c>
      <c r="F1063" s="33">
        <f>IF(E1063="AM",1,(IF(E1063="BE",2,(IF(E1063="GV",3,(IF(E1063="RA",4,(IF(E1063="RM",5,(IF(E1063="AC",1,(IF(E1063="AT",2,(IF(E1063="DS",3,(IF(E1063="IP",4,(IF(E1063="MA",5,(IF(E1063="PT",6,(IF(E1063="AE",1,(IF(E1063="CM",2,(IF(E1063="DP",3,(IF(E1063="AN",1,(IF(E1063="CO",2,(IF(E1063="IM",3,(IF(E1063="MI",4,(IF(E1063="RP",5,(IF(E1063="SC",6,0)))))))))))))))))))))))))))))))))))))))</f>
        <v>3</v>
      </c>
      <c r="G1063" s="170">
        <v>6</v>
      </c>
      <c r="H1063" s="38" t="s">
        <v>511</v>
      </c>
      <c r="I1063" s="105" t="s">
        <v>1449</v>
      </c>
      <c r="J1063" s="157" t="s">
        <v>1721</v>
      </c>
      <c r="K1063" s="34" t="s">
        <v>1722</v>
      </c>
      <c r="L1063" s="5">
        <f>IF(O1063="","",N1063*O1063*M1063)</f>
        <v>99</v>
      </c>
      <c r="M1063" s="8">
        <v>1</v>
      </c>
      <c r="N1063" s="1">
        <v>1</v>
      </c>
      <c r="O1063" s="15">
        <f>IF(SUM(Q1063:AF1063)&lt;1,"",SUM(Q1063:AF1063)/COUNTIF(Q1063:AF1063,"&gt;0"))</f>
        <v>99</v>
      </c>
      <c r="P1063" s="16"/>
      <c r="Q1063" s="13"/>
      <c r="T1063" s="4">
        <v>99</v>
      </c>
      <c r="U1063" s="2"/>
      <c r="V1063" s="2"/>
      <c r="W1063" s="2"/>
      <c r="X1063" s="2"/>
      <c r="Z1063" s="2"/>
      <c r="AA1063" s="2"/>
      <c r="AF1063" s="14"/>
    </row>
    <row r="1064" spans="1:33" s="4" customFormat="1" ht="15.75" customHeight="1" x14ac:dyDescent="0.25">
      <c r="A1064" s="33" t="str">
        <f>CONCATENATE(D1064,".",F1064,"-",G1064,".",H1064,"")</f>
        <v>2.3-6.1</v>
      </c>
      <c r="B1064" s="33" t="s">
        <v>814</v>
      </c>
      <c r="C1064" s="39" t="s">
        <v>262</v>
      </c>
      <c r="D1064" s="33">
        <f>IF(C1064="ID",1,(IF(C1064="PR",2,(IF(C1064="DE",3,(IF(C1064="RS",4,(IF(C1064="RC",5,0)))))))))</f>
        <v>2</v>
      </c>
      <c r="E1064" s="33" t="s">
        <v>343</v>
      </c>
      <c r="F1064" s="33">
        <f>IF(E1064="AM",1,(IF(E1064="BE",2,(IF(E1064="GV",3,(IF(E1064="RA",4,(IF(E1064="RM",5,(IF(E1064="AC",1,(IF(E1064="AT",2,(IF(E1064="DS",3,(IF(E1064="IP",4,(IF(E1064="MA",5,(IF(E1064="PT",6,(IF(E1064="AE",1,(IF(E1064="CM",2,(IF(E1064="DP",3,(IF(E1064="AN",1,(IF(E1064="CO",2,(IF(E1064="IM",3,(IF(E1064="MI",4,(IF(E1064="RP",5,(IF(E1064="SC",6,0)))))))))))))))))))))))))))))))))))))))</f>
        <v>3</v>
      </c>
      <c r="G1064" s="170">
        <v>6</v>
      </c>
      <c r="H1064" s="38" t="s">
        <v>511</v>
      </c>
      <c r="I1064" s="105" t="s">
        <v>1449</v>
      </c>
      <c r="J1064" s="157" t="s">
        <v>2607</v>
      </c>
      <c r="K1064" s="34" t="s">
        <v>2608</v>
      </c>
      <c r="L1064" s="5">
        <f>IF(O1064="","",N1064*O1064*M1064)</f>
        <v>99</v>
      </c>
      <c r="M1064" s="8">
        <v>1</v>
      </c>
      <c r="N1064" s="1">
        <v>1</v>
      </c>
      <c r="O1064" s="15">
        <f>IF(SUM(Q1064:AF1064)&lt;1,"",SUM(Q1064:AF1064)/COUNTIF(Q1064:AF1064,"&gt;0"))</f>
        <v>99</v>
      </c>
      <c r="P1064" s="16"/>
      <c r="Q1064" s="13"/>
      <c r="T1064" s="4">
        <v>99</v>
      </c>
      <c r="U1064" s="2"/>
      <c r="V1064" s="2"/>
      <c r="W1064" s="2"/>
      <c r="X1064" s="2"/>
      <c r="Z1064" s="2"/>
      <c r="AA1064" s="2"/>
      <c r="AF1064" s="14"/>
    </row>
    <row r="1065" spans="1:33" s="4" customFormat="1" ht="15.75" customHeight="1" x14ac:dyDescent="0.25">
      <c r="A1065" s="33" t="str">
        <f>CONCATENATE(D1065,".",F1065,"-",G1065,".",H1065,"")</f>
        <v>2.3-6.1</v>
      </c>
      <c r="B1065" s="33" t="s">
        <v>814</v>
      </c>
      <c r="C1065" s="39" t="s">
        <v>262</v>
      </c>
      <c r="D1065" s="33">
        <f>IF(C1065="ID",1,(IF(C1065="PR",2,(IF(C1065="DE",3,(IF(C1065="RS",4,(IF(C1065="RC",5,0)))))))))</f>
        <v>2</v>
      </c>
      <c r="E1065" s="33" t="s">
        <v>343</v>
      </c>
      <c r="F1065" s="33">
        <f>IF(E1065="AM",1,(IF(E1065="BE",2,(IF(E1065="GV",3,(IF(E1065="RA",4,(IF(E1065="RM",5,(IF(E1065="AC",1,(IF(E1065="AT",2,(IF(E1065="DS",3,(IF(E1065="IP",4,(IF(E1065="MA",5,(IF(E1065="PT",6,(IF(E1065="AE",1,(IF(E1065="CM",2,(IF(E1065="DP",3,(IF(E1065="AN",1,(IF(E1065="CO",2,(IF(E1065="IM",3,(IF(E1065="MI",4,(IF(E1065="RP",5,(IF(E1065="SC",6,0)))))))))))))))))))))))))))))))))))))))</f>
        <v>3</v>
      </c>
      <c r="G1065" s="170">
        <v>6</v>
      </c>
      <c r="H1065" s="38" t="s">
        <v>511</v>
      </c>
      <c r="I1065" s="105" t="s">
        <v>1449</v>
      </c>
      <c r="J1065" s="157" t="s">
        <v>2621</v>
      </c>
      <c r="K1065" s="34" t="s">
        <v>2622</v>
      </c>
      <c r="L1065" s="5">
        <f>IF(O1065="","",N1065*O1065*M1065)</f>
        <v>99</v>
      </c>
      <c r="M1065" s="8">
        <v>1</v>
      </c>
      <c r="N1065" s="1">
        <v>1</v>
      </c>
      <c r="O1065" s="15">
        <f>IF(SUM(Q1065:AF1065)&lt;1,"",SUM(Q1065:AF1065)/COUNTIF(Q1065:AF1065,"&gt;0"))</f>
        <v>99</v>
      </c>
      <c r="P1065" s="16"/>
      <c r="Q1065" s="13"/>
      <c r="T1065" s="4">
        <v>99</v>
      </c>
      <c r="U1065" s="2"/>
      <c r="V1065" s="2"/>
      <c r="W1065" s="2"/>
      <c r="X1065" s="2"/>
      <c r="Z1065" s="2"/>
      <c r="AA1065" s="2"/>
      <c r="AF1065" s="14"/>
    </row>
    <row r="1066" spans="1:33" s="4" customFormat="1" ht="15.75" customHeight="1" x14ac:dyDescent="0.25">
      <c r="A1066" s="33" t="str">
        <f>CONCATENATE(D1066,".",F1066,"-",G1066,".",H1066,"")</f>
        <v>2.3-6.1</v>
      </c>
      <c r="B1066" s="33"/>
      <c r="C1066" s="39" t="s">
        <v>262</v>
      </c>
      <c r="D1066" s="33">
        <f>IF(C1066="ID",1,(IF(C1066="PR",2,(IF(C1066="DE",3,(IF(C1066="RS",4,(IF(C1066="RC",5,0)))))))))</f>
        <v>2</v>
      </c>
      <c r="E1066" s="33" t="s">
        <v>343</v>
      </c>
      <c r="F1066" s="33">
        <f>IF(E1066="AM",1,(IF(E1066="BE",2,(IF(E1066="GV",3,(IF(E1066="RA",4,(IF(E1066="RM",5,(IF(E1066="AC",1,(IF(E1066="AT",2,(IF(E1066="DS",3,(IF(E1066="IP",4,(IF(E1066="MA",5,(IF(E1066="PT",6,(IF(E1066="AE",1,(IF(E1066="CM",2,(IF(E1066="DP",3,(IF(E1066="AN",1,(IF(E1066="CO",2,(IF(E1066="IM",3,(IF(E1066="MI",4,(IF(E1066="RP",5,(IF(E1066="SC",6,0)))))))))))))))))))))))))))))))))))))))</f>
        <v>3</v>
      </c>
      <c r="G1066" s="170">
        <v>6</v>
      </c>
      <c r="H1066" s="38" t="s">
        <v>511</v>
      </c>
      <c r="I1066" s="105" t="s">
        <v>1449</v>
      </c>
      <c r="J1066" s="157" t="s">
        <v>2675</v>
      </c>
      <c r="K1066" s="34" t="s">
        <v>2676</v>
      </c>
      <c r="L1066" s="5">
        <f>IF(O1066="","",N1066*O1066*M1066)</f>
        <v>99</v>
      </c>
      <c r="M1066" s="8">
        <v>1</v>
      </c>
      <c r="N1066" s="1">
        <v>1</v>
      </c>
      <c r="O1066" s="15">
        <f>IF(SUM(Q1066:AF1066)&lt;1,"",SUM(Q1066:AF1066)/COUNTIF(Q1066:AF1066,"&gt;0"))</f>
        <v>99</v>
      </c>
      <c r="P1066" s="16"/>
      <c r="Q1066" s="13"/>
      <c r="T1066" s="4">
        <v>99</v>
      </c>
      <c r="U1066" s="2"/>
      <c r="V1066" s="2"/>
      <c r="W1066" s="2"/>
      <c r="X1066" s="2"/>
      <c r="Z1066" s="2"/>
      <c r="AA1066" s="2"/>
      <c r="AF1066" s="14"/>
    </row>
    <row r="1067" spans="1:33" s="4" customFormat="1" ht="15.75" customHeight="1" x14ac:dyDescent="0.25">
      <c r="A1067" s="33" t="str">
        <f>CONCATENATE(D1067,".",F1067,"-",G1067,".",H1067,"")</f>
        <v>2.3-6.1</v>
      </c>
      <c r="B1067" s="33"/>
      <c r="C1067" s="39" t="s">
        <v>262</v>
      </c>
      <c r="D1067" s="33">
        <f>IF(C1067="ID",1,(IF(C1067="PR",2,(IF(C1067="DE",3,(IF(C1067="RS",4,(IF(C1067="RC",5,0)))))))))</f>
        <v>2</v>
      </c>
      <c r="E1067" s="33" t="s">
        <v>343</v>
      </c>
      <c r="F1067" s="33">
        <f>IF(E1067="AM",1,(IF(E1067="BE",2,(IF(E1067="GV",3,(IF(E1067="RA",4,(IF(E1067="RM",5,(IF(E1067="AC",1,(IF(E1067="AT",2,(IF(E1067="DS",3,(IF(E1067="IP",4,(IF(E1067="MA",5,(IF(E1067="PT",6,(IF(E1067="AE",1,(IF(E1067="CM",2,(IF(E1067="DP",3,(IF(E1067="AN",1,(IF(E1067="CO",2,(IF(E1067="IM",3,(IF(E1067="MI",4,(IF(E1067="RP",5,(IF(E1067="SC",6,0)))))))))))))))))))))))))))))))))))))))</f>
        <v>3</v>
      </c>
      <c r="G1067" s="170">
        <v>6</v>
      </c>
      <c r="H1067" s="38" t="s">
        <v>511</v>
      </c>
      <c r="I1067" s="105" t="s">
        <v>1449</v>
      </c>
      <c r="J1067" s="157" t="s">
        <v>2681</v>
      </c>
      <c r="K1067" s="34" t="s">
        <v>2682</v>
      </c>
      <c r="L1067" s="5">
        <f>IF(O1067="","",N1067*O1067*M1067)</f>
        <v>99</v>
      </c>
      <c r="M1067" s="8">
        <v>1</v>
      </c>
      <c r="N1067" s="1">
        <v>1</v>
      </c>
      <c r="O1067" s="15">
        <f>IF(SUM(Q1067:AF1067)&lt;1,"",SUM(Q1067:AF1067)/COUNTIF(Q1067:AF1067,"&gt;0"))</f>
        <v>99</v>
      </c>
      <c r="P1067" s="16"/>
      <c r="Q1067" s="13"/>
      <c r="T1067" s="4">
        <v>99</v>
      </c>
      <c r="U1067" s="2"/>
      <c r="V1067" s="2"/>
      <c r="W1067" s="2"/>
      <c r="X1067" s="2"/>
      <c r="Z1067" s="2"/>
      <c r="AA1067" s="2"/>
      <c r="AF1067" s="14"/>
    </row>
    <row r="1068" spans="1:33" s="4" customFormat="1" ht="15.75" customHeight="1" x14ac:dyDescent="0.25">
      <c r="A1068" s="33" t="str">
        <f>CONCATENATE(D1068,".",F1068,"-",G1068,".",H1068,"")</f>
        <v>2.3-6.1</v>
      </c>
      <c r="B1068" s="33"/>
      <c r="C1068" s="39" t="s">
        <v>262</v>
      </c>
      <c r="D1068" s="33">
        <f>IF(C1068="ID",1,(IF(C1068="PR",2,(IF(C1068="DE",3,(IF(C1068="RS",4,(IF(C1068="RC",5,0)))))))))</f>
        <v>2</v>
      </c>
      <c r="E1068" s="33" t="s">
        <v>343</v>
      </c>
      <c r="F1068" s="33">
        <f>IF(E1068="AM",1,(IF(E1068="BE",2,(IF(E1068="GV",3,(IF(E1068="RA",4,(IF(E1068="RM",5,(IF(E1068="AC",1,(IF(E1068="AT",2,(IF(E1068="DS",3,(IF(E1068="IP",4,(IF(E1068="MA",5,(IF(E1068="PT",6,(IF(E1068="AE",1,(IF(E1068="CM",2,(IF(E1068="DP",3,(IF(E1068="AN",1,(IF(E1068="CO",2,(IF(E1068="IM",3,(IF(E1068="MI",4,(IF(E1068="RP",5,(IF(E1068="SC",6,0)))))))))))))))))))))))))))))))))))))))</f>
        <v>3</v>
      </c>
      <c r="G1068" s="170">
        <v>6</v>
      </c>
      <c r="H1068" s="38" t="s">
        <v>511</v>
      </c>
      <c r="I1068" s="105" t="s">
        <v>1449</v>
      </c>
      <c r="J1068" s="157" t="s">
        <v>3107</v>
      </c>
      <c r="K1068" s="34" t="s">
        <v>3108</v>
      </c>
      <c r="L1068" s="5">
        <f>IF(O1068="","",N1068*O1068*M1068)</f>
        <v>99</v>
      </c>
      <c r="M1068" s="8">
        <v>1</v>
      </c>
      <c r="N1068" s="1">
        <v>1</v>
      </c>
      <c r="O1068" s="15">
        <f>IF(SUM(Q1068:AF1068)&lt;1,"",SUM(Q1068:AF1068)/COUNTIF(Q1068:AF1068,"&gt;0"))</f>
        <v>99</v>
      </c>
      <c r="P1068" s="16"/>
      <c r="Q1068" s="13"/>
      <c r="T1068" s="4">
        <v>99</v>
      </c>
      <c r="U1068" s="2"/>
      <c r="V1068" s="2"/>
      <c r="W1068" s="2"/>
      <c r="X1068" s="2"/>
      <c r="Z1068" s="2"/>
      <c r="AA1068" s="2"/>
      <c r="AF1068" s="14"/>
    </row>
    <row r="1069" spans="1:33" s="4" customFormat="1" ht="15.75" customHeight="1" x14ac:dyDescent="0.25">
      <c r="A1069" s="33" t="str">
        <f>CONCATENATE(D1069,".",F1069,"-",G1069,".",H1069,"")</f>
        <v>2.3-6.1</v>
      </c>
      <c r="B1069" s="33"/>
      <c r="C1069" s="39" t="s">
        <v>262</v>
      </c>
      <c r="D1069" s="33">
        <f>IF(C1069="ID",1,(IF(C1069="PR",2,(IF(C1069="DE",3,(IF(C1069="RS",4,(IF(C1069="RC",5,0)))))))))</f>
        <v>2</v>
      </c>
      <c r="E1069" s="33" t="s">
        <v>343</v>
      </c>
      <c r="F1069" s="33">
        <f>IF(E1069="AM",1,(IF(E1069="BE",2,(IF(E1069="GV",3,(IF(E1069="RA",4,(IF(E1069="RM",5,(IF(E1069="AC",1,(IF(E1069="AT",2,(IF(E1069="DS",3,(IF(E1069="IP",4,(IF(E1069="MA",5,(IF(E1069="PT",6,(IF(E1069="AE",1,(IF(E1069="CM",2,(IF(E1069="DP",3,(IF(E1069="AN",1,(IF(E1069="CO",2,(IF(E1069="IM",3,(IF(E1069="MI",4,(IF(E1069="RP",5,(IF(E1069="SC",6,0)))))))))))))))))))))))))))))))))))))))</f>
        <v>3</v>
      </c>
      <c r="G1069" s="170">
        <v>6</v>
      </c>
      <c r="H1069" s="38" t="s">
        <v>511</v>
      </c>
      <c r="I1069" s="105" t="s">
        <v>1449</v>
      </c>
      <c r="J1069" s="157" t="s">
        <v>3109</v>
      </c>
      <c r="K1069" s="34" t="s">
        <v>3110</v>
      </c>
      <c r="L1069" s="5">
        <f>IF(O1069="","",N1069*O1069*M1069)</f>
        <v>99</v>
      </c>
      <c r="M1069" s="8">
        <v>1</v>
      </c>
      <c r="N1069" s="1">
        <v>1</v>
      </c>
      <c r="O1069" s="15">
        <f>IF(SUM(Q1069:AF1069)&lt;1,"",SUM(Q1069:AF1069)/COUNTIF(Q1069:AF1069,"&gt;0"))</f>
        <v>99</v>
      </c>
      <c r="P1069" s="16"/>
      <c r="Q1069" s="13"/>
      <c r="T1069" s="4">
        <v>99</v>
      </c>
      <c r="U1069" s="2"/>
      <c r="V1069" s="2"/>
      <c r="W1069" s="2"/>
      <c r="X1069" s="2"/>
      <c r="Z1069" s="2"/>
      <c r="AA1069" s="2"/>
      <c r="AF1069" s="14"/>
    </row>
    <row r="1070" spans="1:33" s="4" customFormat="1" ht="15.75" customHeight="1" x14ac:dyDescent="0.25">
      <c r="A1070" s="33" t="str">
        <f>CONCATENATE(D1070,".",F1070,"-",G1070,".",H1070,"")</f>
        <v>2.3-6.1</v>
      </c>
      <c r="B1070" s="33"/>
      <c r="C1070" s="39" t="s">
        <v>262</v>
      </c>
      <c r="D1070" s="33">
        <f>IF(C1070="ID",1,(IF(C1070="PR",2,(IF(C1070="DE",3,(IF(C1070="RS",4,(IF(C1070="RC",5,0)))))))))</f>
        <v>2</v>
      </c>
      <c r="E1070" s="33" t="s">
        <v>343</v>
      </c>
      <c r="F1070" s="33">
        <f>IF(E1070="AM",1,(IF(E1070="BE",2,(IF(E1070="GV",3,(IF(E1070="RA",4,(IF(E1070="RM",5,(IF(E1070="AC",1,(IF(E1070="AT",2,(IF(E1070="DS",3,(IF(E1070="IP",4,(IF(E1070="MA",5,(IF(E1070="PT",6,(IF(E1070="AE",1,(IF(E1070="CM",2,(IF(E1070="DP",3,(IF(E1070="AN",1,(IF(E1070="CO",2,(IF(E1070="IM",3,(IF(E1070="MI",4,(IF(E1070="RP",5,(IF(E1070="SC",6,0)))))))))))))))))))))))))))))))))))))))</f>
        <v>3</v>
      </c>
      <c r="G1070" s="170">
        <v>6</v>
      </c>
      <c r="H1070" s="38" t="s">
        <v>511</v>
      </c>
      <c r="I1070" s="105" t="s">
        <v>1449</v>
      </c>
      <c r="J1070" s="157" t="s">
        <v>3111</v>
      </c>
      <c r="K1070" s="34" t="s">
        <v>3112</v>
      </c>
      <c r="L1070" s="5">
        <f>IF(O1070="","",N1070*O1070*M1070)</f>
        <v>99</v>
      </c>
      <c r="M1070" s="8">
        <v>1</v>
      </c>
      <c r="N1070" s="1">
        <v>1</v>
      </c>
      <c r="O1070" s="15">
        <f>IF(SUM(Q1070:AF1070)&lt;1,"",SUM(Q1070:AF1070)/COUNTIF(Q1070:AF1070,"&gt;0"))</f>
        <v>99</v>
      </c>
      <c r="P1070" s="16"/>
      <c r="Q1070" s="13"/>
      <c r="T1070" s="4">
        <v>99</v>
      </c>
      <c r="U1070" s="2"/>
      <c r="V1070" s="2"/>
      <c r="W1070" s="2"/>
      <c r="X1070" s="2"/>
      <c r="Z1070" s="2"/>
      <c r="AA1070" s="2"/>
      <c r="AF1070" s="14"/>
    </row>
    <row r="1071" spans="1:33" s="4" customFormat="1" ht="15.75" customHeight="1" x14ac:dyDescent="0.25">
      <c r="A1071" s="33" t="str">
        <f>CONCATENATE(D1071,".",F1071,"-",G1071,".",H1071,"")</f>
        <v>2.3-6.1</v>
      </c>
      <c r="B1071" s="33"/>
      <c r="C1071" s="39" t="s">
        <v>262</v>
      </c>
      <c r="D1071" s="33">
        <f>IF(C1071="ID",1,(IF(C1071="PR",2,(IF(C1071="DE",3,(IF(C1071="RS",4,(IF(C1071="RC",5,0)))))))))</f>
        <v>2</v>
      </c>
      <c r="E1071" s="33" t="s">
        <v>343</v>
      </c>
      <c r="F1071" s="33">
        <f>IF(E1071="AM",1,(IF(E1071="BE",2,(IF(E1071="GV",3,(IF(E1071="RA",4,(IF(E1071="RM",5,(IF(E1071="AC",1,(IF(E1071="AT",2,(IF(E1071="DS",3,(IF(E1071="IP",4,(IF(E1071="MA",5,(IF(E1071="PT",6,(IF(E1071="AE",1,(IF(E1071="CM",2,(IF(E1071="DP",3,(IF(E1071="AN",1,(IF(E1071="CO",2,(IF(E1071="IM",3,(IF(E1071="MI",4,(IF(E1071="RP",5,(IF(E1071="SC",6,0)))))))))))))))))))))))))))))))))))))))</f>
        <v>3</v>
      </c>
      <c r="G1071" s="170">
        <v>6</v>
      </c>
      <c r="H1071" s="38" t="s">
        <v>511</v>
      </c>
      <c r="I1071" s="105" t="s">
        <v>1449</v>
      </c>
      <c r="J1071" s="157" t="s">
        <v>3113</v>
      </c>
      <c r="K1071" s="34" t="s">
        <v>3114</v>
      </c>
      <c r="L1071" s="5">
        <f>IF(O1071="","",N1071*O1071*M1071)</f>
        <v>99</v>
      </c>
      <c r="M1071" s="8">
        <v>1</v>
      </c>
      <c r="N1071" s="1">
        <v>1</v>
      </c>
      <c r="O1071" s="15">
        <f>IF(SUM(Q1071:AF1071)&lt;1,"",SUM(Q1071:AF1071)/COUNTIF(Q1071:AF1071,"&gt;0"))</f>
        <v>99</v>
      </c>
      <c r="P1071" s="16"/>
      <c r="Q1071" s="13"/>
      <c r="T1071" s="4">
        <v>99</v>
      </c>
      <c r="U1071" s="2"/>
      <c r="V1071" s="2"/>
      <c r="W1071" s="2"/>
      <c r="X1071" s="2"/>
      <c r="Z1071" s="2"/>
      <c r="AA1071" s="2"/>
      <c r="AF1071" s="14"/>
    </row>
    <row r="1072" spans="1:33" s="4" customFormat="1" ht="15.75" customHeight="1" x14ac:dyDescent="0.25">
      <c r="A1072" s="33" t="str">
        <f>CONCATENATE(D1072,".",F1072,"-",G1072,".",H1072,"")</f>
        <v>2.3-6.1</v>
      </c>
      <c r="B1072" s="33"/>
      <c r="C1072" s="39" t="s">
        <v>262</v>
      </c>
      <c r="D1072" s="33">
        <f>IF(C1072="ID",1,(IF(C1072="PR",2,(IF(C1072="DE",3,(IF(C1072="RS",4,(IF(C1072="RC",5,0)))))))))</f>
        <v>2</v>
      </c>
      <c r="E1072" s="33" t="s">
        <v>343</v>
      </c>
      <c r="F1072" s="33">
        <f>IF(E1072="AM",1,(IF(E1072="BE",2,(IF(E1072="GV",3,(IF(E1072="RA",4,(IF(E1072="RM",5,(IF(E1072="AC",1,(IF(E1072="AT",2,(IF(E1072="DS",3,(IF(E1072="IP",4,(IF(E1072="MA",5,(IF(E1072="PT",6,(IF(E1072="AE",1,(IF(E1072="CM",2,(IF(E1072="DP",3,(IF(E1072="AN",1,(IF(E1072="CO",2,(IF(E1072="IM",3,(IF(E1072="MI",4,(IF(E1072="RP",5,(IF(E1072="SC",6,0)))))))))))))))))))))))))))))))))))))))</f>
        <v>3</v>
      </c>
      <c r="G1072" s="170">
        <v>6</v>
      </c>
      <c r="H1072" s="38" t="s">
        <v>511</v>
      </c>
      <c r="I1072" s="105" t="s">
        <v>1449</v>
      </c>
      <c r="J1072" s="157" t="s">
        <v>3115</v>
      </c>
      <c r="K1072" s="34" t="s">
        <v>3116</v>
      </c>
      <c r="L1072" s="5">
        <f>IF(O1072="","",N1072*O1072*M1072)</f>
        <v>99</v>
      </c>
      <c r="M1072" s="8">
        <v>1</v>
      </c>
      <c r="N1072" s="1">
        <v>1</v>
      </c>
      <c r="O1072" s="15">
        <f>IF(SUM(Q1072:AF1072)&lt;1,"",SUM(Q1072:AF1072)/COUNTIF(Q1072:AF1072,"&gt;0"))</f>
        <v>99</v>
      </c>
      <c r="P1072" s="16"/>
      <c r="Q1072" s="13"/>
      <c r="T1072" s="4">
        <v>99</v>
      </c>
      <c r="U1072" s="2"/>
      <c r="V1072" s="2"/>
      <c r="W1072" s="2"/>
      <c r="X1072" s="2"/>
      <c r="Z1072" s="2"/>
      <c r="AA1072" s="2"/>
      <c r="AF1072" s="14"/>
    </row>
    <row r="1073" spans="1:32" s="4" customFormat="1" ht="15.75" customHeight="1" x14ac:dyDescent="0.25">
      <c r="A1073" s="33" t="str">
        <f>CONCATENATE(D1073,".",F1073,"-",G1073,".",H1073,"")</f>
        <v>2.3-6.1</v>
      </c>
      <c r="B1073" s="33"/>
      <c r="C1073" s="39" t="s">
        <v>262</v>
      </c>
      <c r="D1073" s="33">
        <f>IF(C1073="ID",1,(IF(C1073="PR",2,(IF(C1073="DE",3,(IF(C1073="RS",4,(IF(C1073="RC",5,0)))))))))</f>
        <v>2</v>
      </c>
      <c r="E1073" s="33" t="s">
        <v>343</v>
      </c>
      <c r="F1073" s="33">
        <f>IF(E1073="AM",1,(IF(E1073="BE",2,(IF(E1073="GV",3,(IF(E1073="RA",4,(IF(E1073="RM",5,(IF(E1073="AC",1,(IF(E1073="AT",2,(IF(E1073="DS",3,(IF(E1073="IP",4,(IF(E1073="MA",5,(IF(E1073="PT",6,(IF(E1073="AE",1,(IF(E1073="CM",2,(IF(E1073="DP",3,(IF(E1073="AN",1,(IF(E1073="CO",2,(IF(E1073="IM",3,(IF(E1073="MI",4,(IF(E1073="RP",5,(IF(E1073="SC",6,0)))))))))))))))))))))))))))))))))))))))</f>
        <v>3</v>
      </c>
      <c r="G1073" s="170">
        <v>6</v>
      </c>
      <c r="H1073" s="38" t="s">
        <v>511</v>
      </c>
      <c r="I1073" s="105" t="s">
        <v>1449</v>
      </c>
      <c r="J1073" s="157" t="s">
        <v>3117</v>
      </c>
      <c r="K1073" s="34" t="s">
        <v>3118</v>
      </c>
      <c r="L1073" s="5">
        <f>IF(O1073="","",N1073*O1073*M1073)</f>
        <v>99</v>
      </c>
      <c r="M1073" s="8">
        <v>1</v>
      </c>
      <c r="N1073" s="1">
        <v>1</v>
      </c>
      <c r="O1073" s="15">
        <f>IF(SUM(Q1073:AF1073)&lt;1,"",SUM(Q1073:AF1073)/COUNTIF(Q1073:AF1073,"&gt;0"))</f>
        <v>99</v>
      </c>
      <c r="P1073" s="16"/>
      <c r="Q1073" s="13"/>
      <c r="T1073" s="4">
        <v>99</v>
      </c>
      <c r="U1073" s="2"/>
      <c r="V1073" s="2"/>
      <c r="W1073" s="2"/>
      <c r="X1073" s="2"/>
      <c r="Z1073" s="2"/>
      <c r="AA1073" s="2"/>
      <c r="AF1073" s="14"/>
    </row>
    <row r="1074" spans="1:32" s="4" customFormat="1" ht="15.75" customHeight="1" x14ac:dyDescent="0.25">
      <c r="A1074" s="33" t="str">
        <f>CONCATENATE(D1074,".",F1074,"-",G1074,".",H1074,"")</f>
        <v>2.3-6.1</v>
      </c>
      <c r="B1074" s="33"/>
      <c r="C1074" s="39" t="s">
        <v>262</v>
      </c>
      <c r="D1074" s="33">
        <f>IF(C1074="ID",1,(IF(C1074="PR",2,(IF(C1074="DE",3,(IF(C1074="RS",4,(IF(C1074="RC",5,0)))))))))</f>
        <v>2</v>
      </c>
      <c r="E1074" s="33" t="s">
        <v>343</v>
      </c>
      <c r="F1074" s="33">
        <f>IF(E1074="AM",1,(IF(E1074="BE",2,(IF(E1074="GV",3,(IF(E1074="RA",4,(IF(E1074="RM",5,(IF(E1074="AC",1,(IF(E1074="AT",2,(IF(E1074="DS",3,(IF(E1074="IP",4,(IF(E1074="MA",5,(IF(E1074="PT",6,(IF(E1074="AE",1,(IF(E1074="CM",2,(IF(E1074="DP",3,(IF(E1074="AN",1,(IF(E1074="CO",2,(IF(E1074="IM",3,(IF(E1074="MI",4,(IF(E1074="RP",5,(IF(E1074="SC",6,0)))))))))))))))))))))))))))))))))))))))</f>
        <v>3</v>
      </c>
      <c r="G1074" s="170">
        <v>6</v>
      </c>
      <c r="H1074" s="38" t="s">
        <v>511</v>
      </c>
      <c r="I1074" s="105" t="s">
        <v>1449</v>
      </c>
      <c r="J1074" s="157" t="s">
        <v>3119</v>
      </c>
      <c r="K1074" s="34" t="s">
        <v>3120</v>
      </c>
      <c r="L1074" s="5">
        <f>IF(O1074="","",N1074*O1074*M1074)</f>
        <v>99</v>
      </c>
      <c r="M1074" s="8">
        <v>1</v>
      </c>
      <c r="N1074" s="1">
        <v>1</v>
      </c>
      <c r="O1074" s="15">
        <f>IF(SUM(Q1074:AF1074)&lt;1,"",SUM(Q1074:AF1074)/COUNTIF(Q1074:AF1074,"&gt;0"))</f>
        <v>99</v>
      </c>
      <c r="P1074" s="16"/>
      <c r="Q1074" s="13"/>
      <c r="T1074" s="4">
        <v>99</v>
      </c>
      <c r="U1074" s="2"/>
      <c r="V1074" s="2"/>
      <c r="W1074" s="2"/>
      <c r="X1074" s="2"/>
      <c r="Z1074" s="2"/>
      <c r="AA1074" s="2"/>
      <c r="AF1074" s="14"/>
    </row>
    <row r="1075" spans="1:32" s="4" customFormat="1" ht="15.75" customHeight="1" x14ac:dyDescent="0.25">
      <c r="A1075" s="33" t="str">
        <f>CONCATENATE(D1075,".",F1075,"-",G1075,".",H1075,"")</f>
        <v>2.3-6.1</v>
      </c>
      <c r="B1075" s="33"/>
      <c r="C1075" s="39" t="s">
        <v>262</v>
      </c>
      <c r="D1075" s="33">
        <f>IF(C1075="ID",1,(IF(C1075="PR",2,(IF(C1075="DE",3,(IF(C1075="RS",4,(IF(C1075="RC",5,0)))))))))</f>
        <v>2</v>
      </c>
      <c r="E1075" s="33" t="s">
        <v>343</v>
      </c>
      <c r="F1075" s="33">
        <f>IF(E1075="AM",1,(IF(E1075="BE",2,(IF(E1075="GV",3,(IF(E1075="RA",4,(IF(E1075="RM",5,(IF(E1075="AC",1,(IF(E1075="AT",2,(IF(E1075="DS",3,(IF(E1075="IP",4,(IF(E1075="MA",5,(IF(E1075="PT",6,(IF(E1075="AE",1,(IF(E1075="CM",2,(IF(E1075="DP",3,(IF(E1075="AN",1,(IF(E1075="CO",2,(IF(E1075="IM",3,(IF(E1075="MI",4,(IF(E1075="RP",5,(IF(E1075="SC",6,0)))))))))))))))))))))))))))))))))))))))</f>
        <v>3</v>
      </c>
      <c r="G1075" s="170">
        <v>6</v>
      </c>
      <c r="H1075" s="38" t="s">
        <v>511</v>
      </c>
      <c r="I1075" s="105" t="s">
        <v>1449</v>
      </c>
      <c r="J1075" s="157" t="s">
        <v>3121</v>
      </c>
      <c r="K1075" s="34" t="s">
        <v>3122</v>
      </c>
      <c r="L1075" s="5">
        <f>IF(O1075="","",N1075*O1075*M1075)</f>
        <v>99</v>
      </c>
      <c r="M1075" s="8">
        <v>1</v>
      </c>
      <c r="N1075" s="1">
        <v>1</v>
      </c>
      <c r="O1075" s="15">
        <f>IF(SUM(Q1075:AF1075)&lt;1,"",SUM(Q1075:AF1075)/COUNTIF(Q1075:AF1075,"&gt;0"))</f>
        <v>99</v>
      </c>
      <c r="P1075" s="16"/>
      <c r="Q1075" s="13"/>
      <c r="T1075" s="4">
        <v>99</v>
      </c>
      <c r="U1075" s="2"/>
      <c r="V1075" s="2"/>
      <c r="W1075" s="2"/>
      <c r="X1075" s="2"/>
      <c r="Z1075" s="2"/>
      <c r="AA1075" s="2"/>
      <c r="AF1075" s="14"/>
    </row>
    <row r="1076" spans="1:32" s="4" customFormat="1" ht="15.75" customHeight="1" x14ac:dyDescent="0.25">
      <c r="A1076" s="33" t="str">
        <f>CONCATENATE(D1076,".",F1076,"-",G1076,".",H1076,"")</f>
        <v>2.3-6.1</v>
      </c>
      <c r="B1076" s="33"/>
      <c r="C1076" s="39" t="s">
        <v>262</v>
      </c>
      <c r="D1076" s="33">
        <f>IF(C1076="ID",1,(IF(C1076="PR",2,(IF(C1076="DE",3,(IF(C1076="RS",4,(IF(C1076="RC",5,0)))))))))</f>
        <v>2</v>
      </c>
      <c r="E1076" s="33" t="s">
        <v>343</v>
      </c>
      <c r="F1076" s="33">
        <f>IF(E1076="AM",1,(IF(E1076="BE",2,(IF(E1076="GV",3,(IF(E1076="RA",4,(IF(E1076="RM",5,(IF(E1076="AC",1,(IF(E1076="AT",2,(IF(E1076="DS",3,(IF(E1076="IP",4,(IF(E1076="MA",5,(IF(E1076="PT",6,(IF(E1076="AE",1,(IF(E1076="CM",2,(IF(E1076="DP",3,(IF(E1076="AN",1,(IF(E1076="CO",2,(IF(E1076="IM",3,(IF(E1076="MI",4,(IF(E1076="RP",5,(IF(E1076="SC",6,0)))))))))))))))))))))))))))))))))))))))</f>
        <v>3</v>
      </c>
      <c r="G1076" s="170">
        <v>6</v>
      </c>
      <c r="H1076" s="38" t="s">
        <v>511</v>
      </c>
      <c r="I1076" s="105" t="s">
        <v>1449</v>
      </c>
      <c r="J1076" s="157" t="s">
        <v>3123</v>
      </c>
      <c r="K1076" s="34" t="s">
        <v>3124</v>
      </c>
      <c r="L1076" s="5">
        <f>IF(O1076="","",N1076*O1076*M1076)</f>
        <v>99</v>
      </c>
      <c r="M1076" s="8">
        <v>1</v>
      </c>
      <c r="N1076" s="1">
        <v>1</v>
      </c>
      <c r="O1076" s="15">
        <f>IF(SUM(Q1076:AF1076)&lt;1,"",SUM(Q1076:AF1076)/COUNTIF(Q1076:AF1076,"&gt;0"))</f>
        <v>99</v>
      </c>
      <c r="P1076" s="16"/>
      <c r="Q1076" s="13"/>
      <c r="T1076" s="4">
        <v>99</v>
      </c>
      <c r="U1076" s="2"/>
      <c r="V1076" s="2"/>
      <c r="W1076" s="2"/>
      <c r="X1076" s="2"/>
      <c r="Z1076" s="2"/>
      <c r="AA1076" s="2"/>
      <c r="AF1076" s="14"/>
    </row>
    <row r="1077" spans="1:32" s="4" customFormat="1" ht="15.75" customHeight="1" x14ac:dyDescent="0.25">
      <c r="A1077" s="33" t="str">
        <f>CONCATENATE(D1077,".",F1077,"-",G1077,".",H1077,"")</f>
        <v>2.3-6.1</v>
      </c>
      <c r="B1077" s="33"/>
      <c r="C1077" s="39" t="s">
        <v>262</v>
      </c>
      <c r="D1077" s="33">
        <f>IF(C1077="ID",1,(IF(C1077="PR",2,(IF(C1077="DE",3,(IF(C1077="RS",4,(IF(C1077="RC",5,0)))))))))</f>
        <v>2</v>
      </c>
      <c r="E1077" s="33" t="s">
        <v>343</v>
      </c>
      <c r="F1077" s="33">
        <f>IF(E1077="AM",1,(IF(E1077="BE",2,(IF(E1077="GV",3,(IF(E1077="RA",4,(IF(E1077="RM",5,(IF(E1077="AC",1,(IF(E1077="AT",2,(IF(E1077="DS",3,(IF(E1077="IP",4,(IF(E1077="MA",5,(IF(E1077="PT",6,(IF(E1077="AE",1,(IF(E1077="CM",2,(IF(E1077="DP",3,(IF(E1077="AN",1,(IF(E1077="CO",2,(IF(E1077="IM",3,(IF(E1077="MI",4,(IF(E1077="RP",5,(IF(E1077="SC",6,0)))))))))))))))))))))))))))))))))))))))</f>
        <v>3</v>
      </c>
      <c r="G1077" s="170">
        <v>6</v>
      </c>
      <c r="H1077" s="38" t="s">
        <v>511</v>
      </c>
      <c r="I1077" s="105" t="s">
        <v>1449</v>
      </c>
      <c r="J1077" s="157" t="s">
        <v>3125</v>
      </c>
      <c r="K1077" s="34" t="s">
        <v>3126</v>
      </c>
      <c r="L1077" s="5">
        <f>IF(O1077="","",N1077*O1077*M1077)</f>
        <v>99</v>
      </c>
      <c r="M1077" s="8">
        <v>1</v>
      </c>
      <c r="N1077" s="1">
        <v>1</v>
      </c>
      <c r="O1077" s="15">
        <f>IF(SUM(Q1077:AF1077)&lt;1,"",SUM(Q1077:AF1077)/COUNTIF(Q1077:AF1077,"&gt;0"))</f>
        <v>99</v>
      </c>
      <c r="P1077" s="16"/>
      <c r="Q1077" s="13"/>
      <c r="T1077" s="4">
        <v>99</v>
      </c>
      <c r="U1077" s="2"/>
      <c r="V1077" s="2"/>
      <c r="W1077" s="2"/>
      <c r="X1077" s="2"/>
      <c r="Z1077" s="2"/>
      <c r="AA1077" s="2"/>
      <c r="AF1077" s="14"/>
    </row>
    <row r="1078" spans="1:32" s="4" customFormat="1" ht="15.75" customHeight="1" x14ac:dyDescent="0.25">
      <c r="A1078" s="33" t="str">
        <f>CONCATENATE(D1078,".",F1078,"-",G1078,".",H1078,"")</f>
        <v>2.3-6.1</v>
      </c>
      <c r="B1078" s="33"/>
      <c r="C1078" s="39" t="s">
        <v>262</v>
      </c>
      <c r="D1078" s="33">
        <f>IF(C1078="ID",1,(IF(C1078="PR",2,(IF(C1078="DE",3,(IF(C1078="RS",4,(IF(C1078="RC",5,0)))))))))</f>
        <v>2</v>
      </c>
      <c r="E1078" s="33" t="s">
        <v>343</v>
      </c>
      <c r="F1078" s="33">
        <f>IF(E1078="AM",1,(IF(E1078="BE",2,(IF(E1078="GV",3,(IF(E1078="RA",4,(IF(E1078="RM",5,(IF(E1078="AC",1,(IF(E1078="AT",2,(IF(E1078="DS",3,(IF(E1078="IP",4,(IF(E1078="MA",5,(IF(E1078="PT",6,(IF(E1078="AE",1,(IF(E1078="CM",2,(IF(E1078="DP",3,(IF(E1078="AN",1,(IF(E1078="CO",2,(IF(E1078="IM",3,(IF(E1078="MI",4,(IF(E1078="RP",5,(IF(E1078="SC",6,0)))))))))))))))))))))))))))))))))))))))</f>
        <v>3</v>
      </c>
      <c r="G1078" s="170">
        <v>6</v>
      </c>
      <c r="H1078" s="38" t="s">
        <v>511</v>
      </c>
      <c r="I1078" s="105" t="s">
        <v>1449</v>
      </c>
      <c r="J1078" s="157" t="s">
        <v>3127</v>
      </c>
      <c r="K1078" s="34" t="s">
        <v>3128</v>
      </c>
      <c r="L1078" s="5">
        <f>IF(O1078="","",N1078*O1078*M1078)</f>
        <v>99</v>
      </c>
      <c r="M1078" s="8">
        <v>1</v>
      </c>
      <c r="N1078" s="1">
        <v>1</v>
      </c>
      <c r="O1078" s="15">
        <f>IF(SUM(Q1078:AF1078)&lt;1,"",SUM(Q1078:AF1078)/COUNTIF(Q1078:AF1078,"&gt;0"))</f>
        <v>99</v>
      </c>
      <c r="P1078" s="16"/>
      <c r="Q1078" s="13"/>
      <c r="T1078" s="4">
        <v>99</v>
      </c>
      <c r="U1078" s="2"/>
      <c r="V1078" s="2"/>
      <c r="W1078" s="2"/>
      <c r="X1078" s="2"/>
      <c r="Z1078" s="2"/>
      <c r="AA1078" s="2"/>
      <c r="AF1078" s="14"/>
    </row>
    <row r="1079" spans="1:32" s="4" customFormat="1" ht="15.75" customHeight="1" x14ac:dyDescent="0.25">
      <c r="A1079" s="33" t="str">
        <f>CONCATENATE(D1079,".",F1079,"-",G1079,".",H1079,"")</f>
        <v>2.3-6.1</v>
      </c>
      <c r="B1079" s="33"/>
      <c r="C1079" s="39" t="s">
        <v>262</v>
      </c>
      <c r="D1079" s="33">
        <f>IF(C1079="ID",1,(IF(C1079="PR",2,(IF(C1079="DE",3,(IF(C1079="RS",4,(IF(C1079="RC",5,0)))))))))</f>
        <v>2</v>
      </c>
      <c r="E1079" s="33" t="s">
        <v>343</v>
      </c>
      <c r="F1079" s="33">
        <f>IF(E1079="AM",1,(IF(E1079="BE",2,(IF(E1079="GV",3,(IF(E1079="RA",4,(IF(E1079="RM",5,(IF(E1079="AC",1,(IF(E1079="AT",2,(IF(E1079="DS",3,(IF(E1079="IP",4,(IF(E1079="MA",5,(IF(E1079="PT",6,(IF(E1079="AE",1,(IF(E1079="CM",2,(IF(E1079="DP",3,(IF(E1079="AN",1,(IF(E1079="CO",2,(IF(E1079="IM",3,(IF(E1079="MI",4,(IF(E1079="RP",5,(IF(E1079="SC",6,0)))))))))))))))))))))))))))))))))))))))</f>
        <v>3</v>
      </c>
      <c r="G1079" s="170">
        <v>6</v>
      </c>
      <c r="H1079" s="38" t="s">
        <v>511</v>
      </c>
      <c r="I1079" s="105" t="s">
        <v>1449</v>
      </c>
      <c r="J1079" s="157" t="s">
        <v>3129</v>
      </c>
      <c r="K1079" s="34" t="s">
        <v>3130</v>
      </c>
      <c r="L1079" s="5">
        <f>IF(O1079="","",N1079*O1079*M1079)</f>
        <v>99</v>
      </c>
      <c r="M1079" s="8">
        <v>1</v>
      </c>
      <c r="N1079" s="1">
        <v>1</v>
      </c>
      <c r="O1079" s="15">
        <f>IF(SUM(Q1079:AF1079)&lt;1,"",SUM(Q1079:AF1079)/COUNTIF(Q1079:AF1079,"&gt;0"))</f>
        <v>99</v>
      </c>
      <c r="P1079" s="16"/>
      <c r="Q1079" s="13"/>
      <c r="T1079" s="4">
        <v>99</v>
      </c>
      <c r="U1079" s="2"/>
      <c r="V1079" s="2"/>
      <c r="W1079" s="2"/>
      <c r="X1079" s="2"/>
      <c r="Z1079" s="2"/>
      <c r="AA1079" s="2"/>
      <c r="AF1079" s="14"/>
    </row>
    <row r="1080" spans="1:32" s="4" customFormat="1" ht="15.75" customHeight="1" x14ac:dyDescent="0.25">
      <c r="A1080" s="33" t="str">
        <f>CONCATENATE(D1080,".",F1080,"-",G1080,".",H1080,"")</f>
        <v>2.3-6.1</v>
      </c>
      <c r="B1080" s="33"/>
      <c r="C1080" s="39" t="s">
        <v>262</v>
      </c>
      <c r="D1080" s="33">
        <f>IF(C1080="ID",1,(IF(C1080="PR",2,(IF(C1080="DE",3,(IF(C1080="RS",4,(IF(C1080="RC",5,0)))))))))</f>
        <v>2</v>
      </c>
      <c r="E1080" s="33" t="s">
        <v>343</v>
      </c>
      <c r="F1080" s="33">
        <f>IF(E1080="AM",1,(IF(E1080="BE",2,(IF(E1080="GV",3,(IF(E1080="RA",4,(IF(E1080="RM",5,(IF(E1080="AC",1,(IF(E1080="AT",2,(IF(E1080="DS",3,(IF(E1080="IP",4,(IF(E1080="MA",5,(IF(E1080="PT",6,(IF(E1080="AE",1,(IF(E1080="CM",2,(IF(E1080="DP",3,(IF(E1080="AN",1,(IF(E1080="CO",2,(IF(E1080="IM",3,(IF(E1080="MI",4,(IF(E1080="RP",5,(IF(E1080="SC",6,0)))))))))))))))))))))))))))))))))))))))</f>
        <v>3</v>
      </c>
      <c r="G1080" s="170">
        <v>6</v>
      </c>
      <c r="H1080" s="38" t="s">
        <v>511</v>
      </c>
      <c r="I1080" s="105" t="s">
        <v>1449</v>
      </c>
      <c r="J1080" s="157" t="s">
        <v>3131</v>
      </c>
      <c r="K1080" s="34" t="s">
        <v>3132</v>
      </c>
      <c r="L1080" s="5">
        <f>IF(O1080="","",N1080*O1080*M1080)</f>
        <v>99</v>
      </c>
      <c r="M1080" s="8">
        <v>1</v>
      </c>
      <c r="N1080" s="1">
        <v>1</v>
      </c>
      <c r="O1080" s="15">
        <f>IF(SUM(Q1080:AF1080)&lt;1,"",SUM(Q1080:AF1080)/COUNTIF(Q1080:AF1080,"&gt;0"))</f>
        <v>99</v>
      </c>
      <c r="P1080" s="16"/>
      <c r="Q1080" s="13"/>
      <c r="T1080" s="4">
        <v>99</v>
      </c>
      <c r="U1080" s="2"/>
      <c r="V1080" s="2"/>
      <c r="W1080" s="2"/>
      <c r="X1080" s="2"/>
      <c r="Z1080" s="2"/>
      <c r="AA1080" s="2"/>
      <c r="AF1080" s="14"/>
    </row>
    <row r="1081" spans="1:32" s="4" customFormat="1" ht="15.75" customHeight="1" x14ac:dyDescent="0.25">
      <c r="A1081" s="33" t="str">
        <f>CONCATENATE(D1081,".",F1081,"-",G1081,".",H1081,"")</f>
        <v>2.3-6.1</v>
      </c>
      <c r="B1081" s="33"/>
      <c r="C1081" s="39" t="s">
        <v>262</v>
      </c>
      <c r="D1081" s="33">
        <f>IF(C1081="ID",1,(IF(C1081="PR",2,(IF(C1081="DE",3,(IF(C1081="RS",4,(IF(C1081="RC",5,0)))))))))</f>
        <v>2</v>
      </c>
      <c r="E1081" s="33" t="s">
        <v>343</v>
      </c>
      <c r="F1081" s="33">
        <f>IF(E1081="AM",1,(IF(E1081="BE",2,(IF(E1081="GV",3,(IF(E1081="RA",4,(IF(E1081="RM",5,(IF(E1081="AC",1,(IF(E1081="AT",2,(IF(E1081="DS",3,(IF(E1081="IP",4,(IF(E1081="MA",5,(IF(E1081="PT",6,(IF(E1081="AE",1,(IF(E1081="CM",2,(IF(E1081="DP",3,(IF(E1081="AN",1,(IF(E1081="CO",2,(IF(E1081="IM",3,(IF(E1081="MI",4,(IF(E1081="RP",5,(IF(E1081="SC",6,0)))))))))))))))))))))))))))))))))))))))</f>
        <v>3</v>
      </c>
      <c r="G1081" s="170">
        <v>6</v>
      </c>
      <c r="H1081" s="38" t="s">
        <v>511</v>
      </c>
      <c r="I1081" s="105" t="s">
        <v>1449</v>
      </c>
      <c r="J1081" s="157" t="s">
        <v>3133</v>
      </c>
      <c r="K1081" s="34" t="s">
        <v>3134</v>
      </c>
      <c r="L1081" s="5">
        <f>IF(O1081="","",N1081*O1081*M1081)</f>
        <v>99</v>
      </c>
      <c r="M1081" s="8">
        <v>1</v>
      </c>
      <c r="N1081" s="1">
        <v>1</v>
      </c>
      <c r="O1081" s="15">
        <f>IF(SUM(Q1081:AF1081)&lt;1,"",SUM(Q1081:AF1081)/COUNTIF(Q1081:AF1081,"&gt;0"))</f>
        <v>99</v>
      </c>
      <c r="P1081" s="16"/>
      <c r="Q1081" s="13"/>
      <c r="T1081" s="4">
        <v>99</v>
      </c>
      <c r="U1081" s="2"/>
      <c r="V1081" s="2"/>
      <c r="W1081" s="2"/>
      <c r="X1081" s="2"/>
      <c r="Z1081" s="2"/>
      <c r="AA1081" s="2"/>
      <c r="AF1081" s="14"/>
    </row>
    <row r="1082" spans="1:32" s="4" customFormat="1" ht="15.75" customHeight="1" x14ac:dyDescent="0.25">
      <c r="A1082" s="33" t="str">
        <f>CONCATENATE(D1082,".",F1082,"-",G1082,".",H1082,"")</f>
        <v>2.3-6.1</v>
      </c>
      <c r="B1082" s="33"/>
      <c r="C1082" s="39" t="s">
        <v>262</v>
      </c>
      <c r="D1082" s="33">
        <f>IF(C1082="ID",1,(IF(C1082="PR",2,(IF(C1082="DE",3,(IF(C1082="RS",4,(IF(C1082="RC",5,0)))))))))</f>
        <v>2</v>
      </c>
      <c r="E1082" s="33" t="s">
        <v>343</v>
      </c>
      <c r="F1082" s="33">
        <f>IF(E1082="AM",1,(IF(E1082="BE",2,(IF(E1082="GV",3,(IF(E1082="RA",4,(IF(E1082="RM",5,(IF(E1082="AC",1,(IF(E1082="AT",2,(IF(E1082="DS",3,(IF(E1082="IP",4,(IF(E1082="MA",5,(IF(E1082="PT",6,(IF(E1082="AE",1,(IF(E1082="CM",2,(IF(E1082="DP",3,(IF(E1082="AN",1,(IF(E1082="CO",2,(IF(E1082="IM",3,(IF(E1082="MI",4,(IF(E1082="RP",5,(IF(E1082="SC",6,0)))))))))))))))))))))))))))))))))))))))</f>
        <v>3</v>
      </c>
      <c r="G1082" s="170">
        <v>6</v>
      </c>
      <c r="H1082" s="38" t="s">
        <v>511</v>
      </c>
      <c r="I1082" s="105" t="s">
        <v>1449</v>
      </c>
      <c r="J1082" s="157" t="s">
        <v>3135</v>
      </c>
      <c r="K1082" s="34" t="s">
        <v>3136</v>
      </c>
      <c r="L1082" s="5">
        <f>IF(O1082="","",N1082*O1082*M1082)</f>
        <v>99</v>
      </c>
      <c r="M1082" s="8">
        <v>1</v>
      </c>
      <c r="N1082" s="1">
        <v>1</v>
      </c>
      <c r="O1082" s="15">
        <f>IF(SUM(Q1082:AF1082)&lt;1,"",SUM(Q1082:AF1082)/COUNTIF(Q1082:AF1082,"&gt;0"))</f>
        <v>99</v>
      </c>
      <c r="P1082" s="16"/>
      <c r="Q1082" s="13"/>
      <c r="T1082" s="4">
        <v>99</v>
      </c>
      <c r="U1082" s="2"/>
      <c r="V1082" s="2"/>
      <c r="W1082" s="2"/>
      <c r="X1082" s="2"/>
      <c r="Z1082" s="2"/>
      <c r="AA1082" s="2"/>
      <c r="AF1082" s="14"/>
    </row>
    <row r="1083" spans="1:32" s="4" customFormat="1" ht="15.75" customHeight="1" x14ac:dyDescent="0.25">
      <c r="A1083" s="33" t="str">
        <f>CONCATENATE(D1083,".",F1083,"-",G1083,".",H1083,"")</f>
        <v>2.3-6.1</v>
      </c>
      <c r="B1083" s="33"/>
      <c r="C1083" s="39" t="s">
        <v>262</v>
      </c>
      <c r="D1083" s="33">
        <f>IF(C1083="ID",1,(IF(C1083="PR",2,(IF(C1083="DE",3,(IF(C1083="RS",4,(IF(C1083="RC",5,0)))))))))</f>
        <v>2</v>
      </c>
      <c r="E1083" s="33" t="s">
        <v>343</v>
      </c>
      <c r="F1083" s="33">
        <f>IF(E1083="AM",1,(IF(E1083="BE",2,(IF(E1083="GV",3,(IF(E1083="RA",4,(IF(E1083="RM",5,(IF(E1083="AC",1,(IF(E1083="AT",2,(IF(E1083="DS",3,(IF(E1083="IP",4,(IF(E1083="MA",5,(IF(E1083="PT",6,(IF(E1083="AE",1,(IF(E1083="CM",2,(IF(E1083="DP",3,(IF(E1083="AN",1,(IF(E1083="CO",2,(IF(E1083="IM",3,(IF(E1083="MI",4,(IF(E1083="RP",5,(IF(E1083="SC",6,0)))))))))))))))))))))))))))))))))))))))</f>
        <v>3</v>
      </c>
      <c r="G1083" s="170">
        <v>6</v>
      </c>
      <c r="H1083" s="38" t="s">
        <v>511</v>
      </c>
      <c r="I1083" s="105" t="s">
        <v>1449</v>
      </c>
      <c r="J1083" s="157" t="s">
        <v>3137</v>
      </c>
      <c r="K1083" s="34" t="s">
        <v>3138</v>
      </c>
      <c r="L1083" s="5">
        <f>IF(O1083="","",N1083*O1083*M1083)</f>
        <v>99</v>
      </c>
      <c r="M1083" s="8">
        <v>1</v>
      </c>
      <c r="N1083" s="1">
        <v>1</v>
      </c>
      <c r="O1083" s="15">
        <f>IF(SUM(Q1083:AF1083)&lt;1,"",SUM(Q1083:AF1083)/COUNTIF(Q1083:AF1083,"&gt;0"))</f>
        <v>99</v>
      </c>
      <c r="P1083" s="16"/>
      <c r="Q1083" s="13"/>
      <c r="T1083" s="4">
        <v>99</v>
      </c>
      <c r="U1083" s="2"/>
      <c r="V1083" s="2"/>
      <c r="W1083" s="2"/>
      <c r="X1083" s="2"/>
      <c r="Z1083" s="2"/>
      <c r="AA1083" s="2"/>
      <c r="AF1083" s="14"/>
    </row>
    <row r="1084" spans="1:32" s="4" customFormat="1" ht="15.75" customHeight="1" x14ac:dyDescent="0.25">
      <c r="A1084" s="33" t="str">
        <f>CONCATENATE(D1084,".",F1084,"-",G1084,".",H1084,"")</f>
        <v>2.3-6.9</v>
      </c>
      <c r="B1084" s="33"/>
      <c r="C1084" s="39" t="s">
        <v>262</v>
      </c>
      <c r="D1084" s="33">
        <f>IF(C1084="ID",1,(IF(C1084="PR",2,(IF(C1084="DE",3,(IF(C1084="RS",4,(IF(C1084="RC",5,0)))))))))</f>
        <v>2</v>
      </c>
      <c r="E1084" s="33" t="s">
        <v>343</v>
      </c>
      <c r="F1084" s="33">
        <f>IF(E1084="AM",1,(IF(E1084="BE",2,(IF(E1084="GV",3,(IF(E1084="RA",4,(IF(E1084="RM",5,(IF(E1084="AC",1,(IF(E1084="AT",2,(IF(E1084="DS",3,(IF(E1084="IP",4,(IF(E1084="MA",5,(IF(E1084="PT",6,(IF(E1084="AE",1,(IF(E1084="CM",2,(IF(E1084="DP",3,(IF(E1084="AN",1,(IF(E1084="CO",2,(IF(E1084="IM",3,(IF(E1084="MI",4,(IF(E1084="RP",5,(IF(E1084="SC",6,0)))))))))))))))))))))))))))))))))))))))</f>
        <v>3</v>
      </c>
      <c r="G1084" s="170">
        <v>6</v>
      </c>
      <c r="H1084" s="38" t="s">
        <v>596</v>
      </c>
      <c r="I1084" s="105" t="s">
        <v>1449</v>
      </c>
      <c r="J1084" s="157" t="s">
        <v>2769</v>
      </c>
      <c r="K1084" s="34" t="s">
        <v>2770</v>
      </c>
      <c r="L1084" s="5">
        <f>IF(O1084="","",N1084*O1084*M1084)</f>
        <v>99</v>
      </c>
      <c r="M1084" s="8">
        <v>1</v>
      </c>
      <c r="N1084" s="1">
        <v>1</v>
      </c>
      <c r="O1084" s="15">
        <f>IF(SUM(Q1084:AF1084)&lt;1,"",SUM(Q1084:AF1084)/COUNTIF(Q1084:AF1084,"&gt;0"))</f>
        <v>99</v>
      </c>
      <c r="P1084" s="16"/>
      <c r="Q1084" s="13"/>
      <c r="T1084" s="4">
        <v>99</v>
      </c>
      <c r="U1084" s="2"/>
      <c r="V1084" s="2"/>
      <c r="W1084" s="2"/>
      <c r="X1084" s="2"/>
      <c r="Z1084" s="2"/>
      <c r="AA1084" s="2"/>
      <c r="AF1084" s="14"/>
    </row>
    <row r="1085" spans="1:32" s="4" customFormat="1" ht="15.75" customHeight="1" x14ac:dyDescent="0.25">
      <c r="A1085" s="33" t="str">
        <f>CONCATENATE(D1085,".",F1085,"-",G1085,".",H1085,"")</f>
        <v>2.3-6.9</v>
      </c>
      <c r="B1085" s="33"/>
      <c r="C1085" s="39" t="s">
        <v>262</v>
      </c>
      <c r="D1085" s="33">
        <f>IF(C1085="ID",1,(IF(C1085="PR",2,(IF(C1085="DE",3,(IF(C1085="RS",4,(IF(C1085="RC",5,0)))))))))</f>
        <v>2</v>
      </c>
      <c r="E1085" s="33" t="s">
        <v>343</v>
      </c>
      <c r="F1085" s="33">
        <f>IF(E1085="AM",1,(IF(E1085="BE",2,(IF(E1085="GV",3,(IF(E1085="RA",4,(IF(E1085="RM",5,(IF(E1085="AC",1,(IF(E1085="AT",2,(IF(E1085="DS",3,(IF(E1085="IP",4,(IF(E1085="MA",5,(IF(E1085="PT",6,(IF(E1085="AE",1,(IF(E1085="CM",2,(IF(E1085="DP",3,(IF(E1085="AN",1,(IF(E1085="CO",2,(IF(E1085="IM",3,(IF(E1085="MI",4,(IF(E1085="RP",5,(IF(E1085="SC",6,0)))))))))))))))))))))))))))))))))))))))</f>
        <v>3</v>
      </c>
      <c r="G1085" s="170">
        <v>6</v>
      </c>
      <c r="H1085" s="38" t="s">
        <v>596</v>
      </c>
      <c r="I1085" s="105" t="s">
        <v>1449</v>
      </c>
      <c r="J1085" s="157" t="s">
        <v>2793</v>
      </c>
      <c r="K1085" s="34" t="s">
        <v>2794</v>
      </c>
      <c r="L1085" s="5">
        <f>IF(O1085="","",N1085*O1085*M1085)</f>
        <v>99</v>
      </c>
      <c r="M1085" s="8">
        <v>1</v>
      </c>
      <c r="N1085" s="1">
        <v>1</v>
      </c>
      <c r="O1085" s="15">
        <f>IF(SUM(Q1085:AF1085)&lt;1,"",SUM(Q1085:AF1085)/COUNTIF(Q1085:AF1085,"&gt;0"))</f>
        <v>99</v>
      </c>
      <c r="P1085" s="16"/>
      <c r="Q1085" s="13"/>
      <c r="T1085" s="4">
        <v>99</v>
      </c>
      <c r="U1085" s="2"/>
      <c r="V1085" s="2"/>
      <c r="W1085" s="2"/>
      <c r="X1085" s="2"/>
      <c r="Z1085" s="2"/>
      <c r="AA1085" s="2"/>
      <c r="AF1085" s="14"/>
    </row>
    <row r="1086" spans="1:32" s="4" customFormat="1" ht="15.75" customHeight="1" x14ac:dyDescent="0.25">
      <c r="A1086" s="33" t="str">
        <f>CONCATENATE(D1086,".",F1086,"-",G1086,".",H1086,"")</f>
        <v>2.3-6.9</v>
      </c>
      <c r="B1086" s="33"/>
      <c r="C1086" s="39" t="s">
        <v>262</v>
      </c>
      <c r="D1086" s="33">
        <f>IF(C1086="ID",1,(IF(C1086="PR",2,(IF(C1086="DE",3,(IF(C1086="RS",4,(IF(C1086="RC",5,0)))))))))</f>
        <v>2</v>
      </c>
      <c r="E1086" s="33" t="s">
        <v>343</v>
      </c>
      <c r="F1086" s="33">
        <f>IF(E1086="AM",1,(IF(E1086="BE",2,(IF(E1086="GV",3,(IF(E1086="RA",4,(IF(E1086="RM",5,(IF(E1086="AC",1,(IF(E1086="AT",2,(IF(E1086="DS",3,(IF(E1086="IP",4,(IF(E1086="MA",5,(IF(E1086="PT",6,(IF(E1086="AE",1,(IF(E1086="CM",2,(IF(E1086="DP",3,(IF(E1086="AN",1,(IF(E1086="CO",2,(IF(E1086="IM",3,(IF(E1086="MI",4,(IF(E1086="RP",5,(IF(E1086="SC",6,0)))))))))))))))))))))))))))))))))))))))</f>
        <v>3</v>
      </c>
      <c r="G1086" s="170">
        <v>6</v>
      </c>
      <c r="H1086" s="38" t="s">
        <v>596</v>
      </c>
      <c r="I1086" s="105" t="s">
        <v>1449</v>
      </c>
      <c r="J1086" s="157" t="s">
        <v>2795</v>
      </c>
      <c r="K1086" s="34" t="s">
        <v>2796</v>
      </c>
      <c r="L1086" s="5">
        <f>IF(O1086="","",N1086*O1086*M1086)</f>
        <v>99</v>
      </c>
      <c r="M1086" s="8">
        <v>1</v>
      </c>
      <c r="N1086" s="1">
        <v>1</v>
      </c>
      <c r="O1086" s="15">
        <f>IF(SUM(Q1086:AF1086)&lt;1,"",SUM(Q1086:AF1086)/COUNTIF(Q1086:AF1086,"&gt;0"))</f>
        <v>99</v>
      </c>
      <c r="P1086" s="16"/>
      <c r="Q1086" s="13"/>
      <c r="T1086" s="4">
        <v>99</v>
      </c>
      <c r="U1086" s="2"/>
      <c r="V1086" s="2"/>
      <c r="W1086" s="2"/>
      <c r="X1086" s="2"/>
      <c r="Z1086" s="2"/>
      <c r="AA1086" s="2"/>
      <c r="AF1086" s="14"/>
    </row>
    <row r="1087" spans="1:32" s="4" customFormat="1" ht="15.75" customHeight="1" x14ac:dyDescent="0.25">
      <c r="A1087" s="33" t="str">
        <f>CONCATENATE(D1087,".",F1087,"-",G1087,".",H1087,"")</f>
        <v>2.3-6.9</v>
      </c>
      <c r="B1087" s="33"/>
      <c r="C1087" s="39" t="s">
        <v>262</v>
      </c>
      <c r="D1087" s="33">
        <f>IF(C1087="ID",1,(IF(C1087="PR",2,(IF(C1087="DE",3,(IF(C1087="RS",4,(IF(C1087="RC",5,0)))))))))</f>
        <v>2</v>
      </c>
      <c r="E1087" s="33" t="s">
        <v>343</v>
      </c>
      <c r="F1087" s="33">
        <f>IF(E1087="AM",1,(IF(E1087="BE",2,(IF(E1087="GV",3,(IF(E1087="RA",4,(IF(E1087="RM",5,(IF(E1087="AC",1,(IF(E1087="AT",2,(IF(E1087="DS",3,(IF(E1087="IP",4,(IF(E1087="MA",5,(IF(E1087="PT",6,(IF(E1087="AE",1,(IF(E1087="CM",2,(IF(E1087="DP",3,(IF(E1087="AN",1,(IF(E1087="CO",2,(IF(E1087="IM",3,(IF(E1087="MI",4,(IF(E1087="RP",5,(IF(E1087="SC",6,0)))))))))))))))))))))))))))))))))))))))</f>
        <v>3</v>
      </c>
      <c r="G1087" s="170">
        <v>6</v>
      </c>
      <c r="H1087" s="38" t="s">
        <v>596</v>
      </c>
      <c r="I1087" s="105" t="s">
        <v>1449</v>
      </c>
      <c r="J1087" s="157" t="s">
        <v>2985</v>
      </c>
      <c r="K1087" s="34" t="s">
        <v>2986</v>
      </c>
      <c r="L1087" s="5">
        <f>IF(O1087="","",N1087*O1087*M1087)</f>
        <v>99</v>
      </c>
      <c r="M1087" s="8">
        <v>1</v>
      </c>
      <c r="N1087" s="1">
        <v>1</v>
      </c>
      <c r="O1087" s="15">
        <f>IF(SUM(Q1087:AF1087)&lt;1,"",SUM(Q1087:AF1087)/COUNTIF(Q1087:AF1087,"&gt;0"))</f>
        <v>99</v>
      </c>
      <c r="P1087" s="16"/>
      <c r="Q1087" s="13"/>
      <c r="T1087" s="4">
        <v>99</v>
      </c>
      <c r="U1087" s="2"/>
      <c r="V1087" s="2"/>
      <c r="W1087" s="2"/>
      <c r="X1087" s="2"/>
      <c r="Z1087" s="2"/>
      <c r="AA1087" s="2"/>
      <c r="AF1087" s="14"/>
    </row>
    <row r="1088" spans="1:32" s="4" customFormat="1" ht="15.75" customHeight="1" x14ac:dyDescent="0.25">
      <c r="A1088" s="33" t="str">
        <f>CONCATENATE(D1088,".",F1088,"-",G1088,".",H1088,"")</f>
        <v>2.3-6.9</v>
      </c>
      <c r="B1088" s="33"/>
      <c r="C1088" s="39" t="s">
        <v>262</v>
      </c>
      <c r="D1088" s="33">
        <f>IF(C1088="ID",1,(IF(C1088="PR",2,(IF(C1088="DE",3,(IF(C1088="RS",4,(IF(C1088="RC",5,0)))))))))</f>
        <v>2</v>
      </c>
      <c r="E1088" s="33" t="s">
        <v>343</v>
      </c>
      <c r="F1088" s="33">
        <f>IF(E1088="AM",1,(IF(E1088="BE",2,(IF(E1088="GV",3,(IF(E1088="RA",4,(IF(E1088="RM",5,(IF(E1088="AC",1,(IF(E1088="AT",2,(IF(E1088="DS",3,(IF(E1088="IP",4,(IF(E1088="MA",5,(IF(E1088="PT",6,(IF(E1088="AE",1,(IF(E1088="CM",2,(IF(E1088="DP",3,(IF(E1088="AN",1,(IF(E1088="CO",2,(IF(E1088="IM",3,(IF(E1088="MI",4,(IF(E1088="RP",5,(IF(E1088="SC",6,0)))))))))))))))))))))))))))))))))))))))</f>
        <v>3</v>
      </c>
      <c r="G1088" s="170">
        <v>6</v>
      </c>
      <c r="H1088" s="38" t="s">
        <v>596</v>
      </c>
      <c r="I1088" s="105" t="s">
        <v>1449</v>
      </c>
      <c r="J1088" s="157" t="s">
        <v>2987</v>
      </c>
      <c r="K1088" s="34" t="s">
        <v>2988</v>
      </c>
      <c r="L1088" s="5">
        <f>IF(O1088="","",N1088*O1088*M1088)</f>
        <v>99</v>
      </c>
      <c r="M1088" s="8">
        <v>1</v>
      </c>
      <c r="N1088" s="1">
        <v>1</v>
      </c>
      <c r="O1088" s="15">
        <f>IF(SUM(Q1088:AF1088)&lt;1,"",SUM(Q1088:AF1088)/COUNTIF(Q1088:AF1088,"&gt;0"))</f>
        <v>99</v>
      </c>
      <c r="P1088" s="16"/>
      <c r="Q1088" s="13"/>
      <c r="T1088" s="4">
        <v>99</v>
      </c>
      <c r="U1088" s="2"/>
      <c r="V1088" s="2"/>
      <c r="W1088" s="2"/>
      <c r="X1088" s="2"/>
      <c r="Z1088" s="2"/>
      <c r="AA1088" s="2"/>
      <c r="AF1088" s="14"/>
    </row>
    <row r="1089" spans="1:33" s="4" customFormat="1" ht="15.75" customHeight="1" x14ac:dyDescent="0.25">
      <c r="A1089" s="33" t="str">
        <f>CONCATENATE(D1089,".",F1089,"-",G1089,".",H1089,"")</f>
        <v>2.3-6.9</v>
      </c>
      <c r="B1089" s="33"/>
      <c r="C1089" s="39" t="s">
        <v>262</v>
      </c>
      <c r="D1089" s="33">
        <f>IF(C1089="ID",1,(IF(C1089="PR",2,(IF(C1089="DE",3,(IF(C1089="RS",4,(IF(C1089="RC",5,0)))))))))</f>
        <v>2</v>
      </c>
      <c r="E1089" s="33" t="s">
        <v>343</v>
      </c>
      <c r="F1089" s="33">
        <f>IF(E1089="AM",1,(IF(E1089="BE",2,(IF(E1089="GV",3,(IF(E1089="RA",4,(IF(E1089="RM",5,(IF(E1089="AC",1,(IF(E1089="AT",2,(IF(E1089="DS",3,(IF(E1089="IP",4,(IF(E1089="MA",5,(IF(E1089="PT",6,(IF(E1089="AE",1,(IF(E1089="CM",2,(IF(E1089="DP",3,(IF(E1089="AN",1,(IF(E1089="CO",2,(IF(E1089="IM",3,(IF(E1089="MI",4,(IF(E1089="RP",5,(IF(E1089="SC",6,0)))))))))))))))))))))))))))))))))))))))</f>
        <v>3</v>
      </c>
      <c r="G1089" s="170">
        <v>6</v>
      </c>
      <c r="H1089" s="38" t="s">
        <v>596</v>
      </c>
      <c r="I1089" s="105" t="s">
        <v>1449</v>
      </c>
      <c r="J1089" s="157" t="s">
        <v>2989</v>
      </c>
      <c r="K1089" s="34" t="s">
        <v>2990</v>
      </c>
      <c r="L1089" s="5">
        <f>IF(O1089="","",N1089*O1089*M1089)</f>
        <v>99</v>
      </c>
      <c r="M1089" s="8">
        <v>1</v>
      </c>
      <c r="N1089" s="1">
        <v>1</v>
      </c>
      <c r="O1089" s="15">
        <f>IF(SUM(Q1089:AF1089)&lt;1,"",SUM(Q1089:AF1089)/COUNTIF(Q1089:AF1089,"&gt;0"))</f>
        <v>99</v>
      </c>
      <c r="P1089" s="16"/>
      <c r="Q1089" s="13"/>
      <c r="T1089" s="4">
        <v>99</v>
      </c>
      <c r="U1089" s="2"/>
      <c r="V1089" s="2"/>
      <c r="W1089" s="2"/>
      <c r="X1089" s="2"/>
      <c r="Z1089" s="2"/>
      <c r="AA1089" s="2"/>
      <c r="AF1089" s="14"/>
    </row>
    <row r="1090" spans="1:33" s="4" customFormat="1" ht="15.75" customHeight="1" x14ac:dyDescent="0.25">
      <c r="A1090" s="33" t="str">
        <f>CONCATENATE(D1090,".",F1090,"-",G1090,".",H1090,"")</f>
        <v>2.3-6.9</v>
      </c>
      <c r="B1090" s="33"/>
      <c r="C1090" s="39" t="s">
        <v>262</v>
      </c>
      <c r="D1090" s="33">
        <f>IF(C1090="ID",1,(IF(C1090="PR",2,(IF(C1090="DE",3,(IF(C1090="RS",4,(IF(C1090="RC",5,0)))))))))</f>
        <v>2</v>
      </c>
      <c r="E1090" s="33" t="s">
        <v>343</v>
      </c>
      <c r="F1090" s="33">
        <f>IF(E1090="AM",1,(IF(E1090="BE",2,(IF(E1090="GV",3,(IF(E1090="RA",4,(IF(E1090="RM",5,(IF(E1090="AC",1,(IF(E1090="AT",2,(IF(E1090="DS",3,(IF(E1090="IP",4,(IF(E1090="MA",5,(IF(E1090="PT",6,(IF(E1090="AE",1,(IF(E1090="CM",2,(IF(E1090="DP",3,(IF(E1090="AN",1,(IF(E1090="CO",2,(IF(E1090="IM",3,(IF(E1090="MI",4,(IF(E1090="RP",5,(IF(E1090="SC",6,0)))))))))))))))))))))))))))))))))))))))</f>
        <v>3</v>
      </c>
      <c r="G1090" s="170">
        <v>6</v>
      </c>
      <c r="H1090" s="38" t="s">
        <v>596</v>
      </c>
      <c r="I1090" s="105" t="s">
        <v>1449</v>
      </c>
      <c r="J1090" s="157" t="s">
        <v>2991</v>
      </c>
      <c r="K1090" s="34" t="s">
        <v>2992</v>
      </c>
      <c r="L1090" s="5">
        <f>IF(O1090="","",N1090*O1090*M1090)</f>
        <v>99</v>
      </c>
      <c r="M1090" s="8">
        <v>1</v>
      </c>
      <c r="N1090" s="1">
        <v>1</v>
      </c>
      <c r="O1090" s="15">
        <f>IF(SUM(Q1090:AF1090)&lt;1,"",SUM(Q1090:AF1090)/COUNTIF(Q1090:AF1090,"&gt;0"))</f>
        <v>99</v>
      </c>
      <c r="P1090" s="16"/>
      <c r="Q1090" s="13"/>
      <c r="T1090" s="4">
        <v>99</v>
      </c>
      <c r="U1090" s="2"/>
      <c r="V1090" s="2"/>
      <c r="W1090" s="2"/>
      <c r="X1090" s="2"/>
      <c r="Z1090" s="2"/>
      <c r="AA1090" s="2"/>
      <c r="AF1090" s="14"/>
    </row>
    <row r="1091" spans="1:33" s="4" customFormat="1" ht="15.75" customHeight="1" x14ac:dyDescent="0.25">
      <c r="A1091" s="33" t="str">
        <f>CONCATENATE(D1091,".",F1091,"-",G1091,".",H1091,"")</f>
        <v>2.3-6.9</v>
      </c>
      <c r="B1091" s="33"/>
      <c r="C1091" s="39" t="s">
        <v>262</v>
      </c>
      <c r="D1091" s="33">
        <f>IF(C1091="ID",1,(IF(C1091="PR",2,(IF(C1091="DE",3,(IF(C1091="RS",4,(IF(C1091="RC",5,0)))))))))</f>
        <v>2</v>
      </c>
      <c r="E1091" s="33" t="s">
        <v>343</v>
      </c>
      <c r="F1091" s="33">
        <f>IF(E1091="AM",1,(IF(E1091="BE",2,(IF(E1091="GV",3,(IF(E1091="RA",4,(IF(E1091="RM",5,(IF(E1091="AC",1,(IF(E1091="AT",2,(IF(E1091="DS",3,(IF(E1091="IP",4,(IF(E1091="MA",5,(IF(E1091="PT",6,(IF(E1091="AE",1,(IF(E1091="CM",2,(IF(E1091="DP",3,(IF(E1091="AN",1,(IF(E1091="CO",2,(IF(E1091="IM",3,(IF(E1091="MI",4,(IF(E1091="RP",5,(IF(E1091="SC",6,0)))))))))))))))))))))))))))))))))))))))</f>
        <v>3</v>
      </c>
      <c r="G1091" s="170">
        <v>6</v>
      </c>
      <c r="H1091" s="38" t="s">
        <v>596</v>
      </c>
      <c r="I1091" s="105" t="s">
        <v>1449</v>
      </c>
      <c r="J1091" s="157" t="s">
        <v>2993</v>
      </c>
      <c r="K1091" s="34" t="s">
        <v>2994</v>
      </c>
      <c r="L1091" s="5">
        <f>IF(O1091="","",N1091*O1091*M1091)</f>
        <v>99</v>
      </c>
      <c r="M1091" s="8">
        <v>1</v>
      </c>
      <c r="N1091" s="1">
        <v>1</v>
      </c>
      <c r="O1091" s="15">
        <f>IF(SUM(Q1091:AF1091)&lt;1,"",SUM(Q1091:AF1091)/COUNTIF(Q1091:AF1091,"&gt;0"))</f>
        <v>99</v>
      </c>
      <c r="P1091" s="16"/>
      <c r="Q1091" s="13"/>
      <c r="T1091" s="4">
        <v>99</v>
      </c>
      <c r="U1091" s="2"/>
      <c r="V1091" s="2"/>
      <c r="W1091" s="2"/>
      <c r="X1091" s="2"/>
      <c r="Z1091" s="2"/>
      <c r="AA1091" s="2"/>
      <c r="AF1091" s="14"/>
    </row>
    <row r="1092" spans="1:33" s="4" customFormat="1" ht="15.75" customHeight="1" x14ac:dyDescent="0.25">
      <c r="A1092" s="33" t="str">
        <f>CONCATENATE(D1092,".",F1092,"-",G1092,".",H1092,"")</f>
        <v>2.3-6.9</v>
      </c>
      <c r="B1092" s="33"/>
      <c r="C1092" s="39" t="s">
        <v>262</v>
      </c>
      <c r="D1092" s="33">
        <f>IF(C1092="ID",1,(IF(C1092="PR",2,(IF(C1092="DE",3,(IF(C1092="RS",4,(IF(C1092="RC",5,0)))))))))</f>
        <v>2</v>
      </c>
      <c r="E1092" s="33" t="s">
        <v>343</v>
      </c>
      <c r="F1092" s="33">
        <f>IF(E1092="AM",1,(IF(E1092="BE",2,(IF(E1092="GV",3,(IF(E1092="RA",4,(IF(E1092="RM",5,(IF(E1092="AC",1,(IF(E1092="AT",2,(IF(E1092="DS",3,(IF(E1092="IP",4,(IF(E1092="MA",5,(IF(E1092="PT",6,(IF(E1092="AE",1,(IF(E1092="CM",2,(IF(E1092="DP",3,(IF(E1092="AN",1,(IF(E1092="CO",2,(IF(E1092="IM",3,(IF(E1092="MI",4,(IF(E1092="RP",5,(IF(E1092="SC",6,0)))))))))))))))))))))))))))))))))))))))</f>
        <v>3</v>
      </c>
      <c r="G1092" s="170">
        <v>6</v>
      </c>
      <c r="H1092" s="38" t="s">
        <v>596</v>
      </c>
      <c r="I1092" s="105" t="s">
        <v>1449</v>
      </c>
      <c r="J1092" s="157" t="s">
        <v>2995</v>
      </c>
      <c r="K1092" s="34" t="s">
        <v>2996</v>
      </c>
      <c r="L1092" s="5">
        <f>IF(O1092="","",N1092*O1092*M1092)</f>
        <v>99</v>
      </c>
      <c r="M1092" s="8">
        <v>1</v>
      </c>
      <c r="N1092" s="1">
        <v>1</v>
      </c>
      <c r="O1092" s="15">
        <f>IF(SUM(Q1092:AF1092)&lt;1,"",SUM(Q1092:AF1092)/COUNTIF(Q1092:AF1092,"&gt;0"))</f>
        <v>99</v>
      </c>
      <c r="P1092" s="16"/>
      <c r="Q1092" s="13"/>
      <c r="T1092" s="4">
        <v>99</v>
      </c>
      <c r="U1092" s="2"/>
      <c r="V1092" s="2"/>
      <c r="W1092" s="2"/>
      <c r="X1092" s="2"/>
      <c r="Z1092" s="2"/>
      <c r="AA1092" s="2"/>
      <c r="AF1092" s="14"/>
    </row>
    <row r="1093" spans="1:33" s="4" customFormat="1" ht="15.75" customHeight="1" x14ac:dyDescent="0.25">
      <c r="A1093" s="33" t="str">
        <f>CONCATENATE(D1093,".",F1093,"-",G1093,".",H1093,"")</f>
        <v>2.3-7.0</v>
      </c>
      <c r="B1093" s="33" t="s">
        <v>814</v>
      </c>
      <c r="C1093" s="40" t="s">
        <v>262</v>
      </c>
      <c r="D1093" s="33">
        <f>IF(C1093="ID",1,(IF(C1093="PR",2,(IF(C1093="DE",3,(IF(C1093="RS",4,(IF(C1093="RC",5,0)))))))))</f>
        <v>2</v>
      </c>
      <c r="E1093" s="33" t="s">
        <v>343</v>
      </c>
      <c r="F1093" s="33">
        <f>IF(E1093="AM",1,(IF(E1093="BE",2,(IF(E1093="GV",3,(IF(E1093="RA",4,(IF(E1093="RM",5,(IF(E1093="AC",1,(IF(E1093="AT",2,(IF(E1093="DS",3,(IF(E1093="IP",4,(IF(E1093="MA",5,(IF(E1093="PT",6,(IF(E1093="AE",1,(IF(E1093="CM",2,(IF(E1093="DP",3,(IF(E1093="AN",1,(IF(E1093="CO",2,(IF(E1093="IM",3,(IF(E1093="MI",4,(IF(E1093="RP",5,(IF(E1093="SC",6,0)))))))))))))))))))))))))))))))))))))))</f>
        <v>3</v>
      </c>
      <c r="G1093" s="170">
        <v>7</v>
      </c>
      <c r="H1093" s="38" t="s">
        <v>597</v>
      </c>
      <c r="I1093" s="27" t="s">
        <v>1200</v>
      </c>
      <c r="J1093" s="149" t="s">
        <v>678</v>
      </c>
      <c r="K1093" s="98" t="s">
        <v>384</v>
      </c>
      <c r="L1093" s="5">
        <f>IF(O1093="","",N1093*O1093*M1093)</f>
        <v>75</v>
      </c>
      <c r="M1093" s="8">
        <v>1</v>
      </c>
      <c r="N1093" s="1">
        <v>1</v>
      </c>
      <c r="O1093" s="15">
        <f>IF(SUM(Q1093:AF1093)&lt;1,"",SUM(Q1093:AF1093)/COUNTIF(Q1093:AF1093,"&gt;0"))</f>
        <v>75</v>
      </c>
      <c r="P1093" s="16"/>
      <c r="Q1093" s="13"/>
      <c r="T1093" s="4">
        <v>75</v>
      </c>
      <c r="U1093" s="2"/>
      <c r="V1093" s="2"/>
      <c r="W1093" s="2"/>
      <c r="X1093" s="2"/>
      <c r="Z1093" s="2"/>
      <c r="AA1093" s="2"/>
      <c r="AF1093" s="14"/>
    </row>
    <row r="1094" spans="1:33" s="4" customFormat="1" ht="15.75" customHeight="1" x14ac:dyDescent="0.25">
      <c r="A1094" s="33" t="str">
        <f>CONCATENATE(D1094,".",F1094,"-",G1094,".",H1094,"")</f>
        <v>2.3-7.1</v>
      </c>
      <c r="B1094" s="33" t="s">
        <v>814</v>
      </c>
      <c r="C1094" s="39" t="s">
        <v>262</v>
      </c>
      <c r="D1094" s="33">
        <f>IF(C1094="ID",1,(IF(C1094="PR",2,(IF(C1094="DE",3,(IF(C1094="RS",4,(IF(C1094="RC",5,0)))))))))</f>
        <v>2</v>
      </c>
      <c r="E1094" s="33" t="s">
        <v>343</v>
      </c>
      <c r="F1094" s="33">
        <f>IF(E1094="AM",1,(IF(E1094="BE",2,(IF(E1094="GV",3,(IF(E1094="RA",4,(IF(E1094="RM",5,(IF(E1094="AC",1,(IF(E1094="AT",2,(IF(E1094="DS",3,(IF(E1094="IP",4,(IF(E1094="MA",5,(IF(E1094="PT",6,(IF(E1094="AE",1,(IF(E1094="CM",2,(IF(E1094="DP",3,(IF(E1094="AN",1,(IF(E1094="CO",2,(IF(E1094="IM",3,(IF(E1094="MI",4,(IF(E1094="RP",5,(IF(E1094="SC",6,0)))))))))))))))))))))))))))))))))))))))</f>
        <v>3</v>
      </c>
      <c r="G1094" s="170">
        <v>7</v>
      </c>
      <c r="H1094" s="38" t="s">
        <v>511</v>
      </c>
      <c r="I1094" s="35" t="s">
        <v>1176</v>
      </c>
      <c r="J1094" s="162">
        <v>18.600000000000001</v>
      </c>
      <c r="K1094" s="80" t="s">
        <v>1157</v>
      </c>
      <c r="L1094" s="66">
        <f>IF(O1094="","",N1094*O1094*M1094)</f>
        <v>75</v>
      </c>
      <c r="M1094" s="8">
        <v>1</v>
      </c>
      <c r="N1094" s="3">
        <v>1</v>
      </c>
      <c r="O1094" s="15">
        <f>IF(SUM(Q1094:AF1094)&lt;1,"",SUM(Q1094:AF1094)/COUNTIF(Q1094:AF1094,"&gt;0"))</f>
        <v>75</v>
      </c>
      <c r="P1094" s="16"/>
      <c r="Q1094" s="13"/>
      <c r="T1094" s="4">
        <v>75</v>
      </c>
      <c r="U1094" s="2"/>
      <c r="V1094" s="2"/>
      <c r="W1094" s="2"/>
      <c r="X1094" s="2"/>
      <c r="Z1094" s="2"/>
      <c r="AA1094" s="2"/>
      <c r="AF1094" s="14"/>
    </row>
    <row r="1095" spans="1:33" s="4" customFormat="1" ht="15.75" customHeight="1" x14ac:dyDescent="0.25">
      <c r="A1095" s="33" t="str">
        <f>CONCATENATE(D1095,".",F1095,"-",G1095,".",H1095,"")</f>
        <v>2.3-7.1</v>
      </c>
      <c r="B1095" s="33" t="s">
        <v>814</v>
      </c>
      <c r="C1095" s="39" t="s">
        <v>262</v>
      </c>
      <c r="D1095" s="33">
        <f>IF(C1095="ID",1,(IF(C1095="PR",2,(IF(C1095="DE",3,(IF(C1095="RS",4,(IF(C1095="RC",5,0)))))))))</f>
        <v>2</v>
      </c>
      <c r="E1095" s="33" t="s">
        <v>343</v>
      </c>
      <c r="F1095" s="33">
        <f>IF(E1095="AM",1,(IF(E1095="BE",2,(IF(E1095="GV",3,(IF(E1095="RA",4,(IF(E1095="RM",5,(IF(E1095="AC",1,(IF(E1095="AT",2,(IF(E1095="DS",3,(IF(E1095="IP",4,(IF(E1095="MA",5,(IF(E1095="PT",6,(IF(E1095="AE",1,(IF(E1095="CM",2,(IF(E1095="DP",3,(IF(E1095="AN",1,(IF(E1095="CO",2,(IF(E1095="IM",3,(IF(E1095="MI",4,(IF(E1095="RP",5,(IF(E1095="SC",6,0)))))))))))))))))))))))))))))))))))))))</f>
        <v>3</v>
      </c>
      <c r="G1095" s="170">
        <v>7</v>
      </c>
      <c r="H1095" s="38" t="s">
        <v>511</v>
      </c>
      <c r="I1095" s="105" t="s">
        <v>821</v>
      </c>
      <c r="J1095" s="150" t="s">
        <v>568</v>
      </c>
      <c r="K1095" s="79" t="s">
        <v>1283</v>
      </c>
      <c r="L1095" s="66">
        <f>IF(O1095="","",N1095*O1095*M1095)</f>
        <v>75</v>
      </c>
      <c r="M1095" s="8">
        <v>1</v>
      </c>
      <c r="N1095" s="3">
        <v>1</v>
      </c>
      <c r="O1095" s="15">
        <f>IF(SUM(Q1095:AF1095)&lt;1,"",SUM(Q1095:AF1095)/COUNTIF(Q1095:AF1095,"&gt;0"))</f>
        <v>75</v>
      </c>
      <c r="P1095" s="16"/>
      <c r="Q1095" s="13"/>
      <c r="T1095" s="4">
        <v>75</v>
      </c>
      <c r="U1095" s="2"/>
      <c r="V1095" s="2"/>
      <c r="W1095" s="2"/>
      <c r="X1095" s="2"/>
      <c r="Z1095" s="2"/>
      <c r="AA1095" s="2"/>
      <c r="AF1095" s="14"/>
    </row>
    <row r="1096" spans="1:33" s="4" customFormat="1" ht="15.75" customHeight="1" x14ac:dyDescent="0.25">
      <c r="A1096" s="33" t="str">
        <f>CONCATENATE(D1096,".",F1096,"-",G1096,".",H1096,"")</f>
        <v>2.3-7.1</v>
      </c>
      <c r="B1096" s="33" t="s">
        <v>814</v>
      </c>
      <c r="C1096" s="41" t="s">
        <v>262</v>
      </c>
      <c r="D1096" s="33">
        <f>IF(C1096="ID",1,(IF(C1096="PR",2,(IF(C1096="DE",3,(IF(C1096="RS",4,(IF(C1096="RC",5,0)))))))))</f>
        <v>2</v>
      </c>
      <c r="E1096" s="33" t="s">
        <v>343</v>
      </c>
      <c r="F1096" s="33">
        <f>IF(E1096="AM",1,(IF(E1096="BE",2,(IF(E1096="GV",3,(IF(E1096="RA",4,(IF(E1096="RM",5,(IF(E1096="AC",1,(IF(E1096="AT",2,(IF(E1096="DS",3,(IF(E1096="IP",4,(IF(E1096="MA",5,(IF(E1096="PT",6,(IF(E1096="AE",1,(IF(E1096="CM",2,(IF(E1096="DP",3,(IF(E1096="AN",1,(IF(E1096="CO",2,(IF(E1096="IM",3,(IF(E1096="MI",4,(IF(E1096="RP",5,(IF(E1096="SC",6,0)))))))))))))))))))))))))))))))))))))))</f>
        <v>3</v>
      </c>
      <c r="G1096" s="170">
        <v>7</v>
      </c>
      <c r="H1096" s="38" t="s">
        <v>511</v>
      </c>
      <c r="I1096" s="27" t="s">
        <v>266</v>
      </c>
      <c r="J1096" s="149" t="s">
        <v>284</v>
      </c>
      <c r="K1096" s="79" t="s">
        <v>1312</v>
      </c>
      <c r="L1096" s="5">
        <f>IF(O1096="","",N1096*O1096*M1096)</f>
        <v>75</v>
      </c>
      <c r="M1096" s="8">
        <v>1</v>
      </c>
      <c r="N1096" s="1">
        <v>1</v>
      </c>
      <c r="O1096" s="15">
        <f>IF(SUM(Q1096:AF1096)&lt;1,"",SUM(Q1096:AF1096)/COUNTIF(Q1096:AF1096,"&gt;0"))</f>
        <v>75</v>
      </c>
      <c r="P1096" s="16"/>
      <c r="Q1096" s="13"/>
      <c r="T1096" s="4">
        <v>75</v>
      </c>
      <c r="U1096" s="2"/>
      <c r="V1096" s="2"/>
      <c r="W1096" s="2"/>
      <c r="X1096" s="2"/>
      <c r="Z1096" s="2"/>
      <c r="AA1096" s="2"/>
      <c r="AF1096" s="14"/>
    </row>
    <row r="1097" spans="1:33" s="4" customFormat="1" ht="15.75" customHeight="1" x14ac:dyDescent="0.25">
      <c r="A1097" s="33" t="str">
        <f>CONCATENATE(D1097,".",F1097,"-",G1097,".",H1097,"")</f>
        <v>2.3-7.1</v>
      </c>
      <c r="B1097" s="33" t="s">
        <v>814</v>
      </c>
      <c r="C1097" s="41" t="s">
        <v>262</v>
      </c>
      <c r="D1097" s="33">
        <f>IF(C1097="ID",1,(IF(C1097="PR",2,(IF(C1097="DE",3,(IF(C1097="RS",4,(IF(C1097="RC",5,0)))))))))</f>
        <v>2</v>
      </c>
      <c r="E1097" s="33" t="s">
        <v>343</v>
      </c>
      <c r="F1097" s="33">
        <f>IF(E1097="AM",1,(IF(E1097="BE",2,(IF(E1097="GV",3,(IF(E1097="RA",4,(IF(E1097="RM",5,(IF(E1097="AC",1,(IF(E1097="AT",2,(IF(E1097="DS",3,(IF(E1097="IP",4,(IF(E1097="MA",5,(IF(E1097="PT",6,(IF(E1097="AE",1,(IF(E1097="CM",2,(IF(E1097="DP",3,(IF(E1097="AN",1,(IF(E1097="CO",2,(IF(E1097="IM",3,(IF(E1097="MI",4,(IF(E1097="RP",5,(IF(E1097="SC",6,0)))))))))))))))))))))))))))))))))))))))</f>
        <v>3</v>
      </c>
      <c r="G1097" s="170">
        <v>7</v>
      </c>
      <c r="H1097" s="38" t="s">
        <v>511</v>
      </c>
      <c r="I1097" s="27" t="s">
        <v>266</v>
      </c>
      <c r="J1097" s="149" t="s">
        <v>18</v>
      </c>
      <c r="K1097" s="79" t="s">
        <v>1333</v>
      </c>
      <c r="L1097" s="5">
        <f>IF(O1097="","",N1097*O1097*M1097)</f>
        <v>75</v>
      </c>
      <c r="M1097" s="8">
        <v>1</v>
      </c>
      <c r="N1097" s="1">
        <v>1</v>
      </c>
      <c r="O1097" s="15">
        <f>IF(SUM(Q1097:AF1097)&lt;1,"",SUM(Q1097:AF1097)/COUNTIF(Q1097:AF1097,"&gt;0"))</f>
        <v>75</v>
      </c>
      <c r="P1097" s="16"/>
      <c r="Q1097" s="13"/>
      <c r="T1097" s="4">
        <v>75</v>
      </c>
      <c r="U1097" s="2"/>
      <c r="V1097" s="2"/>
      <c r="W1097" s="2"/>
      <c r="X1097" s="2"/>
      <c r="Z1097" s="2"/>
      <c r="AA1097" s="2"/>
      <c r="AF1097" s="14"/>
    </row>
    <row r="1098" spans="1:33" s="4" customFormat="1" ht="15.75" customHeight="1" x14ac:dyDescent="0.25">
      <c r="A1098" s="33" t="str">
        <f>CONCATENATE(D1098,".",F1098,"-",G1098,".",H1098,"")</f>
        <v>2.3-7.1</v>
      </c>
      <c r="B1098" s="33" t="s">
        <v>814</v>
      </c>
      <c r="C1098" s="39" t="s">
        <v>262</v>
      </c>
      <c r="D1098" s="33">
        <f>IF(C1098="ID",1,(IF(C1098="PR",2,(IF(C1098="DE",3,(IF(C1098="RS",4,(IF(C1098="RC",5,0)))))))))</f>
        <v>2</v>
      </c>
      <c r="E1098" s="33" t="s">
        <v>343</v>
      </c>
      <c r="F1098" s="33">
        <f>IF(E1098="AM",1,(IF(E1098="BE",2,(IF(E1098="GV",3,(IF(E1098="RA",4,(IF(E1098="RM",5,(IF(E1098="AC",1,(IF(E1098="AT",2,(IF(E1098="DS",3,(IF(E1098="IP",4,(IF(E1098="MA",5,(IF(E1098="PT",6,(IF(E1098="AE",1,(IF(E1098="CM",2,(IF(E1098="DP",3,(IF(E1098="AN",1,(IF(E1098="CO",2,(IF(E1098="IM",3,(IF(E1098="MI",4,(IF(E1098="RP",5,(IF(E1098="SC",6,0)))))))))))))))))))))))))))))))))))))))</f>
        <v>3</v>
      </c>
      <c r="G1098" s="170">
        <v>7</v>
      </c>
      <c r="H1098" s="38" t="s">
        <v>511</v>
      </c>
      <c r="I1098" s="27" t="s">
        <v>266</v>
      </c>
      <c r="J1098" s="149" t="s">
        <v>472</v>
      </c>
      <c r="K1098" s="79" t="s">
        <v>1350</v>
      </c>
      <c r="L1098" s="66">
        <f>IF(O1098="","",N1098*O1098*M1098)</f>
        <v>75</v>
      </c>
      <c r="M1098" s="8">
        <v>1</v>
      </c>
      <c r="N1098" s="1">
        <v>1</v>
      </c>
      <c r="O1098" s="15">
        <f>IF(SUM(Q1098:AF1098)&lt;1,"",SUM(Q1098:AF1098)/COUNTIF(Q1098:AF1098,"&gt;0"))</f>
        <v>75</v>
      </c>
      <c r="P1098" s="16"/>
      <c r="Q1098" s="13"/>
      <c r="T1098" s="4">
        <v>75</v>
      </c>
      <c r="U1098" s="2"/>
      <c r="V1098" s="2"/>
      <c r="W1098" s="2"/>
      <c r="X1098" s="2"/>
      <c r="Z1098" s="2"/>
      <c r="AA1098" s="2"/>
      <c r="AF1098" s="14"/>
    </row>
    <row r="1099" spans="1:33" s="4" customFormat="1" ht="15.75" customHeight="1" x14ac:dyDescent="0.25">
      <c r="A1099" s="33" t="str">
        <f>CONCATENATE(D1099,".",F1099,"-",G1099,".",H1099,"")</f>
        <v>2.3-7.1</v>
      </c>
      <c r="B1099" s="33"/>
      <c r="C1099" s="39" t="s">
        <v>262</v>
      </c>
      <c r="D1099" s="33">
        <f>IF(C1099="ID",1,(IF(C1099="PR",2,(IF(C1099="DE",3,(IF(C1099="RS",4,(IF(C1099="RC",5,0)))))))))</f>
        <v>2</v>
      </c>
      <c r="E1099" s="33" t="s">
        <v>343</v>
      </c>
      <c r="F1099" s="33">
        <f>IF(E1099="AM",1,(IF(E1099="BE",2,(IF(E1099="GV",3,(IF(E1099="RA",4,(IF(E1099="RM",5,(IF(E1099="AC",1,(IF(E1099="AT",2,(IF(E1099="DS",3,(IF(E1099="IP",4,(IF(E1099="MA",5,(IF(E1099="PT",6,(IF(E1099="AE",1,(IF(E1099="CM",2,(IF(E1099="DP",3,(IF(E1099="AN",1,(IF(E1099="CO",2,(IF(E1099="IM",3,(IF(E1099="MI",4,(IF(E1099="RP",5,(IF(E1099="SC",6,0)))))))))))))))))))))))))))))))))))))))</f>
        <v>3</v>
      </c>
      <c r="G1099" s="170">
        <v>7</v>
      </c>
      <c r="H1099" s="38" t="s">
        <v>511</v>
      </c>
      <c r="I1099" s="105" t="s">
        <v>1449</v>
      </c>
      <c r="J1099" s="157" t="s">
        <v>1881</v>
      </c>
      <c r="K1099" s="34" t="s">
        <v>1882</v>
      </c>
      <c r="L1099" s="5">
        <f>IF(O1099="","",N1099*O1099*M1099)</f>
        <v>99</v>
      </c>
      <c r="M1099" s="8">
        <v>1</v>
      </c>
      <c r="N1099" s="1">
        <v>1</v>
      </c>
      <c r="O1099" s="15">
        <f>IF(SUM(Q1099:AF1099)&lt;1,"",SUM(Q1099:AF1099)/COUNTIF(Q1099:AF1099,"&gt;0"))</f>
        <v>99</v>
      </c>
      <c r="P1099" s="16"/>
      <c r="Q1099" s="13"/>
      <c r="T1099" s="4">
        <v>99</v>
      </c>
      <c r="U1099" s="2"/>
      <c r="V1099" s="2"/>
      <c r="W1099" s="2"/>
      <c r="X1099" s="2"/>
      <c r="Z1099" s="2"/>
      <c r="AA1099" s="2"/>
      <c r="AF1099" s="14"/>
    </row>
    <row r="1100" spans="1:33" s="4" customFormat="1" ht="15.75" customHeight="1" x14ac:dyDescent="0.25">
      <c r="A1100" s="33" t="str">
        <f>CONCATENATE(D1100,".",F1100,"-",G1100,".",H1100,"")</f>
        <v>2.3-7.1</v>
      </c>
      <c r="B1100" s="33"/>
      <c r="C1100" s="39" t="s">
        <v>262</v>
      </c>
      <c r="D1100" s="33">
        <f>IF(C1100="ID",1,(IF(C1100="PR",2,(IF(C1100="DE",3,(IF(C1100="RS",4,(IF(C1100="RC",5,0)))))))))</f>
        <v>2</v>
      </c>
      <c r="E1100" s="33" t="s">
        <v>343</v>
      </c>
      <c r="F1100" s="33">
        <f>IF(E1100="AM",1,(IF(E1100="BE",2,(IF(E1100="GV",3,(IF(E1100="RA",4,(IF(E1100="RM",5,(IF(E1100="AC",1,(IF(E1100="AT",2,(IF(E1100="DS",3,(IF(E1100="IP",4,(IF(E1100="MA",5,(IF(E1100="PT",6,(IF(E1100="AE",1,(IF(E1100="CM",2,(IF(E1100="DP",3,(IF(E1100="AN",1,(IF(E1100="CO",2,(IF(E1100="IM",3,(IF(E1100="MI",4,(IF(E1100="RP",5,(IF(E1100="SC",6,0)))))))))))))))))))))))))))))))))))))))</f>
        <v>3</v>
      </c>
      <c r="G1100" s="170">
        <v>7</v>
      </c>
      <c r="H1100" s="38" t="s">
        <v>511</v>
      </c>
      <c r="I1100" s="105" t="s">
        <v>1449</v>
      </c>
      <c r="J1100" s="157" t="s">
        <v>1883</v>
      </c>
      <c r="K1100" s="34" t="s">
        <v>1884</v>
      </c>
      <c r="L1100" s="5">
        <f>IF(O1100="","",N1100*O1100*M1100)</f>
        <v>99</v>
      </c>
      <c r="M1100" s="8">
        <v>1</v>
      </c>
      <c r="N1100" s="1">
        <v>1</v>
      </c>
      <c r="O1100" s="15">
        <f>IF(SUM(Q1100:AF1100)&lt;1,"",SUM(Q1100:AF1100)/COUNTIF(Q1100:AF1100,"&gt;0"))</f>
        <v>99</v>
      </c>
      <c r="P1100" s="16"/>
      <c r="Q1100" s="13"/>
      <c r="T1100" s="4">
        <v>99</v>
      </c>
      <c r="U1100" s="2"/>
      <c r="V1100" s="2"/>
      <c r="W1100" s="2"/>
      <c r="X1100" s="2"/>
      <c r="Z1100" s="2"/>
      <c r="AA1100" s="2"/>
      <c r="AF1100" s="14"/>
    </row>
    <row r="1101" spans="1:33" s="4" customFormat="1" ht="15.75" customHeight="1" x14ac:dyDescent="0.25">
      <c r="A1101" s="33" t="str">
        <f>CONCATENATE(D1101,".",F1101,"-",G1101,".",H1101,"")</f>
        <v>2.3-7.1</v>
      </c>
      <c r="B1101" s="33"/>
      <c r="C1101" s="39" t="s">
        <v>262</v>
      </c>
      <c r="D1101" s="33">
        <f>IF(C1101="ID",1,(IF(C1101="PR",2,(IF(C1101="DE",3,(IF(C1101="RS",4,(IF(C1101="RC",5,0)))))))))</f>
        <v>2</v>
      </c>
      <c r="E1101" s="33" t="s">
        <v>343</v>
      </c>
      <c r="F1101" s="33">
        <f>IF(E1101="AM",1,(IF(E1101="BE",2,(IF(E1101="GV",3,(IF(E1101="RA",4,(IF(E1101="RM",5,(IF(E1101="AC",1,(IF(E1101="AT",2,(IF(E1101="DS",3,(IF(E1101="IP",4,(IF(E1101="MA",5,(IF(E1101="PT",6,(IF(E1101="AE",1,(IF(E1101="CM",2,(IF(E1101="DP",3,(IF(E1101="AN",1,(IF(E1101="CO",2,(IF(E1101="IM",3,(IF(E1101="MI",4,(IF(E1101="RP",5,(IF(E1101="SC",6,0)))))))))))))))))))))))))))))))))))))))</f>
        <v>3</v>
      </c>
      <c r="G1101" s="170">
        <v>7</v>
      </c>
      <c r="H1101" s="38" t="s">
        <v>511</v>
      </c>
      <c r="I1101" s="105" t="s">
        <v>1449</v>
      </c>
      <c r="J1101" s="157" t="s">
        <v>1887</v>
      </c>
      <c r="K1101" s="34" t="s">
        <v>1888</v>
      </c>
      <c r="L1101" s="5">
        <f>IF(O1101="","",N1101*O1101*M1101)</f>
        <v>99</v>
      </c>
      <c r="M1101" s="8">
        <v>1</v>
      </c>
      <c r="N1101" s="1">
        <v>1</v>
      </c>
      <c r="O1101" s="15">
        <f>IF(SUM(Q1101:AF1101)&lt;1,"",SUM(Q1101:AF1101)/COUNTIF(Q1101:AF1101,"&gt;0"))</f>
        <v>99</v>
      </c>
      <c r="P1101" s="16"/>
      <c r="Q1101" s="13"/>
      <c r="T1101" s="4">
        <v>99</v>
      </c>
      <c r="U1101" s="2"/>
      <c r="V1101" s="2"/>
      <c r="W1101" s="2"/>
      <c r="X1101" s="2"/>
      <c r="Z1101" s="2"/>
      <c r="AA1101" s="2"/>
      <c r="AF1101" s="14"/>
    </row>
    <row r="1102" spans="1:33" s="4" customFormat="1" ht="15.75" customHeight="1" x14ac:dyDescent="0.25">
      <c r="A1102" s="33" t="str">
        <f>CONCATENATE(D1102,".",F1102,"-",G1102,".",H1102,"")</f>
        <v>2.3-7.1</v>
      </c>
      <c r="B1102" s="33"/>
      <c r="C1102" s="39" t="s">
        <v>262</v>
      </c>
      <c r="D1102" s="33">
        <f>IF(C1102="ID",1,(IF(C1102="PR",2,(IF(C1102="DE",3,(IF(C1102="RS",4,(IF(C1102="RC",5,0)))))))))</f>
        <v>2</v>
      </c>
      <c r="E1102" s="33" t="s">
        <v>343</v>
      </c>
      <c r="F1102" s="33">
        <f>IF(E1102="AM",1,(IF(E1102="BE",2,(IF(E1102="GV",3,(IF(E1102="RA",4,(IF(E1102="RM",5,(IF(E1102="AC",1,(IF(E1102="AT",2,(IF(E1102="DS",3,(IF(E1102="IP",4,(IF(E1102="MA",5,(IF(E1102="PT",6,(IF(E1102="AE",1,(IF(E1102="CM",2,(IF(E1102="DP",3,(IF(E1102="AN",1,(IF(E1102="CO",2,(IF(E1102="IM",3,(IF(E1102="MI",4,(IF(E1102="RP",5,(IF(E1102="SC",6,0)))))))))))))))))))))))))))))))))))))))</f>
        <v>3</v>
      </c>
      <c r="G1102" s="170">
        <v>7</v>
      </c>
      <c r="H1102" s="38" t="s">
        <v>511</v>
      </c>
      <c r="I1102" s="105" t="s">
        <v>1449</v>
      </c>
      <c r="J1102" s="157" t="s">
        <v>1889</v>
      </c>
      <c r="K1102" s="34" t="s">
        <v>1890</v>
      </c>
      <c r="L1102" s="5">
        <f>IF(O1102="","",N1102*O1102*M1102)</f>
        <v>99</v>
      </c>
      <c r="M1102" s="8">
        <v>1</v>
      </c>
      <c r="N1102" s="1">
        <v>1</v>
      </c>
      <c r="O1102" s="15">
        <f>IF(SUM(Q1102:AF1102)&lt;1,"",SUM(Q1102:AF1102)/COUNTIF(Q1102:AF1102,"&gt;0"))</f>
        <v>99</v>
      </c>
      <c r="P1102" s="16"/>
      <c r="Q1102" s="13"/>
      <c r="T1102" s="4">
        <v>99</v>
      </c>
      <c r="U1102" s="2"/>
      <c r="V1102" s="2"/>
      <c r="W1102" s="2"/>
      <c r="X1102" s="2"/>
      <c r="Z1102" s="2"/>
      <c r="AA1102" s="2"/>
      <c r="AF1102" s="14"/>
    </row>
    <row r="1103" spans="1:33" ht="15.75" customHeight="1" x14ac:dyDescent="0.25">
      <c r="A1103" s="33" t="str">
        <f>CONCATENATE(D1103,".",F1103,"-",G1103,".",H1103,"")</f>
        <v>2.3-7.1</v>
      </c>
      <c r="C1103" s="39" t="s">
        <v>262</v>
      </c>
      <c r="D1103" s="33">
        <f>IF(C1103="ID",1,(IF(C1103="PR",2,(IF(C1103="DE",3,(IF(C1103="RS",4,(IF(C1103="RC",5,0)))))))))</f>
        <v>2</v>
      </c>
      <c r="E1103" s="33" t="s">
        <v>343</v>
      </c>
      <c r="F1103" s="33">
        <f>IF(E1103="AM",1,(IF(E1103="BE",2,(IF(E1103="GV",3,(IF(E1103="RA",4,(IF(E1103="RM",5,(IF(E1103="AC",1,(IF(E1103="AT",2,(IF(E1103="DS",3,(IF(E1103="IP",4,(IF(E1103="MA",5,(IF(E1103="PT",6,(IF(E1103="AE",1,(IF(E1103="CM",2,(IF(E1103="DP",3,(IF(E1103="AN",1,(IF(E1103="CO",2,(IF(E1103="IM",3,(IF(E1103="MI",4,(IF(E1103="RP",5,(IF(E1103="SC",6,0)))))))))))))))))))))))))))))))))))))))</f>
        <v>3</v>
      </c>
      <c r="G1103" s="170">
        <v>7</v>
      </c>
      <c r="H1103" s="38" t="s">
        <v>511</v>
      </c>
      <c r="I1103" s="105" t="s">
        <v>1449</v>
      </c>
      <c r="J1103" s="157" t="s">
        <v>1891</v>
      </c>
      <c r="K1103" s="34" t="s">
        <v>1892</v>
      </c>
      <c r="L1103" s="5">
        <f>IF(O1103="","",N1103*O1103*M1103)</f>
        <v>99</v>
      </c>
      <c r="M1103" s="8">
        <v>1</v>
      </c>
      <c r="N1103" s="1">
        <v>1</v>
      </c>
      <c r="O1103" s="15">
        <f>IF(SUM(Q1103:AF1103)&lt;1,"",SUM(Q1103:AF1103)/COUNTIF(Q1103:AF1103,"&gt;0"))</f>
        <v>99</v>
      </c>
      <c r="P1103" s="16"/>
      <c r="Q1103" s="13"/>
      <c r="R1103" s="4"/>
      <c r="S1103" s="4"/>
      <c r="T1103" s="4">
        <v>99</v>
      </c>
      <c r="U1103" s="2"/>
      <c r="V1103" s="2"/>
      <c r="W1103" s="2"/>
      <c r="X1103" s="2"/>
      <c r="Y1103" s="4"/>
      <c r="Z1103" s="2"/>
      <c r="AA1103" s="2"/>
      <c r="AB1103" s="4"/>
      <c r="AC1103" s="4"/>
      <c r="AD1103" s="4"/>
      <c r="AE1103" s="4"/>
      <c r="AF1103" s="14"/>
      <c r="AG1103" s="3"/>
    </row>
    <row r="1104" spans="1:33" ht="15.75" customHeight="1" x14ac:dyDescent="0.25">
      <c r="A1104" s="33" t="str">
        <f>CONCATENATE(D1104,".",F1104,"-",G1104,".",H1104,"")</f>
        <v>2.3-8.0</v>
      </c>
      <c r="B1104" s="33" t="s">
        <v>814</v>
      </c>
      <c r="C1104" s="40" t="s">
        <v>262</v>
      </c>
      <c r="D1104" s="33">
        <f>IF(C1104="ID",1,(IF(C1104="PR",2,(IF(C1104="DE",3,(IF(C1104="RS",4,(IF(C1104="RC",5,0)))))))))</f>
        <v>2</v>
      </c>
      <c r="E1104" s="33" t="s">
        <v>343</v>
      </c>
      <c r="F1104" s="33">
        <f>IF(E1104="AM",1,(IF(E1104="BE",2,(IF(E1104="GV",3,(IF(E1104="RA",4,(IF(E1104="RM",5,(IF(E1104="AC",1,(IF(E1104="AT",2,(IF(E1104="DS",3,(IF(E1104="IP",4,(IF(E1104="MA",5,(IF(E1104="PT",6,(IF(E1104="AE",1,(IF(E1104="CM",2,(IF(E1104="DP",3,(IF(E1104="AN",1,(IF(E1104="CO",2,(IF(E1104="IM",3,(IF(E1104="MI",4,(IF(E1104="RP",5,(IF(E1104="SC",6,0)))))))))))))))))))))))))))))))))))))))</f>
        <v>3</v>
      </c>
      <c r="G1104" s="170">
        <v>8</v>
      </c>
      <c r="H1104" s="38" t="s">
        <v>597</v>
      </c>
      <c r="I1104" s="27" t="s">
        <v>1200</v>
      </c>
      <c r="J1104" s="157" t="s">
        <v>1193</v>
      </c>
      <c r="K1104" s="98" t="s">
        <v>1194</v>
      </c>
      <c r="L1104" s="5">
        <f>IF(O1104="","",N1104*O1104*M1104)</f>
        <v>75</v>
      </c>
      <c r="M1104" s="8">
        <v>1</v>
      </c>
      <c r="N1104" s="1">
        <v>1</v>
      </c>
      <c r="O1104" s="15">
        <f>IF(SUM(Q1104:AF1104)&lt;1,"",SUM(Q1104:AF1104)/COUNTIF(Q1104:AF1104,"&gt;0"))</f>
        <v>75</v>
      </c>
      <c r="P1104" s="16"/>
      <c r="Q1104" s="13"/>
      <c r="R1104" s="4"/>
      <c r="S1104" s="4"/>
      <c r="T1104" s="4">
        <v>75</v>
      </c>
      <c r="U1104" s="2"/>
      <c r="V1104" s="2"/>
      <c r="W1104" s="2"/>
      <c r="X1104" s="2"/>
      <c r="Y1104" s="4"/>
      <c r="Z1104" s="2"/>
      <c r="AA1104" s="2"/>
      <c r="AB1104" s="4"/>
      <c r="AC1104" s="4"/>
      <c r="AD1104" s="4"/>
      <c r="AE1104" s="4"/>
      <c r="AF1104" s="14"/>
      <c r="AG1104" s="3"/>
    </row>
    <row r="1105" spans="1:32" s="4" customFormat="1" ht="15.75" customHeight="1" x14ac:dyDescent="0.25">
      <c r="A1105" s="33" t="str">
        <f>CONCATENATE(D1105,".",F1105,"-",G1105,".",H1105,"")</f>
        <v>2.3-8.1</v>
      </c>
      <c r="B1105" s="33" t="s">
        <v>814</v>
      </c>
      <c r="C1105" s="39" t="s">
        <v>262</v>
      </c>
      <c r="D1105" s="33">
        <f>IF(C1105="ID",1,(IF(C1105="PR",2,(IF(C1105="DE",3,(IF(C1105="RS",4,(IF(C1105="RC",5,0)))))))))</f>
        <v>2</v>
      </c>
      <c r="E1105" s="33" t="s">
        <v>343</v>
      </c>
      <c r="F1105" s="33">
        <f>IF(E1105="AM",1,(IF(E1105="BE",2,(IF(E1105="GV",3,(IF(E1105="RA",4,(IF(E1105="RM",5,(IF(E1105="AC",1,(IF(E1105="AT",2,(IF(E1105="DS",3,(IF(E1105="IP",4,(IF(E1105="MA",5,(IF(E1105="PT",6,(IF(E1105="AE",1,(IF(E1105="CM",2,(IF(E1105="DP",3,(IF(E1105="AN",1,(IF(E1105="CO",2,(IF(E1105="IM",3,(IF(E1105="MI",4,(IF(E1105="RP",5,(IF(E1105="SC",6,0)))))))))))))))))))))))))))))))))))))))</f>
        <v>3</v>
      </c>
      <c r="G1105" s="170">
        <v>8</v>
      </c>
      <c r="H1105" s="38" t="s">
        <v>511</v>
      </c>
      <c r="I1105" s="105" t="s">
        <v>1449</v>
      </c>
      <c r="J1105" s="157" t="s">
        <v>2607</v>
      </c>
      <c r="K1105" s="34" t="s">
        <v>2608</v>
      </c>
      <c r="L1105" s="5">
        <f>IF(O1105="","",N1105*O1105*M1105)</f>
        <v>99</v>
      </c>
      <c r="M1105" s="8">
        <v>1</v>
      </c>
      <c r="N1105" s="1">
        <v>1</v>
      </c>
      <c r="O1105" s="15">
        <f>IF(SUM(Q1105:AF1105)&lt;1,"",SUM(Q1105:AF1105)/COUNTIF(Q1105:AF1105,"&gt;0"))</f>
        <v>99</v>
      </c>
      <c r="P1105" s="16"/>
      <c r="Q1105" s="13"/>
      <c r="T1105" s="4">
        <v>99</v>
      </c>
      <c r="U1105" s="2"/>
      <c r="V1105" s="2"/>
      <c r="W1105" s="2"/>
      <c r="X1105" s="2"/>
      <c r="Z1105" s="2"/>
      <c r="AA1105" s="2"/>
      <c r="AF1105" s="14"/>
    </row>
    <row r="1106" spans="1:32" s="4" customFormat="1" ht="15.75" customHeight="1" x14ac:dyDescent="0.25">
      <c r="A1106" s="33" t="str">
        <f>CONCATENATE(D1106,".",F1106,"-",G1106,".",H1106,"")</f>
        <v>2.4-0.0</v>
      </c>
      <c r="B1106" s="33" t="s">
        <v>1229</v>
      </c>
      <c r="C1106" s="40" t="s">
        <v>262</v>
      </c>
      <c r="D1106" s="33">
        <f>IF(C1106="ID",1,(IF(C1106="PR",2,(IF(C1106="DE",3,(IF(C1106="RS",4,(IF(C1106="RC",5,0)))))))))</f>
        <v>2</v>
      </c>
      <c r="E1106" s="33" t="s">
        <v>344</v>
      </c>
      <c r="F1106" s="33">
        <f>IF(E1106="AM",1,(IF(E1106="BE",2,(IF(E1106="GV",3,(IF(E1106="RA",4,(IF(E1106="RM",5,(IF(E1106="AC",1,(IF(E1106="AT",2,(IF(E1106="DS",3,(IF(E1106="IP",4,(IF(E1106="MA",5,(IF(E1106="PT",6,(IF(E1106="AE",1,(IF(E1106="CM",2,(IF(E1106="DP",3,(IF(E1106="AN",1,(IF(E1106="CO",2,(IF(E1106="IM",3,(IF(E1106="MI",4,(IF(E1106="RP",5,(IF(E1106="SC",6,0)))))))))))))))))))))))))))))))))))))))</f>
        <v>4</v>
      </c>
      <c r="G1106" s="170">
        <v>0</v>
      </c>
      <c r="H1106" s="38" t="s">
        <v>597</v>
      </c>
      <c r="I1106" s="27" t="s">
        <v>1200</v>
      </c>
      <c r="J1106" s="165" t="s">
        <v>679</v>
      </c>
      <c r="K1106" s="98" t="s">
        <v>735</v>
      </c>
      <c r="L1106" s="5" t="str">
        <f>IF(O1106="","",N1106*O1106*M1106)</f>
        <v/>
      </c>
      <c r="M1106" s="8">
        <v>1</v>
      </c>
      <c r="N1106" s="1">
        <v>1</v>
      </c>
      <c r="O1106" s="15" t="str">
        <f>IF(SUM(Q1106:AF1106)&lt;1,"",SUM(Q1106:AF1106)/COUNTIF(Q1106:AF1106,"&gt;0"))</f>
        <v/>
      </c>
      <c r="P1106" s="16"/>
      <c r="Q1106" s="13"/>
      <c r="T1106" s="2"/>
      <c r="U1106" s="2"/>
      <c r="V1106" s="2"/>
      <c r="W1106" s="2"/>
      <c r="X1106" s="2"/>
      <c r="Z1106" s="2"/>
      <c r="AA1106" s="2"/>
      <c r="AF1106" s="14"/>
    </row>
    <row r="1107" spans="1:32" s="4" customFormat="1" ht="15.75" customHeight="1" x14ac:dyDescent="0.25">
      <c r="A1107" s="33" t="str">
        <f>CONCATENATE(D1107,".",F1107,"-",G1107,".",H1107,"")</f>
        <v>2.4-0.1</v>
      </c>
      <c r="B1107" s="33" t="s">
        <v>1229</v>
      </c>
      <c r="C1107" s="40" t="s">
        <v>262</v>
      </c>
      <c r="D1107" s="33">
        <f>IF(C1107="ID",1,(IF(C1107="PR",2,(IF(C1107="DE",3,(IF(C1107="RS",4,(IF(C1107="RC",5,0)))))))))</f>
        <v>2</v>
      </c>
      <c r="E1107" s="33" t="s">
        <v>344</v>
      </c>
      <c r="F1107" s="33">
        <f>IF(E1107="AM",1,(IF(E1107="BE",2,(IF(E1107="GV",3,(IF(E1107="RA",4,(IF(E1107="RM",5,(IF(E1107="AC",1,(IF(E1107="AT",2,(IF(E1107="DS",3,(IF(E1107="IP",4,(IF(E1107="MA",5,(IF(E1107="PT",6,(IF(E1107="AE",1,(IF(E1107="CM",2,(IF(E1107="DP",3,(IF(E1107="AN",1,(IF(E1107="CO",2,(IF(E1107="IM",3,(IF(E1107="MI",4,(IF(E1107="RP",5,(IF(E1107="SC",6,0)))))))))))))))))))))))))))))))))))))))</f>
        <v>4</v>
      </c>
      <c r="G1107" s="170">
        <v>0</v>
      </c>
      <c r="H1107" s="38" t="s">
        <v>511</v>
      </c>
      <c r="I1107" s="27" t="s">
        <v>1200</v>
      </c>
      <c r="J1107" s="165" t="s">
        <v>679</v>
      </c>
      <c r="K1107" s="98" t="s">
        <v>752</v>
      </c>
      <c r="L1107" s="5" t="str">
        <f>IF(O1107="","",N1107*O1107*M1107)</f>
        <v/>
      </c>
      <c r="M1107" s="8">
        <v>1</v>
      </c>
      <c r="N1107" s="1">
        <v>1</v>
      </c>
      <c r="O1107" s="15" t="str">
        <f>IF(SUM(Q1107:AF1107)&lt;1,"",SUM(Q1107:AF1107)/COUNTIF(Q1107:AF1107,"&gt;0"))</f>
        <v/>
      </c>
      <c r="P1107" s="16"/>
      <c r="Q1107" s="13"/>
      <c r="T1107" s="2"/>
      <c r="U1107" s="2"/>
      <c r="V1107" s="2"/>
      <c r="W1107" s="2"/>
      <c r="X1107" s="2"/>
      <c r="Z1107" s="2"/>
      <c r="AA1107" s="2"/>
      <c r="AF1107" s="14"/>
    </row>
    <row r="1108" spans="1:32" s="4" customFormat="1" ht="15.75" customHeight="1" x14ac:dyDescent="0.25">
      <c r="A1108" s="33" t="str">
        <f>CONCATENATE(D1108,".",F1108,"-",G1108,".",H1108,"")</f>
        <v>2.4-1.0</v>
      </c>
      <c r="B1108" s="33" t="s">
        <v>814</v>
      </c>
      <c r="C1108" s="40" t="s">
        <v>262</v>
      </c>
      <c r="D1108" s="33">
        <f>IF(C1108="ID",1,(IF(C1108="PR",2,(IF(C1108="DE",3,(IF(C1108="RS",4,(IF(C1108="RC",5,0)))))))))</f>
        <v>2</v>
      </c>
      <c r="E1108" s="33" t="s">
        <v>344</v>
      </c>
      <c r="F1108" s="33">
        <f>IF(E1108="AM",1,(IF(E1108="BE",2,(IF(E1108="GV",3,(IF(E1108="RA",4,(IF(E1108="RM",5,(IF(E1108="AC",1,(IF(E1108="AT",2,(IF(E1108="DS",3,(IF(E1108="IP",4,(IF(E1108="MA",5,(IF(E1108="PT",6,(IF(E1108="AE",1,(IF(E1108="CM",2,(IF(E1108="DP",3,(IF(E1108="AN",1,(IF(E1108="CO",2,(IF(E1108="IM",3,(IF(E1108="MI",4,(IF(E1108="RP",5,(IF(E1108="SC",6,0)))))))))))))))))))))))))))))))))))))))</f>
        <v>4</v>
      </c>
      <c r="G1108" s="170">
        <v>1</v>
      </c>
      <c r="H1108" s="38" t="s">
        <v>597</v>
      </c>
      <c r="I1108" s="27" t="s">
        <v>1200</v>
      </c>
      <c r="J1108" s="149" t="s">
        <v>680</v>
      </c>
      <c r="K1108" s="98" t="s">
        <v>1208</v>
      </c>
      <c r="L1108" s="5">
        <f>IF(O1108="","",N1108*O1108*M1108)</f>
        <v>75</v>
      </c>
      <c r="M1108" s="8">
        <v>1</v>
      </c>
      <c r="N1108" s="1">
        <v>1</v>
      </c>
      <c r="O1108" s="15">
        <f>IF(SUM(Q1108:AF1108)&lt;1,"",SUM(Q1108:AF1108)/COUNTIF(Q1108:AF1108,"&gt;0"))</f>
        <v>75</v>
      </c>
      <c r="P1108" s="16"/>
      <c r="Q1108" s="13"/>
      <c r="T1108" s="4">
        <v>75</v>
      </c>
      <c r="U1108" s="2"/>
      <c r="V1108" s="2"/>
      <c r="W1108" s="2"/>
      <c r="X1108" s="2"/>
      <c r="Z1108" s="2"/>
      <c r="AA1108" s="2"/>
      <c r="AF1108" s="14"/>
    </row>
    <row r="1109" spans="1:32" s="4" customFormat="1" ht="15.75" customHeight="1" x14ac:dyDescent="0.25">
      <c r="A1109" s="33" t="str">
        <f>CONCATENATE(D1109,".",F1109,"-",G1109,".",H1109,"")</f>
        <v>2.4-1.1</v>
      </c>
      <c r="B1109" s="33" t="s">
        <v>814</v>
      </c>
      <c r="C1109" s="40" t="s">
        <v>262</v>
      </c>
      <c r="D1109" s="33">
        <f>IF(C1109="ID",1,(IF(C1109="PR",2,(IF(C1109="DE",3,(IF(C1109="RS",4,(IF(C1109="RC",5,0)))))))))</f>
        <v>2</v>
      </c>
      <c r="E1109" s="33" t="s">
        <v>344</v>
      </c>
      <c r="F1109" s="33">
        <f>IF(E1109="AM",1,(IF(E1109="BE",2,(IF(E1109="GV",3,(IF(E1109="RA",4,(IF(E1109="RM",5,(IF(E1109="AC",1,(IF(E1109="AT",2,(IF(E1109="DS",3,(IF(E1109="IP",4,(IF(E1109="MA",5,(IF(E1109="PT",6,(IF(E1109="AE",1,(IF(E1109="CM",2,(IF(E1109="DP",3,(IF(E1109="AN",1,(IF(E1109="CO",2,(IF(E1109="IM",3,(IF(E1109="MI",4,(IF(E1109="RP",5,(IF(E1109="SC",6,0)))))))))))))))))))))))))))))))))))))))</f>
        <v>4</v>
      </c>
      <c r="G1109" s="171">
        <v>1</v>
      </c>
      <c r="H1109" s="38" t="s">
        <v>511</v>
      </c>
      <c r="I1109" s="105" t="s">
        <v>821</v>
      </c>
      <c r="J1109" s="150">
        <v>2.2000000000000002</v>
      </c>
      <c r="K1109" s="79" t="s">
        <v>1283</v>
      </c>
      <c r="L1109" s="66">
        <f>IF(O1109="","",N1109*O1109*M1109)</f>
        <v>75</v>
      </c>
      <c r="M1109" s="8">
        <v>1</v>
      </c>
      <c r="N1109" s="3">
        <v>1</v>
      </c>
      <c r="O1109" s="15">
        <f>IF(SUM(Q1109:AF1109)&lt;1,"",SUM(Q1109:AF1109)/COUNTIF(Q1109:AF1109,"&gt;0"))</f>
        <v>75</v>
      </c>
      <c r="P1109" s="16"/>
      <c r="Q1109" s="13"/>
      <c r="T1109" s="4">
        <v>75</v>
      </c>
      <c r="U1109" s="2"/>
      <c r="V1109" s="2"/>
      <c r="W1109" s="2"/>
      <c r="X1109" s="2"/>
      <c r="Z1109" s="2"/>
      <c r="AA1109" s="2"/>
      <c r="AF1109" s="14"/>
    </row>
    <row r="1110" spans="1:32" s="4" customFormat="1" ht="15.75" customHeight="1" x14ac:dyDescent="0.25">
      <c r="A1110" s="33" t="str">
        <f>CONCATENATE(D1110,".",F1110,"-",G1110,".",H1110,"")</f>
        <v>2.4-1.1</v>
      </c>
      <c r="B1110" s="33" t="s">
        <v>814</v>
      </c>
      <c r="C1110" s="39" t="s">
        <v>262</v>
      </c>
      <c r="D1110" s="33">
        <f>IF(C1110="ID",1,(IF(C1110="PR",2,(IF(C1110="DE",3,(IF(C1110="RS",4,(IF(C1110="RC",5,0)))))))))</f>
        <v>2</v>
      </c>
      <c r="E1110" s="33" t="s">
        <v>344</v>
      </c>
      <c r="F1110" s="33">
        <f>IF(E1110="AM",1,(IF(E1110="BE",2,(IF(E1110="GV",3,(IF(E1110="RA",4,(IF(E1110="RM",5,(IF(E1110="AC",1,(IF(E1110="AT",2,(IF(E1110="DS",3,(IF(E1110="IP",4,(IF(E1110="MA",5,(IF(E1110="PT",6,(IF(E1110="AE",1,(IF(E1110="CM",2,(IF(E1110="DP",3,(IF(E1110="AN",1,(IF(E1110="CO",2,(IF(E1110="IM",3,(IF(E1110="MI",4,(IF(E1110="RP",5,(IF(E1110="SC",6,0)))))))))))))))))))))))))))))))))))))))</f>
        <v>4</v>
      </c>
      <c r="G1110" s="170">
        <v>1</v>
      </c>
      <c r="H1110" s="38" t="s">
        <v>511</v>
      </c>
      <c r="I1110" s="35" t="s">
        <v>1176</v>
      </c>
      <c r="J1110" s="162">
        <v>3.1</v>
      </c>
      <c r="K1110" s="80" t="s">
        <v>1051</v>
      </c>
      <c r="L1110" s="66">
        <f>IF(O1110="","",N1110*O1110*M1110)</f>
        <v>75</v>
      </c>
      <c r="M1110" s="8">
        <v>1</v>
      </c>
      <c r="N1110" s="3">
        <v>1</v>
      </c>
      <c r="O1110" s="15">
        <f>IF(SUM(Q1110:AF1110)&lt;1,"",SUM(Q1110:AF1110)/COUNTIF(Q1110:AF1110,"&gt;0"))</f>
        <v>75</v>
      </c>
      <c r="P1110" s="16"/>
      <c r="Q1110" s="13"/>
      <c r="T1110" s="4">
        <v>75</v>
      </c>
      <c r="U1110" s="2"/>
      <c r="V1110" s="2"/>
      <c r="W1110" s="2"/>
      <c r="X1110" s="2"/>
      <c r="Z1110" s="2"/>
      <c r="AA1110" s="2"/>
      <c r="AF1110" s="14"/>
    </row>
    <row r="1111" spans="1:32" s="4" customFormat="1" ht="15.75" customHeight="1" x14ac:dyDescent="0.25">
      <c r="A1111" s="33" t="str">
        <f>CONCATENATE(D1111,".",F1111,"-",G1111,".",H1111,"")</f>
        <v>2.4-1.1</v>
      </c>
      <c r="B1111" s="33" t="s">
        <v>814</v>
      </c>
      <c r="C1111" s="39" t="s">
        <v>262</v>
      </c>
      <c r="D1111" s="33">
        <f>IF(C1111="ID",1,(IF(C1111="PR",2,(IF(C1111="DE",3,(IF(C1111="RS",4,(IF(C1111="RC",5,0)))))))))</f>
        <v>2</v>
      </c>
      <c r="E1111" s="33" t="s">
        <v>344</v>
      </c>
      <c r="F1111" s="33">
        <f>IF(E1111="AM",1,(IF(E1111="BE",2,(IF(E1111="GV",3,(IF(E1111="RA",4,(IF(E1111="RM",5,(IF(E1111="AC",1,(IF(E1111="AT",2,(IF(E1111="DS",3,(IF(E1111="IP",4,(IF(E1111="MA",5,(IF(E1111="PT",6,(IF(E1111="AE",1,(IF(E1111="CM",2,(IF(E1111="DP",3,(IF(E1111="AN",1,(IF(E1111="CO",2,(IF(E1111="IM",3,(IF(E1111="MI",4,(IF(E1111="RP",5,(IF(E1111="SC",6,0)))))))))))))))))))))))))))))))))))))))</f>
        <v>4</v>
      </c>
      <c r="G1111" s="170">
        <v>1</v>
      </c>
      <c r="H1111" s="38" t="s">
        <v>511</v>
      </c>
      <c r="I1111" s="35" t="s">
        <v>1176</v>
      </c>
      <c r="J1111" s="162">
        <v>7</v>
      </c>
      <c r="K1111" s="80" t="s">
        <v>1072</v>
      </c>
      <c r="L1111" s="66">
        <f>IF(O1111="","",N1111*O1111*M1111)</f>
        <v>75</v>
      </c>
      <c r="M1111" s="8">
        <v>1</v>
      </c>
      <c r="N1111" s="3">
        <v>1</v>
      </c>
      <c r="O1111" s="15">
        <f>IF(SUM(Q1111:AF1111)&lt;1,"",SUM(Q1111:AF1111)/COUNTIF(Q1111:AF1111,"&gt;0"))</f>
        <v>75</v>
      </c>
      <c r="P1111" s="16"/>
      <c r="Q1111" s="13"/>
      <c r="T1111" s="4">
        <v>75</v>
      </c>
      <c r="U1111" s="2"/>
      <c r="V1111" s="2"/>
      <c r="W1111" s="2"/>
      <c r="X1111" s="2"/>
      <c r="Z1111" s="2"/>
      <c r="AA1111" s="2"/>
      <c r="AF1111" s="14"/>
    </row>
    <row r="1112" spans="1:32" s="4" customFormat="1" ht="15.75" customHeight="1" x14ac:dyDescent="0.25">
      <c r="A1112" s="33" t="str">
        <f>CONCATENATE(D1112,".",F1112,"-",G1112,".",H1112,"")</f>
        <v>2.4-1.1</v>
      </c>
      <c r="B1112" s="33" t="s">
        <v>814</v>
      </c>
      <c r="C1112" s="39" t="s">
        <v>262</v>
      </c>
      <c r="D1112" s="33">
        <f>IF(C1112="ID",1,(IF(C1112="PR",2,(IF(C1112="DE",3,(IF(C1112="RS",4,(IF(C1112="RC",5,0)))))))))</f>
        <v>2</v>
      </c>
      <c r="E1112" s="33" t="s">
        <v>344</v>
      </c>
      <c r="F1112" s="33">
        <f>IF(E1112="AM",1,(IF(E1112="BE",2,(IF(E1112="GV",3,(IF(E1112="RA",4,(IF(E1112="RM",5,(IF(E1112="AC",1,(IF(E1112="AT",2,(IF(E1112="DS",3,(IF(E1112="IP",4,(IF(E1112="MA",5,(IF(E1112="PT",6,(IF(E1112="AE",1,(IF(E1112="CM",2,(IF(E1112="DP",3,(IF(E1112="AN",1,(IF(E1112="CO",2,(IF(E1112="IM",3,(IF(E1112="MI",4,(IF(E1112="RP",5,(IF(E1112="SC",6,0)))))))))))))))))))))))))))))))))))))))</f>
        <v>4</v>
      </c>
      <c r="G1112" s="170">
        <v>1</v>
      </c>
      <c r="H1112" s="38" t="s">
        <v>511</v>
      </c>
      <c r="I1112" s="35" t="s">
        <v>1176</v>
      </c>
      <c r="J1112" s="162">
        <v>7.1</v>
      </c>
      <c r="K1112" s="80" t="s">
        <v>805</v>
      </c>
      <c r="L1112" s="66">
        <f>IF(O1112="","",N1112*O1112*M1112)</f>
        <v>75</v>
      </c>
      <c r="M1112" s="8">
        <v>1</v>
      </c>
      <c r="N1112" s="3">
        <v>1</v>
      </c>
      <c r="O1112" s="15">
        <f>IF(SUM(Q1112:AF1112)&lt;1,"",SUM(Q1112:AF1112)/COUNTIF(Q1112:AF1112,"&gt;0"))</f>
        <v>75</v>
      </c>
      <c r="P1112" s="16"/>
      <c r="Q1112" s="13"/>
      <c r="T1112" s="4">
        <v>75</v>
      </c>
      <c r="U1112" s="2"/>
      <c r="V1112" s="2"/>
      <c r="W1112" s="2"/>
      <c r="X1112" s="2"/>
      <c r="Z1112" s="2"/>
      <c r="AA1112" s="2"/>
      <c r="AF1112" s="14"/>
    </row>
    <row r="1113" spans="1:32" s="4" customFormat="1" ht="15.75" customHeight="1" x14ac:dyDescent="0.25">
      <c r="A1113" s="33" t="str">
        <f>CONCATENATE(D1113,".",F1113,"-",G1113,".",H1113,"")</f>
        <v>2.4-1.1</v>
      </c>
      <c r="B1113" s="33" t="s">
        <v>814</v>
      </c>
      <c r="C1113" s="39" t="s">
        <v>262</v>
      </c>
      <c r="D1113" s="33">
        <f>IF(C1113="ID",1,(IF(C1113="PR",2,(IF(C1113="DE",3,(IF(C1113="RS",4,(IF(C1113="RC",5,0)))))))))</f>
        <v>2</v>
      </c>
      <c r="E1113" s="33" t="s">
        <v>344</v>
      </c>
      <c r="F1113" s="33">
        <f>IF(E1113="AM",1,(IF(E1113="BE",2,(IF(E1113="GV",3,(IF(E1113="RA",4,(IF(E1113="RM",5,(IF(E1113="AC",1,(IF(E1113="AT",2,(IF(E1113="DS",3,(IF(E1113="IP",4,(IF(E1113="MA",5,(IF(E1113="PT",6,(IF(E1113="AE",1,(IF(E1113="CM",2,(IF(E1113="DP",3,(IF(E1113="AN",1,(IF(E1113="CO",2,(IF(E1113="IM",3,(IF(E1113="MI",4,(IF(E1113="RP",5,(IF(E1113="SC",6,0)))))))))))))))))))))))))))))))))))))))</f>
        <v>4</v>
      </c>
      <c r="G1113" s="170">
        <v>1</v>
      </c>
      <c r="H1113" s="38" t="s">
        <v>511</v>
      </c>
      <c r="I1113" s="35" t="s">
        <v>1176</v>
      </c>
      <c r="J1113" s="162">
        <v>10.1</v>
      </c>
      <c r="K1113" t="s">
        <v>804</v>
      </c>
      <c r="L1113" s="66">
        <f>IF(O1113="","",N1113*O1113*M1113)</f>
        <v>75</v>
      </c>
      <c r="M1113" s="8">
        <v>1</v>
      </c>
      <c r="N1113" s="3">
        <v>1</v>
      </c>
      <c r="O1113" s="15">
        <f>IF(SUM(Q1113:AF1113)&lt;1,"",SUM(Q1113:AF1113)/COUNTIF(Q1113:AF1113,"&gt;0"))</f>
        <v>75</v>
      </c>
      <c r="P1113" s="16"/>
      <c r="Q1113" s="13"/>
      <c r="T1113" s="4">
        <v>75</v>
      </c>
      <c r="U1113" s="2"/>
      <c r="V1113" s="2"/>
      <c r="W1113" s="2"/>
      <c r="X1113" s="2"/>
      <c r="Z1113" s="2"/>
      <c r="AA1113" s="2"/>
      <c r="AF1113" s="14"/>
    </row>
    <row r="1114" spans="1:32" s="4" customFormat="1" ht="15.75" customHeight="1" x14ac:dyDescent="0.25">
      <c r="A1114" s="33" t="str">
        <f>CONCATENATE(D1114,".",F1114,"-",G1114,".",H1114,"")</f>
        <v>2.4-1.1</v>
      </c>
      <c r="B1114" s="33" t="s">
        <v>814</v>
      </c>
      <c r="C1114" s="39" t="s">
        <v>262</v>
      </c>
      <c r="D1114" s="33">
        <f>IF(C1114="ID",1,(IF(C1114="PR",2,(IF(C1114="DE",3,(IF(C1114="RS",4,(IF(C1114="RC",5,0)))))))))</f>
        <v>2</v>
      </c>
      <c r="E1114" s="33" t="s">
        <v>344</v>
      </c>
      <c r="F1114" s="33">
        <f>IF(E1114="AM",1,(IF(E1114="BE",2,(IF(E1114="GV",3,(IF(E1114="RA",4,(IF(E1114="RM",5,(IF(E1114="AC",1,(IF(E1114="AT",2,(IF(E1114="DS",3,(IF(E1114="IP",4,(IF(E1114="MA",5,(IF(E1114="PT",6,(IF(E1114="AE",1,(IF(E1114="CM",2,(IF(E1114="DP",3,(IF(E1114="AN",1,(IF(E1114="CO",2,(IF(E1114="IM",3,(IF(E1114="MI",4,(IF(E1114="RP",5,(IF(E1114="SC",6,0)))))))))))))))))))))))))))))))))))))))</f>
        <v>4</v>
      </c>
      <c r="G1114" s="170">
        <v>1</v>
      </c>
      <c r="H1114" s="38" t="s">
        <v>511</v>
      </c>
      <c r="I1114" s="35" t="s">
        <v>1176</v>
      </c>
      <c r="J1114" s="162">
        <v>18.7</v>
      </c>
      <c r="K1114" s="80" t="s">
        <v>1158</v>
      </c>
      <c r="L1114" s="66">
        <f>IF(O1114="","",N1114*O1114*M1114)</f>
        <v>75</v>
      </c>
      <c r="M1114" s="8">
        <v>1</v>
      </c>
      <c r="N1114" s="3">
        <v>1</v>
      </c>
      <c r="O1114" s="15">
        <f>IF(SUM(Q1114:AF1114)&lt;1,"",SUM(Q1114:AF1114)/COUNTIF(Q1114:AF1114,"&gt;0"))</f>
        <v>75</v>
      </c>
      <c r="P1114" s="16"/>
      <c r="Q1114" s="13"/>
      <c r="T1114" s="4">
        <v>75</v>
      </c>
      <c r="U1114" s="2"/>
      <c r="V1114" s="2"/>
      <c r="W1114" s="2"/>
      <c r="X1114" s="2"/>
      <c r="Z1114" s="2"/>
      <c r="AA1114" s="2"/>
      <c r="AF1114" s="14"/>
    </row>
    <row r="1115" spans="1:32" s="4" customFormat="1" ht="15.75" customHeight="1" x14ac:dyDescent="0.25">
      <c r="A1115" s="33" t="str">
        <f>CONCATENATE(D1115,".",F1115,"-",G1115,".",H1115,"")</f>
        <v>2.4-1.1</v>
      </c>
      <c r="B1115" s="33" t="s">
        <v>814</v>
      </c>
      <c r="C1115" s="40" t="s">
        <v>262</v>
      </c>
      <c r="D1115" s="33">
        <f>IF(C1115="ID",1,(IF(C1115="PR",2,(IF(C1115="DE",3,(IF(C1115="RS",4,(IF(C1115="RC",5,0)))))))))</f>
        <v>2</v>
      </c>
      <c r="E1115" s="33" t="s">
        <v>344</v>
      </c>
      <c r="F1115" s="33">
        <f>IF(E1115="AM",1,(IF(E1115="BE",2,(IF(E1115="GV",3,(IF(E1115="RA",4,(IF(E1115="RM",5,(IF(E1115="AC",1,(IF(E1115="AT",2,(IF(E1115="DS",3,(IF(E1115="IP",4,(IF(E1115="MA",5,(IF(E1115="PT",6,(IF(E1115="AE",1,(IF(E1115="CM",2,(IF(E1115="DP",3,(IF(E1115="AN",1,(IF(E1115="CO",2,(IF(E1115="IM",3,(IF(E1115="MI",4,(IF(E1115="RP",5,(IF(E1115="SC",6,0)))))))))))))))))))))))))))))))))))))))</f>
        <v>4</v>
      </c>
      <c r="G1115" s="171">
        <v>1</v>
      </c>
      <c r="H1115" s="38" t="s">
        <v>511</v>
      </c>
      <c r="I1115" s="27" t="s">
        <v>936</v>
      </c>
      <c r="J1115" s="163" t="s">
        <v>881</v>
      </c>
      <c r="K1115" s="34" t="s">
        <v>986</v>
      </c>
      <c r="L1115" s="66">
        <f>IF(O1115="","",N1115*O1115*M1115)</f>
        <v>75</v>
      </c>
      <c r="M1115" s="8">
        <v>1</v>
      </c>
      <c r="N1115" s="3">
        <v>1</v>
      </c>
      <c r="O1115" s="15">
        <f>IF(SUM(Q1115:AF1115)&lt;1,"",SUM(Q1115:AF1115)/COUNTIF(Q1115:AF1115,"&gt;0"))</f>
        <v>75</v>
      </c>
      <c r="P1115" s="16"/>
      <c r="Q1115" s="13"/>
      <c r="T1115" s="4">
        <v>75</v>
      </c>
      <c r="U1115" s="2"/>
      <c r="V1115" s="2"/>
      <c r="W1115" s="2"/>
      <c r="X1115" s="2"/>
      <c r="Z1115" s="2"/>
      <c r="AA1115" s="2"/>
      <c r="AF1115" s="14"/>
    </row>
    <row r="1116" spans="1:32" s="4" customFormat="1" ht="15.75" customHeight="1" x14ac:dyDescent="0.25">
      <c r="A1116" s="33" t="str">
        <f>CONCATENATE(D1116,".",F1116,"-",G1116,".",H1116,"")</f>
        <v>2.4-1.1</v>
      </c>
      <c r="B1116" s="33" t="s">
        <v>814</v>
      </c>
      <c r="C1116" s="40" t="s">
        <v>262</v>
      </c>
      <c r="D1116" s="33">
        <f>IF(C1116="ID",1,(IF(C1116="PR",2,(IF(C1116="DE",3,(IF(C1116="RS",4,(IF(C1116="RC",5,0)))))))))</f>
        <v>2</v>
      </c>
      <c r="E1116" s="33" t="s">
        <v>344</v>
      </c>
      <c r="F1116" s="33">
        <f>IF(E1116="AM",1,(IF(E1116="BE",2,(IF(E1116="GV",3,(IF(E1116="RA",4,(IF(E1116="RM",5,(IF(E1116="AC",1,(IF(E1116="AT",2,(IF(E1116="DS",3,(IF(E1116="IP",4,(IF(E1116="MA",5,(IF(E1116="PT",6,(IF(E1116="AE",1,(IF(E1116="CM",2,(IF(E1116="DP",3,(IF(E1116="AN",1,(IF(E1116="CO",2,(IF(E1116="IM",3,(IF(E1116="MI",4,(IF(E1116="RP",5,(IF(E1116="SC",6,0)))))))))))))))))))))))))))))))))))))))</f>
        <v>4</v>
      </c>
      <c r="G1116" s="171">
        <v>1</v>
      </c>
      <c r="H1116" s="38" t="s">
        <v>511</v>
      </c>
      <c r="I1116" s="27" t="s">
        <v>936</v>
      </c>
      <c r="J1116" s="163" t="s">
        <v>869</v>
      </c>
      <c r="K1116" s="34" t="s">
        <v>992</v>
      </c>
      <c r="L1116" s="66">
        <f>IF(O1116="","",N1116*O1116*M1116)</f>
        <v>75</v>
      </c>
      <c r="M1116" s="8">
        <v>1</v>
      </c>
      <c r="N1116" s="3">
        <v>1</v>
      </c>
      <c r="O1116" s="15">
        <f>IF(SUM(Q1116:AF1116)&lt;1,"",SUM(Q1116:AF1116)/COUNTIF(Q1116:AF1116,"&gt;0"))</f>
        <v>75</v>
      </c>
      <c r="P1116" s="16"/>
      <c r="Q1116" s="13"/>
      <c r="T1116" s="4">
        <v>75</v>
      </c>
      <c r="U1116" s="2"/>
      <c r="V1116" s="2"/>
      <c r="W1116" s="2"/>
      <c r="X1116" s="2"/>
      <c r="Z1116" s="2"/>
      <c r="AA1116" s="2"/>
      <c r="AF1116" s="14"/>
    </row>
    <row r="1117" spans="1:32" s="4" customFormat="1" ht="15.75" customHeight="1" x14ac:dyDescent="0.25">
      <c r="A1117" s="33" t="str">
        <f>CONCATENATE(D1117,".",F1117,"-",G1117,".",H1117,"")</f>
        <v>2.4-1.1</v>
      </c>
      <c r="B1117" s="33" t="s">
        <v>814</v>
      </c>
      <c r="C1117" s="40" t="s">
        <v>262</v>
      </c>
      <c r="D1117" s="33">
        <f>IF(C1117="ID",1,(IF(C1117="PR",2,(IF(C1117="DE",3,(IF(C1117="RS",4,(IF(C1117="RC",5,0)))))))))</f>
        <v>2</v>
      </c>
      <c r="E1117" s="33" t="s">
        <v>344</v>
      </c>
      <c r="F1117" s="33">
        <f>IF(E1117="AM",1,(IF(E1117="BE",2,(IF(E1117="GV",3,(IF(E1117="RA",4,(IF(E1117="RM",5,(IF(E1117="AC",1,(IF(E1117="AT",2,(IF(E1117="DS",3,(IF(E1117="IP",4,(IF(E1117="MA",5,(IF(E1117="PT",6,(IF(E1117="AE",1,(IF(E1117="CM",2,(IF(E1117="DP",3,(IF(E1117="AN",1,(IF(E1117="CO",2,(IF(E1117="IM",3,(IF(E1117="MI",4,(IF(E1117="RP",5,(IF(E1117="SC",6,0)))))))))))))))))))))))))))))))))))))))</f>
        <v>4</v>
      </c>
      <c r="G1117" s="171">
        <v>1</v>
      </c>
      <c r="H1117" s="38" t="s">
        <v>511</v>
      </c>
      <c r="I1117" s="105" t="s">
        <v>821</v>
      </c>
      <c r="J1117" s="150" t="s">
        <v>88</v>
      </c>
      <c r="K1117" s="79" t="s">
        <v>1283</v>
      </c>
      <c r="L1117" s="66">
        <f>IF(O1117="","",N1117*O1117*M1117)</f>
        <v>75</v>
      </c>
      <c r="M1117" s="8">
        <v>1</v>
      </c>
      <c r="N1117" s="3">
        <v>1</v>
      </c>
      <c r="O1117" s="15">
        <f>IF(SUM(Q1117:AF1117)&lt;1,"",SUM(Q1117:AF1117)/COUNTIF(Q1117:AF1117,"&gt;0"))</f>
        <v>75</v>
      </c>
      <c r="P1117" s="16"/>
      <c r="Q1117" s="13"/>
      <c r="T1117" s="4">
        <v>75</v>
      </c>
      <c r="U1117" s="2"/>
      <c r="V1117" s="2"/>
      <c r="W1117" s="2"/>
      <c r="X1117" s="2"/>
      <c r="Z1117" s="2"/>
      <c r="AA1117" s="2"/>
      <c r="AF1117" s="14"/>
    </row>
    <row r="1118" spans="1:32" s="4" customFormat="1" ht="15.75" customHeight="1" x14ac:dyDescent="0.25">
      <c r="A1118" s="33" t="str">
        <f>CONCATENATE(D1118,".",F1118,"-",G1118,".",H1118,"")</f>
        <v>2.4-1.1</v>
      </c>
      <c r="B1118" s="33" t="s">
        <v>814</v>
      </c>
      <c r="C1118" s="40" t="s">
        <v>262</v>
      </c>
      <c r="D1118" s="33">
        <f>IF(C1118="ID",1,(IF(C1118="PR",2,(IF(C1118="DE",3,(IF(C1118="RS",4,(IF(C1118="RC",5,0)))))))))</f>
        <v>2</v>
      </c>
      <c r="E1118" s="33" t="s">
        <v>344</v>
      </c>
      <c r="F1118" s="33">
        <f>IF(E1118="AM",1,(IF(E1118="BE",2,(IF(E1118="GV",3,(IF(E1118="RA",4,(IF(E1118="RM",5,(IF(E1118="AC",1,(IF(E1118="AT",2,(IF(E1118="DS",3,(IF(E1118="IP",4,(IF(E1118="MA",5,(IF(E1118="PT",6,(IF(E1118="AE",1,(IF(E1118="CM",2,(IF(E1118="DP",3,(IF(E1118="AN",1,(IF(E1118="CO",2,(IF(E1118="IM",3,(IF(E1118="MI",4,(IF(E1118="RP",5,(IF(E1118="SC",6,0)))))))))))))))))))))))))))))))))))))))</f>
        <v>4</v>
      </c>
      <c r="G1118" s="171">
        <v>1</v>
      </c>
      <c r="H1118" s="38" t="s">
        <v>511</v>
      </c>
      <c r="I1118" s="105" t="s">
        <v>821</v>
      </c>
      <c r="J1118" s="149" t="s">
        <v>121</v>
      </c>
      <c r="K1118" s="79" t="s">
        <v>1283</v>
      </c>
      <c r="L1118" s="66">
        <f>IF(O1118="","",N1118*O1118*M1118)</f>
        <v>75</v>
      </c>
      <c r="M1118" s="8">
        <v>1</v>
      </c>
      <c r="N1118" s="1">
        <v>1</v>
      </c>
      <c r="O1118" s="15">
        <f>IF(SUM(Q1118:AF1118)&lt;1,"",SUM(Q1118:AF1118)/COUNTIF(Q1118:AF1118,"&gt;0"))</f>
        <v>75</v>
      </c>
      <c r="P1118" s="16"/>
      <c r="Q1118" s="13"/>
      <c r="T1118" s="4">
        <v>75</v>
      </c>
      <c r="U1118" s="2"/>
      <c r="V1118" s="2"/>
      <c r="W1118" s="2"/>
      <c r="X1118" s="2"/>
      <c r="Z1118" s="2"/>
      <c r="AA1118" s="2"/>
      <c r="AF1118" s="14"/>
    </row>
    <row r="1119" spans="1:32" s="4" customFormat="1" ht="15.75" customHeight="1" x14ac:dyDescent="0.25">
      <c r="A1119" s="33" t="str">
        <f>CONCATENATE(D1119,".",F1119,"-",G1119,".",H1119,"")</f>
        <v>2.4-1.1</v>
      </c>
      <c r="B1119" s="33" t="s">
        <v>814</v>
      </c>
      <c r="C1119" s="40" t="s">
        <v>262</v>
      </c>
      <c r="D1119" s="33">
        <f>IF(C1119="ID",1,(IF(C1119="PR",2,(IF(C1119="DE",3,(IF(C1119="RS",4,(IF(C1119="RC",5,0)))))))))</f>
        <v>2</v>
      </c>
      <c r="E1119" s="33" t="s">
        <v>344</v>
      </c>
      <c r="F1119" s="33">
        <f>IF(E1119="AM",1,(IF(E1119="BE",2,(IF(E1119="GV",3,(IF(E1119="RA",4,(IF(E1119="RM",5,(IF(E1119="AC",1,(IF(E1119="AT",2,(IF(E1119="DS",3,(IF(E1119="IP",4,(IF(E1119="MA",5,(IF(E1119="PT",6,(IF(E1119="AE",1,(IF(E1119="CM",2,(IF(E1119="DP",3,(IF(E1119="AN",1,(IF(E1119="CO",2,(IF(E1119="IM",3,(IF(E1119="MI",4,(IF(E1119="RP",5,(IF(E1119="SC",6,0)))))))))))))))))))))))))))))))))))))))</f>
        <v>4</v>
      </c>
      <c r="G1119" s="171">
        <v>1</v>
      </c>
      <c r="H1119" s="38" t="s">
        <v>511</v>
      </c>
      <c r="I1119" s="105" t="s">
        <v>821</v>
      </c>
      <c r="J1119" s="149" t="s">
        <v>92</v>
      </c>
      <c r="K1119" s="79" t="s">
        <v>1283</v>
      </c>
      <c r="L1119" s="66">
        <f>IF(O1119="","",N1119*O1119*M1119)</f>
        <v>75</v>
      </c>
      <c r="M1119" s="8">
        <v>1</v>
      </c>
      <c r="N1119" s="1">
        <v>1</v>
      </c>
      <c r="O1119" s="15">
        <f>IF(SUM(Q1119:AF1119)&lt;1,"",SUM(Q1119:AF1119)/COUNTIF(Q1119:AF1119,"&gt;0"))</f>
        <v>75</v>
      </c>
      <c r="P1119" s="16"/>
      <c r="Q1119" s="13"/>
      <c r="T1119" s="4">
        <v>75</v>
      </c>
      <c r="U1119" s="2"/>
      <c r="V1119" s="2"/>
      <c r="W1119" s="2"/>
      <c r="X1119" s="2"/>
      <c r="Z1119" s="2"/>
      <c r="AA1119" s="2"/>
      <c r="AF1119" s="14"/>
    </row>
    <row r="1120" spans="1:32" s="4" customFormat="1" ht="15.75" customHeight="1" x14ac:dyDescent="0.25">
      <c r="A1120" s="33" t="str">
        <f>CONCATENATE(D1120,".",F1120,"-",G1120,".",H1120,"")</f>
        <v>2.4-1.1</v>
      </c>
      <c r="B1120" s="33" t="s">
        <v>814</v>
      </c>
      <c r="C1120" s="39" t="s">
        <v>262</v>
      </c>
      <c r="D1120" s="33">
        <f>IF(C1120="ID",1,(IF(C1120="PR",2,(IF(C1120="DE",3,(IF(C1120="RS",4,(IF(C1120="RC",5,0)))))))))</f>
        <v>2</v>
      </c>
      <c r="E1120" s="33" t="s">
        <v>344</v>
      </c>
      <c r="F1120" s="33">
        <f>IF(E1120="AM",1,(IF(E1120="BE",2,(IF(E1120="GV",3,(IF(E1120="RA",4,(IF(E1120="RM",5,(IF(E1120="AC",1,(IF(E1120="AT",2,(IF(E1120="DS",3,(IF(E1120="IP",4,(IF(E1120="MA",5,(IF(E1120="PT",6,(IF(E1120="AE",1,(IF(E1120="CM",2,(IF(E1120="DP",3,(IF(E1120="AN",1,(IF(E1120="CO",2,(IF(E1120="IM",3,(IF(E1120="MI",4,(IF(E1120="RP",5,(IF(E1120="SC",6,0)))))))))))))))))))))))))))))))))))))))</f>
        <v>4</v>
      </c>
      <c r="G1120" s="170">
        <v>1</v>
      </c>
      <c r="H1120" s="38" t="s">
        <v>511</v>
      </c>
      <c r="I1120" s="105" t="s">
        <v>821</v>
      </c>
      <c r="J1120" s="150" t="s">
        <v>92</v>
      </c>
      <c r="K1120" s="79" t="s">
        <v>1283</v>
      </c>
      <c r="L1120" s="66">
        <f>IF(O1120="","",N1120*O1120*M1120)</f>
        <v>75</v>
      </c>
      <c r="M1120" s="8">
        <v>1</v>
      </c>
      <c r="N1120" s="3">
        <v>1</v>
      </c>
      <c r="O1120" s="15">
        <f>IF(SUM(Q1120:AF1120)&lt;1,"",SUM(Q1120:AF1120)/COUNTIF(Q1120:AF1120,"&gt;0"))</f>
        <v>75</v>
      </c>
      <c r="P1120" s="16"/>
      <c r="Q1120" s="13"/>
      <c r="T1120" s="4">
        <v>75</v>
      </c>
      <c r="U1120" s="2"/>
      <c r="V1120" s="2"/>
      <c r="W1120" s="2"/>
      <c r="X1120" s="2"/>
      <c r="Z1120" s="2"/>
      <c r="AA1120" s="2"/>
      <c r="AF1120" s="14"/>
    </row>
    <row r="1121" spans="1:32" s="4" customFormat="1" ht="15.75" customHeight="1" x14ac:dyDescent="0.25">
      <c r="A1121" s="33" t="str">
        <f>CONCATENATE(D1121,".",F1121,"-",G1121,".",H1121,"")</f>
        <v>2.4-1.1</v>
      </c>
      <c r="B1121" s="33" t="s">
        <v>814</v>
      </c>
      <c r="C1121" s="39" t="s">
        <v>262</v>
      </c>
      <c r="D1121" s="33">
        <f>IF(C1121="ID",1,(IF(C1121="PR",2,(IF(C1121="DE",3,(IF(C1121="RS",4,(IF(C1121="RC",5,0)))))))))</f>
        <v>2</v>
      </c>
      <c r="E1121" s="33" t="s">
        <v>344</v>
      </c>
      <c r="F1121" s="33">
        <f>IF(E1121="AM",1,(IF(E1121="BE",2,(IF(E1121="GV",3,(IF(E1121="RA",4,(IF(E1121="RM",5,(IF(E1121="AC",1,(IF(E1121="AT",2,(IF(E1121="DS",3,(IF(E1121="IP",4,(IF(E1121="MA",5,(IF(E1121="PT",6,(IF(E1121="AE",1,(IF(E1121="CM",2,(IF(E1121="DP",3,(IF(E1121="AN",1,(IF(E1121="CO",2,(IF(E1121="IM",3,(IF(E1121="MI",4,(IF(E1121="RP",5,(IF(E1121="SC",6,0)))))))))))))))))))))))))))))))))))))))</f>
        <v>4</v>
      </c>
      <c r="G1121" s="170">
        <v>1</v>
      </c>
      <c r="H1121" s="38" t="s">
        <v>511</v>
      </c>
      <c r="I1121" s="105" t="s">
        <v>821</v>
      </c>
      <c r="J1121" s="150" t="s">
        <v>122</v>
      </c>
      <c r="K1121" s="79" t="s">
        <v>1283</v>
      </c>
      <c r="L1121" s="66">
        <f>IF(O1121="","",N1121*O1121*M1121)</f>
        <v>75</v>
      </c>
      <c r="M1121" s="8">
        <v>1</v>
      </c>
      <c r="N1121" s="3">
        <v>1</v>
      </c>
      <c r="O1121" s="15">
        <f>IF(SUM(Q1121:AF1121)&lt;1,"",SUM(Q1121:AF1121)/COUNTIF(Q1121:AF1121,"&gt;0"))</f>
        <v>75</v>
      </c>
      <c r="P1121" s="16"/>
      <c r="Q1121" s="13"/>
      <c r="T1121" s="4">
        <v>75</v>
      </c>
      <c r="U1121" s="2"/>
      <c r="V1121" s="2"/>
      <c r="W1121" s="2"/>
      <c r="X1121" s="2"/>
      <c r="Z1121" s="2"/>
      <c r="AA1121" s="2"/>
      <c r="AF1121" s="14"/>
    </row>
    <row r="1122" spans="1:32" s="4" customFormat="1" ht="15.75" customHeight="1" x14ac:dyDescent="0.25">
      <c r="A1122" s="33" t="str">
        <f>CONCATENATE(D1122,".",F1122,"-",G1122,".",H1122,"")</f>
        <v>2.4-1.1</v>
      </c>
      <c r="B1122" s="33" t="s">
        <v>814</v>
      </c>
      <c r="C1122" s="39" t="s">
        <v>262</v>
      </c>
      <c r="D1122" s="33">
        <f>IF(C1122="ID",1,(IF(C1122="PR",2,(IF(C1122="DE",3,(IF(C1122="RS",4,(IF(C1122="RC",5,0)))))))))</f>
        <v>2</v>
      </c>
      <c r="E1122" s="33" t="s">
        <v>344</v>
      </c>
      <c r="F1122" s="33">
        <f>IF(E1122="AM",1,(IF(E1122="BE",2,(IF(E1122="GV",3,(IF(E1122="RA",4,(IF(E1122="RM",5,(IF(E1122="AC",1,(IF(E1122="AT",2,(IF(E1122="DS",3,(IF(E1122="IP",4,(IF(E1122="MA",5,(IF(E1122="PT",6,(IF(E1122="AE",1,(IF(E1122="CM",2,(IF(E1122="DP",3,(IF(E1122="AN",1,(IF(E1122="CO",2,(IF(E1122="IM",3,(IF(E1122="MI",4,(IF(E1122="RP",5,(IF(E1122="SC",6,0)))))))))))))))))))))))))))))))))))))))</f>
        <v>4</v>
      </c>
      <c r="G1122" s="170">
        <v>1</v>
      </c>
      <c r="H1122" s="38" t="s">
        <v>511</v>
      </c>
      <c r="I1122" s="105" t="s">
        <v>821</v>
      </c>
      <c r="J1122" s="150" t="s">
        <v>144</v>
      </c>
      <c r="K1122" s="79" t="s">
        <v>1283</v>
      </c>
      <c r="L1122" s="66">
        <f>IF(O1122="","",N1122*O1122*M1122)</f>
        <v>75</v>
      </c>
      <c r="M1122" s="8">
        <v>1</v>
      </c>
      <c r="N1122" s="3">
        <v>1</v>
      </c>
      <c r="O1122" s="15">
        <f>IF(SUM(Q1122:AF1122)&lt;1,"",SUM(Q1122:AF1122)/COUNTIF(Q1122:AF1122,"&gt;0"))</f>
        <v>75</v>
      </c>
      <c r="P1122" s="16"/>
      <c r="Q1122" s="13"/>
      <c r="T1122" s="4">
        <v>75</v>
      </c>
      <c r="U1122" s="2"/>
      <c r="V1122" s="2"/>
      <c r="W1122" s="2"/>
      <c r="X1122" s="2"/>
      <c r="Z1122" s="2"/>
      <c r="AA1122" s="2"/>
      <c r="AF1122" s="14"/>
    </row>
    <row r="1123" spans="1:32" s="4" customFormat="1" ht="15.75" customHeight="1" x14ac:dyDescent="0.25">
      <c r="A1123" s="33" t="str">
        <f>CONCATENATE(D1123,".",F1123,"-",G1123,".",H1123,"")</f>
        <v>2.4-1.1</v>
      </c>
      <c r="B1123" s="33" t="s">
        <v>814</v>
      </c>
      <c r="C1123" s="41" t="s">
        <v>262</v>
      </c>
      <c r="D1123" s="33">
        <f>IF(C1123="ID",1,(IF(C1123="PR",2,(IF(C1123="DE",3,(IF(C1123="RS",4,(IF(C1123="RC",5,0)))))))))</f>
        <v>2</v>
      </c>
      <c r="E1123" s="33" t="s">
        <v>344</v>
      </c>
      <c r="F1123" s="33">
        <f>IF(E1123="AM",1,(IF(E1123="BE",2,(IF(E1123="GV",3,(IF(E1123="RA",4,(IF(E1123="RM",5,(IF(E1123="AC",1,(IF(E1123="AT",2,(IF(E1123="DS",3,(IF(E1123="IP",4,(IF(E1123="MA",5,(IF(E1123="PT",6,(IF(E1123="AE",1,(IF(E1123="CM",2,(IF(E1123="DP",3,(IF(E1123="AN",1,(IF(E1123="CO",2,(IF(E1123="IM",3,(IF(E1123="MI",4,(IF(E1123="RP",5,(IF(E1123="SC",6,0)))))))))))))))))))))))))))))))))))))))</f>
        <v>4</v>
      </c>
      <c r="G1123" s="170">
        <v>1</v>
      </c>
      <c r="H1123" s="38" t="s">
        <v>511</v>
      </c>
      <c r="I1123" s="27" t="s">
        <v>266</v>
      </c>
      <c r="J1123" s="149" t="s">
        <v>314</v>
      </c>
      <c r="K1123" s="79" t="s">
        <v>1300</v>
      </c>
      <c r="L1123" s="5">
        <f>IF(O1123="","",N1123*O1123*M1123)</f>
        <v>75</v>
      </c>
      <c r="M1123" s="8">
        <v>1</v>
      </c>
      <c r="N1123" s="1">
        <v>1</v>
      </c>
      <c r="O1123" s="15">
        <f>IF(SUM(Q1123:AF1123)&lt;1,"",SUM(Q1123:AF1123)/COUNTIF(Q1123:AF1123,"&gt;0"))</f>
        <v>75</v>
      </c>
      <c r="P1123" s="16"/>
      <c r="Q1123" s="13"/>
      <c r="T1123" s="4">
        <v>75</v>
      </c>
      <c r="U1123" s="2"/>
      <c r="V1123" s="2"/>
      <c r="W1123" s="2"/>
      <c r="X1123" s="2"/>
      <c r="Z1123" s="2"/>
      <c r="AA1123" s="2"/>
      <c r="AF1123" s="14"/>
    </row>
    <row r="1124" spans="1:32" s="4" customFormat="1" ht="15.75" customHeight="1" x14ac:dyDescent="0.25">
      <c r="A1124" s="33" t="str">
        <f>CONCATENATE(D1124,".",F1124,"-",G1124,".",H1124,"")</f>
        <v>2.4-1.1</v>
      </c>
      <c r="B1124" s="33" t="s">
        <v>814</v>
      </c>
      <c r="C1124" s="41" t="s">
        <v>262</v>
      </c>
      <c r="D1124" s="33">
        <f>IF(C1124="ID",1,(IF(C1124="PR",2,(IF(C1124="DE",3,(IF(C1124="RS",4,(IF(C1124="RC",5,0)))))))))</f>
        <v>2</v>
      </c>
      <c r="E1124" s="33" t="s">
        <v>344</v>
      </c>
      <c r="F1124" s="33">
        <f>IF(E1124="AM",1,(IF(E1124="BE",2,(IF(E1124="GV",3,(IF(E1124="RA",4,(IF(E1124="RM",5,(IF(E1124="AC",1,(IF(E1124="AT",2,(IF(E1124="DS",3,(IF(E1124="IP",4,(IF(E1124="MA",5,(IF(E1124="PT",6,(IF(E1124="AE",1,(IF(E1124="CM",2,(IF(E1124="DP",3,(IF(E1124="AN",1,(IF(E1124="CO",2,(IF(E1124="IM",3,(IF(E1124="MI",4,(IF(E1124="RP",5,(IF(E1124="SC",6,0)))))))))))))))))))))))))))))))))))))))</f>
        <v>4</v>
      </c>
      <c r="G1124" s="170">
        <v>1</v>
      </c>
      <c r="H1124" s="38" t="s">
        <v>511</v>
      </c>
      <c r="I1124" s="27" t="s">
        <v>266</v>
      </c>
      <c r="J1124" s="149" t="s">
        <v>286</v>
      </c>
      <c r="K1124" s="79" t="s">
        <v>1323</v>
      </c>
      <c r="L1124" s="5">
        <f>IF(O1124="","",N1124*O1124*M1124)</f>
        <v>75</v>
      </c>
      <c r="M1124" s="8">
        <v>1</v>
      </c>
      <c r="N1124" s="1">
        <v>1</v>
      </c>
      <c r="O1124" s="15">
        <f>IF(SUM(Q1124:AF1124)&lt;1,"",SUM(Q1124:AF1124)/COUNTIF(Q1124:AF1124,"&gt;0"))</f>
        <v>75</v>
      </c>
      <c r="P1124" s="16"/>
      <c r="Q1124" s="13"/>
      <c r="T1124" s="4">
        <v>75</v>
      </c>
      <c r="U1124" s="2"/>
      <c r="V1124" s="2"/>
      <c r="W1124" s="2"/>
      <c r="X1124" s="2"/>
      <c r="Z1124" s="2"/>
      <c r="AA1124" s="2"/>
      <c r="AF1124" s="14"/>
    </row>
    <row r="1125" spans="1:32" s="4" customFormat="1" ht="15.75" customHeight="1" x14ac:dyDescent="0.25">
      <c r="A1125" s="33" t="str">
        <f>CONCATENATE(D1125,".",F1125,"-",G1125,".",H1125,"")</f>
        <v>2.4-1.1</v>
      </c>
      <c r="B1125" s="33" t="s">
        <v>814</v>
      </c>
      <c r="C1125" s="41" t="s">
        <v>262</v>
      </c>
      <c r="D1125" s="33">
        <f>IF(C1125="ID",1,(IF(C1125="PR",2,(IF(C1125="DE",3,(IF(C1125="RS",4,(IF(C1125="RC",5,0)))))))))</f>
        <v>2</v>
      </c>
      <c r="E1125" s="33" t="s">
        <v>344</v>
      </c>
      <c r="F1125" s="33">
        <f>IF(E1125="AM",1,(IF(E1125="BE",2,(IF(E1125="GV",3,(IF(E1125="RA",4,(IF(E1125="RM",5,(IF(E1125="AC",1,(IF(E1125="AT",2,(IF(E1125="DS",3,(IF(E1125="IP",4,(IF(E1125="MA",5,(IF(E1125="PT",6,(IF(E1125="AE",1,(IF(E1125="CM",2,(IF(E1125="DP",3,(IF(E1125="AN",1,(IF(E1125="CO",2,(IF(E1125="IM",3,(IF(E1125="MI",4,(IF(E1125="RP",5,(IF(E1125="SC",6,0)))))))))))))))))))))))))))))))))))))))</f>
        <v>4</v>
      </c>
      <c r="G1125" s="170">
        <v>1</v>
      </c>
      <c r="H1125" s="38" t="s">
        <v>511</v>
      </c>
      <c r="I1125" s="27" t="s">
        <v>266</v>
      </c>
      <c r="J1125" s="149" t="s">
        <v>287</v>
      </c>
      <c r="K1125" s="79" t="s">
        <v>1326</v>
      </c>
      <c r="L1125" s="5">
        <f>IF(O1125="","",N1125*O1125*M1125)</f>
        <v>75</v>
      </c>
      <c r="M1125" s="8">
        <v>1</v>
      </c>
      <c r="N1125" s="1">
        <v>1</v>
      </c>
      <c r="O1125" s="15">
        <f>IF(SUM(Q1125:AF1125)&lt;1,"",SUM(Q1125:AF1125)/COUNTIF(Q1125:AF1125,"&gt;0"))</f>
        <v>75</v>
      </c>
      <c r="P1125" s="16"/>
      <c r="Q1125" s="13"/>
      <c r="T1125" s="4">
        <v>75</v>
      </c>
      <c r="U1125" s="2"/>
      <c r="V1125" s="2"/>
      <c r="W1125" s="2"/>
      <c r="X1125" s="2"/>
      <c r="Z1125" s="2"/>
      <c r="AA1125" s="2"/>
      <c r="AF1125" s="14"/>
    </row>
    <row r="1126" spans="1:32" s="4" customFormat="1" ht="15.75" customHeight="1" x14ac:dyDescent="0.25">
      <c r="A1126" s="33" t="str">
        <f>CONCATENATE(D1126,".",F1126,"-",G1126,".",H1126,"")</f>
        <v>2.4-1.1</v>
      </c>
      <c r="B1126" s="33" t="s">
        <v>814</v>
      </c>
      <c r="C1126" s="39" t="s">
        <v>262</v>
      </c>
      <c r="D1126" s="33">
        <f>IF(C1126="ID",1,(IF(C1126="PR",2,(IF(C1126="DE",3,(IF(C1126="RS",4,(IF(C1126="RC",5,0)))))))))</f>
        <v>2</v>
      </c>
      <c r="E1126" s="33" t="s">
        <v>344</v>
      </c>
      <c r="F1126" s="33">
        <f>IF(E1126="AM",1,(IF(E1126="BE",2,(IF(E1126="GV",3,(IF(E1126="RA",4,(IF(E1126="RM",5,(IF(E1126="AC",1,(IF(E1126="AT",2,(IF(E1126="DS",3,(IF(E1126="IP",4,(IF(E1126="MA",5,(IF(E1126="PT",6,(IF(E1126="AE",1,(IF(E1126="CM",2,(IF(E1126="DP",3,(IF(E1126="AN",1,(IF(E1126="CO",2,(IF(E1126="IM",3,(IF(E1126="MI",4,(IF(E1126="RP",5,(IF(E1126="SC",6,0)))))))))))))))))))))))))))))))))))))))</f>
        <v>4</v>
      </c>
      <c r="G1126" s="170">
        <v>1</v>
      </c>
      <c r="H1126" s="38" t="s">
        <v>511</v>
      </c>
      <c r="I1126" s="27" t="s">
        <v>266</v>
      </c>
      <c r="J1126" s="149" t="s">
        <v>325</v>
      </c>
      <c r="K1126" s="79" t="s">
        <v>1341</v>
      </c>
      <c r="L1126" s="66">
        <f>IF(O1126="","",N1126*O1126*M1126)</f>
        <v>75</v>
      </c>
      <c r="M1126" s="8">
        <v>1</v>
      </c>
      <c r="N1126" s="1">
        <v>1</v>
      </c>
      <c r="O1126" s="15">
        <f>IF(SUM(Q1126:AF1126)&lt;1,"",SUM(Q1126:AF1126)/COUNTIF(Q1126:AF1126,"&gt;0"))</f>
        <v>75</v>
      </c>
      <c r="P1126" s="16"/>
      <c r="Q1126" s="13"/>
      <c r="T1126" s="4">
        <v>75</v>
      </c>
      <c r="U1126" s="2"/>
      <c r="V1126" s="2"/>
      <c r="W1126" s="2"/>
      <c r="X1126" s="2"/>
      <c r="Z1126" s="2"/>
      <c r="AA1126" s="2"/>
      <c r="AF1126" s="14"/>
    </row>
    <row r="1127" spans="1:32" s="4" customFormat="1" ht="15.75" customHeight="1" x14ac:dyDescent="0.25">
      <c r="A1127" s="33" t="str">
        <f>CONCATENATE(D1127,".",F1127,"-",G1127,".",H1127,"")</f>
        <v>2.4-1.1</v>
      </c>
      <c r="B1127" s="33" t="s">
        <v>814</v>
      </c>
      <c r="C1127" s="39" t="s">
        <v>262</v>
      </c>
      <c r="D1127" s="33">
        <f>IF(C1127="ID",1,(IF(C1127="PR",2,(IF(C1127="DE",3,(IF(C1127="RS",4,(IF(C1127="RC",5,0)))))))))</f>
        <v>2</v>
      </c>
      <c r="E1127" s="33" t="s">
        <v>344</v>
      </c>
      <c r="F1127" s="33">
        <f>IF(E1127="AM",1,(IF(E1127="BE",2,(IF(E1127="GV",3,(IF(E1127="RA",4,(IF(E1127="RM",5,(IF(E1127="AC",1,(IF(E1127="AT",2,(IF(E1127="DS",3,(IF(E1127="IP",4,(IF(E1127="MA",5,(IF(E1127="PT",6,(IF(E1127="AE",1,(IF(E1127="CM",2,(IF(E1127="DP",3,(IF(E1127="AN",1,(IF(E1127="CO",2,(IF(E1127="IM",3,(IF(E1127="MI",4,(IF(E1127="RP",5,(IF(E1127="SC",6,0)))))))))))))))))))))))))))))))))))))))</f>
        <v>4</v>
      </c>
      <c r="G1127" s="170">
        <v>1</v>
      </c>
      <c r="H1127" s="33">
        <v>1</v>
      </c>
      <c r="I1127" s="27" t="s">
        <v>266</v>
      </c>
      <c r="J1127" s="150" t="s">
        <v>289</v>
      </c>
      <c r="K1127" s="79" t="s">
        <v>1347</v>
      </c>
      <c r="L1127" s="5">
        <f>IF(O1127="","",N1127*O1127*M1127)</f>
        <v>75</v>
      </c>
      <c r="M1127" s="8">
        <v>1</v>
      </c>
      <c r="N1127" s="1">
        <v>1</v>
      </c>
      <c r="O1127" s="15">
        <f>IF(SUM(Q1127:AF1127)&lt;1,"",SUM(Q1127:AF1127)/COUNTIF(Q1127:AF1127,"&gt;0"))</f>
        <v>75</v>
      </c>
      <c r="P1127" s="16"/>
      <c r="Q1127" s="13"/>
      <c r="R1127" s="3"/>
      <c r="S1127" s="3"/>
      <c r="T1127" s="4">
        <v>75</v>
      </c>
      <c r="U1127" s="3"/>
      <c r="V1127" s="3"/>
      <c r="W1127" s="3"/>
      <c r="X1127" s="3"/>
      <c r="Y1127" s="3"/>
      <c r="Z1127" s="3"/>
      <c r="AA1127" s="3"/>
      <c r="AB1127" s="3"/>
      <c r="AC1127" s="3"/>
      <c r="AD1127" s="3"/>
      <c r="AE1127" s="3"/>
      <c r="AF1127" s="104"/>
    </row>
    <row r="1128" spans="1:32" s="4" customFormat="1" ht="15.75" customHeight="1" x14ac:dyDescent="0.25">
      <c r="A1128" s="33" t="str">
        <f>CONCATENATE(D1128,".",F1128,"-",G1128,".",H1128,"")</f>
        <v>2.4-1.1</v>
      </c>
      <c r="B1128" s="33" t="s">
        <v>814</v>
      </c>
      <c r="C1128" s="39" t="s">
        <v>262</v>
      </c>
      <c r="D1128" s="33">
        <f>IF(C1128="ID",1,(IF(C1128="PR",2,(IF(C1128="DE",3,(IF(C1128="RS",4,(IF(C1128="RC",5,0)))))))))</f>
        <v>2</v>
      </c>
      <c r="E1128" s="33" t="s">
        <v>344</v>
      </c>
      <c r="F1128" s="33">
        <f>IF(E1128="AM",1,(IF(E1128="BE",2,(IF(E1128="GV",3,(IF(E1128="RA",4,(IF(E1128="RM",5,(IF(E1128="AC",1,(IF(E1128="AT",2,(IF(E1128="DS",3,(IF(E1128="IP",4,(IF(E1128="MA",5,(IF(E1128="PT",6,(IF(E1128="AE",1,(IF(E1128="CM",2,(IF(E1128="DP",3,(IF(E1128="AN",1,(IF(E1128="CO",2,(IF(E1128="IM",3,(IF(E1128="MI",4,(IF(E1128="RP",5,(IF(E1128="SC",6,0)))))))))))))))))))))))))))))))))))))))</f>
        <v>4</v>
      </c>
      <c r="G1128" s="170">
        <v>1</v>
      </c>
      <c r="H1128" s="33">
        <v>1</v>
      </c>
      <c r="I1128" s="27" t="s">
        <v>266</v>
      </c>
      <c r="J1128" s="150" t="s">
        <v>290</v>
      </c>
      <c r="K1128" s="79" t="s">
        <v>1348</v>
      </c>
      <c r="L1128" s="5">
        <f>IF(O1128="","",N1128*O1128*M1128)</f>
        <v>75</v>
      </c>
      <c r="M1128" s="8">
        <v>1</v>
      </c>
      <c r="N1128" s="1">
        <v>1</v>
      </c>
      <c r="O1128" s="15">
        <f>IF(SUM(Q1128:AF1128)&lt;1,"",SUM(Q1128:AF1128)/COUNTIF(Q1128:AF1128,"&gt;0"))</f>
        <v>75</v>
      </c>
      <c r="P1128" s="16"/>
      <c r="Q1128" s="13"/>
      <c r="R1128" s="3"/>
      <c r="S1128" s="3"/>
      <c r="T1128" s="4">
        <v>75</v>
      </c>
      <c r="U1128" s="3"/>
      <c r="V1128" s="3"/>
      <c r="W1128" s="3"/>
      <c r="X1128" s="3"/>
      <c r="Y1128" s="3"/>
      <c r="Z1128" s="3"/>
      <c r="AA1128" s="3"/>
      <c r="AB1128" s="3"/>
      <c r="AC1128" s="3"/>
      <c r="AD1128" s="3"/>
      <c r="AE1128" s="3"/>
      <c r="AF1128" s="104"/>
    </row>
    <row r="1129" spans="1:32" s="4" customFormat="1" ht="15.75" customHeight="1" x14ac:dyDescent="0.25">
      <c r="A1129" s="33" t="str">
        <f>CONCATENATE(D1129,".",F1129,"-",G1129,".",H1129,"")</f>
        <v>2.4-1.1</v>
      </c>
      <c r="B1129" s="33" t="s">
        <v>814</v>
      </c>
      <c r="C1129" s="39" t="s">
        <v>262</v>
      </c>
      <c r="D1129" s="33">
        <f>IF(C1129="ID",1,(IF(C1129="PR",2,(IF(C1129="DE",3,(IF(C1129="RS",4,(IF(C1129="RC",5,0)))))))))</f>
        <v>2</v>
      </c>
      <c r="E1129" s="33" t="s">
        <v>344</v>
      </c>
      <c r="F1129" s="33">
        <f>IF(E1129="AM",1,(IF(E1129="BE",2,(IF(E1129="GV",3,(IF(E1129="RA",4,(IF(E1129="RM",5,(IF(E1129="AC",1,(IF(E1129="AT",2,(IF(E1129="DS",3,(IF(E1129="IP",4,(IF(E1129="MA",5,(IF(E1129="PT",6,(IF(E1129="AE",1,(IF(E1129="CM",2,(IF(E1129="DP",3,(IF(E1129="AN",1,(IF(E1129="CO",2,(IF(E1129="IM",3,(IF(E1129="MI",4,(IF(E1129="RP",5,(IF(E1129="SC",6,0)))))))))))))))))))))))))))))))))))))))</f>
        <v>4</v>
      </c>
      <c r="G1129" s="170">
        <v>1</v>
      </c>
      <c r="H1129" s="33">
        <v>1</v>
      </c>
      <c r="I1129" s="27" t="s">
        <v>266</v>
      </c>
      <c r="J1129" s="150" t="s">
        <v>77</v>
      </c>
      <c r="K1129" s="79" t="s">
        <v>1382</v>
      </c>
      <c r="L1129" s="5">
        <f>IF(O1129="","",N1129*O1129*M1129)</f>
        <v>75</v>
      </c>
      <c r="M1129" s="8">
        <v>1</v>
      </c>
      <c r="N1129" s="1">
        <v>1</v>
      </c>
      <c r="O1129" s="15">
        <f>IF(SUM(Q1129:AF1129)&lt;1,"",SUM(Q1129:AF1129)/COUNTIF(Q1129:AF1129,"&gt;0"))</f>
        <v>75</v>
      </c>
      <c r="P1129" s="16"/>
      <c r="Q1129" s="13"/>
      <c r="R1129" s="3"/>
      <c r="S1129" s="3"/>
      <c r="T1129" s="4">
        <v>75</v>
      </c>
      <c r="U1129" s="3"/>
      <c r="V1129" s="3"/>
      <c r="W1129" s="3"/>
      <c r="X1129" s="3"/>
      <c r="Y1129" s="3"/>
      <c r="Z1129" s="3"/>
      <c r="AA1129" s="3"/>
      <c r="AB1129" s="3"/>
      <c r="AC1129" s="3"/>
      <c r="AD1129" s="3"/>
      <c r="AE1129" s="3"/>
      <c r="AF1129" s="104"/>
    </row>
    <row r="1130" spans="1:32" s="4" customFormat="1" ht="15.75" customHeight="1" x14ac:dyDescent="0.25">
      <c r="A1130" s="33" t="str">
        <f>CONCATENATE(D1130,".",F1130,"-",G1130,".",H1130,"")</f>
        <v>2.4-1.1</v>
      </c>
      <c r="B1130" s="33" t="s">
        <v>814</v>
      </c>
      <c r="C1130" s="39" t="s">
        <v>262</v>
      </c>
      <c r="D1130" s="33">
        <f>IF(C1130="ID",1,(IF(C1130="PR",2,(IF(C1130="DE",3,(IF(C1130="RS",4,(IF(C1130="RC",5,0)))))))))</f>
        <v>2</v>
      </c>
      <c r="E1130" s="33" t="s">
        <v>344</v>
      </c>
      <c r="F1130" s="33">
        <f>IF(E1130="AM",1,(IF(E1130="BE",2,(IF(E1130="GV",3,(IF(E1130="RA",4,(IF(E1130="RM",5,(IF(E1130="AC",1,(IF(E1130="AT",2,(IF(E1130="DS",3,(IF(E1130="IP",4,(IF(E1130="MA",5,(IF(E1130="PT",6,(IF(E1130="AE",1,(IF(E1130="CM",2,(IF(E1130="DP",3,(IF(E1130="AN",1,(IF(E1130="CO",2,(IF(E1130="IM",3,(IF(E1130="MI",4,(IF(E1130="RP",5,(IF(E1130="SC",6,0)))))))))))))))))))))))))))))))))))))))</f>
        <v>4</v>
      </c>
      <c r="G1130" s="170">
        <v>1</v>
      </c>
      <c r="H1130" s="38" t="s">
        <v>511</v>
      </c>
      <c r="I1130" s="105" t="s">
        <v>1449</v>
      </c>
      <c r="J1130" s="157" t="s">
        <v>1502</v>
      </c>
      <c r="K1130" s="34" t="s">
        <v>1503</v>
      </c>
      <c r="L1130" s="5">
        <f>IF(O1130="","",N1130*O1130*M1130)</f>
        <v>99</v>
      </c>
      <c r="M1130" s="8">
        <v>1</v>
      </c>
      <c r="N1130" s="1">
        <v>1</v>
      </c>
      <c r="O1130" s="15">
        <f>IF(SUM(Q1130:AF1130)&lt;1,"",SUM(Q1130:AF1130)/COUNTIF(Q1130:AF1130,"&gt;0"))</f>
        <v>99</v>
      </c>
      <c r="P1130" s="16"/>
      <c r="Q1130" s="13"/>
      <c r="T1130" s="4">
        <v>99</v>
      </c>
      <c r="U1130" s="2"/>
      <c r="V1130" s="2"/>
      <c r="W1130" s="2"/>
      <c r="X1130" s="2"/>
      <c r="Z1130" s="2"/>
      <c r="AA1130" s="2"/>
      <c r="AF1130" s="14"/>
    </row>
    <row r="1131" spans="1:32" s="4" customFormat="1" ht="15.75" customHeight="1" x14ac:dyDescent="0.25">
      <c r="A1131" s="33" t="str">
        <f>CONCATENATE(D1131,".",F1131,"-",G1131,".",H1131,"")</f>
        <v>2.4-1.1</v>
      </c>
      <c r="B1131" s="33"/>
      <c r="C1131" s="39" t="s">
        <v>262</v>
      </c>
      <c r="D1131" s="33">
        <f>IF(C1131="ID",1,(IF(C1131="PR",2,(IF(C1131="DE",3,(IF(C1131="RS",4,(IF(C1131="RC",5,0)))))))))</f>
        <v>2</v>
      </c>
      <c r="E1131" s="33" t="s">
        <v>344</v>
      </c>
      <c r="F1131" s="33">
        <f>IF(E1131="AM",1,(IF(E1131="BE",2,(IF(E1131="GV",3,(IF(E1131="RA",4,(IF(E1131="RM",5,(IF(E1131="AC",1,(IF(E1131="AT",2,(IF(E1131="DS",3,(IF(E1131="IP",4,(IF(E1131="MA",5,(IF(E1131="PT",6,(IF(E1131="AE",1,(IF(E1131="CM",2,(IF(E1131="DP",3,(IF(E1131="AN",1,(IF(E1131="CO",2,(IF(E1131="IM",3,(IF(E1131="MI",4,(IF(E1131="RP",5,(IF(E1131="SC",6,0)))))))))))))))))))))))))))))))))))))))</f>
        <v>4</v>
      </c>
      <c r="G1131" s="170">
        <v>1</v>
      </c>
      <c r="H1131" s="38" t="s">
        <v>511</v>
      </c>
      <c r="I1131" s="105" t="s">
        <v>1449</v>
      </c>
      <c r="J1131" s="157" t="s">
        <v>1885</v>
      </c>
      <c r="K1131" s="34" t="s">
        <v>1886</v>
      </c>
      <c r="L1131" s="5">
        <f>IF(O1131="","",N1131*O1131*M1131)</f>
        <v>99</v>
      </c>
      <c r="M1131" s="8">
        <v>1</v>
      </c>
      <c r="N1131" s="1">
        <v>1</v>
      </c>
      <c r="O1131" s="15">
        <f>IF(SUM(Q1131:AF1131)&lt;1,"",SUM(Q1131:AF1131)/COUNTIF(Q1131:AF1131,"&gt;0"))</f>
        <v>99</v>
      </c>
      <c r="P1131" s="16"/>
      <c r="Q1131" s="13"/>
      <c r="T1131" s="4">
        <v>99</v>
      </c>
      <c r="U1131" s="2"/>
      <c r="V1131" s="2"/>
      <c r="W1131" s="2"/>
      <c r="X1131" s="2"/>
      <c r="Z1131" s="2"/>
      <c r="AA1131" s="2"/>
      <c r="AF1131" s="14"/>
    </row>
    <row r="1132" spans="1:32" s="4" customFormat="1" ht="15.75" customHeight="1" x14ac:dyDescent="0.25">
      <c r="A1132" s="33" t="str">
        <f>CONCATENATE(D1132,".",F1132,"-",G1132,".",H1132,"")</f>
        <v>2.4-1.1</v>
      </c>
      <c r="B1132" s="33"/>
      <c r="C1132" s="39" t="s">
        <v>262</v>
      </c>
      <c r="D1132" s="33">
        <f>IF(C1132="ID",1,(IF(C1132="PR",2,(IF(C1132="DE",3,(IF(C1132="RS",4,(IF(C1132="RC",5,0)))))))))</f>
        <v>2</v>
      </c>
      <c r="E1132" s="33" t="s">
        <v>344</v>
      </c>
      <c r="F1132" s="33">
        <f>IF(E1132="AM",1,(IF(E1132="BE",2,(IF(E1132="GV",3,(IF(E1132="RA",4,(IF(E1132="RM",5,(IF(E1132="AC",1,(IF(E1132="AT",2,(IF(E1132="DS",3,(IF(E1132="IP",4,(IF(E1132="MA",5,(IF(E1132="PT",6,(IF(E1132="AE",1,(IF(E1132="CM",2,(IF(E1132="DP",3,(IF(E1132="AN",1,(IF(E1132="CO",2,(IF(E1132="IM",3,(IF(E1132="MI",4,(IF(E1132="RP",5,(IF(E1132="SC",6,0)))))))))))))))))))))))))))))))))))))))</f>
        <v>4</v>
      </c>
      <c r="G1132" s="170">
        <v>1</v>
      </c>
      <c r="H1132" s="38" t="s">
        <v>511</v>
      </c>
      <c r="I1132" s="105" t="s">
        <v>1449</v>
      </c>
      <c r="J1132" s="157" t="s">
        <v>1893</v>
      </c>
      <c r="K1132" s="34" t="s">
        <v>1894</v>
      </c>
      <c r="L1132" s="5">
        <f>IF(O1132="","",N1132*O1132*M1132)</f>
        <v>99</v>
      </c>
      <c r="M1132" s="8">
        <v>1</v>
      </c>
      <c r="N1132" s="1">
        <v>1</v>
      </c>
      <c r="O1132" s="15">
        <f>IF(SUM(Q1132:AF1132)&lt;1,"",SUM(Q1132:AF1132)/COUNTIF(Q1132:AF1132,"&gt;0"))</f>
        <v>99</v>
      </c>
      <c r="P1132" s="16"/>
      <c r="Q1132" s="13"/>
      <c r="T1132" s="4">
        <v>99</v>
      </c>
      <c r="U1132" s="2"/>
      <c r="V1132" s="2"/>
      <c r="W1132" s="2"/>
      <c r="X1132" s="2"/>
      <c r="Z1132" s="2"/>
      <c r="AA1132" s="2"/>
      <c r="AF1132" s="14"/>
    </row>
    <row r="1133" spans="1:32" s="4" customFormat="1" ht="15.75" customHeight="1" x14ac:dyDescent="0.25">
      <c r="A1133" s="33" t="str">
        <f>CONCATENATE(D1133,".",F1133,"-",G1133,".",H1133,"")</f>
        <v>2.4-1.1</v>
      </c>
      <c r="B1133" s="33"/>
      <c r="C1133" s="39" t="s">
        <v>262</v>
      </c>
      <c r="D1133" s="33">
        <f>IF(C1133="ID",1,(IF(C1133="PR",2,(IF(C1133="DE",3,(IF(C1133="RS",4,(IF(C1133="RC",5,0)))))))))</f>
        <v>2</v>
      </c>
      <c r="E1133" s="33" t="s">
        <v>344</v>
      </c>
      <c r="F1133" s="33">
        <f>IF(E1133="AM",1,(IF(E1133="BE",2,(IF(E1133="GV",3,(IF(E1133="RA",4,(IF(E1133="RM",5,(IF(E1133="AC",1,(IF(E1133="AT",2,(IF(E1133="DS",3,(IF(E1133="IP",4,(IF(E1133="MA",5,(IF(E1133="PT",6,(IF(E1133="AE",1,(IF(E1133="CM",2,(IF(E1133="DP",3,(IF(E1133="AN",1,(IF(E1133="CO",2,(IF(E1133="IM",3,(IF(E1133="MI",4,(IF(E1133="RP",5,(IF(E1133="SC",6,0)))))))))))))))))))))))))))))))))))))))</f>
        <v>4</v>
      </c>
      <c r="G1133" s="170">
        <v>1</v>
      </c>
      <c r="H1133" s="38" t="s">
        <v>511</v>
      </c>
      <c r="I1133" s="105" t="s">
        <v>1449</v>
      </c>
      <c r="J1133" s="157" t="s">
        <v>1895</v>
      </c>
      <c r="K1133" s="34" t="s">
        <v>1896</v>
      </c>
      <c r="L1133" s="5">
        <f>IF(O1133="","",N1133*O1133*M1133)</f>
        <v>99</v>
      </c>
      <c r="M1133" s="8">
        <v>1</v>
      </c>
      <c r="N1133" s="1">
        <v>1</v>
      </c>
      <c r="O1133" s="15">
        <f>IF(SUM(Q1133:AF1133)&lt;1,"",SUM(Q1133:AF1133)/COUNTIF(Q1133:AF1133,"&gt;0"))</f>
        <v>99</v>
      </c>
      <c r="P1133" s="16"/>
      <c r="Q1133" s="13"/>
      <c r="T1133" s="4">
        <v>99</v>
      </c>
      <c r="U1133" s="2"/>
      <c r="V1133" s="2"/>
      <c r="W1133" s="2"/>
      <c r="X1133" s="2"/>
      <c r="Z1133" s="2"/>
      <c r="AA1133" s="2"/>
      <c r="AF1133" s="14"/>
    </row>
    <row r="1134" spans="1:32" s="4" customFormat="1" ht="15.75" customHeight="1" x14ac:dyDescent="0.25">
      <c r="A1134" s="33" t="str">
        <f>CONCATENATE(D1134,".",F1134,"-",G1134,".",H1134,"")</f>
        <v>2.4-1.1</v>
      </c>
      <c r="B1134" s="33"/>
      <c r="C1134" s="39" t="s">
        <v>262</v>
      </c>
      <c r="D1134" s="33">
        <f>IF(C1134="ID",1,(IF(C1134="PR",2,(IF(C1134="DE",3,(IF(C1134="RS",4,(IF(C1134="RC",5,0)))))))))</f>
        <v>2</v>
      </c>
      <c r="E1134" s="33" t="s">
        <v>344</v>
      </c>
      <c r="F1134" s="33">
        <f>IF(E1134="AM",1,(IF(E1134="BE",2,(IF(E1134="GV",3,(IF(E1134="RA",4,(IF(E1134="RM",5,(IF(E1134="AC",1,(IF(E1134="AT",2,(IF(E1134="DS",3,(IF(E1134="IP",4,(IF(E1134="MA",5,(IF(E1134="PT",6,(IF(E1134="AE",1,(IF(E1134="CM",2,(IF(E1134="DP",3,(IF(E1134="AN",1,(IF(E1134="CO",2,(IF(E1134="IM",3,(IF(E1134="MI",4,(IF(E1134="RP",5,(IF(E1134="SC",6,0)))))))))))))))))))))))))))))))))))))))</f>
        <v>4</v>
      </c>
      <c r="G1134" s="170">
        <v>1</v>
      </c>
      <c r="H1134" s="38" t="s">
        <v>511</v>
      </c>
      <c r="I1134" s="105" t="s">
        <v>1449</v>
      </c>
      <c r="J1134" s="157" t="s">
        <v>1897</v>
      </c>
      <c r="K1134" s="34" t="s">
        <v>1898</v>
      </c>
      <c r="L1134" s="5">
        <f>IF(O1134="","",N1134*O1134*M1134)</f>
        <v>99</v>
      </c>
      <c r="M1134" s="8">
        <v>1</v>
      </c>
      <c r="N1134" s="1">
        <v>1</v>
      </c>
      <c r="O1134" s="15">
        <f>IF(SUM(Q1134:AF1134)&lt;1,"",SUM(Q1134:AF1134)/COUNTIF(Q1134:AF1134,"&gt;0"))</f>
        <v>99</v>
      </c>
      <c r="P1134" s="16"/>
      <c r="Q1134" s="13"/>
      <c r="T1134" s="4">
        <v>99</v>
      </c>
      <c r="U1134" s="2"/>
      <c r="V1134" s="2"/>
      <c r="W1134" s="2"/>
      <c r="X1134" s="2"/>
      <c r="Z1134" s="2"/>
      <c r="AA1134" s="2"/>
      <c r="AF1134" s="14"/>
    </row>
    <row r="1135" spans="1:32" s="4" customFormat="1" ht="15.75" customHeight="1" x14ac:dyDescent="0.25">
      <c r="A1135" s="33" t="str">
        <f>CONCATENATE(D1135,".",F1135,"-",G1135,".",H1135,"")</f>
        <v>2.4-1.1</v>
      </c>
      <c r="B1135" s="33"/>
      <c r="C1135" s="39" t="s">
        <v>262</v>
      </c>
      <c r="D1135" s="33">
        <f>IF(C1135="ID",1,(IF(C1135="PR",2,(IF(C1135="DE",3,(IF(C1135="RS",4,(IF(C1135="RC",5,0)))))))))</f>
        <v>2</v>
      </c>
      <c r="E1135" s="33" t="s">
        <v>344</v>
      </c>
      <c r="F1135" s="33">
        <f>IF(E1135="AM",1,(IF(E1135="BE",2,(IF(E1135="GV",3,(IF(E1135="RA",4,(IF(E1135="RM",5,(IF(E1135="AC",1,(IF(E1135="AT",2,(IF(E1135="DS",3,(IF(E1135="IP",4,(IF(E1135="MA",5,(IF(E1135="PT",6,(IF(E1135="AE",1,(IF(E1135="CM",2,(IF(E1135="DP",3,(IF(E1135="AN",1,(IF(E1135="CO",2,(IF(E1135="IM",3,(IF(E1135="MI",4,(IF(E1135="RP",5,(IF(E1135="SC",6,0)))))))))))))))))))))))))))))))))))))))</f>
        <v>4</v>
      </c>
      <c r="G1135" s="170">
        <v>1</v>
      </c>
      <c r="H1135" s="38" t="s">
        <v>511</v>
      </c>
      <c r="I1135" s="105" t="s">
        <v>1449</v>
      </c>
      <c r="J1135" s="157" t="s">
        <v>1899</v>
      </c>
      <c r="K1135" s="34" t="s">
        <v>1900</v>
      </c>
      <c r="L1135" s="5">
        <f>IF(O1135="","",N1135*O1135*M1135)</f>
        <v>99</v>
      </c>
      <c r="M1135" s="8">
        <v>1</v>
      </c>
      <c r="N1135" s="1">
        <v>1</v>
      </c>
      <c r="O1135" s="15">
        <f>IF(SUM(Q1135:AF1135)&lt;1,"",SUM(Q1135:AF1135)/COUNTIF(Q1135:AF1135,"&gt;0"))</f>
        <v>99</v>
      </c>
      <c r="P1135" s="16"/>
      <c r="Q1135" s="13"/>
      <c r="T1135" s="4">
        <v>99</v>
      </c>
      <c r="U1135" s="2"/>
      <c r="V1135" s="2"/>
      <c r="W1135" s="2"/>
      <c r="X1135" s="2"/>
      <c r="Z1135" s="2"/>
      <c r="AA1135" s="2"/>
      <c r="AF1135" s="14"/>
    </row>
    <row r="1136" spans="1:32" s="4" customFormat="1" ht="15.75" customHeight="1" x14ac:dyDescent="0.25">
      <c r="A1136" s="33" t="str">
        <f>CONCATENATE(D1136,".",F1136,"-",G1136,".",H1136,"")</f>
        <v>2.4-1.1</v>
      </c>
      <c r="B1136" s="33"/>
      <c r="C1136" s="39" t="s">
        <v>262</v>
      </c>
      <c r="D1136" s="33">
        <f>IF(C1136="ID",1,(IF(C1136="PR",2,(IF(C1136="DE",3,(IF(C1136="RS",4,(IF(C1136="RC",5,0)))))))))</f>
        <v>2</v>
      </c>
      <c r="E1136" s="33" t="s">
        <v>344</v>
      </c>
      <c r="F1136" s="33">
        <f>IF(E1136="AM",1,(IF(E1136="BE",2,(IF(E1136="GV",3,(IF(E1136="RA",4,(IF(E1136="RM",5,(IF(E1136="AC",1,(IF(E1136="AT",2,(IF(E1136="DS",3,(IF(E1136="IP",4,(IF(E1136="MA",5,(IF(E1136="PT",6,(IF(E1136="AE",1,(IF(E1136="CM",2,(IF(E1136="DP",3,(IF(E1136="AN",1,(IF(E1136="CO",2,(IF(E1136="IM",3,(IF(E1136="MI",4,(IF(E1136="RP",5,(IF(E1136="SC",6,0)))))))))))))))))))))))))))))))))))))))</f>
        <v>4</v>
      </c>
      <c r="G1136" s="170">
        <v>1</v>
      </c>
      <c r="H1136" s="38" t="s">
        <v>511</v>
      </c>
      <c r="I1136" s="105" t="s">
        <v>1449</v>
      </c>
      <c r="J1136" s="157" t="s">
        <v>1901</v>
      </c>
      <c r="K1136" s="34" t="s">
        <v>1902</v>
      </c>
      <c r="L1136" s="5">
        <f>IF(O1136="","",N1136*O1136*M1136)</f>
        <v>99</v>
      </c>
      <c r="M1136" s="8">
        <v>1</v>
      </c>
      <c r="N1136" s="1">
        <v>1</v>
      </c>
      <c r="O1136" s="15">
        <f>IF(SUM(Q1136:AF1136)&lt;1,"",SUM(Q1136:AF1136)/COUNTIF(Q1136:AF1136,"&gt;0"))</f>
        <v>99</v>
      </c>
      <c r="P1136" s="16"/>
      <c r="Q1136" s="13"/>
      <c r="T1136" s="4">
        <v>99</v>
      </c>
      <c r="U1136" s="2"/>
      <c r="V1136" s="2"/>
      <c r="W1136" s="2"/>
      <c r="X1136" s="2"/>
      <c r="Z1136" s="2"/>
      <c r="AA1136" s="2"/>
      <c r="AF1136" s="14"/>
    </row>
    <row r="1137" spans="1:32" s="4" customFormat="1" ht="15.75" customHeight="1" x14ac:dyDescent="0.25">
      <c r="A1137" s="33" t="str">
        <f>CONCATENATE(D1137,".",F1137,"-",G1137,".",H1137,"")</f>
        <v>2.4-1.1</v>
      </c>
      <c r="B1137" s="33"/>
      <c r="C1137" s="39" t="s">
        <v>262</v>
      </c>
      <c r="D1137" s="33">
        <f>IF(C1137="ID",1,(IF(C1137="PR",2,(IF(C1137="DE",3,(IF(C1137="RS",4,(IF(C1137="RC",5,0)))))))))</f>
        <v>2</v>
      </c>
      <c r="E1137" s="33" t="s">
        <v>344</v>
      </c>
      <c r="F1137" s="33">
        <f>IF(E1137="AM",1,(IF(E1137="BE",2,(IF(E1137="GV",3,(IF(E1137="RA",4,(IF(E1137="RM",5,(IF(E1137="AC",1,(IF(E1137="AT",2,(IF(E1137="DS",3,(IF(E1137="IP",4,(IF(E1137="MA",5,(IF(E1137="PT",6,(IF(E1137="AE",1,(IF(E1137="CM",2,(IF(E1137="DP",3,(IF(E1137="AN",1,(IF(E1137="CO",2,(IF(E1137="IM",3,(IF(E1137="MI",4,(IF(E1137="RP",5,(IF(E1137="SC",6,0)))))))))))))))))))))))))))))))))))))))</f>
        <v>4</v>
      </c>
      <c r="G1137" s="170">
        <v>1</v>
      </c>
      <c r="H1137" s="38" t="s">
        <v>511</v>
      </c>
      <c r="I1137" s="105" t="s">
        <v>1449</v>
      </c>
      <c r="J1137" s="157" t="s">
        <v>1903</v>
      </c>
      <c r="K1137" s="34" t="s">
        <v>1904</v>
      </c>
      <c r="L1137" s="5">
        <f>IF(O1137="","",N1137*O1137*M1137)</f>
        <v>99</v>
      </c>
      <c r="M1137" s="8">
        <v>1</v>
      </c>
      <c r="N1137" s="1">
        <v>1</v>
      </c>
      <c r="O1137" s="15">
        <f>IF(SUM(Q1137:AF1137)&lt;1,"",SUM(Q1137:AF1137)/COUNTIF(Q1137:AF1137,"&gt;0"))</f>
        <v>99</v>
      </c>
      <c r="P1137" s="16"/>
      <c r="Q1137" s="13"/>
      <c r="T1137" s="4">
        <v>99</v>
      </c>
      <c r="U1137" s="2"/>
      <c r="V1137" s="2"/>
      <c r="W1137" s="2"/>
      <c r="X1137" s="2"/>
      <c r="Z1137" s="2"/>
      <c r="AA1137" s="2"/>
      <c r="AF1137" s="14"/>
    </row>
    <row r="1138" spans="1:32" s="4" customFormat="1" ht="15.75" customHeight="1" x14ac:dyDescent="0.25">
      <c r="A1138" s="33" t="str">
        <f>CONCATENATE(D1138,".",F1138,"-",G1138,".",H1138,"")</f>
        <v>2.4-1.1</v>
      </c>
      <c r="B1138" s="33"/>
      <c r="C1138" s="39" t="s">
        <v>262</v>
      </c>
      <c r="D1138" s="33">
        <f>IF(C1138="ID",1,(IF(C1138="PR",2,(IF(C1138="DE",3,(IF(C1138="RS",4,(IF(C1138="RC",5,0)))))))))</f>
        <v>2</v>
      </c>
      <c r="E1138" s="33" t="s">
        <v>344</v>
      </c>
      <c r="F1138" s="33">
        <f>IF(E1138="AM",1,(IF(E1138="BE",2,(IF(E1138="GV",3,(IF(E1138="RA",4,(IF(E1138="RM",5,(IF(E1138="AC",1,(IF(E1138="AT",2,(IF(E1138="DS",3,(IF(E1138="IP",4,(IF(E1138="MA",5,(IF(E1138="PT",6,(IF(E1138="AE",1,(IF(E1138="CM",2,(IF(E1138="DP",3,(IF(E1138="AN",1,(IF(E1138="CO",2,(IF(E1138="IM",3,(IF(E1138="MI",4,(IF(E1138="RP",5,(IF(E1138="SC",6,0)))))))))))))))))))))))))))))))))))))))</f>
        <v>4</v>
      </c>
      <c r="G1138" s="170">
        <v>1</v>
      </c>
      <c r="H1138" s="38" t="s">
        <v>511</v>
      </c>
      <c r="I1138" s="105" t="s">
        <v>1449</v>
      </c>
      <c r="J1138" s="157" t="s">
        <v>1905</v>
      </c>
      <c r="K1138" s="34" t="s">
        <v>1906</v>
      </c>
      <c r="L1138" s="5">
        <f>IF(O1138="","",N1138*O1138*M1138)</f>
        <v>99</v>
      </c>
      <c r="M1138" s="8">
        <v>1</v>
      </c>
      <c r="N1138" s="1">
        <v>1</v>
      </c>
      <c r="O1138" s="15">
        <f>IF(SUM(Q1138:AF1138)&lt;1,"",SUM(Q1138:AF1138)/COUNTIF(Q1138:AF1138,"&gt;0"))</f>
        <v>99</v>
      </c>
      <c r="P1138" s="16"/>
      <c r="Q1138" s="13"/>
      <c r="T1138" s="4">
        <v>99</v>
      </c>
      <c r="U1138" s="2"/>
      <c r="V1138" s="2"/>
      <c r="W1138" s="2"/>
      <c r="X1138" s="2"/>
      <c r="Z1138" s="2"/>
      <c r="AA1138" s="2"/>
      <c r="AF1138" s="14"/>
    </row>
    <row r="1139" spans="1:32" s="4" customFormat="1" ht="15.75" customHeight="1" x14ac:dyDescent="0.25">
      <c r="A1139" s="33" t="str">
        <f>CONCATENATE(D1139,".",F1139,"-",G1139,".",H1139,"")</f>
        <v>2.4-1.1</v>
      </c>
      <c r="B1139" s="33"/>
      <c r="C1139" s="39" t="s">
        <v>262</v>
      </c>
      <c r="D1139" s="33">
        <f>IF(C1139="ID",1,(IF(C1139="PR",2,(IF(C1139="DE",3,(IF(C1139="RS",4,(IF(C1139="RC",5,0)))))))))</f>
        <v>2</v>
      </c>
      <c r="E1139" s="33" t="s">
        <v>344</v>
      </c>
      <c r="F1139" s="33">
        <f>IF(E1139="AM",1,(IF(E1139="BE",2,(IF(E1139="GV",3,(IF(E1139="RA",4,(IF(E1139="RM",5,(IF(E1139="AC",1,(IF(E1139="AT",2,(IF(E1139="DS",3,(IF(E1139="IP",4,(IF(E1139="MA",5,(IF(E1139="PT",6,(IF(E1139="AE",1,(IF(E1139="CM",2,(IF(E1139="DP",3,(IF(E1139="AN",1,(IF(E1139="CO",2,(IF(E1139="IM",3,(IF(E1139="MI",4,(IF(E1139="RP",5,(IF(E1139="SC",6,0)))))))))))))))))))))))))))))))))))))))</f>
        <v>4</v>
      </c>
      <c r="G1139" s="170">
        <v>1</v>
      </c>
      <c r="H1139" s="38" t="s">
        <v>511</v>
      </c>
      <c r="I1139" s="105" t="s">
        <v>1449</v>
      </c>
      <c r="J1139" s="157" t="s">
        <v>1907</v>
      </c>
      <c r="K1139" s="34" t="s">
        <v>1908</v>
      </c>
      <c r="L1139" s="5">
        <f>IF(O1139="","",N1139*O1139*M1139)</f>
        <v>99</v>
      </c>
      <c r="M1139" s="8">
        <v>1</v>
      </c>
      <c r="N1139" s="1">
        <v>1</v>
      </c>
      <c r="O1139" s="15">
        <f>IF(SUM(Q1139:AF1139)&lt;1,"",SUM(Q1139:AF1139)/COUNTIF(Q1139:AF1139,"&gt;0"))</f>
        <v>99</v>
      </c>
      <c r="P1139" s="16"/>
      <c r="Q1139" s="13"/>
      <c r="T1139" s="4">
        <v>99</v>
      </c>
      <c r="U1139" s="2"/>
      <c r="V1139" s="2"/>
      <c r="W1139" s="2"/>
      <c r="X1139" s="2"/>
      <c r="Z1139" s="2"/>
      <c r="AA1139" s="2"/>
      <c r="AF1139" s="14"/>
    </row>
    <row r="1140" spans="1:32" s="4" customFormat="1" ht="15.75" customHeight="1" x14ac:dyDescent="0.25">
      <c r="A1140" s="33" t="str">
        <f>CONCATENATE(D1140,".",F1140,"-",G1140,".",H1140,"")</f>
        <v>2.4-1.1</v>
      </c>
      <c r="B1140" s="33"/>
      <c r="C1140" s="39" t="s">
        <v>262</v>
      </c>
      <c r="D1140" s="33">
        <f>IF(C1140="ID",1,(IF(C1140="PR",2,(IF(C1140="DE",3,(IF(C1140="RS",4,(IF(C1140="RC",5,0)))))))))</f>
        <v>2</v>
      </c>
      <c r="E1140" s="33" t="s">
        <v>344</v>
      </c>
      <c r="F1140" s="33">
        <f>IF(E1140="AM",1,(IF(E1140="BE",2,(IF(E1140="GV",3,(IF(E1140="RA",4,(IF(E1140="RM",5,(IF(E1140="AC",1,(IF(E1140="AT",2,(IF(E1140="DS",3,(IF(E1140="IP",4,(IF(E1140="MA",5,(IF(E1140="PT",6,(IF(E1140="AE",1,(IF(E1140="CM",2,(IF(E1140="DP",3,(IF(E1140="AN",1,(IF(E1140="CO",2,(IF(E1140="IM",3,(IF(E1140="MI",4,(IF(E1140="RP",5,(IF(E1140="SC",6,0)))))))))))))))))))))))))))))))))))))))</f>
        <v>4</v>
      </c>
      <c r="G1140" s="170">
        <v>1</v>
      </c>
      <c r="H1140" s="38" t="s">
        <v>511</v>
      </c>
      <c r="I1140" s="105" t="s">
        <v>1449</v>
      </c>
      <c r="J1140" s="157" t="s">
        <v>1909</v>
      </c>
      <c r="K1140" s="34" t="s">
        <v>1910</v>
      </c>
      <c r="L1140" s="5">
        <f>IF(O1140="","",N1140*O1140*M1140)</f>
        <v>99</v>
      </c>
      <c r="M1140" s="8">
        <v>1</v>
      </c>
      <c r="N1140" s="1">
        <v>1</v>
      </c>
      <c r="O1140" s="15">
        <f>IF(SUM(Q1140:AF1140)&lt;1,"",SUM(Q1140:AF1140)/COUNTIF(Q1140:AF1140,"&gt;0"))</f>
        <v>99</v>
      </c>
      <c r="P1140" s="16"/>
      <c r="Q1140" s="13"/>
      <c r="T1140" s="4">
        <v>99</v>
      </c>
      <c r="U1140" s="2"/>
      <c r="V1140" s="2"/>
      <c r="W1140" s="2"/>
      <c r="X1140" s="2"/>
      <c r="Z1140" s="2"/>
      <c r="AA1140" s="2"/>
      <c r="AF1140" s="14"/>
    </row>
    <row r="1141" spans="1:32" s="4" customFormat="1" ht="15.75" customHeight="1" x14ac:dyDescent="0.25">
      <c r="A1141" s="33" t="str">
        <f>CONCATENATE(D1141,".",F1141,"-",G1141,".",H1141,"")</f>
        <v>2.4-1.1</v>
      </c>
      <c r="B1141" s="33"/>
      <c r="C1141" s="39" t="s">
        <v>262</v>
      </c>
      <c r="D1141" s="33">
        <f>IF(C1141="ID",1,(IF(C1141="PR",2,(IF(C1141="DE",3,(IF(C1141="RS",4,(IF(C1141="RC",5,0)))))))))</f>
        <v>2</v>
      </c>
      <c r="E1141" s="33" t="s">
        <v>344</v>
      </c>
      <c r="F1141" s="33">
        <f>IF(E1141="AM",1,(IF(E1141="BE",2,(IF(E1141="GV",3,(IF(E1141="RA",4,(IF(E1141="RM",5,(IF(E1141="AC",1,(IF(E1141="AT",2,(IF(E1141="DS",3,(IF(E1141="IP",4,(IF(E1141="MA",5,(IF(E1141="PT",6,(IF(E1141="AE",1,(IF(E1141="CM",2,(IF(E1141="DP",3,(IF(E1141="AN",1,(IF(E1141="CO",2,(IF(E1141="IM",3,(IF(E1141="MI",4,(IF(E1141="RP",5,(IF(E1141="SC",6,0)))))))))))))))))))))))))))))))))))))))</f>
        <v>4</v>
      </c>
      <c r="G1141" s="170">
        <v>1</v>
      </c>
      <c r="H1141" s="38" t="s">
        <v>511</v>
      </c>
      <c r="I1141" s="105" t="s">
        <v>1449</v>
      </c>
      <c r="J1141" s="157" t="s">
        <v>1911</v>
      </c>
      <c r="K1141" s="34" t="s">
        <v>1912</v>
      </c>
      <c r="L1141" s="5">
        <f>IF(O1141="","",N1141*O1141*M1141)</f>
        <v>99</v>
      </c>
      <c r="M1141" s="8">
        <v>1</v>
      </c>
      <c r="N1141" s="1">
        <v>1</v>
      </c>
      <c r="O1141" s="15">
        <f>IF(SUM(Q1141:AF1141)&lt;1,"",SUM(Q1141:AF1141)/COUNTIF(Q1141:AF1141,"&gt;0"))</f>
        <v>99</v>
      </c>
      <c r="P1141" s="16"/>
      <c r="Q1141" s="13"/>
      <c r="T1141" s="4">
        <v>99</v>
      </c>
      <c r="U1141" s="2"/>
      <c r="V1141" s="2"/>
      <c r="W1141" s="2"/>
      <c r="X1141" s="2"/>
      <c r="Z1141" s="2"/>
      <c r="AA1141" s="2"/>
      <c r="AF1141" s="14"/>
    </row>
    <row r="1142" spans="1:32" s="4" customFormat="1" ht="15.75" customHeight="1" x14ac:dyDescent="0.25">
      <c r="A1142" s="33" t="str">
        <f>CONCATENATE(D1142,".",F1142,"-",G1142,".",H1142,"")</f>
        <v>2.4-1.1</v>
      </c>
      <c r="B1142" s="33"/>
      <c r="C1142" s="39" t="s">
        <v>262</v>
      </c>
      <c r="D1142" s="33">
        <f>IF(C1142="ID",1,(IF(C1142="PR",2,(IF(C1142="DE",3,(IF(C1142="RS",4,(IF(C1142="RC",5,0)))))))))</f>
        <v>2</v>
      </c>
      <c r="E1142" s="33" t="s">
        <v>344</v>
      </c>
      <c r="F1142" s="33">
        <f>IF(E1142="AM",1,(IF(E1142="BE",2,(IF(E1142="GV",3,(IF(E1142="RA",4,(IF(E1142="RM",5,(IF(E1142="AC",1,(IF(E1142="AT",2,(IF(E1142="DS",3,(IF(E1142="IP",4,(IF(E1142="MA",5,(IF(E1142="PT",6,(IF(E1142="AE",1,(IF(E1142="CM",2,(IF(E1142="DP",3,(IF(E1142="AN",1,(IF(E1142="CO",2,(IF(E1142="IM",3,(IF(E1142="MI",4,(IF(E1142="RP",5,(IF(E1142="SC",6,0)))))))))))))))))))))))))))))))))))))))</f>
        <v>4</v>
      </c>
      <c r="G1142" s="170">
        <v>1</v>
      </c>
      <c r="H1142" s="38" t="s">
        <v>511</v>
      </c>
      <c r="I1142" s="105" t="s">
        <v>1449</v>
      </c>
      <c r="J1142" s="157" t="s">
        <v>1913</v>
      </c>
      <c r="K1142" s="34" t="s">
        <v>1914</v>
      </c>
      <c r="L1142" s="5">
        <f>IF(O1142="","",N1142*O1142*M1142)</f>
        <v>99</v>
      </c>
      <c r="M1142" s="8">
        <v>1</v>
      </c>
      <c r="N1142" s="1">
        <v>1</v>
      </c>
      <c r="O1142" s="15">
        <f>IF(SUM(Q1142:AF1142)&lt;1,"",SUM(Q1142:AF1142)/COUNTIF(Q1142:AF1142,"&gt;0"))</f>
        <v>99</v>
      </c>
      <c r="P1142" s="16"/>
      <c r="Q1142" s="13"/>
      <c r="T1142" s="4">
        <v>99</v>
      </c>
      <c r="U1142" s="2"/>
      <c r="V1142" s="2"/>
      <c r="W1142" s="2"/>
      <c r="X1142" s="2"/>
      <c r="Z1142" s="2"/>
      <c r="AA1142" s="2"/>
      <c r="AF1142" s="14"/>
    </row>
    <row r="1143" spans="1:32" s="4" customFormat="1" ht="15.75" customHeight="1" x14ac:dyDescent="0.25">
      <c r="A1143" s="33" t="str">
        <f>CONCATENATE(D1143,".",F1143,"-",G1143,".",H1143,"")</f>
        <v>2.4-1.1</v>
      </c>
      <c r="B1143" s="33"/>
      <c r="C1143" s="39" t="s">
        <v>262</v>
      </c>
      <c r="D1143" s="33">
        <f>IF(C1143="ID",1,(IF(C1143="PR",2,(IF(C1143="DE",3,(IF(C1143="RS",4,(IF(C1143="RC",5,0)))))))))</f>
        <v>2</v>
      </c>
      <c r="E1143" s="33" t="s">
        <v>344</v>
      </c>
      <c r="F1143" s="33">
        <f>IF(E1143="AM",1,(IF(E1143="BE",2,(IF(E1143="GV",3,(IF(E1143="RA",4,(IF(E1143="RM",5,(IF(E1143="AC",1,(IF(E1143="AT",2,(IF(E1143="DS",3,(IF(E1143="IP",4,(IF(E1143="MA",5,(IF(E1143="PT",6,(IF(E1143="AE",1,(IF(E1143="CM",2,(IF(E1143="DP",3,(IF(E1143="AN",1,(IF(E1143="CO",2,(IF(E1143="IM",3,(IF(E1143="MI",4,(IF(E1143="RP",5,(IF(E1143="SC",6,0)))))))))))))))))))))))))))))))))))))))</f>
        <v>4</v>
      </c>
      <c r="G1143" s="170">
        <v>1</v>
      </c>
      <c r="H1143" s="38" t="s">
        <v>511</v>
      </c>
      <c r="I1143" s="105" t="s">
        <v>1449</v>
      </c>
      <c r="J1143" s="157" t="s">
        <v>1915</v>
      </c>
      <c r="K1143" s="34" t="s">
        <v>1916</v>
      </c>
      <c r="L1143" s="5">
        <f>IF(O1143="","",N1143*O1143*M1143)</f>
        <v>99</v>
      </c>
      <c r="M1143" s="8">
        <v>1</v>
      </c>
      <c r="N1143" s="1">
        <v>1</v>
      </c>
      <c r="O1143" s="15">
        <f>IF(SUM(Q1143:AF1143)&lt;1,"",SUM(Q1143:AF1143)/COUNTIF(Q1143:AF1143,"&gt;0"))</f>
        <v>99</v>
      </c>
      <c r="P1143" s="16"/>
      <c r="Q1143" s="13"/>
      <c r="T1143" s="4">
        <v>99</v>
      </c>
      <c r="U1143" s="2"/>
      <c r="V1143" s="2"/>
      <c r="W1143" s="2"/>
      <c r="X1143" s="2"/>
      <c r="Z1143" s="2"/>
      <c r="AA1143" s="2"/>
      <c r="AF1143" s="14"/>
    </row>
    <row r="1144" spans="1:32" s="4" customFormat="1" ht="15.75" customHeight="1" x14ac:dyDescent="0.25">
      <c r="A1144" s="33" t="str">
        <f>CONCATENATE(D1144,".",F1144,"-",G1144,".",H1144,"")</f>
        <v>2.4-1.1</v>
      </c>
      <c r="B1144" s="33"/>
      <c r="C1144" s="39" t="s">
        <v>262</v>
      </c>
      <c r="D1144" s="33">
        <f>IF(C1144="ID",1,(IF(C1144="PR",2,(IF(C1144="DE",3,(IF(C1144="RS",4,(IF(C1144="RC",5,0)))))))))</f>
        <v>2</v>
      </c>
      <c r="E1144" s="33" t="s">
        <v>344</v>
      </c>
      <c r="F1144" s="33">
        <f>IF(E1144="AM",1,(IF(E1144="BE",2,(IF(E1144="GV",3,(IF(E1144="RA",4,(IF(E1144="RM",5,(IF(E1144="AC",1,(IF(E1144="AT",2,(IF(E1144="DS",3,(IF(E1144="IP",4,(IF(E1144="MA",5,(IF(E1144="PT",6,(IF(E1144="AE",1,(IF(E1144="CM",2,(IF(E1144="DP",3,(IF(E1144="AN",1,(IF(E1144="CO",2,(IF(E1144="IM",3,(IF(E1144="MI",4,(IF(E1144="RP",5,(IF(E1144="SC",6,0)))))))))))))))))))))))))))))))))))))))</f>
        <v>4</v>
      </c>
      <c r="G1144" s="170">
        <v>1</v>
      </c>
      <c r="H1144" s="38" t="s">
        <v>511</v>
      </c>
      <c r="I1144" s="105" t="s">
        <v>1449</v>
      </c>
      <c r="J1144" s="157" t="s">
        <v>1917</v>
      </c>
      <c r="K1144" s="34" t="s">
        <v>1918</v>
      </c>
      <c r="L1144" s="5">
        <f>IF(O1144="","",N1144*O1144*M1144)</f>
        <v>99</v>
      </c>
      <c r="M1144" s="8">
        <v>1</v>
      </c>
      <c r="N1144" s="1">
        <v>1</v>
      </c>
      <c r="O1144" s="15">
        <f>IF(SUM(Q1144:AF1144)&lt;1,"",SUM(Q1144:AF1144)/COUNTIF(Q1144:AF1144,"&gt;0"))</f>
        <v>99</v>
      </c>
      <c r="P1144" s="16"/>
      <c r="Q1144" s="13"/>
      <c r="T1144" s="4">
        <v>99</v>
      </c>
      <c r="U1144" s="2"/>
      <c r="V1144" s="2"/>
      <c r="W1144" s="2"/>
      <c r="X1144" s="2"/>
      <c r="Z1144" s="2"/>
      <c r="AA1144" s="2"/>
      <c r="AF1144" s="14"/>
    </row>
    <row r="1145" spans="1:32" s="4" customFormat="1" ht="15.75" customHeight="1" x14ac:dyDescent="0.25">
      <c r="A1145" s="33" t="str">
        <f>CONCATENATE(D1145,".",F1145,"-",G1145,".",H1145,"")</f>
        <v>2.4-1.1</v>
      </c>
      <c r="B1145" s="33"/>
      <c r="C1145" s="39" t="s">
        <v>262</v>
      </c>
      <c r="D1145" s="33">
        <f>IF(C1145="ID",1,(IF(C1145="PR",2,(IF(C1145="DE",3,(IF(C1145="RS",4,(IF(C1145="RC",5,0)))))))))</f>
        <v>2</v>
      </c>
      <c r="E1145" s="33" t="s">
        <v>344</v>
      </c>
      <c r="F1145" s="33">
        <f>IF(E1145="AM",1,(IF(E1145="BE",2,(IF(E1145="GV",3,(IF(E1145="RA",4,(IF(E1145="RM",5,(IF(E1145="AC",1,(IF(E1145="AT",2,(IF(E1145="DS",3,(IF(E1145="IP",4,(IF(E1145="MA",5,(IF(E1145="PT",6,(IF(E1145="AE",1,(IF(E1145="CM",2,(IF(E1145="DP",3,(IF(E1145="AN",1,(IF(E1145="CO",2,(IF(E1145="IM",3,(IF(E1145="MI",4,(IF(E1145="RP",5,(IF(E1145="SC",6,0)))))))))))))))))))))))))))))))))))))))</f>
        <v>4</v>
      </c>
      <c r="G1145" s="170">
        <v>1</v>
      </c>
      <c r="H1145" s="38" t="s">
        <v>511</v>
      </c>
      <c r="I1145" s="105" t="s">
        <v>1449</v>
      </c>
      <c r="J1145" s="157" t="s">
        <v>1919</v>
      </c>
      <c r="K1145" s="34" t="s">
        <v>1920</v>
      </c>
      <c r="L1145" s="5">
        <f>IF(O1145="","",N1145*O1145*M1145)</f>
        <v>99</v>
      </c>
      <c r="M1145" s="8">
        <v>1</v>
      </c>
      <c r="N1145" s="1">
        <v>1</v>
      </c>
      <c r="O1145" s="15">
        <f>IF(SUM(Q1145:AF1145)&lt;1,"",SUM(Q1145:AF1145)/COUNTIF(Q1145:AF1145,"&gt;0"))</f>
        <v>99</v>
      </c>
      <c r="P1145" s="16"/>
      <c r="Q1145" s="13"/>
      <c r="T1145" s="4">
        <v>99</v>
      </c>
      <c r="U1145" s="2"/>
      <c r="V1145" s="2"/>
      <c r="W1145" s="2"/>
      <c r="X1145" s="2"/>
      <c r="Z1145" s="2"/>
      <c r="AA1145" s="2"/>
      <c r="AF1145" s="14"/>
    </row>
    <row r="1146" spans="1:32" s="4" customFormat="1" ht="15.75" customHeight="1" x14ac:dyDescent="0.25">
      <c r="A1146" s="33" t="str">
        <f>CONCATENATE(D1146,".",F1146,"-",G1146,".",H1146,"")</f>
        <v>2.4-1.1</v>
      </c>
      <c r="B1146" s="33"/>
      <c r="C1146" s="39" t="s">
        <v>262</v>
      </c>
      <c r="D1146" s="33">
        <f>IF(C1146="ID",1,(IF(C1146="PR",2,(IF(C1146="DE",3,(IF(C1146="RS",4,(IF(C1146="RC",5,0)))))))))</f>
        <v>2</v>
      </c>
      <c r="E1146" s="33" t="s">
        <v>344</v>
      </c>
      <c r="F1146" s="33">
        <f>IF(E1146="AM",1,(IF(E1146="BE",2,(IF(E1146="GV",3,(IF(E1146="RA",4,(IF(E1146="RM",5,(IF(E1146="AC",1,(IF(E1146="AT",2,(IF(E1146="DS",3,(IF(E1146="IP",4,(IF(E1146="MA",5,(IF(E1146="PT",6,(IF(E1146="AE",1,(IF(E1146="CM",2,(IF(E1146="DP",3,(IF(E1146="AN",1,(IF(E1146="CO",2,(IF(E1146="IM",3,(IF(E1146="MI",4,(IF(E1146="RP",5,(IF(E1146="SC",6,0)))))))))))))))))))))))))))))))))))))))</f>
        <v>4</v>
      </c>
      <c r="G1146" s="170">
        <v>1</v>
      </c>
      <c r="H1146" s="38" t="s">
        <v>511</v>
      </c>
      <c r="I1146" s="105" t="s">
        <v>1449</v>
      </c>
      <c r="J1146" s="157" t="s">
        <v>1921</v>
      </c>
      <c r="K1146" s="34" t="s">
        <v>1922</v>
      </c>
      <c r="L1146" s="5">
        <f>IF(O1146="","",N1146*O1146*M1146)</f>
        <v>99</v>
      </c>
      <c r="M1146" s="8">
        <v>1</v>
      </c>
      <c r="N1146" s="1">
        <v>1</v>
      </c>
      <c r="O1146" s="15">
        <f>IF(SUM(Q1146:AF1146)&lt;1,"",SUM(Q1146:AF1146)/COUNTIF(Q1146:AF1146,"&gt;0"))</f>
        <v>99</v>
      </c>
      <c r="P1146" s="16"/>
      <c r="Q1146" s="13"/>
      <c r="T1146" s="4">
        <v>99</v>
      </c>
      <c r="U1146" s="2"/>
      <c r="V1146" s="2"/>
      <c r="W1146" s="2"/>
      <c r="X1146" s="2"/>
      <c r="Z1146" s="2"/>
      <c r="AA1146" s="2"/>
      <c r="AF1146" s="14"/>
    </row>
    <row r="1147" spans="1:32" s="4" customFormat="1" ht="15.75" customHeight="1" x14ac:dyDescent="0.25">
      <c r="A1147" s="33" t="str">
        <f>CONCATENATE(D1147,".",F1147,"-",G1147,".",H1147,"")</f>
        <v>2.4-1.1</v>
      </c>
      <c r="B1147" s="33"/>
      <c r="C1147" s="39" t="s">
        <v>262</v>
      </c>
      <c r="D1147" s="33">
        <f>IF(C1147="ID",1,(IF(C1147="PR",2,(IF(C1147="DE",3,(IF(C1147="RS",4,(IF(C1147="RC",5,0)))))))))</f>
        <v>2</v>
      </c>
      <c r="E1147" s="33" t="s">
        <v>344</v>
      </c>
      <c r="F1147" s="33">
        <f>IF(E1147="AM",1,(IF(E1147="BE",2,(IF(E1147="GV",3,(IF(E1147="RA",4,(IF(E1147="RM",5,(IF(E1147="AC",1,(IF(E1147="AT",2,(IF(E1147="DS",3,(IF(E1147="IP",4,(IF(E1147="MA",5,(IF(E1147="PT",6,(IF(E1147="AE",1,(IF(E1147="CM",2,(IF(E1147="DP",3,(IF(E1147="AN",1,(IF(E1147="CO",2,(IF(E1147="IM",3,(IF(E1147="MI",4,(IF(E1147="RP",5,(IF(E1147="SC",6,0)))))))))))))))))))))))))))))))))))))))</f>
        <v>4</v>
      </c>
      <c r="G1147" s="170">
        <v>1</v>
      </c>
      <c r="H1147" s="38" t="s">
        <v>511</v>
      </c>
      <c r="I1147" s="105" t="s">
        <v>1449</v>
      </c>
      <c r="J1147" s="157" t="s">
        <v>1923</v>
      </c>
      <c r="K1147" s="34" t="s">
        <v>1924</v>
      </c>
      <c r="L1147" s="5">
        <f>IF(O1147="","",N1147*O1147*M1147)</f>
        <v>99</v>
      </c>
      <c r="M1147" s="8">
        <v>1</v>
      </c>
      <c r="N1147" s="1">
        <v>1</v>
      </c>
      <c r="O1147" s="15">
        <f>IF(SUM(Q1147:AF1147)&lt;1,"",SUM(Q1147:AF1147)/COUNTIF(Q1147:AF1147,"&gt;0"))</f>
        <v>99</v>
      </c>
      <c r="P1147" s="16"/>
      <c r="Q1147" s="13"/>
      <c r="T1147" s="4">
        <v>99</v>
      </c>
      <c r="U1147" s="2"/>
      <c r="V1147" s="2"/>
      <c r="W1147" s="2"/>
      <c r="X1147" s="2"/>
      <c r="Z1147" s="2"/>
      <c r="AA1147" s="2"/>
      <c r="AF1147" s="14"/>
    </row>
    <row r="1148" spans="1:32" s="4" customFormat="1" ht="15.75" customHeight="1" x14ac:dyDescent="0.25">
      <c r="A1148" s="33" t="str">
        <f>CONCATENATE(D1148,".",F1148,"-",G1148,".",H1148,"")</f>
        <v>2.4-1.1</v>
      </c>
      <c r="B1148" s="33"/>
      <c r="C1148" s="39" t="s">
        <v>262</v>
      </c>
      <c r="D1148" s="33">
        <f>IF(C1148="ID",1,(IF(C1148="PR",2,(IF(C1148="DE",3,(IF(C1148="RS",4,(IF(C1148="RC",5,0)))))))))</f>
        <v>2</v>
      </c>
      <c r="E1148" s="33" t="s">
        <v>344</v>
      </c>
      <c r="F1148" s="33">
        <f>IF(E1148="AM",1,(IF(E1148="BE",2,(IF(E1148="GV",3,(IF(E1148="RA",4,(IF(E1148="RM",5,(IF(E1148="AC",1,(IF(E1148="AT",2,(IF(E1148="DS",3,(IF(E1148="IP",4,(IF(E1148="MA",5,(IF(E1148="PT",6,(IF(E1148="AE",1,(IF(E1148="CM",2,(IF(E1148="DP",3,(IF(E1148="AN",1,(IF(E1148="CO",2,(IF(E1148="IM",3,(IF(E1148="MI",4,(IF(E1148="RP",5,(IF(E1148="SC",6,0)))))))))))))))))))))))))))))))))))))))</f>
        <v>4</v>
      </c>
      <c r="G1148" s="170">
        <v>1</v>
      </c>
      <c r="H1148" s="38" t="s">
        <v>511</v>
      </c>
      <c r="I1148" s="105" t="s">
        <v>1449</v>
      </c>
      <c r="J1148" s="157" t="s">
        <v>1925</v>
      </c>
      <c r="K1148" s="34" t="s">
        <v>1926</v>
      </c>
      <c r="L1148" s="5">
        <f>IF(O1148="","",N1148*O1148*M1148)</f>
        <v>99</v>
      </c>
      <c r="M1148" s="8">
        <v>1</v>
      </c>
      <c r="N1148" s="1">
        <v>1</v>
      </c>
      <c r="O1148" s="15">
        <f>IF(SUM(Q1148:AF1148)&lt;1,"",SUM(Q1148:AF1148)/COUNTIF(Q1148:AF1148,"&gt;0"))</f>
        <v>99</v>
      </c>
      <c r="P1148" s="16"/>
      <c r="Q1148" s="13"/>
      <c r="T1148" s="4">
        <v>99</v>
      </c>
      <c r="U1148" s="2"/>
      <c r="V1148" s="2"/>
      <c r="W1148" s="2"/>
      <c r="X1148" s="2"/>
      <c r="Z1148" s="2"/>
      <c r="AA1148" s="2"/>
      <c r="AF1148" s="14"/>
    </row>
    <row r="1149" spans="1:32" s="4" customFormat="1" ht="15.75" customHeight="1" x14ac:dyDescent="0.25">
      <c r="A1149" s="33" t="str">
        <f>CONCATENATE(D1149,".",F1149,"-",G1149,".",H1149,"")</f>
        <v>2.4-1.1</v>
      </c>
      <c r="B1149" s="33"/>
      <c r="C1149" s="39" t="s">
        <v>262</v>
      </c>
      <c r="D1149" s="33">
        <f>IF(C1149="ID",1,(IF(C1149="PR",2,(IF(C1149="DE",3,(IF(C1149="RS",4,(IF(C1149="RC",5,0)))))))))</f>
        <v>2</v>
      </c>
      <c r="E1149" s="33" t="s">
        <v>344</v>
      </c>
      <c r="F1149" s="33">
        <f>IF(E1149="AM",1,(IF(E1149="BE",2,(IF(E1149="GV",3,(IF(E1149="RA",4,(IF(E1149="RM",5,(IF(E1149="AC",1,(IF(E1149="AT",2,(IF(E1149="DS",3,(IF(E1149="IP",4,(IF(E1149="MA",5,(IF(E1149="PT",6,(IF(E1149="AE",1,(IF(E1149="CM",2,(IF(E1149="DP",3,(IF(E1149="AN",1,(IF(E1149="CO",2,(IF(E1149="IM",3,(IF(E1149="MI",4,(IF(E1149="RP",5,(IF(E1149="SC",6,0)))))))))))))))))))))))))))))))))))))))</f>
        <v>4</v>
      </c>
      <c r="G1149" s="170">
        <v>1</v>
      </c>
      <c r="H1149" s="38" t="s">
        <v>511</v>
      </c>
      <c r="I1149" s="105" t="s">
        <v>1449</v>
      </c>
      <c r="J1149" s="157" t="s">
        <v>1927</v>
      </c>
      <c r="K1149" s="34" t="s">
        <v>1928</v>
      </c>
      <c r="L1149" s="5">
        <f>IF(O1149="","",N1149*O1149*M1149)</f>
        <v>99</v>
      </c>
      <c r="M1149" s="8">
        <v>1</v>
      </c>
      <c r="N1149" s="1">
        <v>1</v>
      </c>
      <c r="O1149" s="15">
        <f>IF(SUM(Q1149:AF1149)&lt;1,"",SUM(Q1149:AF1149)/COUNTIF(Q1149:AF1149,"&gt;0"))</f>
        <v>99</v>
      </c>
      <c r="P1149" s="16"/>
      <c r="Q1149" s="13"/>
      <c r="T1149" s="4">
        <v>99</v>
      </c>
      <c r="U1149" s="2"/>
      <c r="V1149" s="2"/>
      <c r="W1149" s="2"/>
      <c r="X1149" s="2"/>
      <c r="Z1149" s="2"/>
      <c r="AA1149" s="2"/>
      <c r="AF1149" s="14"/>
    </row>
    <row r="1150" spans="1:32" s="4" customFormat="1" ht="15.75" customHeight="1" x14ac:dyDescent="0.25">
      <c r="A1150" s="33" t="str">
        <f>CONCATENATE(D1150,".",F1150,"-",G1150,".",H1150,"")</f>
        <v>2.4-1.1</v>
      </c>
      <c r="B1150" s="33"/>
      <c r="C1150" s="39" t="s">
        <v>262</v>
      </c>
      <c r="D1150" s="33">
        <f>IF(C1150="ID",1,(IF(C1150="PR",2,(IF(C1150="DE",3,(IF(C1150="RS",4,(IF(C1150="RC",5,0)))))))))</f>
        <v>2</v>
      </c>
      <c r="E1150" s="33" t="s">
        <v>344</v>
      </c>
      <c r="F1150" s="33">
        <f>IF(E1150="AM",1,(IF(E1150="BE",2,(IF(E1150="GV",3,(IF(E1150="RA",4,(IF(E1150="RM",5,(IF(E1150="AC",1,(IF(E1150="AT",2,(IF(E1150="DS",3,(IF(E1150="IP",4,(IF(E1150="MA",5,(IF(E1150="PT",6,(IF(E1150="AE",1,(IF(E1150="CM",2,(IF(E1150="DP",3,(IF(E1150="AN",1,(IF(E1150="CO",2,(IF(E1150="IM",3,(IF(E1150="MI",4,(IF(E1150="RP",5,(IF(E1150="SC",6,0)))))))))))))))))))))))))))))))))))))))</f>
        <v>4</v>
      </c>
      <c r="G1150" s="170">
        <v>1</v>
      </c>
      <c r="H1150" s="38" t="s">
        <v>511</v>
      </c>
      <c r="I1150" s="105" t="s">
        <v>1449</v>
      </c>
      <c r="J1150" s="157" t="s">
        <v>1929</v>
      </c>
      <c r="K1150" s="34" t="s">
        <v>1930</v>
      </c>
      <c r="L1150" s="5">
        <f>IF(O1150="","",N1150*O1150*M1150)</f>
        <v>99</v>
      </c>
      <c r="M1150" s="8">
        <v>1</v>
      </c>
      <c r="N1150" s="1">
        <v>1</v>
      </c>
      <c r="O1150" s="15">
        <f>IF(SUM(Q1150:AF1150)&lt;1,"",SUM(Q1150:AF1150)/COUNTIF(Q1150:AF1150,"&gt;0"))</f>
        <v>99</v>
      </c>
      <c r="P1150" s="16"/>
      <c r="Q1150" s="13"/>
      <c r="T1150" s="4">
        <v>99</v>
      </c>
      <c r="U1150" s="2"/>
      <c r="V1150" s="2"/>
      <c r="W1150" s="2"/>
      <c r="X1150" s="2"/>
      <c r="Z1150" s="2"/>
      <c r="AA1150" s="2"/>
      <c r="AF1150" s="14"/>
    </row>
    <row r="1151" spans="1:32" s="4" customFormat="1" ht="15.75" customHeight="1" x14ac:dyDescent="0.25">
      <c r="A1151" s="33" t="str">
        <f>CONCATENATE(D1151,".",F1151,"-",G1151,".",H1151,"")</f>
        <v>2.4-1.1</v>
      </c>
      <c r="B1151" s="33"/>
      <c r="C1151" s="39" t="s">
        <v>262</v>
      </c>
      <c r="D1151" s="33">
        <f>IF(C1151="ID",1,(IF(C1151="PR",2,(IF(C1151="DE",3,(IF(C1151="RS",4,(IF(C1151="RC",5,0)))))))))</f>
        <v>2</v>
      </c>
      <c r="E1151" s="33" t="s">
        <v>344</v>
      </c>
      <c r="F1151" s="33">
        <f>IF(E1151="AM",1,(IF(E1151="BE",2,(IF(E1151="GV",3,(IF(E1151="RA",4,(IF(E1151="RM",5,(IF(E1151="AC",1,(IF(E1151="AT",2,(IF(E1151="DS",3,(IF(E1151="IP",4,(IF(E1151="MA",5,(IF(E1151="PT",6,(IF(E1151="AE",1,(IF(E1151="CM",2,(IF(E1151="DP",3,(IF(E1151="AN",1,(IF(E1151="CO",2,(IF(E1151="IM",3,(IF(E1151="MI",4,(IF(E1151="RP",5,(IF(E1151="SC",6,0)))))))))))))))))))))))))))))))))))))))</f>
        <v>4</v>
      </c>
      <c r="G1151" s="170">
        <v>1</v>
      </c>
      <c r="H1151" s="38" t="s">
        <v>511</v>
      </c>
      <c r="I1151" s="105" t="s">
        <v>1449</v>
      </c>
      <c r="J1151" s="157" t="s">
        <v>1931</v>
      </c>
      <c r="K1151" s="34" t="s">
        <v>1932</v>
      </c>
      <c r="L1151" s="5">
        <f>IF(O1151="","",N1151*O1151*M1151)</f>
        <v>99</v>
      </c>
      <c r="M1151" s="8">
        <v>1</v>
      </c>
      <c r="N1151" s="1">
        <v>1</v>
      </c>
      <c r="O1151" s="15">
        <f>IF(SUM(Q1151:AF1151)&lt;1,"",SUM(Q1151:AF1151)/COUNTIF(Q1151:AF1151,"&gt;0"))</f>
        <v>99</v>
      </c>
      <c r="P1151" s="16"/>
      <c r="Q1151" s="13"/>
      <c r="T1151" s="4">
        <v>99</v>
      </c>
      <c r="U1151" s="2"/>
      <c r="V1151" s="2"/>
      <c r="W1151" s="2"/>
      <c r="X1151" s="2"/>
      <c r="Z1151" s="2"/>
      <c r="AA1151" s="2"/>
      <c r="AF1151" s="14"/>
    </row>
    <row r="1152" spans="1:32" s="4" customFormat="1" ht="15.75" customHeight="1" x14ac:dyDescent="0.25">
      <c r="A1152" s="33" t="str">
        <f>CONCATENATE(D1152,".",F1152,"-",G1152,".",H1152,"")</f>
        <v>2.4-1.1</v>
      </c>
      <c r="B1152" s="33"/>
      <c r="C1152" s="39" t="s">
        <v>262</v>
      </c>
      <c r="D1152" s="33">
        <f>IF(C1152="ID",1,(IF(C1152="PR",2,(IF(C1152="DE",3,(IF(C1152="RS",4,(IF(C1152="RC",5,0)))))))))</f>
        <v>2</v>
      </c>
      <c r="E1152" s="33" t="s">
        <v>344</v>
      </c>
      <c r="F1152" s="33">
        <f>IF(E1152="AM",1,(IF(E1152="BE",2,(IF(E1152="GV",3,(IF(E1152="RA",4,(IF(E1152="RM",5,(IF(E1152="AC",1,(IF(E1152="AT",2,(IF(E1152="DS",3,(IF(E1152="IP",4,(IF(E1152="MA",5,(IF(E1152="PT",6,(IF(E1152="AE",1,(IF(E1152="CM",2,(IF(E1152="DP",3,(IF(E1152="AN",1,(IF(E1152="CO",2,(IF(E1152="IM",3,(IF(E1152="MI",4,(IF(E1152="RP",5,(IF(E1152="SC",6,0)))))))))))))))))))))))))))))))))))))))</f>
        <v>4</v>
      </c>
      <c r="G1152" s="170">
        <v>1</v>
      </c>
      <c r="H1152" s="38" t="s">
        <v>511</v>
      </c>
      <c r="I1152" s="105" t="s">
        <v>1449</v>
      </c>
      <c r="J1152" s="157" t="s">
        <v>1933</v>
      </c>
      <c r="K1152" s="34" t="s">
        <v>1934</v>
      </c>
      <c r="L1152" s="5">
        <f>IF(O1152="","",N1152*O1152*M1152)</f>
        <v>99</v>
      </c>
      <c r="M1152" s="8">
        <v>1</v>
      </c>
      <c r="N1152" s="1">
        <v>1</v>
      </c>
      <c r="O1152" s="15">
        <f>IF(SUM(Q1152:AF1152)&lt;1,"",SUM(Q1152:AF1152)/COUNTIF(Q1152:AF1152,"&gt;0"))</f>
        <v>99</v>
      </c>
      <c r="P1152" s="16"/>
      <c r="Q1152" s="13"/>
      <c r="T1152" s="4">
        <v>99</v>
      </c>
      <c r="U1152" s="2"/>
      <c r="V1152" s="2"/>
      <c r="W1152" s="2"/>
      <c r="X1152" s="2"/>
      <c r="Z1152" s="2"/>
      <c r="AA1152" s="2"/>
      <c r="AF1152" s="14"/>
    </row>
    <row r="1153" spans="1:33" ht="15.75" customHeight="1" x14ac:dyDescent="0.25">
      <c r="A1153" s="33" t="str">
        <f>CONCATENATE(D1153,".",F1153,"-",G1153,".",H1153,"")</f>
        <v>2.4-1.1</v>
      </c>
      <c r="C1153" s="39" t="s">
        <v>262</v>
      </c>
      <c r="D1153" s="33">
        <f>IF(C1153="ID",1,(IF(C1153="PR",2,(IF(C1153="DE",3,(IF(C1153="RS",4,(IF(C1153="RC",5,0)))))))))</f>
        <v>2</v>
      </c>
      <c r="E1153" s="33" t="s">
        <v>344</v>
      </c>
      <c r="F1153" s="33">
        <f>IF(E1153="AM",1,(IF(E1153="BE",2,(IF(E1153="GV",3,(IF(E1153="RA",4,(IF(E1153="RM",5,(IF(E1153="AC",1,(IF(E1153="AT",2,(IF(E1153="DS",3,(IF(E1153="IP",4,(IF(E1153="MA",5,(IF(E1153="PT",6,(IF(E1153="AE",1,(IF(E1153="CM",2,(IF(E1153="DP",3,(IF(E1153="AN",1,(IF(E1153="CO",2,(IF(E1153="IM",3,(IF(E1153="MI",4,(IF(E1153="RP",5,(IF(E1153="SC",6,0)))))))))))))))))))))))))))))))))))))))</f>
        <v>4</v>
      </c>
      <c r="G1153" s="170">
        <v>1</v>
      </c>
      <c r="H1153" s="38" t="s">
        <v>511</v>
      </c>
      <c r="I1153" s="105" t="s">
        <v>1449</v>
      </c>
      <c r="J1153" s="157" t="s">
        <v>1935</v>
      </c>
      <c r="K1153" s="34" t="s">
        <v>1936</v>
      </c>
      <c r="L1153" s="5">
        <f>IF(O1153="","",N1153*O1153*M1153)</f>
        <v>99</v>
      </c>
      <c r="M1153" s="8">
        <v>1</v>
      </c>
      <c r="N1153" s="1">
        <v>1</v>
      </c>
      <c r="O1153" s="15">
        <f>IF(SUM(Q1153:AF1153)&lt;1,"",SUM(Q1153:AF1153)/COUNTIF(Q1153:AF1153,"&gt;0"))</f>
        <v>99</v>
      </c>
      <c r="P1153" s="16"/>
      <c r="Q1153" s="13"/>
      <c r="R1153" s="4"/>
      <c r="S1153" s="4"/>
      <c r="T1153" s="4">
        <v>99</v>
      </c>
      <c r="U1153" s="2"/>
      <c r="V1153" s="2"/>
      <c r="W1153" s="2"/>
      <c r="X1153" s="2"/>
      <c r="Y1153" s="4"/>
      <c r="Z1153" s="2"/>
      <c r="AA1153" s="2"/>
      <c r="AB1153" s="4"/>
      <c r="AC1153" s="4"/>
      <c r="AD1153" s="4"/>
      <c r="AE1153" s="4"/>
      <c r="AF1153" s="14"/>
      <c r="AG1153" s="3"/>
    </row>
    <row r="1154" spans="1:33" s="4" customFormat="1" ht="15.75" customHeight="1" x14ac:dyDescent="0.25">
      <c r="A1154" s="33" t="str">
        <f>CONCATENATE(D1154,".",F1154,"-",G1154,".",H1154,"")</f>
        <v>2.4-1.1</v>
      </c>
      <c r="B1154" s="33"/>
      <c r="C1154" s="39" t="s">
        <v>262</v>
      </c>
      <c r="D1154" s="33">
        <f>IF(C1154="ID",1,(IF(C1154="PR",2,(IF(C1154="DE",3,(IF(C1154="RS",4,(IF(C1154="RC",5,0)))))))))</f>
        <v>2</v>
      </c>
      <c r="E1154" s="33" t="s">
        <v>344</v>
      </c>
      <c r="F1154" s="33">
        <f>IF(E1154="AM",1,(IF(E1154="BE",2,(IF(E1154="GV",3,(IF(E1154="RA",4,(IF(E1154="RM",5,(IF(E1154="AC",1,(IF(E1154="AT",2,(IF(E1154="DS",3,(IF(E1154="IP",4,(IF(E1154="MA",5,(IF(E1154="PT",6,(IF(E1154="AE",1,(IF(E1154="CM",2,(IF(E1154="DP",3,(IF(E1154="AN",1,(IF(E1154="CO",2,(IF(E1154="IM",3,(IF(E1154="MI",4,(IF(E1154="RP",5,(IF(E1154="SC",6,0)))))))))))))))))))))))))))))))))))))))</f>
        <v>4</v>
      </c>
      <c r="G1154" s="170">
        <v>1</v>
      </c>
      <c r="H1154" s="38" t="s">
        <v>511</v>
      </c>
      <c r="I1154" s="105" t="s">
        <v>1449</v>
      </c>
      <c r="J1154" s="157" t="s">
        <v>1937</v>
      </c>
      <c r="K1154" s="34" t="s">
        <v>1938</v>
      </c>
      <c r="L1154" s="5">
        <f>IF(O1154="","",N1154*O1154*M1154)</f>
        <v>99</v>
      </c>
      <c r="M1154" s="8">
        <v>1</v>
      </c>
      <c r="N1154" s="1">
        <v>1</v>
      </c>
      <c r="O1154" s="15">
        <f>IF(SUM(Q1154:AF1154)&lt;1,"",SUM(Q1154:AF1154)/COUNTIF(Q1154:AF1154,"&gt;0"))</f>
        <v>99</v>
      </c>
      <c r="P1154" s="16"/>
      <c r="Q1154" s="13"/>
      <c r="T1154" s="4">
        <v>99</v>
      </c>
      <c r="U1154" s="2"/>
      <c r="V1154" s="2"/>
      <c r="W1154" s="2"/>
      <c r="X1154" s="2"/>
      <c r="Z1154" s="2"/>
      <c r="AA1154" s="2"/>
      <c r="AF1154" s="14"/>
    </row>
    <row r="1155" spans="1:33" s="4" customFormat="1" ht="15.75" customHeight="1" x14ac:dyDescent="0.25">
      <c r="A1155" s="33" t="str">
        <f>CONCATENATE(D1155,".",F1155,"-",G1155,".",H1155,"")</f>
        <v>2.4-1.1</v>
      </c>
      <c r="B1155" s="33"/>
      <c r="C1155" s="39" t="s">
        <v>262</v>
      </c>
      <c r="D1155" s="33">
        <f>IF(C1155="ID",1,(IF(C1155="PR",2,(IF(C1155="DE",3,(IF(C1155="RS",4,(IF(C1155="RC",5,0)))))))))</f>
        <v>2</v>
      </c>
      <c r="E1155" s="33" t="s">
        <v>344</v>
      </c>
      <c r="F1155" s="33">
        <f>IF(E1155="AM",1,(IF(E1155="BE",2,(IF(E1155="GV",3,(IF(E1155="RA",4,(IF(E1155="RM",5,(IF(E1155="AC",1,(IF(E1155="AT",2,(IF(E1155="DS",3,(IF(E1155="IP",4,(IF(E1155="MA",5,(IF(E1155="PT",6,(IF(E1155="AE",1,(IF(E1155="CM",2,(IF(E1155="DP",3,(IF(E1155="AN",1,(IF(E1155="CO",2,(IF(E1155="IM",3,(IF(E1155="MI",4,(IF(E1155="RP",5,(IF(E1155="SC",6,0)))))))))))))))))))))))))))))))))))))))</f>
        <v>4</v>
      </c>
      <c r="G1155" s="170">
        <v>1</v>
      </c>
      <c r="H1155" s="38" t="s">
        <v>511</v>
      </c>
      <c r="I1155" s="105" t="s">
        <v>1449</v>
      </c>
      <c r="J1155" s="157" t="s">
        <v>1939</v>
      </c>
      <c r="K1155" s="34" t="s">
        <v>1940</v>
      </c>
      <c r="L1155" s="5">
        <f>IF(O1155="","",N1155*O1155*M1155)</f>
        <v>99</v>
      </c>
      <c r="M1155" s="8">
        <v>1</v>
      </c>
      <c r="N1155" s="1">
        <v>1</v>
      </c>
      <c r="O1155" s="15">
        <f>IF(SUM(Q1155:AF1155)&lt;1,"",SUM(Q1155:AF1155)/COUNTIF(Q1155:AF1155,"&gt;0"))</f>
        <v>99</v>
      </c>
      <c r="P1155" s="16"/>
      <c r="Q1155" s="13"/>
      <c r="T1155" s="4">
        <v>99</v>
      </c>
      <c r="U1155" s="2"/>
      <c r="V1155" s="2"/>
      <c r="W1155" s="2"/>
      <c r="X1155" s="2"/>
      <c r="Z1155" s="2"/>
      <c r="AA1155" s="2"/>
      <c r="AF1155" s="14"/>
    </row>
    <row r="1156" spans="1:33" s="4" customFormat="1" ht="15.75" customHeight="1" x14ac:dyDescent="0.25">
      <c r="A1156" s="33" t="str">
        <f>CONCATENATE(D1156,".",F1156,"-",G1156,".",H1156,"")</f>
        <v>2.4-1.1</v>
      </c>
      <c r="B1156" s="33"/>
      <c r="C1156" s="39" t="s">
        <v>262</v>
      </c>
      <c r="D1156" s="33">
        <f>IF(C1156="ID",1,(IF(C1156="PR",2,(IF(C1156="DE",3,(IF(C1156="RS",4,(IF(C1156="RC",5,0)))))))))</f>
        <v>2</v>
      </c>
      <c r="E1156" s="33" t="s">
        <v>344</v>
      </c>
      <c r="F1156" s="33">
        <f>IF(E1156="AM",1,(IF(E1156="BE",2,(IF(E1156="GV",3,(IF(E1156="RA",4,(IF(E1156="RM",5,(IF(E1156="AC",1,(IF(E1156="AT",2,(IF(E1156="DS",3,(IF(E1156="IP",4,(IF(E1156="MA",5,(IF(E1156="PT",6,(IF(E1156="AE",1,(IF(E1156="CM",2,(IF(E1156="DP",3,(IF(E1156="AN",1,(IF(E1156="CO",2,(IF(E1156="IM",3,(IF(E1156="MI",4,(IF(E1156="RP",5,(IF(E1156="SC",6,0)))))))))))))))))))))))))))))))))))))))</f>
        <v>4</v>
      </c>
      <c r="G1156" s="170">
        <v>1</v>
      </c>
      <c r="H1156" s="38" t="s">
        <v>511</v>
      </c>
      <c r="I1156" s="105" t="s">
        <v>1449</v>
      </c>
      <c r="J1156" s="157" t="s">
        <v>1941</v>
      </c>
      <c r="K1156" s="34" t="s">
        <v>1942</v>
      </c>
      <c r="L1156" s="5">
        <f>IF(O1156="","",N1156*O1156*M1156)</f>
        <v>99</v>
      </c>
      <c r="M1156" s="8">
        <v>1</v>
      </c>
      <c r="N1156" s="1">
        <v>1</v>
      </c>
      <c r="O1156" s="15">
        <f>IF(SUM(Q1156:AF1156)&lt;1,"",SUM(Q1156:AF1156)/COUNTIF(Q1156:AF1156,"&gt;0"))</f>
        <v>99</v>
      </c>
      <c r="P1156" s="16"/>
      <c r="Q1156" s="13"/>
      <c r="T1156" s="4">
        <v>99</v>
      </c>
      <c r="U1156" s="2"/>
      <c r="V1156" s="2"/>
      <c r="W1156" s="2"/>
      <c r="X1156" s="2"/>
      <c r="Z1156" s="2"/>
      <c r="AA1156" s="2"/>
      <c r="AF1156" s="14"/>
    </row>
    <row r="1157" spans="1:33" s="4" customFormat="1" ht="15.75" customHeight="1" x14ac:dyDescent="0.25">
      <c r="A1157" s="33" t="str">
        <f>CONCATENATE(D1157,".",F1157,"-",G1157,".",H1157,"")</f>
        <v>2.4-1.1</v>
      </c>
      <c r="B1157" s="33"/>
      <c r="C1157" s="39" t="s">
        <v>262</v>
      </c>
      <c r="D1157" s="33">
        <f>IF(C1157="ID",1,(IF(C1157="PR",2,(IF(C1157="DE",3,(IF(C1157="RS",4,(IF(C1157="RC",5,0)))))))))</f>
        <v>2</v>
      </c>
      <c r="E1157" s="33" t="s">
        <v>344</v>
      </c>
      <c r="F1157" s="33">
        <f>IF(E1157="AM",1,(IF(E1157="BE",2,(IF(E1157="GV",3,(IF(E1157="RA",4,(IF(E1157="RM",5,(IF(E1157="AC",1,(IF(E1157="AT",2,(IF(E1157="DS",3,(IF(E1157="IP",4,(IF(E1157="MA",5,(IF(E1157="PT",6,(IF(E1157="AE",1,(IF(E1157="CM",2,(IF(E1157="DP",3,(IF(E1157="AN",1,(IF(E1157="CO",2,(IF(E1157="IM",3,(IF(E1157="MI",4,(IF(E1157="RP",5,(IF(E1157="SC",6,0)))))))))))))))))))))))))))))))))))))))</f>
        <v>4</v>
      </c>
      <c r="G1157" s="170">
        <v>1</v>
      </c>
      <c r="H1157" s="38" t="s">
        <v>511</v>
      </c>
      <c r="I1157" s="105" t="s">
        <v>1449</v>
      </c>
      <c r="J1157" s="157" t="s">
        <v>1943</v>
      </c>
      <c r="K1157" s="34" t="s">
        <v>1944</v>
      </c>
      <c r="L1157" s="5">
        <f>IF(O1157="","",N1157*O1157*M1157)</f>
        <v>99</v>
      </c>
      <c r="M1157" s="8">
        <v>1</v>
      </c>
      <c r="N1157" s="1">
        <v>1</v>
      </c>
      <c r="O1157" s="15">
        <f>IF(SUM(Q1157:AF1157)&lt;1,"",SUM(Q1157:AF1157)/COUNTIF(Q1157:AF1157,"&gt;0"))</f>
        <v>99</v>
      </c>
      <c r="P1157" s="16"/>
      <c r="Q1157" s="13"/>
      <c r="T1157" s="4">
        <v>99</v>
      </c>
      <c r="U1157" s="2"/>
      <c r="V1157" s="2"/>
      <c r="W1157" s="2"/>
      <c r="X1157" s="2"/>
      <c r="Z1157" s="2"/>
      <c r="AA1157" s="2"/>
      <c r="AF1157" s="14"/>
    </row>
    <row r="1158" spans="1:33" s="4" customFormat="1" ht="15.75" customHeight="1" x14ac:dyDescent="0.25">
      <c r="A1158" s="33" t="str">
        <f>CONCATENATE(D1158,".",F1158,"-",G1158,".",H1158,"")</f>
        <v>2.4-1.1</v>
      </c>
      <c r="B1158" s="33" t="s">
        <v>814</v>
      </c>
      <c r="C1158" s="39" t="s">
        <v>262</v>
      </c>
      <c r="D1158" s="33">
        <f>IF(C1158="ID",1,(IF(C1158="PR",2,(IF(C1158="DE",3,(IF(C1158="RS",4,(IF(C1158="RC",5,0)))))))))</f>
        <v>2</v>
      </c>
      <c r="E1158" s="33" t="s">
        <v>344</v>
      </c>
      <c r="F1158" s="33">
        <f>IF(E1158="AM",1,(IF(E1158="BE",2,(IF(E1158="GV",3,(IF(E1158="RA",4,(IF(E1158="RM",5,(IF(E1158="AC",1,(IF(E1158="AT",2,(IF(E1158="DS",3,(IF(E1158="IP",4,(IF(E1158="MA",5,(IF(E1158="PT",6,(IF(E1158="AE",1,(IF(E1158="CM",2,(IF(E1158="DP",3,(IF(E1158="AN",1,(IF(E1158="CO",2,(IF(E1158="IM",3,(IF(E1158="MI",4,(IF(E1158="RP",5,(IF(E1158="SC",6,0)))))))))))))))))))))))))))))))))))))))</f>
        <v>4</v>
      </c>
      <c r="G1158" s="170">
        <v>1</v>
      </c>
      <c r="H1158" s="38" t="s">
        <v>511</v>
      </c>
      <c r="I1158" s="105" t="s">
        <v>1449</v>
      </c>
      <c r="J1158" s="157" t="s">
        <v>1957</v>
      </c>
      <c r="K1158" s="34" t="s">
        <v>1958</v>
      </c>
      <c r="L1158" s="5">
        <f>IF(O1158="","",N1158*O1158*M1158)</f>
        <v>99</v>
      </c>
      <c r="M1158" s="8">
        <v>1</v>
      </c>
      <c r="N1158" s="1">
        <v>1</v>
      </c>
      <c r="O1158" s="15">
        <f>IF(SUM(Q1158:AF1158)&lt;1,"",SUM(Q1158:AF1158)/COUNTIF(Q1158:AF1158,"&gt;0"))</f>
        <v>99</v>
      </c>
      <c r="P1158" s="16"/>
      <c r="Q1158" s="13"/>
      <c r="T1158" s="4">
        <v>99</v>
      </c>
      <c r="U1158" s="2"/>
      <c r="V1158" s="2"/>
      <c r="W1158" s="2"/>
      <c r="X1158" s="2"/>
      <c r="Z1158" s="2"/>
      <c r="AA1158" s="2"/>
      <c r="AF1158" s="14"/>
    </row>
    <row r="1159" spans="1:33" s="4" customFormat="1" ht="15.75" customHeight="1" x14ac:dyDescent="0.25">
      <c r="A1159" s="33" t="str">
        <f>CONCATENATE(D1159,".",F1159,"-",G1159,".",H1159,"")</f>
        <v>2.4-1.1</v>
      </c>
      <c r="B1159" s="33"/>
      <c r="C1159" s="39" t="s">
        <v>262</v>
      </c>
      <c r="D1159" s="33">
        <f>IF(C1159="ID",1,(IF(C1159="PR",2,(IF(C1159="DE",3,(IF(C1159="RS",4,(IF(C1159="RC",5,0)))))))))</f>
        <v>2</v>
      </c>
      <c r="E1159" s="33" t="s">
        <v>344</v>
      </c>
      <c r="F1159" s="33">
        <f>IF(E1159="AM",1,(IF(E1159="BE",2,(IF(E1159="GV",3,(IF(E1159="RA",4,(IF(E1159="RM",5,(IF(E1159="AC",1,(IF(E1159="AT",2,(IF(E1159="DS",3,(IF(E1159="IP",4,(IF(E1159="MA",5,(IF(E1159="PT",6,(IF(E1159="AE",1,(IF(E1159="CM",2,(IF(E1159="DP",3,(IF(E1159="AN",1,(IF(E1159="CO",2,(IF(E1159="IM",3,(IF(E1159="MI",4,(IF(E1159="RP",5,(IF(E1159="SC",6,0)))))))))))))))))))))))))))))))))))))))</f>
        <v>4</v>
      </c>
      <c r="G1159" s="170">
        <v>1</v>
      </c>
      <c r="H1159" s="38" t="s">
        <v>511</v>
      </c>
      <c r="I1159" s="105" t="s">
        <v>1449</v>
      </c>
      <c r="J1159" s="157" t="s">
        <v>1965</v>
      </c>
      <c r="K1159" s="34" t="s">
        <v>1966</v>
      </c>
      <c r="L1159" s="5">
        <f>IF(O1159="","",N1159*O1159*M1159)</f>
        <v>99</v>
      </c>
      <c r="M1159" s="8">
        <v>1</v>
      </c>
      <c r="N1159" s="1">
        <v>1</v>
      </c>
      <c r="O1159" s="15">
        <f>IF(SUM(Q1159:AF1159)&lt;1,"",SUM(Q1159:AF1159)/COUNTIF(Q1159:AF1159,"&gt;0"))</f>
        <v>99</v>
      </c>
      <c r="P1159" s="16"/>
      <c r="Q1159" s="13"/>
      <c r="T1159" s="4">
        <v>99</v>
      </c>
      <c r="U1159" s="2"/>
      <c r="V1159" s="2"/>
      <c r="W1159" s="2"/>
      <c r="X1159" s="2"/>
      <c r="Z1159" s="2"/>
      <c r="AA1159" s="2"/>
      <c r="AF1159" s="14"/>
    </row>
    <row r="1160" spans="1:33" s="4" customFormat="1" ht="15.75" customHeight="1" x14ac:dyDescent="0.25">
      <c r="A1160" s="33" t="str">
        <f>CONCATENATE(D1160,".",F1160,"-",G1160,".",H1160,"")</f>
        <v>2.4-1.1</v>
      </c>
      <c r="B1160" s="33"/>
      <c r="C1160" s="39" t="s">
        <v>262</v>
      </c>
      <c r="D1160" s="33">
        <f>IF(C1160="ID",1,(IF(C1160="PR",2,(IF(C1160="DE",3,(IF(C1160="RS",4,(IF(C1160="RC",5,0)))))))))</f>
        <v>2</v>
      </c>
      <c r="E1160" s="33" t="s">
        <v>344</v>
      </c>
      <c r="F1160" s="33">
        <f>IF(E1160="AM",1,(IF(E1160="BE",2,(IF(E1160="GV",3,(IF(E1160="RA",4,(IF(E1160="RM",5,(IF(E1160="AC",1,(IF(E1160="AT",2,(IF(E1160="DS",3,(IF(E1160="IP",4,(IF(E1160="MA",5,(IF(E1160="PT",6,(IF(E1160="AE",1,(IF(E1160="CM",2,(IF(E1160="DP",3,(IF(E1160="AN",1,(IF(E1160="CO",2,(IF(E1160="IM",3,(IF(E1160="MI",4,(IF(E1160="RP",5,(IF(E1160="SC",6,0)))))))))))))))))))))))))))))))))))))))</f>
        <v>4</v>
      </c>
      <c r="G1160" s="170">
        <v>1</v>
      </c>
      <c r="H1160" s="38" t="s">
        <v>511</v>
      </c>
      <c r="I1160" s="105" t="s">
        <v>1449</v>
      </c>
      <c r="J1160" s="157" t="s">
        <v>1967</v>
      </c>
      <c r="K1160" s="34" t="s">
        <v>1968</v>
      </c>
      <c r="L1160" s="5">
        <f>IF(O1160="","",N1160*O1160*M1160)</f>
        <v>99</v>
      </c>
      <c r="M1160" s="8">
        <v>1</v>
      </c>
      <c r="N1160" s="1">
        <v>1</v>
      </c>
      <c r="O1160" s="15">
        <f>IF(SUM(Q1160:AF1160)&lt;1,"",SUM(Q1160:AF1160)/COUNTIF(Q1160:AF1160,"&gt;0"))</f>
        <v>99</v>
      </c>
      <c r="P1160" s="16"/>
      <c r="Q1160" s="13"/>
      <c r="T1160" s="4">
        <v>99</v>
      </c>
      <c r="U1160" s="2"/>
      <c r="V1160" s="2"/>
      <c r="W1160" s="2"/>
      <c r="X1160" s="2"/>
      <c r="Z1160" s="2"/>
      <c r="AA1160" s="2"/>
      <c r="AF1160" s="14"/>
    </row>
    <row r="1161" spans="1:33" s="4" customFormat="1" ht="15.75" customHeight="1" x14ac:dyDescent="0.25">
      <c r="A1161" s="33" t="str">
        <f>CONCATENATE(D1161,".",F1161,"-",G1161,".",H1161,"")</f>
        <v>2.4-1.1</v>
      </c>
      <c r="B1161" s="33"/>
      <c r="C1161" s="39" t="s">
        <v>262</v>
      </c>
      <c r="D1161" s="33">
        <f>IF(C1161="ID",1,(IF(C1161="PR",2,(IF(C1161="DE",3,(IF(C1161="RS",4,(IF(C1161="RC",5,0)))))))))</f>
        <v>2</v>
      </c>
      <c r="E1161" s="33" t="s">
        <v>344</v>
      </c>
      <c r="F1161" s="33">
        <f>IF(E1161="AM",1,(IF(E1161="BE",2,(IF(E1161="GV",3,(IF(E1161="RA",4,(IF(E1161="RM",5,(IF(E1161="AC",1,(IF(E1161="AT",2,(IF(E1161="DS",3,(IF(E1161="IP",4,(IF(E1161="MA",5,(IF(E1161="PT",6,(IF(E1161="AE",1,(IF(E1161="CM",2,(IF(E1161="DP",3,(IF(E1161="AN",1,(IF(E1161="CO",2,(IF(E1161="IM",3,(IF(E1161="MI",4,(IF(E1161="RP",5,(IF(E1161="SC",6,0)))))))))))))))))))))))))))))))))))))))</f>
        <v>4</v>
      </c>
      <c r="G1161" s="170">
        <v>1</v>
      </c>
      <c r="H1161" s="38" t="s">
        <v>511</v>
      </c>
      <c r="I1161" s="105" t="s">
        <v>1449</v>
      </c>
      <c r="J1161" s="157" t="s">
        <v>2253</v>
      </c>
      <c r="K1161" s="34" t="s">
        <v>2254</v>
      </c>
      <c r="L1161" s="5">
        <f>IF(O1161="","",N1161*O1161*M1161)</f>
        <v>99</v>
      </c>
      <c r="M1161" s="8">
        <v>1</v>
      </c>
      <c r="N1161" s="1">
        <v>1</v>
      </c>
      <c r="O1161" s="15">
        <f>IF(SUM(Q1161:AF1161)&lt;1,"",SUM(Q1161:AF1161)/COUNTIF(Q1161:AF1161,"&gt;0"))</f>
        <v>99</v>
      </c>
      <c r="P1161" s="16"/>
      <c r="Q1161" s="13"/>
      <c r="T1161" s="4">
        <v>99</v>
      </c>
      <c r="U1161" s="2"/>
      <c r="V1161" s="2"/>
      <c r="W1161" s="2"/>
      <c r="X1161" s="2"/>
      <c r="Z1161" s="2"/>
      <c r="AA1161" s="2"/>
      <c r="AF1161" s="14"/>
    </row>
    <row r="1162" spans="1:33" ht="15.75" customHeight="1" x14ac:dyDescent="0.25">
      <c r="A1162" s="33" t="str">
        <f>CONCATENATE(D1162,".",F1162,"-",G1162,".",H1162,"")</f>
        <v>2.4-1.1</v>
      </c>
      <c r="C1162" s="39" t="s">
        <v>262</v>
      </c>
      <c r="D1162" s="33">
        <f>IF(C1162="ID",1,(IF(C1162="PR",2,(IF(C1162="DE",3,(IF(C1162="RS",4,(IF(C1162="RC",5,0)))))))))</f>
        <v>2</v>
      </c>
      <c r="E1162" s="33" t="s">
        <v>344</v>
      </c>
      <c r="F1162" s="33">
        <f>IF(E1162="AM",1,(IF(E1162="BE",2,(IF(E1162="GV",3,(IF(E1162="RA",4,(IF(E1162="RM",5,(IF(E1162="AC",1,(IF(E1162="AT",2,(IF(E1162="DS",3,(IF(E1162="IP",4,(IF(E1162="MA",5,(IF(E1162="PT",6,(IF(E1162="AE",1,(IF(E1162="CM",2,(IF(E1162="DP",3,(IF(E1162="AN",1,(IF(E1162="CO",2,(IF(E1162="IM",3,(IF(E1162="MI",4,(IF(E1162="RP",5,(IF(E1162="SC",6,0)))))))))))))))))))))))))))))))))))))))</f>
        <v>4</v>
      </c>
      <c r="G1162" s="170">
        <v>1</v>
      </c>
      <c r="H1162" s="38" t="s">
        <v>511</v>
      </c>
      <c r="I1162" s="105" t="s">
        <v>1449</v>
      </c>
      <c r="J1162" s="157" t="s">
        <v>2321</v>
      </c>
      <c r="K1162" s="34" t="s">
        <v>2322</v>
      </c>
      <c r="L1162" s="5">
        <f>IF(O1162="","",N1162*O1162*M1162)</f>
        <v>99</v>
      </c>
      <c r="M1162" s="8">
        <v>1</v>
      </c>
      <c r="N1162" s="1">
        <v>1</v>
      </c>
      <c r="O1162" s="15">
        <f>IF(SUM(Q1162:AF1162)&lt;1,"",SUM(Q1162:AF1162)/COUNTIF(Q1162:AF1162,"&gt;0"))</f>
        <v>99</v>
      </c>
      <c r="P1162" s="16"/>
      <c r="Q1162" s="13"/>
      <c r="R1162" s="4"/>
      <c r="S1162" s="4"/>
      <c r="T1162" s="4">
        <v>99</v>
      </c>
      <c r="U1162" s="2"/>
      <c r="V1162" s="2"/>
      <c r="W1162" s="2"/>
      <c r="X1162" s="2"/>
      <c r="Y1162" s="4"/>
      <c r="Z1162" s="2"/>
      <c r="AA1162" s="2"/>
      <c r="AB1162" s="4"/>
      <c r="AC1162" s="4"/>
      <c r="AD1162" s="4"/>
      <c r="AE1162" s="4"/>
      <c r="AF1162" s="14"/>
      <c r="AG1162" s="3"/>
    </row>
    <row r="1163" spans="1:33" s="4" customFormat="1" ht="15.75" customHeight="1" x14ac:dyDescent="0.25">
      <c r="A1163" s="33" t="str">
        <f>CONCATENATE(D1163,".",F1163,"-",G1163,".",H1163,"")</f>
        <v>2.4-1.1</v>
      </c>
      <c r="B1163" s="33"/>
      <c r="C1163" s="39" t="s">
        <v>262</v>
      </c>
      <c r="D1163" s="33">
        <f>IF(C1163="ID",1,(IF(C1163="PR",2,(IF(C1163="DE",3,(IF(C1163="RS",4,(IF(C1163="RC",5,0)))))))))</f>
        <v>2</v>
      </c>
      <c r="E1163" s="33" t="s">
        <v>344</v>
      </c>
      <c r="F1163" s="33">
        <f>IF(E1163="AM",1,(IF(E1163="BE",2,(IF(E1163="GV",3,(IF(E1163="RA",4,(IF(E1163="RM",5,(IF(E1163="AC",1,(IF(E1163="AT",2,(IF(E1163="DS",3,(IF(E1163="IP",4,(IF(E1163="MA",5,(IF(E1163="PT",6,(IF(E1163="AE",1,(IF(E1163="CM",2,(IF(E1163="DP",3,(IF(E1163="AN",1,(IF(E1163="CO",2,(IF(E1163="IM",3,(IF(E1163="MI",4,(IF(E1163="RP",5,(IF(E1163="SC",6,0)))))))))))))))))))))))))))))))))))))))</f>
        <v>4</v>
      </c>
      <c r="G1163" s="170">
        <v>1</v>
      </c>
      <c r="H1163" s="38" t="s">
        <v>511</v>
      </c>
      <c r="I1163" s="105" t="s">
        <v>1449</v>
      </c>
      <c r="J1163" s="157" t="s">
        <v>2351</v>
      </c>
      <c r="K1163" s="34" t="s">
        <v>2352</v>
      </c>
      <c r="L1163" s="5">
        <f>IF(O1163="","",N1163*O1163*M1163)</f>
        <v>99</v>
      </c>
      <c r="M1163" s="8">
        <v>1</v>
      </c>
      <c r="N1163" s="1">
        <v>1</v>
      </c>
      <c r="O1163" s="15">
        <f>IF(SUM(Q1163:AF1163)&lt;1,"",SUM(Q1163:AF1163)/COUNTIF(Q1163:AF1163,"&gt;0"))</f>
        <v>99</v>
      </c>
      <c r="P1163" s="16"/>
      <c r="Q1163" s="13"/>
      <c r="T1163" s="4">
        <v>99</v>
      </c>
      <c r="U1163" s="2"/>
      <c r="V1163" s="2"/>
      <c r="W1163" s="2"/>
      <c r="X1163" s="2"/>
      <c r="Z1163" s="2"/>
      <c r="AA1163" s="2"/>
      <c r="AF1163" s="14"/>
    </row>
    <row r="1164" spans="1:33" s="4" customFormat="1" ht="15.75" customHeight="1" x14ac:dyDescent="0.25">
      <c r="A1164" s="33" t="str">
        <f>CONCATENATE(D1164,".",F1164,"-",G1164,".",H1164,"")</f>
        <v>2.4-1.1</v>
      </c>
      <c r="B1164" s="33"/>
      <c r="C1164" s="39" t="s">
        <v>262</v>
      </c>
      <c r="D1164" s="33">
        <f>IF(C1164="ID",1,(IF(C1164="PR",2,(IF(C1164="DE",3,(IF(C1164="RS",4,(IF(C1164="RC",5,0)))))))))</f>
        <v>2</v>
      </c>
      <c r="E1164" s="33" t="s">
        <v>344</v>
      </c>
      <c r="F1164" s="33">
        <f>IF(E1164="AM",1,(IF(E1164="BE",2,(IF(E1164="GV",3,(IF(E1164="RA",4,(IF(E1164="RM",5,(IF(E1164="AC",1,(IF(E1164="AT",2,(IF(E1164="DS",3,(IF(E1164="IP",4,(IF(E1164="MA",5,(IF(E1164="PT",6,(IF(E1164="AE",1,(IF(E1164="CM",2,(IF(E1164="DP",3,(IF(E1164="AN",1,(IF(E1164="CO",2,(IF(E1164="IM",3,(IF(E1164="MI",4,(IF(E1164="RP",5,(IF(E1164="SC",6,0)))))))))))))))))))))))))))))))))))))))</f>
        <v>4</v>
      </c>
      <c r="G1164" s="170">
        <v>1</v>
      </c>
      <c r="H1164" s="38" t="s">
        <v>511</v>
      </c>
      <c r="I1164" s="105" t="s">
        <v>1449</v>
      </c>
      <c r="J1164" s="157" t="s">
        <v>2353</v>
      </c>
      <c r="K1164" s="34" t="s">
        <v>2354</v>
      </c>
      <c r="L1164" s="5">
        <f>IF(O1164="","",N1164*O1164*M1164)</f>
        <v>99</v>
      </c>
      <c r="M1164" s="8">
        <v>1</v>
      </c>
      <c r="N1164" s="1">
        <v>1</v>
      </c>
      <c r="O1164" s="15">
        <f>IF(SUM(Q1164:AF1164)&lt;1,"",SUM(Q1164:AF1164)/COUNTIF(Q1164:AF1164,"&gt;0"))</f>
        <v>99</v>
      </c>
      <c r="P1164" s="16"/>
      <c r="Q1164" s="13"/>
      <c r="T1164" s="4">
        <v>99</v>
      </c>
      <c r="U1164" s="2"/>
      <c r="V1164" s="2"/>
      <c r="W1164" s="2"/>
      <c r="X1164" s="2"/>
      <c r="Z1164" s="2"/>
      <c r="AA1164" s="2"/>
      <c r="AF1164" s="14"/>
    </row>
    <row r="1165" spans="1:33" s="4" customFormat="1" ht="15.75" customHeight="1" x14ac:dyDescent="0.25">
      <c r="A1165" s="33" t="str">
        <f>CONCATENATE(D1165,".",F1165,"-",G1165,".",H1165,"")</f>
        <v>2.4-1.1</v>
      </c>
      <c r="B1165" s="33"/>
      <c r="C1165" s="39" t="s">
        <v>262</v>
      </c>
      <c r="D1165" s="33">
        <f>IF(C1165="ID",1,(IF(C1165="PR",2,(IF(C1165="DE",3,(IF(C1165="RS",4,(IF(C1165="RC",5,0)))))))))</f>
        <v>2</v>
      </c>
      <c r="E1165" s="33" t="s">
        <v>344</v>
      </c>
      <c r="F1165" s="33">
        <f>IF(E1165="AM",1,(IF(E1165="BE",2,(IF(E1165="GV",3,(IF(E1165="RA",4,(IF(E1165="RM",5,(IF(E1165="AC",1,(IF(E1165="AT",2,(IF(E1165="DS",3,(IF(E1165="IP",4,(IF(E1165="MA",5,(IF(E1165="PT",6,(IF(E1165="AE",1,(IF(E1165="CM",2,(IF(E1165="DP",3,(IF(E1165="AN",1,(IF(E1165="CO",2,(IF(E1165="IM",3,(IF(E1165="MI",4,(IF(E1165="RP",5,(IF(E1165="SC",6,0)))))))))))))))))))))))))))))))))))))))</f>
        <v>4</v>
      </c>
      <c r="G1165" s="170">
        <v>1</v>
      </c>
      <c r="H1165" s="38" t="s">
        <v>511</v>
      </c>
      <c r="I1165" s="105" t="s">
        <v>1449</v>
      </c>
      <c r="J1165" s="157" t="s">
        <v>2355</v>
      </c>
      <c r="K1165" s="34" t="s">
        <v>2356</v>
      </c>
      <c r="L1165" s="5">
        <f>IF(O1165="","",N1165*O1165*M1165)</f>
        <v>99</v>
      </c>
      <c r="M1165" s="8">
        <v>1</v>
      </c>
      <c r="N1165" s="1">
        <v>1</v>
      </c>
      <c r="O1165" s="15">
        <f>IF(SUM(Q1165:AF1165)&lt;1,"",SUM(Q1165:AF1165)/COUNTIF(Q1165:AF1165,"&gt;0"))</f>
        <v>99</v>
      </c>
      <c r="P1165" s="16"/>
      <c r="Q1165" s="13"/>
      <c r="T1165" s="4">
        <v>99</v>
      </c>
      <c r="U1165" s="2"/>
      <c r="V1165" s="2"/>
      <c r="W1165" s="2"/>
      <c r="X1165" s="2"/>
      <c r="Z1165" s="2"/>
      <c r="AA1165" s="2"/>
      <c r="AF1165" s="14"/>
    </row>
    <row r="1166" spans="1:33" s="4" customFormat="1" ht="15.75" customHeight="1" x14ac:dyDescent="0.25">
      <c r="A1166" s="33" t="str">
        <f>CONCATENATE(D1166,".",F1166,"-",G1166,".",H1166,"")</f>
        <v>2.4-1.1</v>
      </c>
      <c r="B1166" s="33"/>
      <c r="C1166" s="39" t="s">
        <v>262</v>
      </c>
      <c r="D1166" s="33">
        <f>IF(C1166="ID",1,(IF(C1166="PR",2,(IF(C1166="DE",3,(IF(C1166="RS",4,(IF(C1166="RC",5,0)))))))))</f>
        <v>2</v>
      </c>
      <c r="E1166" s="33" t="s">
        <v>344</v>
      </c>
      <c r="F1166" s="33">
        <f>IF(E1166="AM",1,(IF(E1166="BE",2,(IF(E1166="GV",3,(IF(E1166="RA",4,(IF(E1166="RM",5,(IF(E1166="AC",1,(IF(E1166="AT",2,(IF(E1166="DS",3,(IF(E1166="IP",4,(IF(E1166="MA",5,(IF(E1166="PT",6,(IF(E1166="AE",1,(IF(E1166="CM",2,(IF(E1166="DP",3,(IF(E1166="AN",1,(IF(E1166="CO",2,(IF(E1166="IM",3,(IF(E1166="MI",4,(IF(E1166="RP",5,(IF(E1166="SC",6,0)))))))))))))))))))))))))))))))))))))))</f>
        <v>4</v>
      </c>
      <c r="G1166" s="170">
        <v>1</v>
      </c>
      <c r="H1166" s="38" t="s">
        <v>511</v>
      </c>
      <c r="I1166" s="105" t="s">
        <v>1449</v>
      </c>
      <c r="J1166" s="157" t="s">
        <v>2357</v>
      </c>
      <c r="K1166" s="34" t="s">
        <v>2358</v>
      </c>
      <c r="L1166" s="5">
        <f>IF(O1166="","",N1166*O1166*M1166)</f>
        <v>99</v>
      </c>
      <c r="M1166" s="8">
        <v>1</v>
      </c>
      <c r="N1166" s="1">
        <v>1</v>
      </c>
      <c r="O1166" s="15">
        <f>IF(SUM(Q1166:AF1166)&lt;1,"",SUM(Q1166:AF1166)/COUNTIF(Q1166:AF1166,"&gt;0"))</f>
        <v>99</v>
      </c>
      <c r="P1166" s="16"/>
      <c r="Q1166" s="13"/>
      <c r="T1166" s="4">
        <v>99</v>
      </c>
      <c r="U1166" s="2"/>
      <c r="V1166" s="2"/>
      <c r="W1166" s="2"/>
      <c r="X1166" s="2"/>
      <c r="Z1166" s="2"/>
      <c r="AA1166" s="2"/>
      <c r="AF1166" s="14"/>
    </row>
    <row r="1167" spans="1:33" s="4" customFormat="1" ht="15.75" customHeight="1" x14ac:dyDescent="0.25">
      <c r="A1167" s="33" t="str">
        <f>CONCATENATE(D1167,".",F1167,"-",G1167,".",H1167,"")</f>
        <v>2.4-1.1</v>
      </c>
      <c r="B1167" s="33"/>
      <c r="C1167" s="39" t="s">
        <v>262</v>
      </c>
      <c r="D1167" s="33">
        <f>IF(C1167="ID",1,(IF(C1167="PR",2,(IF(C1167="DE",3,(IF(C1167="RS",4,(IF(C1167="RC",5,0)))))))))</f>
        <v>2</v>
      </c>
      <c r="E1167" s="33" t="s">
        <v>344</v>
      </c>
      <c r="F1167" s="33">
        <f>IF(E1167="AM",1,(IF(E1167="BE",2,(IF(E1167="GV",3,(IF(E1167="RA",4,(IF(E1167="RM",5,(IF(E1167="AC",1,(IF(E1167="AT",2,(IF(E1167="DS",3,(IF(E1167="IP",4,(IF(E1167="MA",5,(IF(E1167="PT",6,(IF(E1167="AE",1,(IF(E1167="CM",2,(IF(E1167="DP",3,(IF(E1167="AN",1,(IF(E1167="CO",2,(IF(E1167="IM",3,(IF(E1167="MI",4,(IF(E1167="RP",5,(IF(E1167="SC",6,0)))))))))))))))))))))))))))))))))))))))</f>
        <v>4</v>
      </c>
      <c r="G1167" s="170">
        <v>1</v>
      </c>
      <c r="H1167" s="38" t="s">
        <v>511</v>
      </c>
      <c r="I1167" s="105" t="s">
        <v>1449</v>
      </c>
      <c r="J1167" s="157" t="s">
        <v>2359</v>
      </c>
      <c r="K1167" s="34" t="s">
        <v>2360</v>
      </c>
      <c r="L1167" s="5">
        <f>IF(O1167="","",N1167*O1167*M1167)</f>
        <v>99</v>
      </c>
      <c r="M1167" s="8">
        <v>1</v>
      </c>
      <c r="N1167" s="1">
        <v>1</v>
      </c>
      <c r="O1167" s="15">
        <f>IF(SUM(Q1167:AF1167)&lt;1,"",SUM(Q1167:AF1167)/COUNTIF(Q1167:AF1167,"&gt;0"))</f>
        <v>99</v>
      </c>
      <c r="P1167" s="16"/>
      <c r="Q1167" s="13"/>
      <c r="T1167" s="4">
        <v>99</v>
      </c>
      <c r="U1167" s="2"/>
      <c r="V1167" s="2"/>
      <c r="W1167" s="2"/>
      <c r="X1167" s="2"/>
      <c r="Z1167" s="2"/>
      <c r="AA1167" s="2"/>
      <c r="AF1167" s="14"/>
    </row>
    <row r="1168" spans="1:33" s="4" customFormat="1" ht="15.75" customHeight="1" x14ac:dyDescent="0.25">
      <c r="A1168" s="33" t="str">
        <f>CONCATENATE(D1168,".",F1168,"-",G1168,".",H1168,"")</f>
        <v>2.4-1.1</v>
      </c>
      <c r="B1168" s="33"/>
      <c r="C1168" s="39" t="s">
        <v>262</v>
      </c>
      <c r="D1168" s="33">
        <f>IF(C1168="ID",1,(IF(C1168="PR",2,(IF(C1168="DE",3,(IF(C1168="RS",4,(IF(C1168="RC",5,0)))))))))</f>
        <v>2</v>
      </c>
      <c r="E1168" s="33" t="s">
        <v>344</v>
      </c>
      <c r="F1168" s="33">
        <f>IF(E1168="AM",1,(IF(E1168="BE",2,(IF(E1168="GV",3,(IF(E1168="RA",4,(IF(E1168="RM",5,(IF(E1168="AC",1,(IF(E1168="AT",2,(IF(E1168="DS",3,(IF(E1168="IP",4,(IF(E1168="MA",5,(IF(E1168="PT",6,(IF(E1168="AE",1,(IF(E1168="CM",2,(IF(E1168="DP",3,(IF(E1168="AN",1,(IF(E1168="CO",2,(IF(E1168="IM",3,(IF(E1168="MI",4,(IF(E1168="RP",5,(IF(E1168="SC",6,0)))))))))))))))))))))))))))))))))))))))</f>
        <v>4</v>
      </c>
      <c r="G1168" s="170">
        <v>1</v>
      </c>
      <c r="H1168" s="38" t="s">
        <v>511</v>
      </c>
      <c r="I1168" s="105" t="s">
        <v>1449</v>
      </c>
      <c r="J1168" s="157" t="s">
        <v>2571</v>
      </c>
      <c r="K1168" s="34" t="s">
        <v>2572</v>
      </c>
      <c r="L1168" s="5">
        <f>IF(O1168="","",N1168*O1168*M1168)</f>
        <v>99</v>
      </c>
      <c r="M1168" s="8">
        <v>1</v>
      </c>
      <c r="N1168" s="1">
        <v>1</v>
      </c>
      <c r="O1168" s="15">
        <f>IF(SUM(Q1168:AF1168)&lt;1,"",SUM(Q1168:AF1168)/COUNTIF(Q1168:AF1168,"&gt;0"))</f>
        <v>99</v>
      </c>
      <c r="P1168" s="16"/>
      <c r="Q1168" s="13"/>
      <c r="T1168" s="4">
        <v>99</v>
      </c>
      <c r="U1168" s="2"/>
      <c r="V1168" s="2"/>
      <c r="W1168" s="2"/>
      <c r="X1168" s="2"/>
      <c r="Z1168" s="2"/>
      <c r="AA1168" s="2"/>
      <c r="AF1168" s="14"/>
    </row>
    <row r="1169" spans="1:33" s="4" customFormat="1" ht="15.75" customHeight="1" x14ac:dyDescent="0.25">
      <c r="A1169" s="33" t="str">
        <f>CONCATENATE(D1169,".",F1169,"-",G1169,".",H1169,"")</f>
        <v>2.4-1.1</v>
      </c>
      <c r="B1169" s="33"/>
      <c r="C1169" s="39" t="s">
        <v>262</v>
      </c>
      <c r="D1169" s="33">
        <f>IF(C1169="ID",1,(IF(C1169="PR",2,(IF(C1169="DE",3,(IF(C1169="RS",4,(IF(C1169="RC",5,0)))))))))</f>
        <v>2</v>
      </c>
      <c r="E1169" s="33" t="s">
        <v>344</v>
      </c>
      <c r="F1169" s="33">
        <f>IF(E1169="AM",1,(IF(E1169="BE",2,(IF(E1169="GV",3,(IF(E1169="RA",4,(IF(E1169="RM",5,(IF(E1169="AC",1,(IF(E1169="AT",2,(IF(E1169="DS",3,(IF(E1169="IP",4,(IF(E1169="MA",5,(IF(E1169="PT",6,(IF(E1169="AE",1,(IF(E1169="CM",2,(IF(E1169="DP",3,(IF(E1169="AN",1,(IF(E1169="CO",2,(IF(E1169="IM",3,(IF(E1169="MI",4,(IF(E1169="RP",5,(IF(E1169="SC",6,0)))))))))))))))))))))))))))))))))))))))</f>
        <v>4</v>
      </c>
      <c r="G1169" s="170">
        <v>1</v>
      </c>
      <c r="H1169" s="38" t="s">
        <v>511</v>
      </c>
      <c r="I1169" s="105" t="s">
        <v>1449</v>
      </c>
      <c r="J1169" s="157" t="s">
        <v>2575</v>
      </c>
      <c r="K1169" s="34" t="s">
        <v>2576</v>
      </c>
      <c r="L1169" s="5">
        <f>IF(O1169="","",N1169*O1169*M1169)</f>
        <v>99</v>
      </c>
      <c r="M1169" s="8">
        <v>1</v>
      </c>
      <c r="N1169" s="1">
        <v>1</v>
      </c>
      <c r="O1169" s="15">
        <f>IF(SUM(Q1169:AF1169)&lt;1,"",SUM(Q1169:AF1169)/COUNTIF(Q1169:AF1169,"&gt;0"))</f>
        <v>99</v>
      </c>
      <c r="P1169" s="16"/>
      <c r="Q1169" s="13"/>
      <c r="T1169" s="4">
        <v>99</v>
      </c>
      <c r="U1169" s="2"/>
      <c r="V1169" s="2"/>
      <c r="W1169" s="2"/>
      <c r="X1169" s="2"/>
      <c r="Z1169" s="2"/>
      <c r="AA1169" s="2"/>
      <c r="AF1169" s="14"/>
    </row>
    <row r="1170" spans="1:33" s="4" customFormat="1" ht="15.75" customHeight="1" x14ac:dyDescent="0.25">
      <c r="A1170" s="33" t="str">
        <f>CONCATENATE(D1170,".",F1170,"-",G1170,".",H1170,"")</f>
        <v>2.4-1.1</v>
      </c>
      <c r="B1170" s="33"/>
      <c r="C1170" s="39" t="s">
        <v>262</v>
      </c>
      <c r="D1170" s="33">
        <f>IF(C1170="ID",1,(IF(C1170="PR",2,(IF(C1170="DE",3,(IF(C1170="RS",4,(IF(C1170="RC",5,0)))))))))</f>
        <v>2</v>
      </c>
      <c r="E1170" s="33" t="s">
        <v>344</v>
      </c>
      <c r="F1170" s="33">
        <f>IF(E1170="AM",1,(IF(E1170="BE",2,(IF(E1170="GV",3,(IF(E1170="RA",4,(IF(E1170="RM",5,(IF(E1170="AC",1,(IF(E1170="AT",2,(IF(E1170="DS",3,(IF(E1170="IP",4,(IF(E1170="MA",5,(IF(E1170="PT",6,(IF(E1170="AE",1,(IF(E1170="CM",2,(IF(E1170="DP",3,(IF(E1170="AN",1,(IF(E1170="CO",2,(IF(E1170="IM",3,(IF(E1170="MI",4,(IF(E1170="RP",5,(IF(E1170="SC",6,0)))))))))))))))))))))))))))))))))))))))</f>
        <v>4</v>
      </c>
      <c r="G1170" s="170">
        <v>1</v>
      </c>
      <c r="H1170" s="38" t="s">
        <v>511</v>
      </c>
      <c r="I1170" s="105" t="s">
        <v>1449</v>
      </c>
      <c r="J1170" s="157" t="s">
        <v>2577</v>
      </c>
      <c r="K1170" s="34" t="s">
        <v>2578</v>
      </c>
      <c r="L1170" s="5">
        <f>IF(O1170="","",N1170*O1170*M1170)</f>
        <v>99</v>
      </c>
      <c r="M1170" s="8">
        <v>1</v>
      </c>
      <c r="N1170" s="1">
        <v>1</v>
      </c>
      <c r="O1170" s="15">
        <f>IF(SUM(Q1170:AF1170)&lt;1,"",SUM(Q1170:AF1170)/COUNTIF(Q1170:AF1170,"&gt;0"))</f>
        <v>99</v>
      </c>
      <c r="P1170" s="16"/>
      <c r="Q1170" s="13"/>
      <c r="T1170" s="4">
        <v>99</v>
      </c>
      <c r="U1170" s="2"/>
      <c r="V1170" s="2"/>
      <c r="W1170" s="2"/>
      <c r="X1170" s="2"/>
      <c r="Z1170" s="2"/>
      <c r="AA1170" s="2"/>
      <c r="AF1170" s="14"/>
    </row>
    <row r="1171" spans="1:33" s="4" customFormat="1" ht="15.75" customHeight="1" x14ac:dyDescent="0.25">
      <c r="A1171" s="33" t="str">
        <f>CONCATENATE(D1171,".",F1171,"-",G1171,".",H1171,"")</f>
        <v>2.4-1.1</v>
      </c>
      <c r="B1171" s="33"/>
      <c r="C1171" s="39" t="s">
        <v>262</v>
      </c>
      <c r="D1171" s="33">
        <f>IF(C1171="ID",1,(IF(C1171="PR",2,(IF(C1171="DE",3,(IF(C1171="RS",4,(IF(C1171="RC",5,0)))))))))</f>
        <v>2</v>
      </c>
      <c r="E1171" s="33" t="s">
        <v>344</v>
      </c>
      <c r="F1171" s="33">
        <f>IF(E1171="AM",1,(IF(E1171="BE",2,(IF(E1171="GV",3,(IF(E1171="RA",4,(IF(E1171="RM",5,(IF(E1171="AC",1,(IF(E1171="AT",2,(IF(E1171="DS",3,(IF(E1171="IP",4,(IF(E1171="MA",5,(IF(E1171="PT",6,(IF(E1171="AE",1,(IF(E1171="CM",2,(IF(E1171="DP",3,(IF(E1171="AN",1,(IF(E1171="CO",2,(IF(E1171="IM",3,(IF(E1171="MI",4,(IF(E1171="RP",5,(IF(E1171="SC",6,0)))))))))))))))))))))))))))))))))))))))</f>
        <v>4</v>
      </c>
      <c r="G1171" s="170">
        <v>1</v>
      </c>
      <c r="H1171" s="38" t="s">
        <v>511</v>
      </c>
      <c r="I1171" s="105" t="s">
        <v>1449</v>
      </c>
      <c r="J1171" s="157" t="s">
        <v>2579</v>
      </c>
      <c r="K1171" s="34" t="s">
        <v>2580</v>
      </c>
      <c r="L1171" s="5">
        <f>IF(O1171="","",N1171*O1171*M1171)</f>
        <v>99</v>
      </c>
      <c r="M1171" s="8">
        <v>1</v>
      </c>
      <c r="N1171" s="1">
        <v>1</v>
      </c>
      <c r="O1171" s="15">
        <f>IF(SUM(Q1171:AF1171)&lt;1,"",SUM(Q1171:AF1171)/COUNTIF(Q1171:AF1171,"&gt;0"))</f>
        <v>99</v>
      </c>
      <c r="P1171" s="16"/>
      <c r="Q1171" s="13"/>
      <c r="T1171" s="4">
        <v>99</v>
      </c>
      <c r="U1171" s="2"/>
      <c r="V1171" s="2"/>
      <c r="W1171" s="2"/>
      <c r="X1171" s="2"/>
      <c r="Z1171" s="2"/>
      <c r="AA1171" s="2"/>
      <c r="AF1171" s="14"/>
    </row>
    <row r="1172" spans="1:33" s="4" customFormat="1" ht="15.75" customHeight="1" x14ac:dyDescent="0.25">
      <c r="A1172" s="33" t="str">
        <f>CONCATENATE(D1172,".",F1172,"-",G1172,".",H1172,"")</f>
        <v>2.4-1.1</v>
      </c>
      <c r="B1172" s="33"/>
      <c r="C1172" s="39" t="s">
        <v>262</v>
      </c>
      <c r="D1172" s="33">
        <f>IF(C1172="ID",1,(IF(C1172="PR",2,(IF(C1172="DE",3,(IF(C1172="RS",4,(IF(C1172="RC",5,0)))))))))</f>
        <v>2</v>
      </c>
      <c r="E1172" s="33" t="s">
        <v>344</v>
      </c>
      <c r="F1172" s="33">
        <f>IF(E1172="AM",1,(IF(E1172="BE",2,(IF(E1172="GV",3,(IF(E1172="RA",4,(IF(E1172="RM",5,(IF(E1172="AC",1,(IF(E1172="AT",2,(IF(E1172="DS",3,(IF(E1172="IP",4,(IF(E1172="MA",5,(IF(E1172="PT",6,(IF(E1172="AE",1,(IF(E1172="CM",2,(IF(E1172="DP",3,(IF(E1172="AN",1,(IF(E1172="CO",2,(IF(E1172="IM",3,(IF(E1172="MI",4,(IF(E1172="RP",5,(IF(E1172="SC",6,0)))))))))))))))))))))))))))))))))))))))</f>
        <v>4</v>
      </c>
      <c r="G1172" s="170">
        <v>1</v>
      </c>
      <c r="H1172" s="38" t="s">
        <v>511</v>
      </c>
      <c r="I1172" s="105" t="s">
        <v>1449</v>
      </c>
      <c r="J1172" s="157" t="s">
        <v>2581</v>
      </c>
      <c r="K1172" s="34" t="s">
        <v>2582</v>
      </c>
      <c r="L1172" s="5">
        <f>IF(O1172="","",N1172*O1172*M1172)</f>
        <v>99</v>
      </c>
      <c r="M1172" s="8">
        <v>1</v>
      </c>
      <c r="N1172" s="1">
        <v>1</v>
      </c>
      <c r="O1172" s="15">
        <f>IF(SUM(Q1172:AF1172)&lt;1,"",SUM(Q1172:AF1172)/COUNTIF(Q1172:AF1172,"&gt;0"))</f>
        <v>99</v>
      </c>
      <c r="P1172" s="16"/>
      <c r="Q1172" s="13"/>
      <c r="T1172" s="4">
        <v>99</v>
      </c>
      <c r="U1172" s="2"/>
      <c r="V1172" s="2"/>
      <c r="W1172" s="2"/>
      <c r="X1172" s="2"/>
      <c r="Z1172" s="2"/>
      <c r="AA1172" s="2"/>
      <c r="AF1172" s="14"/>
    </row>
    <row r="1173" spans="1:33" s="4" customFormat="1" ht="15.75" customHeight="1" x14ac:dyDescent="0.25">
      <c r="A1173" s="33" t="str">
        <f>CONCATENATE(D1173,".",F1173,"-",G1173,".",H1173,"")</f>
        <v>2.4-1.1</v>
      </c>
      <c r="B1173" s="33"/>
      <c r="C1173" s="39" t="s">
        <v>262</v>
      </c>
      <c r="D1173" s="33">
        <f>IF(C1173="ID",1,(IF(C1173="PR",2,(IF(C1173="DE",3,(IF(C1173="RS",4,(IF(C1173="RC",5,0)))))))))</f>
        <v>2</v>
      </c>
      <c r="E1173" s="33" t="s">
        <v>344</v>
      </c>
      <c r="F1173" s="33">
        <f>IF(E1173="AM",1,(IF(E1173="BE",2,(IF(E1173="GV",3,(IF(E1173="RA",4,(IF(E1173="RM",5,(IF(E1173="AC",1,(IF(E1173="AT",2,(IF(E1173="DS",3,(IF(E1173="IP",4,(IF(E1173="MA",5,(IF(E1173="PT",6,(IF(E1173="AE",1,(IF(E1173="CM",2,(IF(E1173="DP",3,(IF(E1173="AN",1,(IF(E1173="CO",2,(IF(E1173="IM",3,(IF(E1173="MI",4,(IF(E1173="RP",5,(IF(E1173="SC",6,0)))))))))))))))))))))))))))))))))))))))</f>
        <v>4</v>
      </c>
      <c r="G1173" s="170">
        <v>1</v>
      </c>
      <c r="H1173" s="38" t="s">
        <v>511</v>
      </c>
      <c r="I1173" s="105" t="s">
        <v>1449</v>
      </c>
      <c r="J1173" s="157" t="s">
        <v>2583</v>
      </c>
      <c r="K1173" s="34" t="s">
        <v>2584</v>
      </c>
      <c r="L1173" s="5">
        <f>IF(O1173="","",N1173*O1173*M1173)</f>
        <v>99</v>
      </c>
      <c r="M1173" s="8">
        <v>1</v>
      </c>
      <c r="N1173" s="1">
        <v>1</v>
      </c>
      <c r="O1173" s="15">
        <f>IF(SUM(Q1173:AF1173)&lt;1,"",SUM(Q1173:AF1173)/COUNTIF(Q1173:AF1173,"&gt;0"))</f>
        <v>99</v>
      </c>
      <c r="P1173" s="16"/>
      <c r="Q1173" s="13"/>
      <c r="T1173" s="4">
        <v>99</v>
      </c>
      <c r="U1173" s="2"/>
      <c r="V1173" s="2"/>
      <c r="W1173" s="2"/>
      <c r="X1173" s="2"/>
      <c r="Z1173" s="2"/>
      <c r="AA1173" s="2"/>
      <c r="AF1173" s="14"/>
    </row>
    <row r="1174" spans="1:33" s="4" customFormat="1" ht="15.75" customHeight="1" x14ac:dyDescent="0.25">
      <c r="A1174" s="33" t="str">
        <f>CONCATENATE(D1174,".",F1174,"-",G1174,".",H1174,"")</f>
        <v>2.4-1.9</v>
      </c>
      <c r="B1174" s="33"/>
      <c r="C1174" s="39" t="s">
        <v>262</v>
      </c>
      <c r="D1174" s="33">
        <f>IF(C1174="ID",1,(IF(C1174="PR",2,(IF(C1174="DE",3,(IF(C1174="RS",4,(IF(C1174="RC",5,0)))))))))</f>
        <v>2</v>
      </c>
      <c r="E1174" s="33" t="s">
        <v>344</v>
      </c>
      <c r="F1174" s="33">
        <f>IF(E1174="AM",1,(IF(E1174="BE",2,(IF(E1174="GV",3,(IF(E1174="RA",4,(IF(E1174="RM",5,(IF(E1174="AC",1,(IF(E1174="AT",2,(IF(E1174="DS",3,(IF(E1174="IP",4,(IF(E1174="MA",5,(IF(E1174="PT",6,(IF(E1174="AE",1,(IF(E1174="CM",2,(IF(E1174="DP",3,(IF(E1174="AN",1,(IF(E1174="CO",2,(IF(E1174="IM",3,(IF(E1174="MI",4,(IF(E1174="RP",5,(IF(E1174="SC",6,0)))))))))))))))))))))))))))))))))))))))</f>
        <v>4</v>
      </c>
      <c r="G1174" s="170">
        <v>1</v>
      </c>
      <c r="H1174" s="38" t="s">
        <v>596</v>
      </c>
      <c r="I1174" s="105" t="s">
        <v>1449</v>
      </c>
      <c r="J1174" s="157" t="s">
        <v>3011</v>
      </c>
      <c r="K1174" s="34" t="s">
        <v>3012</v>
      </c>
      <c r="L1174" s="5">
        <f>IF(O1174="","",N1174*O1174*M1174)</f>
        <v>99</v>
      </c>
      <c r="M1174" s="8">
        <v>1</v>
      </c>
      <c r="N1174" s="1">
        <v>1</v>
      </c>
      <c r="O1174" s="15">
        <f>IF(SUM(Q1174:AF1174)&lt;1,"",SUM(Q1174:AF1174)/COUNTIF(Q1174:AF1174,"&gt;0"))</f>
        <v>99</v>
      </c>
      <c r="P1174" s="16"/>
      <c r="Q1174" s="13"/>
      <c r="T1174" s="4">
        <v>99</v>
      </c>
      <c r="U1174" s="2"/>
      <c r="V1174" s="2"/>
      <c r="W1174" s="2"/>
      <c r="X1174" s="2"/>
      <c r="Z1174" s="2"/>
      <c r="AA1174" s="2"/>
      <c r="AF1174" s="14"/>
    </row>
    <row r="1175" spans="1:33" s="4" customFormat="1" ht="15.75" customHeight="1" x14ac:dyDescent="0.25">
      <c r="A1175" s="33" t="str">
        <f>CONCATENATE(D1175,".",F1175,"-",G1175,".",H1175,"")</f>
        <v>2.4-1.9</v>
      </c>
      <c r="B1175" s="33"/>
      <c r="C1175" s="39" t="s">
        <v>262</v>
      </c>
      <c r="D1175" s="33">
        <f>IF(C1175="ID",1,(IF(C1175="PR",2,(IF(C1175="DE",3,(IF(C1175="RS",4,(IF(C1175="RC",5,0)))))))))</f>
        <v>2</v>
      </c>
      <c r="E1175" s="33" t="s">
        <v>344</v>
      </c>
      <c r="F1175" s="33">
        <f>IF(E1175="AM",1,(IF(E1175="BE",2,(IF(E1175="GV",3,(IF(E1175="RA",4,(IF(E1175="RM",5,(IF(E1175="AC",1,(IF(E1175="AT",2,(IF(E1175="DS",3,(IF(E1175="IP",4,(IF(E1175="MA",5,(IF(E1175="PT",6,(IF(E1175="AE",1,(IF(E1175="CM",2,(IF(E1175="DP",3,(IF(E1175="AN",1,(IF(E1175="CO",2,(IF(E1175="IM",3,(IF(E1175="MI",4,(IF(E1175="RP",5,(IF(E1175="SC",6,0)))))))))))))))))))))))))))))))))))))))</f>
        <v>4</v>
      </c>
      <c r="G1175" s="170">
        <v>1</v>
      </c>
      <c r="H1175" s="38" t="s">
        <v>596</v>
      </c>
      <c r="I1175" s="105" t="s">
        <v>1449</v>
      </c>
      <c r="J1175" s="157" t="s">
        <v>3013</v>
      </c>
      <c r="K1175" s="34" t="s">
        <v>3014</v>
      </c>
      <c r="L1175" s="5">
        <f>IF(O1175="","",N1175*O1175*M1175)</f>
        <v>99</v>
      </c>
      <c r="M1175" s="8">
        <v>1</v>
      </c>
      <c r="N1175" s="1">
        <v>1</v>
      </c>
      <c r="O1175" s="15">
        <f>IF(SUM(Q1175:AF1175)&lt;1,"",SUM(Q1175:AF1175)/COUNTIF(Q1175:AF1175,"&gt;0"))</f>
        <v>99</v>
      </c>
      <c r="P1175" s="16"/>
      <c r="Q1175" s="13"/>
      <c r="T1175" s="4">
        <v>99</v>
      </c>
      <c r="U1175" s="2"/>
      <c r="V1175" s="2"/>
      <c r="W1175" s="2"/>
      <c r="X1175" s="2"/>
      <c r="Z1175" s="2"/>
      <c r="AA1175" s="2"/>
      <c r="AF1175" s="14"/>
    </row>
    <row r="1176" spans="1:33" s="4" customFormat="1" ht="15.75" customHeight="1" x14ac:dyDescent="0.25">
      <c r="A1176" s="33" t="str">
        <f>CONCATENATE(D1176,".",F1176,"-",G1176,".",H1176,"")</f>
        <v>2.4-10.0</v>
      </c>
      <c r="B1176" s="33" t="s">
        <v>814</v>
      </c>
      <c r="C1176" s="40" t="s">
        <v>262</v>
      </c>
      <c r="D1176" s="33">
        <f>IF(C1176="ID",1,(IF(C1176="PR",2,(IF(C1176="DE",3,(IF(C1176="RS",4,(IF(C1176="RC",5,0)))))))))</f>
        <v>2</v>
      </c>
      <c r="E1176" s="33" t="s">
        <v>344</v>
      </c>
      <c r="F1176" s="33">
        <f>IF(E1176="AM",1,(IF(E1176="BE",2,(IF(E1176="GV",3,(IF(E1176="RA",4,(IF(E1176="RM",5,(IF(E1176="AC",1,(IF(E1176="AT",2,(IF(E1176="DS",3,(IF(E1176="IP",4,(IF(E1176="MA",5,(IF(E1176="PT",6,(IF(E1176="AE",1,(IF(E1176="CM",2,(IF(E1176="DP",3,(IF(E1176="AN",1,(IF(E1176="CO",2,(IF(E1176="IM",3,(IF(E1176="MI",4,(IF(E1176="RP",5,(IF(E1176="SC",6,0)))))))))))))))))))))))))))))))))))))))</f>
        <v>4</v>
      </c>
      <c r="G1176" s="170">
        <v>10</v>
      </c>
      <c r="H1176" s="38" t="s">
        <v>597</v>
      </c>
      <c r="I1176" s="27" t="s">
        <v>1200</v>
      </c>
      <c r="J1176" s="149" t="s">
        <v>681</v>
      </c>
      <c r="K1176" s="98" t="s">
        <v>393</v>
      </c>
      <c r="L1176" s="5">
        <f>IF(O1176="","",N1176*O1176*M1176)</f>
        <v>75</v>
      </c>
      <c r="M1176" s="8">
        <v>1</v>
      </c>
      <c r="N1176" s="1">
        <v>1</v>
      </c>
      <c r="O1176" s="15">
        <f>IF(SUM(Q1176:AF1176)&lt;1,"",SUM(Q1176:AF1176)/COUNTIF(Q1176:AF1176,"&gt;0"))</f>
        <v>75</v>
      </c>
      <c r="P1176" s="16"/>
      <c r="Q1176" s="13"/>
      <c r="T1176" s="4">
        <v>75</v>
      </c>
      <c r="U1176" s="2"/>
      <c r="V1176" s="2"/>
      <c r="W1176" s="2"/>
      <c r="X1176" s="2"/>
      <c r="Z1176" s="2"/>
      <c r="AA1176" s="2"/>
      <c r="AF1176" s="14"/>
    </row>
    <row r="1177" spans="1:33" s="4" customFormat="1" ht="15.75" customHeight="1" x14ac:dyDescent="0.25">
      <c r="A1177" s="33" t="str">
        <f>CONCATENATE(D1177,".",F1177,"-",G1177,".",H1177,"")</f>
        <v>2.4-10.1</v>
      </c>
      <c r="B1177" s="33" t="s">
        <v>814</v>
      </c>
      <c r="C1177" s="40" t="s">
        <v>262</v>
      </c>
      <c r="D1177" s="33">
        <f>IF(C1177="ID",1,(IF(C1177="PR",2,(IF(C1177="DE",3,(IF(C1177="RS",4,(IF(C1177="RC",5,0)))))))))</f>
        <v>2</v>
      </c>
      <c r="E1177" s="33" t="s">
        <v>344</v>
      </c>
      <c r="F1177" s="33">
        <f>IF(E1177="AM",1,(IF(E1177="BE",2,(IF(E1177="GV",3,(IF(E1177="RA",4,(IF(E1177="RM",5,(IF(E1177="AC",1,(IF(E1177="AT",2,(IF(E1177="DS",3,(IF(E1177="IP",4,(IF(E1177="MA",5,(IF(E1177="PT",6,(IF(E1177="AE",1,(IF(E1177="CM",2,(IF(E1177="DP",3,(IF(E1177="AN",1,(IF(E1177="CO",2,(IF(E1177="IM",3,(IF(E1177="MI",4,(IF(E1177="RP",5,(IF(E1177="SC",6,0)))))))))))))))))))))))))))))))))))))))</f>
        <v>4</v>
      </c>
      <c r="G1177" s="171">
        <v>10</v>
      </c>
      <c r="H1177" s="38" t="s">
        <v>511</v>
      </c>
      <c r="I1177" s="105" t="s">
        <v>821</v>
      </c>
      <c r="J1177" s="149" t="s">
        <v>224</v>
      </c>
      <c r="K1177" s="79" t="s">
        <v>1283</v>
      </c>
      <c r="L1177" s="66">
        <f>IF(O1177="","",N1177*O1177*M1177)</f>
        <v>75</v>
      </c>
      <c r="M1177" s="8">
        <v>1</v>
      </c>
      <c r="N1177" s="1">
        <v>1</v>
      </c>
      <c r="O1177" s="15">
        <f>IF(SUM(Q1177:AF1177)&lt;1,"",SUM(Q1177:AF1177)/COUNTIF(Q1177:AF1177,"&gt;0"))</f>
        <v>75</v>
      </c>
      <c r="P1177" s="16"/>
      <c r="Q1177" s="13"/>
      <c r="T1177" s="4">
        <v>75</v>
      </c>
      <c r="U1177" s="2"/>
      <c r="V1177" s="2"/>
      <c r="W1177" s="2"/>
      <c r="X1177" s="2"/>
      <c r="Z1177" s="2"/>
      <c r="AA1177" s="2"/>
      <c r="AF1177" s="14"/>
    </row>
    <row r="1178" spans="1:33" s="4" customFormat="1" ht="15.75" customHeight="1" x14ac:dyDescent="0.25">
      <c r="A1178" s="33" t="str">
        <f>CONCATENATE(D1178,".",F1178,"-",G1178,".",H1178,"")</f>
        <v>2.4-10.1</v>
      </c>
      <c r="B1178" s="33" t="s">
        <v>814</v>
      </c>
      <c r="C1178" s="40" t="s">
        <v>262</v>
      </c>
      <c r="D1178" s="33">
        <f>IF(C1178="ID",1,(IF(C1178="PR",2,(IF(C1178="DE",3,(IF(C1178="RS",4,(IF(C1178="RC",5,0)))))))))</f>
        <v>2</v>
      </c>
      <c r="E1178" s="33" t="s">
        <v>344</v>
      </c>
      <c r="F1178" s="33">
        <f>IF(E1178="AM",1,(IF(E1178="BE",2,(IF(E1178="GV",3,(IF(E1178="RA",4,(IF(E1178="RM",5,(IF(E1178="AC",1,(IF(E1178="AT",2,(IF(E1178="DS",3,(IF(E1178="IP",4,(IF(E1178="MA",5,(IF(E1178="PT",6,(IF(E1178="AE",1,(IF(E1178="CM",2,(IF(E1178="DP",3,(IF(E1178="AN",1,(IF(E1178="CO",2,(IF(E1178="IM",3,(IF(E1178="MI",4,(IF(E1178="RP",5,(IF(E1178="SC",6,0)))))))))))))))))))))))))))))))))))))))</f>
        <v>4</v>
      </c>
      <c r="G1178" s="171">
        <v>10</v>
      </c>
      <c r="H1178" s="38" t="s">
        <v>511</v>
      </c>
      <c r="I1178" s="27" t="s">
        <v>936</v>
      </c>
      <c r="J1178" s="163" t="s">
        <v>880</v>
      </c>
      <c r="K1178" s="34" t="s">
        <v>990</v>
      </c>
      <c r="L1178" s="66">
        <f>IF(O1178="","",N1178*O1178*M1178)</f>
        <v>75</v>
      </c>
      <c r="M1178" s="8">
        <v>1</v>
      </c>
      <c r="N1178" s="3">
        <v>1</v>
      </c>
      <c r="O1178" s="15">
        <f>IF(SUM(Q1178:AF1178)&lt;1,"",SUM(Q1178:AF1178)/COUNTIF(Q1178:AF1178,"&gt;0"))</f>
        <v>75</v>
      </c>
      <c r="P1178" s="16"/>
      <c r="Q1178" s="13"/>
      <c r="T1178" s="4">
        <v>75</v>
      </c>
      <c r="U1178" s="2"/>
      <c r="V1178" s="2"/>
      <c r="W1178" s="2"/>
      <c r="X1178" s="2"/>
      <c r="Z1178" s="2"/>
      <c r="AA1178" s="2"/>
      <c r="AF1178" s="14"/>
    </row>
    <row r="1179" spans="1:33" ht="15.75" customHeight="1" x14ac:dyDescent="0.25">
      <c r="A1179" s="33" t="str">
        <f>CONCATENATE(D1179,".",F1179,"-",G1179,".",H1179,"")</f>
        <v>2.4-10.1</v>
      </c>
      <c r="B1179" s="33" t="s">
        <v>814</v>
      </c>
      <c r="C1179" s="41" t="s">
        <v>262</v>
      </c>
      <c r="D1179" s="33">
        <f>IF(C1179="ID",1,(IF(C1179="PR",2,(IF(C1179="DE",3,(IF(C1179="RS",4,(IF(C1179="RC",5,0)))))))))</f>
        <v>2</v>
      </c>
      <c r="E1179" s="33" t="s">
        <v>344</v>
      </c>
      <c r="F1179" s="33">
        <f>IF(E1179="AM",1,(IF(E1179="BE",2,(IF(E1179="GV",3,(IF(E1179="RA",4,(IF(E1179="RM",5,(IF(E1179="AC",1,(IF(E1179="AT",2,(IF(E1179="DS",3,(IF(E1179="IP",4,(IF(E1179="MA",5,(IF(E1179="PT",6,(IF(E1179="AE",1,(IF(E1179="CM",2,(IF(E1179="DP",3,(IF(E1179="AN",1,(IF(E1179="CO",2,(IF(E1179="IM",3,(IF(E1179="MI",4,(IF(E1179="RP",5,(IF(E1179="SC",6,0)))))))))))))))))))))))))))))))))))))))</f>
        <v>4</v>
      </c>
      <c r="G1179" s="170">
        <v>10</v>
      </c>
      <c r="H1179" s="38" t="s">
        <v>511</v>
      </c>
      <c r="I1179" s="27" t="s">
        <v>266</v>
      </c>
      <c r="J1179" s="149" t="s">
        <v>299</v>
      </c>
      <c r="K1179" s="79" t="s">
        <v>1377</v>
      </c>
      <c r="L1179" s="5">
        <f>IF(O1179="","",N1179*O1179*M1179)</f>
        <v>75</v>
      </c>
      <c r="M1179" s="8">
        <v>1</v>
      </c>
      <c r="N1179" s="1">
        <v>1</v>
      </c>
      <c r="O1179" s="15">
        <f>IF(SUM(Q1179:AF1179)&lt;1,"",SUM(Q1179:AF1179)/COUNTIF(Q1179:AF1179,"&gt;0"))</f>
        <v>75</v>
      </c>
      <c r="P1179" s="16"/>
      <c r="Q1179" s="13"/>
      <c r="R1179" s="4"/>
      <c r="S1179" s="4"/>
      <c r="T1179" s="4">
        <v>75</v>
      </c>
      <c r="U1179" s="2"/>
      <c r="V1179" s="2"/>
      <c r="W1179" s="2"/>
      <c r="X1179" s="2"/>
      <c r="Y1179" s="4"/>
      <c r="Z1179" s="2"/>
      <c r="AA1179" s="2"/>
      <c r="AB1179" s="4"/>
      <c r="AC1179" s="4"/>
      <c r="AD1179" s="4"/>
      <c r="AE1179" s="4"/>
      <c r="AF1179" s="14"/>
      <c r="AG1179" s="3"/>
    </row>
    <row r="1180" spans="1:33" s="4" customFormat="1" ht="15.75" customHeight="1" x14ac:dyDescent="0.25">
      <c r="A1180" s="33" t="str">
        <f>CONCATENATE(D1180,".",F1180,"-",G1180,".",H1180,"")</f>
        <v>2.4-10.1</v>
      </c>
      <c r="B1180" s="33"/>
      <c r="C1180" s="39" t="s">
        <v>262</v>
      </c>
      <c r="D1180" s="33">
        <f>IF(C1180="ID",1,(IF(C1180="PR",2,(IF(C1180="DE",3,(IF(C1180="RS",4,(IF(C1180="RC",5,0)))))))))</f>
        <v>2</v>
      </c>
      <c r="E1180" s="33" t="s">
        <v>344</v>
      </c>
      <c r="F1180" s="33">
        <f>IF(E1180="AM",1,(IF(E1180="BE",2,(IF(E1180="GV",3,(IF(E1180="RA",4,(IF(E1180="RM",5,(IF(E1180="AC",1,(IF(E1180="AT",2,(IF(E1180="DS",3,(IF(E1180="IP",4,(IF(E1180="MA",5,(IF(E1180="PT",6,(IF(E1180="AE",1,(IF(E1180="CM",2,(IF(E1180="DP",3,(IF(E1180="AN",1,(IF(E1180="CO",2,(IF(E1180="IM",3,(IF(E1180="MI",4,(IF(E1180="RP",5,(IF(E1180="SC",6,0)))))))))))))))))))))))))))))))))))))))</f>
        <v>4</v>
      </c>
      <c r="G1180" s="170">
        <v>10</v>
      </c>
      <c r="H1180" s="38" t="s">
        <v>511</v>
      </c>
      <c r="I1180" s="105" t="s">
        <v>1449</v>
      </c>
      <c r="J1180" s="157" t="s">
        <v>2009</v>
      </c>
      <c r="K1180" s="34" t="s">
        <v>2010</v>
      </c>
      <c r="L1180" s="5">
        <f>IF(O1180="","",N1180*O1180*M1180)</f>
        <v>99</v>
      </c>
      <c r="M1180" s="8">
        <v>1</v>
      </c>
      <c r="N1180" s="1">
        <v>1</v>
      </c>
      <c r="O1180" s="15">
        <f>IF(SUM(Q1180:AF1180)&lt;1,"",SUM(Q1180:AF1180)/COUNTIF(Q1180:AF1180,"&gt;0"))</f>
        <v>99</v>
      </c>
      <c r="P1180" s="16"/>
      <c r="Q1180" s="13"/>
      <c r="T1180" s="4">
        <v>99</v>
      </c>
      <c r="U1180" s="2"/>
      <c r="V1180" s="2"/>
      <c r="W1180" s="2"/>
      <c r="X1180" s="2"/>
      <c r="Z1180" s="2"/>
      <c r="AA1180" s="2"/>
      <c r="AF1180" s="14"/>
    </row>
    <row r="1181" spans="1:33" s="4" customFormat="1" ht="15.75" customHeight="1" x14ac:dyDescent="0.25">
      <c r="A1181" s="33" t="str">
        <f>CONCATENATE(D1181,".",F1181,"-",G1181,".",H1181,"")</f>
        <v>2.4-10.1</v>
      </c>
      <c r="B1181" s="33"/>
      <c r="C1181" s="39" t="s">
        <v>262</v>
      </c>
      <c r="D1181" s="33">
        <f>IF(C1181="ID",1,(IF(C1181="PR",2,(IF(C1181="DE",3,(IF(C1181="RS",4,(IF(C1181="RC",5,0)))))))))</f>
        <v>2</v>
      </c>
      <c r="E1181" s="33" t="s">
        <v>344</v>
      </c>
      <c r="F1181" s="33">
        <f>IF(E1181="AM",1,(IF(E1181="BE",2,(IF(E1181="GV",3,(IF(E1181="RA",4,(IF(E1181="RM",5,(IF(E1181="AC",1,(IF(E1181="AT",2,(IF(E1181="DS",3,(IF(E1181="IP",4,(IF(E1181="MA",5,(IF(E1181="PT",6,(IF(E1181="AE",1,(IF(E1181="CM",2,(IF(E1181="DP",3,(IF(E1181="AN",1,(IF(E1181="CO",2,(IF(E1181="IM",3,(IF(E1181="MI",4,(IF(E1181="RP",5,(IF(E1181="SC",6,0)))))))))))))))))))))))))))))))))))))))</f>
        <v>4</v>
      </c>
      <c r="G1181" s="170">
        <v>10</v>
      </c>
      <c r="H1181" s="38" t="s">
        <v>511</v>
      </c>
      <c r="I1181" s="105" t="s">
        <v>1449</v>
      </c>
      <c r="J1181" s="157" t="s">
        <v>2011</v>
      </c>
      <c r="K1181" s="34" t="s">
        <v>2012</v>
      </c>
      <c r="L1181" s="5">
        <f>IF(O1181="","",N1181*O1181*M1181)</f>
        <v>99</v>
      </c>
      <c r="M1181" s="8">
        <v>1</v>
      </c>
      <c r="N1181" s="1">
        <v>1</v>
      </c>
      <c r="O1181" s="15">
        <f>IF(SUM(Q1181:AF1181)&lt;1,"",SUM(Q1181:AF1181)/COUNTIF(Q1181:AF1181,"&gt;0"))</f>
        <v>99</v>
      </c>
      <c r="P1181" s="16"/>
      <c r="Q1181" s="13"/>
      <c r="T1181" s="4">
        <v>99</v>
      </c>
      <c r="U1181" s="2"/>
      <c r="V1181" s="2"/>
      <c r="W1181" s="2"/>
      <c r="X1181" s="2"/>
      <c r="Z1181" s="2"/>
      <c r="AA1181" s="2"/>
      <c r="AF1181" s="14"/>
    </row>
    <row r="1182" spans="1:33" s="4" customFormat="1" ht="15.75" customHeight="1" x14ac:dyDescent="0.25">
      <c r="A1182" s="33" t="str">
        <f>CONCATENATE(D1182,".",F1182,"-",G1182,".",H1182,"")</f>
        <v>2.4-10.1</v>
      </c>
      <c r="B1182" s="33"/>
      <c r="C1182" s="39" t="s">
        <v>262</v>
      </c>
      <c r="D1182" s="33">
        <f>IF(C1182="ID",1,(IF(C1182="PR",2,(IF(C1182="DE",3,(IF(C1182="RS",4,(IF(C1182="RC",5,0)))))))))</f>
        <v>2</v>
      </c>
      <c r="E1182" s="33" t="s">
        <v>344</v>
      </c>
      <c r="F1182" s="33">
        <f>IF(E1182="AM",1,(IF(E1182="BE",2,(IF(E1182="GV",3,(IF(E1182="RA",4,(IF(E1182="RM",5,(IF(E1182="AC",1,(IF(E1182="AT",2,(IF(E1182="DS",3,(IF(E1182="IP",4,(IF(E1182="MA",5,(IF(E1182="PT",6,(IF(E1182="AE",1,(IF(E1182="CM",2,(IF(E1182="DP",3,(IF(E1182="AN",1,(IF(E1182="CO",2,(IF(E1182="IM",3,(IF(E1182="MI",4,(IF(E1182="RP",5,(IF(E1182="SC",6,0)))))))))))))))))))))))))))))))))))))))</f>
        <v>4</v>
      </c>
      <c r="G1182" s="170">
        <v>10</v>
      </c>
      <c r="H1182" s="38" t="s">
        <v>511</v>
      </c>
      <c r="I1182" s="105" t="s">
        <v>1449</v>
      </c>
      <c r="J1182" s="157" t="s">
        <v>2013</v>
      </c>
      <c r="K1182" s="34" t="s">
        <v>2014</v>
      </c>
      <c r="L1182" s="5">
        <f>IF(O1182="","",N1182*O1182*M1182)</f>
        <v>99</v>
      </c>
      <c r="M1182" s="8">
        <v>1</v>
      </c>
      <c r="N1182" s="1">
        <v>1</v>
      </c>
      <c r="O1182" s="15">
        <f>IF(SUM(Q1182:AF1182)&lt;1,"",SUM(Q1182:AF1182)/COUNTIF(Q1182:AF1182,"&gt;0"))</f>
        <v>99</v>
      </c>
      <c r="P1182" s="16"/>
      <c r="Q1182" s="13"/>
      <c r="T1182" s="4">
        <v>99</v>
      </c>
      <c r="U1182" s="2"/>
      <c r="V1182" s="2"/>
      <c r="W1182" s="2"/>
      <c r="X1182" s="2"/>
      <c r="Z1182" s="2"/>
      <c r="AA1182" s="2"/>
      <c r="AF1182" s="14"/>
    </row>
    <row r="1183" spans="1:33" s="4" customFormat="1" ht="15.75" customHeight="1" x14ac:dyDescent="0.25">
      <c r="A1183" s="33" t="str">
        <f>CONCATENATE(D1183,".",F1183,"-",G1183,".",H1183,"")</f>
        <v>2.4-10.1</v>
      </c>
      <c r="B1183" s="33"/>
      <c r="C1183" s="39" t="s">
        <v>262</v>
      </c>
      <c r="D1183" s="33">
        <f>IF(C1183="ID",1,(IF(C1183="PR",2,(IF(C1183="DE",3,(IF(C1183="RS",4,(IF(C1183="RC",5,0)))))))))</f>
        <v>2</v>
      </c>
      <c r="E1183" s="33" t="s">
        <v>344</v>
      </c>
      <c r="F1183" s="33">
        <f>IF(E1183="AM",1,(IF(E1183="BE",2,(IF(E1183="GV",3,(IF(E1183="RA",4,(IF(E1183="RM",5,(IF(E1183="AC",1,(IF(E1183="AT",2,(IF(E1183="DS",3,(IF(E1183="IP",4,(IF(E1183="MA",5,(IF(E1183="PT",6,(IF(E1183="AE",1,(IF(E1183="CM",2,(IF(E1183="DP",3,(IF(E1183="AN",1,(IF(E1183="CO",2,(IF(E1183="IM",3,(IF(E1183="MI",4,(IF(E1183="RP",5,(IF(E1183="SC",6,0)))))))))))))))))))))))))))))))))))))))</f>
        <v>4</v>
      </c>
      <c r="G1183" s="170">
        <v>10</v>
      </c>
      <c r="H1183" s="38" t="s">
        <v>511</v>
      </c>
      <c r="I1183" s="105" t="s">
        <v>1449</v>
      </c>
      <c r="J1183" s="157" t="s">
        <v>2015</v>
      </c>
      <c r="K1183" s="34" t="s">
        <v>2016</v>
      </c>
      <c r="L1183" s="5">
        <f>IF(O1183="","",N1183*O1183*M1183)</f>
        <v>99</v>
      </c>
      <c r="M1183" s="8">
        <v>1</v>
      </c>
      <c r="N1183" s="1">
        <v>1</v>
      </c>
      <c r="O1183" s="15">
        <f>IF(SUM(Q1183:AF1183)&lt;1,"",SUM(Q1183:AF1183)/COUNTIF(Q1183:AF1183,"&gt;0"))</f>
        <v>99</v>
      </c>
      <c r="P1183" s="16"/>
      <c r="Q1183" s="13"/>
      <c r="T1183" s="4">
        <v>99</v>
      </c>
      <c r="U1183" s="2"/>
      <c r="V1183" s="2"/>
      <c r="W1183" s="2"/>
      <c r="X1183" s="2"/>
      <c r="Z1183" s="2"/>
      <c r="AA1183" s="2"/>
      <c r="AF1183" s="14"/>
    </row>
    <row r="1184" spans="1:33" s="4" customFormat="1" ht="15.75" customHeight="1" x14ac:dyDescent="0.25">
      <c r="A1184" s="33" t="str">
        <f>CONCATENATE(D1184,".",F1184,"-",G1184,".",H1184,"")</f>
        <v>2.4-10.1</v>
      </c>
      <c r="B1184" s="33"/>
      <c r="C1184" s="39" t="s">
        <v>262</v>
      </c>
      <c r="D1184" s="33">
        <f>IF(C1184="ID",1,(IF(C1184="PR",2,(IF(C1184="DE",3,(IF(C1184="RS",4,(IF(C1184="RC",5,0)))))))))</f>
        <v>2</v>
      </c>
      <c r="E1184" s="33" t="s">
        <v>344</v>
      </c>
      <c r="F1184" s="33">
        <f>IF(E1184="AM",1,(IF(E1184="BE",2,(IF(E1184="GV",3,(IF(E1184="RA",4,(IF(E1184="RM",5,(IF(E1184="AC",1,(IF(E1184="AT",2,(IF(E1184="DS",3,(IF(E1184="IP",4,(IF(E1184="MA",5,(IF(E1184="PT",6,(IF(E1184="AE",1,(IF(E1184="CM",2,(IF(E1184="DP",3,(IF(E1184="AN",1,(IF(E1184="CO",2,(IF(E1184="IM",3,(IF(E1184="MI",4,(IF(E1184="RP",5,(IF(E1184="SC",6,0)))))))))))))))))))))))))))))))))))))))</f>
        <v>4</v>
      </c>
      <c r="G1184" s="170">
        <v>10</v>
      </c>
      <c r="H1184" s="38" t="s">
        <v>511</v>
      </c>
      <c r="I1184" s="105" t="s">
        <v>1449</v>
      </c>
      <c r="J1184" s="157" t="s">
        <v>2017</v>
      </c>
      <c r="K1184" s="34" t="s">
        <v>2018</v>
      </c>
      <c r="L1184" s="5">
        <f>IF(O1184="","",N1184*O1184*M1184)</f>
        <v>99</v>
      </c>
      <c r="M1184" s="8">
        <v>1</v>
      </c>
      <c r="N1184" s="1">
        <v>1</v>
      </c>
      <c r="O1184" s="15">
        <f>IF(SUM(Q1184:AF1184)&lt;1,"",SUM(Q1184:AF1184)/COUNTIF(Q1184:AF1184,"&gt;0"))</f>
        <v>99</v>
      </c>
      <c r="P1184" s="16"/>
      <c r="Q1184" s="13"/>
      <c r="T1184" s="4">
        <v>99</v>
      </c>
      <c r="U1184" s="2"/>
      <c r="V1184" s="2"/>
      <c r="W1184" s="2"/>
      <c r="X1184" s="2"/>
      <c r="Z1184" s="2"/>
      <c r="AA1184" s="2"/>
      <c r="AF1184" s="14"/>
    </row>
    <row r="1185" spans="1:32" s="4" customFormat="1" ht="15.75" customHeight="1" x14ac:dyDescent="0.25">
      <c r="A1185" s="33" t="str">
        <f>CONCATENATE(D1185,".",F1185,"-",G1185,".",H1185,"")</f>
        <v>2.4-10.1</v>
      </c>
      <c r="B1185" s="33"/>
      <c r="C1185" s="39" t="s">
        <v>262</v>
      </c>
      <c r="D1185" s="33">
        <f>IF(C1185="ID",1,(IF(C1185="PR",2,(IF(C1185="DE",3,(IF(C1185="RS",4,(IF(C1185="RC",5,0)))))))))</f>
        <v>2</v>
      </c>
      <c r="E1185" s="33" t="s">
        <v>344</v>
      </c>
      <c r="F1185" s="33">
        <f>IF(E1185="AM",1,(IF(E1185="BE",2,(IF(E1185="GV",3,(IF(E1185="RA",4,(IF(E1185="RM",5,(IF(E1185="AC",1,(IF(E1185="AT",2,(IF(E1185="DS",3,(IF(E1185="IP",4,(IF(E1185="MA",5,(IF(E1185="PT",6,(IF(E1185="AE",1,(IF(E1185="CM",2,(IF(E1185="DP",3,(IF(E1185="AN",1,(IF(E1185="CO",2,(IF(E1185="IM",3,(IF(E1185="MI",4,(IF(E1185="RP",5,(IF(E1185="SC",6,0)))))))))))))))))))))))))))))))))))))))</f>
        <v>4</v>
      </c>
      <c r="G1185" s="170">
        <v>10</v>
      </c>
      <c r="H1185" s="38" t="s">
        <v>511</v>
      </c>
      <c r="I1185" s="105" t="s">
        <v>1449</v>
      </c>
      <c r="J1185" s="157" t="s">
        <v>2207</v>
      </c>
      <c r="K1185" s="34" t="s">
        <v>2208</v>
      </c>
      <c r="L1185" s="5">
        <f>IF(O1185="","",N1185*O1185*M1185)</f>
        <v>99</v>
      </c>
      <c r="M1185" s="8">
        <v>1</v>
      </c>
      <c r="N1185" s="1">
        <v>1</v>
      </c>
      <c r="O1185" s="15">
        <f>IF(SUM(Q1185:AF1185)&lt;1,"",SUM(Q1185:AF1185)/COUNTIF(Q1185:AF1185,"&gt;0"))</f>
        <v>99</v>
      </c>
      <c r="P1185" s="16"/>
      <c r="Q1185" s="13"/>
      <c r="T1185" s="4">
        <v>99</v>
      </c>
      <c r="U1185" s="2"/>
      <c r="V1185" s="2"/>
      <c r="W1185" s="2"/>
      <c r="X1185" s="2"/>
      <c r="Z1185" s="2"/>
      <c r="AA1185" s="2"/>
      <c r="AF1185" s="14"/>
    </row>
    <row r="1186" spans="1:32" s="4" customFormat="1" ht="15.75" customHeight="1" x14ac:dyDescent="0.25">
      <c r="A1186" s="33" t="str">
        <f>CONCATENATE(D1186,".",F1186,"-",G1186,".",H1186,"")</f>
        <v>2.4-10.1</v>
      </c>
      <c r="B1186" s="33"/>
      <c r="C1186" s="39" t="s">
        <v>262</v>
      </c>
      <c r="D1186" s="33">
        <f>IF(C1186="ID",1,(IF(C1186="PR",2,(IF(C1186="DE",3,(IF(C1186="RS",4,(IF(C1186="RC",5,0)))))))))</f>
        <v>2</v>
      </c>
      <c r="E1186" s="33" t="s">
        <v>344</v>
      </c>
      <c r="F1186" s="33">
        <f>IF(E1186="AM",1,(IF(E1186="BE",2,(IF(E1186="GV",3,(IF(E1186="RA",4,(IF(E1186="RM",5,(IF(E1186="AC",1,(IF(E1186="AT",2,(IF(E1186="DS",3,(IF(E1186="IP",4,(IF(E1186="MA",5,(IF(E1186="PT",6,(IF(E1186="AE",1,(IF(E1186="CM",2,(IF(E1186="DP",3,(IF(E1186="AN",1,(IF(E1186="CO",2,(IF(E1186="IM",3,(IF(E1186="MI",4,(IF(E1186="RP",5,(IF(E1186="SC",6,0)))))))))))))))))))))))))))))))))))))))</f>
        <v>4</v>
      </c>
      <c r="G1186" s="170">
        <v>10</v>
      </c>
      <c r="H1186" s="38" t="s">
        <v>511</v>
      </c>
      <c r="I1186" s="105" t="s">
        <v>1449</v>
      </c>
      <c r="J1186" s="157" t="s">
        <v>2209</v>
      </c>
      <c r="K1186" s="34" t="s">
        <v>2210</v>
      </c>
      <c r="L1186" s="5">
        <f>IF(O1186="","",N1186*O1186*M1186)</f>
        <v>99</v>
      </c>
      <c r="M1186" s="8">
        <v>1</v>
      </c>
      <c r="N1186" s="1">
        <v>1</v>
      </c>
      <c r="O1186" s="15">
        <f>IF(SUM(Q1186:AF1186)&lt;1,"",SUM(Q1186:AF1186)/COUNTIF(Q1186:AF1186,"&gt;0"))</f>
        <v>99</v>
      </c>
      <c r="P1186" s="16"/>
      <c r="Q1186" s="13"/>
      <c r="T1186" s="4">
        <v>99</v>
      </c>
      <c r="U1186" s="2"/>
      <c r="V1186" s="2"/>
      <c r="W1186" s="2"/>
      <c r="X1186" s="2"/>
      <c r="Z1186" s="2"/>
      <c r="AA1186" s="2"/>
      <c r="AF1186" s="14"/>
    </row>
    <row r="1187" spans="1:32" s="4" customFormat="1" ht="15.75" customHeight="1" x14ac:dyDescent="0.25">
      <c r="A1187" s="33" t="str">
        <f>CONCATENATE(D1187,".",F1187,"-",G1187,".",H1187,"")</f>
        <v>2.4-10.1</v>
      </c>
      <c r="B1187" s="33"/>
      <c r="C1187" s="39" t="s">
        <v>262</v>
      </c>
      <c r="D1187" s="33">
        <f>IF(C1187="ID",1,(IF(C1187="PR",2,(IF(C1187="DE",3,(IF(C1187="RS",4,(IF(C1187="RC",5,0)))))))))</f>
        <v>2</v>
      </c>
      <c r="E1187" s="33" t="s">
        <v>344</v>
      </c>
      <c r="F1187" s="33">
        <f>IF(E1187="AM",1,(IF(E1187="BE",2,(IF(E1187="GV",3,(IF(E1187="RA",4,(IF(E1187="RM",5,(IF(E1187="AC",1,(IF(E1187="AT",2,(IF(E1187="DS",3,(IF(E1187="IP",4,(IF(E1187="MA",5,(IF(E1187="PT",6,(IF(E1187="AE",1,(IF(E1187="CM",2,(IF(E1187="DP",3,(IF(E1187="AN",1,(IF(E1187="CO",2,(IF(E1187="IM",3,(IF(E1187="MI",4,(IF(E1187="RP",5,(IF(E1187="SC",6,0)))))))))))))))))))))))))))))))))))))))</f>
        <v>4</v>
      </c>
      <c r="G1187" s="170">
        <v>10</v>
      </c>
      <c r="H1187" s="38" t="s">
        <v>511</v>
      </c>
      <c r="I1187" s="105" t="s">
        <v>1449</v>
      </c>
      <c r="J1187" s="157" t="s">
        <v>2211</v>
      </c>
      <c r="K1187" s="34" t="s">
        <v>2212</v>
      </c>
      <c r="L1187" s="5">
        <f>IF(O1187="","",N1187*O1187*M1187)</f>
        <v>99</v>
      </c>
      <c r="M1187" s="8">
        <v>1</v>
      </c>
      <c r="N1187" s="1">
        <v>1</v>
      </c>
      <c r="O1187" s="15">
        <f>IF(SUM(Q1187:AF1187)&lt;1,"",SUM(Q1187:AF1187)/COUNTIF(Q1187:AF1187,"&gt;0"))</f>
        <v>99</v>
      </c>
      <c r="P1187" s="16"/>
      <c r="Q1187" s="13"/>
      <c r="T1187" s="4">
        <v>99</v>
      </c>
      <c r="U1187" s="2"/>
      <c r="V1187" s="2"/>
      <c r="W1187" s="2"/>
      <c r="X1187" s="2"/>
      <c r="Z1187" s="2"/>
      <c r="AA1187" s="2"/>
      <c r="AF1187" s="14"/>
    </row>
    <row r="1188" spans="1:32" s="4" customFormat="1" ht="15.75" customHeight="1" x14ac:dyDescent="0.25">
      <c r="A1188" s="33" t="str">
        <f>CONCATENATE(D1188,".",F1188,"-",G1188,".",H1188,"")</f>
        <v>2.4-10.1</v>
      </c>
      <c r="B1188" s="33"/>
      <c r="C1188" s="39" t="s">
        <v>262</v>
      </c>
      <c r="D1188" s="33">
        <f>IF(C1188="ID",1,(IF(C1188="PR",2,(IF(C1188="DE",3,(IF(C1188="RS",4,(IF(C1188="RC",5,0)))))))))</f>
        <v>2</v>
      </c>
      <c r="E1188" s="33" t="s">
        <v>344</v>
      </c>
      <c r="F1188" s="33">
        <f>IF(E1188="AM",1,(IF(E1188="BE",2,(IF(E1188="GV",3,(IF(E1188="RA",4,(IF(E1188="RM",5,(IF(E1188="AC",1,(IF(E1188="AT",2,(IF(E1188="DS",3,(IF(E1188="IP",4,(IF(E1188="MA",5,(IF(E1188="PT",6,(IF(E1188="AE",1,(IF(E1188="CM",2,(IF(E1188="DP",3,(IF(E1188="AN",1,(IF(E1188="CO",2,(IF(E1188="IM",3,(IF(E1188="MI",4,(IF(E1188="RP",5,(IF(E1188="SC",6,0)))))))))))))))))))))))))))))))))))))))</f>
        <v>4</v>
      </c>
      <c r="G1188" s="170">
        <v>10</v>
      </c>
      <c r="H1188" s="38" t="s">
        <v>511</v>
      </c>
      <c r="I1188" s="105" t="s">
        <v>1449</v>
      </c>
      <c r="J1188" s="157" t="s">
        <v>2491</v>
      </c>
      <c r="K1188" s="34" t="s">
        <v>2492</v>
      </c>
      <c r="L1188" s="5">
        <f>IF(O1188="","",N1188*O1188*M1188)</f>
        <v>99</v>
      </c>
      <c r="M1188" s="8">
        <v>1</v>
      </c>
      <c r="N1188" s="1">
        <v>1</v>
      </c>
      <c r="O1188" s="15">
        <f>IF(SUM(Q1188:AF1188)&lt;1,"",SUM(Q1188:AF1188)/COUNTIF(Q1188:AF1188,"&gt;0"))</f>
        <v>99</v>
      </c>
      <c r="P1188" s="16"/>
      <c r="Q1188" s="13"/>
      <c r="T1188" s="4">
        <v>99</v>
      </c>
      <c r="U1188" s="2"/>
      <c r="V1188" s="2"/>
      <c r="W1188" s="2"/>
      <c r="X1188" s="2"/>
      <c r="Z1188" s="2"/>
      <c r="AA1188" s="2"/>
      <c r="AF1188" s="14"/>
    </row>
    <row r="1189" spans="1:32" s="4" customFormat="1" ht="15.75" customHeight="1" x14ac:dyDescent="0.25">
      <c r="A1189" s="33" t="str">
        <f>CONCATENATE(D1189,".",F1189,"-",G1189,".",H1189,"")</f>
        <v>2.4-11.0</v>
      </c>
      <c r="B1189" s="33" t="s">
        <v>814</v>
      </c>
      <c r="C1189" s="40" t="s">
        <v>262</v>
      </c>
      <c r="D1189" s="33">
        <f>IF(C1189="ID",1,(IF(C1189="PR",2,(IF(C1189="DE",3,(IF(C1189="RS",4,(IF(C1189="RC",5,0)))))))))</f>
        <v>2</v>
      </c>
      <c r="E1189" s="33" t="s">
        <v>344</v>
      </c>
      <c r="F1189" s="33">
        <f>IF(E1189="AM",1,(IF(E1189="BE",2,(IF(E1189="GV",3,(IF(E1189="RA",4,(IF(E1189="RM",5,(IF(E1189="AC",1,(IF(E1189="AT",2,(IF(E1189="DS",3,(IF(E1189="IP",4,(IF(E1189="MA",5,(IF(E1189="PT",6,(IF(E1189="AE",1,(IF(E1189="CM",2,(IF(E1189="DP",3,(IF(E1189="AN",1,(IF(E1189="CO",2,(IF(E1189="IM",3,(IF(E1189="MI",4,(IF(E1189="RP",5,(IF(E1189="SC",6,0)))))))))))))))))))))))))))))))))))))))</f>
        <v>4</v>
      </c>
      <c r="G1189" s="170">
        <v>11</v>
      </c>
      <c r="H1189" s="38" t="s">
        <v>597</v>
      </c>
      <c r="I1189" s="27" t="s">
        <v>1200</v>
      </c>
      <c r="J1189" s="149" t="s">
        <v>682</v>
      </c>
      <c r="K1189" s="98" t="s">
        <v>394</v>
      </c>
      <c r="L1189" s="5">
        <f>IF(O1189="","",N1189*O1189*M1189)</f>
        <v>75</v>
      </c>
      <c r="M1189" s="8">
        <v>1</v>
      </c>
      <c r="N1189" s="1">
        <v>1</v>
      </c>
      <c r="O1189" s="15">
        <f>IF(SUM(Q1189:AF1189)&lt;1,"",SUM(Q1189:AF1189)/COUNTIF(Q1189:AF1189,"&gt;0"))</f>
        <v>75</v>
      </c>
      <c r="P1189" s="16"/>
      <c r="Q1189" s="13"/>
      <c r="T1189" s="4">
        <v>75</v>
      </c>
      <c r="U1189" s="2"/>
      <c r="V1189" s="2"/>
      <c r="W1189" s="2"/>
      <c r="X1189" s="2"/>
      <c r="Z1189" s="2"/>
      <c r="AA1189" s="2"/>
      <c r="AF1189" s="14"/>
    </row>
    <row r="1190" spans="1:32" s="4" customFormat="1" ht="15.75" customHeight="1" x14ac:dyDescent="0.25">
      <c r="A1190" s="33" t="str">
        <f>CONCATENATE(D1190,".",F1190,"-",G1190,".",H1190,"")</f>
        <v>2.4-11.0</v>
      </c>
      <c r="B1190" s="33" t="s">
        <v>814</v>
      </c>
      <c r="C1190" s="40" t="s">
        <v>262</v>
      </c>
      <c r="D1190" s="33">
        <f>IF(C1190="ID",1,(IF(C1190="PR",2,(IF(C1190="DE",3,(IF(C1190="RS",4,(IF(C1190="RC",5,0)))))))))</f>
        <v>2</v>
      </c>
      <c r="E1190" s="33" t="s">
        <v>344</v>
      </c>
      <c r="F1190" s="33">
        <f>IF(E1190="AM",1,(IF(E1190="BE",2,(IF(E1190="GV",3,(IF(E1190="RA",4,(IF(E1190="RM",5,(IF(E1190="AC",1,(IF(E1190="AT",2,(IF(E1190="DS",3,(IF(E1190="IP",4,(IF(E1190="MA",5,(IF(E1190="PT",6,(IF(E1190="AE",1,(IF(E1190="CM",2,(IF(E1190="DP",3,(IF(E1190="AN",1,(IF(E1190="CO",2,(IF(E1190="IM",3,(IF(E1190="MI",4,(IF(E1190="RP",5,(IF(E1190="SC",6,0)))))))))))))))))))))))))))))))))))))))</f>
        <v>4</v>
      </c>
      <c r="G1190" s="171">
        <v>11</v>
      </c>
      <c r="H1190" s="38" t="s">
        <v>597</v>
      </c>
      <c r="I1190" s="27" t="s">
        <v>936</v>
      </c>
      <c r="J1190" s="163" t="s">
        <v>932</v>
      </c>
      <c r="K1190" s="34" t="s">
        <v>974</v>
      </c>
      <c r="L1190" s="66">
        <f>IF(O1190="","",N1190*O1190*M1190)</f>
        <v>75</v>
      </c>
      <c r="M1190" s="8">
        <v>1</v>
      </c>
      <c r="N1190" s="3">
        <v>1</v>
      </c>
      <c r="O1190" s="15">
        <f>IF(SUM(Q1190:AF1190)&lt;1,"",SUM(Q1190:AF1190)/COUNTIF(Q1190:AF1190,"&gt;0"))</f>
        <v>75</v>
      </c>
      <c r="P1190" s="16"/>
      <c r="Q1190" s="13"/>
      <c r="T1190" s="4">
        <v>75</v>
      </c>
      <c r="U1190" s="2"/>
      <c r="V1190" s="2"/>
      <c r="W1190" s="2"/>
      <c r="X1190" s="2"/>
      <c r="Z1190" s="2"/>
      <c r="AA1190" s="2"/>
      <c r="AF1190" s="14"/>
    </row>
    <row r="1191" spans="1:32" s="4" customFormat="1" ht="15.75" customHeight="1" x14ac:dyDescent="0.25">
      <c r="A1191" s="33" t="str">
        <f>CONCATENATE(D1191,".",F1191,"-",G1191,".",H1191,"")</f>
        <v>2.4-11.1</v>
      </c>
      <c r="B1191" s="33" t="s">
        <v>814</v>
      </c>
      <c r="C1191" s="39" t="s">
        <v>262</v>
      </c>
      <c r="D1191" s="33">
        <f>IF(C1191="ID",1,(IF(C1191="PR",2,(IF(C1191="DE",3,(IF(C1191="RS",4,(IF(C1191="RC",5,0)))))))))</f>
        <v>2</v>
      </c>
      <c r="E1191" s="33" t="s">
        <v>344</v>
      </c>
      <c r="F1191" s="33">
        <f>IF(E1191="AM",1,(IF(E1191="BE",2,(IF(E1191="GV",3,(IF(E1191="RA",4,(IF(E1191="RM",5,(IF(E1191="AC",1,(IF(E1191="AT",2,(IF(E1191="DS",3,(IF(E1191="IP",4,(IF(E1191="MA",5,(IF(E1191="PT",6,(IF(E1191="AE",1,(IF(E1191="CM",2,(IF(E1191="DP",3,(IF(E1191="AN",1,(IF(E1191="CO",2,(IF(E1191="IM",3,(IF(E1191="MI",4,(IF(E1191="RP",5,(IF(E1191="SC",6,0)))))))))))))))))))))))))))))))))))))))</f>
        <v>4</v>
      </c>
      <c r="G1191" s="170">
        <v>11</v>
      </c>
      <c r="H1191" s="38" t="s">
        <v>511</v>
      </c>
      <c r="I1191" s="105" t="s">
        <v>821</v>
      </c>
      <c r="J1191" s="150">
        <v>9.4</v>
      </c>
      <c r="K1191" s="79" t="s">
        <v>1283</v>
      </c>
      <c r="L1191" s="66">
        <f>IF(O1191="","",N1191*O1191*M1191)</f>
        <v>75</v>
      </c>
      <c r="M1191" s="8">
        <v>1</v>
      </c>
      <c r="N1191" s="3">
        <v>1</v>
      </c>
      <c r="O1191" s="15">
        <f>IF(SUM(Q1191:AF1191)&lt;1,"",SUM(Q1191:AF1191)/COUNTIF(Q1191:AF1191,"&gt;0"))</f>
        <v>75</v>
      </c>
      <c r="P1191" s="16"/>
      <c r="Q1191" s="13"/>
      <c r="T1191" s="4">
        <v>75</v>
      </c>
      <c r="U1191" s="2"/>
      <c r="V1191" s="2"/>
      <c r="W1191" s="2"/>
      <c r="X1191" s="2"/>
      <c r="Z1191" s="2"/>
      <c r="AA1191" s="2"/>
      <c r="AF1191" s="14"/>
    </row>
    <row r="1192" spans="1:32" s="4" customFormat="1" ht="15.75" customHeight="1" x14ac:dyDescent="0.25">
      <c r="A1192" s="33" t="str">
        <f>CONCATENATE(D1192,".",F1192,"-",G1192,".",H1192,"")</f>
        <v>2.4-11.1</v>
      </c>
      <c r="B1192" s="33" t="s">
        <v>814</v>
      </c>
      <c r="C1192" s="40" t="s">
        <v>262</v>
      </c>
      <c r="D1192" s="33">
        <f>IF(C1192="ID",1,(IF(C1192="PR",2,(IF(C1192="DE",3,(IF(C1192="RS",4,(IF(C1192="RC",5,0)))))))))</f>
        <v>2</v>
      </c>
      <c r="E1192" s="33" t="s">
        <v>344</v>
      </c>
      <c r="F1192" s="33">
        <f>IF(E1192="AM",1,(IF(E1192="BE",2,(IF(E1192="GV",3,(IF(E1192="RA",4,(IF(E1192="RM",5,(IF(E1192="AC",1,(IF(E1192="AT",2,(IF(E1192="DS",3,(IF(E1192="IP",4,(IF(E1192="MA",5,(IF(E1192="PT",6,(IF(E1192="AE",1,(IF(E1192="CM",2,(IF(E1192="DP",3,(IF(E1192="AN",1,(IF(E1192="CO",2,(IF(E1192="IM",3,(IF(E1192="MI",4,(IF(E1192="RP",5,(IF(E1192="SC",6,0)))))))))))))))))))))))))))))))))))))))</f>
        <v>4</v>
      </c>
      <c r="G1192" s="171">
        <v>11</v>
      </c>
      <c r="H1192" s="38" t="s">
        <v>511</v>
      </c>
      <c r="I1192" s="105" t="s">
        <v>821</v>
      </c>
      <c r="J1192" s="150">
        <v>12.7</v>
      </c>
      <c r="K1192" s="79" t="s">
        <v>1283</v>
      </c>
      <c r="L1192" s="66">
        <f>IF(O1192="","",N1192*O1192*M1192)</f>
        <v>75</v>
      </c>
      <c r="M1192" s="8">
        <v>1</v>
      </c>
      <c r="N1192" s="3">
        <v>1</v>
      </c>
      <c r="O1192" s="15">
        <f>IF(SUM(Q1192:AF1192)&lt;1,"",SUM(Q1192:AF1192)/COUNTIF(Q1192:AF1192,"&gt;0"))</f>
        <v>75</v>
      </c>
      <c r="P1192" s="16"/>
      <c r="Q1192" s="13"/>
      <c r="T1192" s="4">
        <v>75</v>
      </c>
      <c r="U1192" s="2"/>
      <c r="V1192" s="2"/>
      <c r="W1192" s="2"/>
      <c r="X1192" s="2"/>
      <c r="Z1192" s="2"/>
      <c r="AA1192" s="2"/>
      <c r="AF1192" s="14"/>
    </row>
    <row r="1193" spans="1:32" s="4" customFormat="1" ht="15.75" customHeight="1" x14ac:dyDescent="0.25">
      <c r="A1193" s="33" t="str">
        <f>CONCATENATE(D1193,".",F1193,"-",G1193,".",H1193,"")</f>
        <v>2.4-11.1</v>
      </c>
      <c r="B1193" s="33" t="s">
        <v>814</v>
      </c>
      <c r="C1193" s="40" t="s">
        <v>262</v>
      </c>
      <c r="D1193" s="33">
        <f>IF(C1193="ID",1,(IF(C1193="PR",2,(IF(C1193="DE",3,(IF(C1193="RS",4,(IF(C1193="RC",5,0)))))))))</f>
        <v>2</v>
      </c>
      <c r="E1193" s="33" t="s">
        <v>344</v>
      </c>
      <c r="F1193" s="33">
        <f>IF(E1193="AM",1,(IF(E1193="BE",2,(IF(E1193="GV",3,(IF(E1193="RA",4,(IF(E1193="RM",5,(IF(E1193="AC",1,(IF(E1193="AT",2,(IF(E1193="DS",3,(IF(E1193="IP",4,(IF(E1193="MA",5,(IF(E1193="PT",6,(IF(E1193="AE",1,(IF(E1193="CM",2,(IF(E1193="DP",3,(IF(E1193="AN",1,(IF(E1193="CO",2,(IF(E1193="IM",3,(IF(E1193="MI",4,(IF(E1193="RP",5,(IF(E1193="SC",6,0)))))))))))))))))))))))))))))))))))))))</f>
        <v>4</v>
      </c>
      <c r="G1193" s="171">
        <v>11</v>
      </c>
      <c r="H1193" s="38" t="s">
        <v>511</v>
      </c>
      <c r="I1193" s="27" t="s">
        <v>936</v>
      </c>
      <c r="J1193" s="163" t="s">
        <v>897</v>
      </c>
      <c r="K1193" s="34" t="s">
        <v>979</v>
      </c>
      <c r="L1193" s="66">
        <f>IF(O1193="","",N1193*O1193*M1193)</f>
        <v>75</v>
      </c>
      <c r="M1193" s="8">
        <v>1</v>
      </c>
      <c r="N1193" s="3">
        <v>1</v>
      </c>
      <c r="O1193" s="15">
        <f>IF(SUM(Q1193:AF1193)&lt;1,"",SUM(Q1193:AF1193)/COUNTIF(Q1193:AF1193,"&gt;0"))</f>
        <v>75</v>
      </c>
      <c r="P1193" s="16"/>
      <c r="Q1193" s="13"/>
      <c r="T1193" s="4">
        <v>75</v>
      </c>
      <c r="U1193" s="2"/>
      <c r="V1193" s="2"/>
      <c r="W1193" s="2"/>
      <c r="X1193" s="2"/>
      <c r="Z1193" s="2"/>
      <c r="AA1193" s="2"/>
      <c r="AF1193" s="14"/>
    </row>
    <row r="1194" spans="1:32" s="4" customFormat="1" ht="15.75" customHeight="1" x14ac:dyDescent="0.25">
      <c r="A1194" s="33" t="str">
        <f>CONCATENATE(D1194,".",F1194,"-",G1194,".",H1194,"")</f>
        <v>2.4-11.1</v>
      </c>
      <c r="B1194" s="33" t="s">
        <v>814</v>
      </c>
      <c r="C1194" s="40" t="s">
        <v>262</v>
      </c>
      <c r="D1194" s="33">
        <f>IF(C1194="ID",1,(IF(C1194="PR",2,(IF(C1194="DE",3,(IF(C1194="RS",4,(IF(C1194="RC",5,0)))))))))</f>
        <v>2</v>
      </c>
      <c r="E1194" s="33" t="s">
        <v>344</v>
      </c>
      <c r="F1194" s="33">
        <f>IF(E1194="AM",1,(IF(E1194="BE",2,(IF(E1194="GV",3,(IF(E1194="RA",4,(IF(E1194="RM",5,(IF(E1194="AC",1,(IF(E1194="AT",2,(IF(E1194="DS",3,(IF(E1194="IP",4,(IF(E1194="MA",5,(IF(E1194="PT",6,(IF(E1194="AE",1,(IF(E1194="CM",2,(IF(E1194="DP",3,(IF(E1194="AN",1,(IF(E1194="CO",2,(IF(E1194="IM",3,(IF(E1194="MI",4,(IF(E1194="RP",5,(IF(E1194="SC",6,0)))))))))))))))))))))))))))))))))))))))</f>
        <v>4</v>
      </c>
      <c r="G1194" s="171">
        <v>11</v>
      </c>
      <c r="H1194" s="38" t="s">
        <v>511</v>
      </c>
      <c r="I1194" s="27" t="s">
        <v>936</v>
      </c>
      <c r="J1194" s="163" t="s">
        <v>901</v>
      </c>
      <c r="K1194" s="2" t="s">
        <v>984</v>
      </c>
      <c r="L1194" s="66">
        <f>IF(O1194="","",N1194*O1194*M1194)</f>
        <v>75</v>
      </c>
      <c r="M1194" s="8">
        <v>1</v>
      </c>
      <c r="N1194" s="3">
        <v>1</v>
      </c>
      <c r="O1194" s="15">
        <f>IF(SUM(Q1194:AF1194)&lt;1,"",SUM(Q1194:AF1194)/COUNTIF(Q1194:AF1194,"&gt;0"))</f>
        <v>75</v>
      </c>
      <c r="P1194" s="16"/>
      <c r="Q1194" s="13"/>
      <c r="T1194" s="4">
        <v>75</v>
      </c>
      <c r="U1194" s="2"/>
      <c r="V1194" s="2"/>
      <c r="W1194" s="2"/>
      <c r="X1194" s="2"/>
      <c r="Z1194" s="2"/>
      <c r="AA1194" s="2"/>
      <c r="AF1194" s="14"/>
    </row>
    <row r="1195" spans="1:32" s="4" customFormat="1" ht="15.75" customHeight="1" x14ac:dyDescent="0.25">
      <c r="A1195" s="33" t="str">
        <f>CONCATENATE(D1195,".",F1195,"-",G1195,".",H1195,"")</f>
        <v>2.4-11.1</v>
      </c>
      <c r="B1195" s="33" t="s">
        <v>814</v>
      </c>
      <c r="C1195" s="40" t="s">
        <v>262</v>
      </c>
      <c r="D1195" s="33">
        <f>IF(C1195="ID",1,(IF(C1195="PR",2,(IF(C1195="DE",3,(IF(C1195="RS",4,(IF(C1195="RC",5,0)))))))))</f>
        <v>2</v>
      </c>
      <c r="E1195" s="33" t="s">
        <v>344</v>
      </c>
      <c r="F1195" s="33">
        <f>IF(E1195="AM",1,(IF(E1195="BE",2,(IF(E1195="GV",3,(IF(E1195="RA",4,(IF(E1195="RM",5,(IF(E1195="AC",1,(IF(E1195="AT",2,(IF(E1195="DS",3,(IF(E1195="IP",4,(IF(E1195="MA",5,(IF(E1195="PT",6,(IF(E1195="AE",1,(IF(E1195="CM",2,(IF(E1195="DP",3,(IF(E1195="AN",1,(IF(E1195="CO",2,(IF(E1195="IM",3,(IF(E1195="MI",4,(IF(E1195="RP",5,(IF(E1195="SC",6,0)))))))))))))))))))))))))))))))))))))))</f>
        <v>4</v>
      </c>
      <c r="G1195" s="171">
        <v>11</v>
      </c>
      <c r="H1195" s="38" t="s">
        <v>511</v>
      </c>
      <c r="I1195" s="27" t="s">
        <v>936</v>
      </c>
      <c r="J1195" s="163" t="s">
        <v>893</v>
      </c>
      <c r="K1195" s="34" t="s">
        <v>939</v>
      </c>
      <c r="L1195" s="66">
        <f>IF(O1195="","",N1195*O1195*M1195)</f>
        <v>75</v>
      </c>
      <c r="M1195" s="8">
        <v>1</v>
      </c>
      <c r="N1195" s="3">
        <v>1</v>
      </c>
      <c r="O1195" s="15">
        <f>IF(SUM(Q1195:AF1195)&lt;1,"",SUM(Q1195:AF1195)/COUNTIF(Q1195:AF1195,"&gt;0"))</f>
        <v>75</v>
      </c>
      <c r="P1195" s="16"/>
      <c r="Q1195" s="13"/>
      <c r="T1195" s="4">
        <v>75</v>
      </c>
      <c r="U1195" s="2"/>
      <c r="V1195" s="2"/>
      <c r="W1195" s="2"/>
      <c r="X1195" s="2"/>
      <c r="Z1195" s="2"/>
      <c r="AA1195" s="2"/>
      <c r="AF1195" s="14"/>
    </row>
    <row r="1196" spans="1:32" s="4" customFormat="1" ht="15.75" customHeight="1" x14ac:dyDescent="0.25">
      <c r="A1196" s="33" t="str">
        <f>CONCATENATE(D1196,".",F1196,"-",G1196,".",H1196,"")</f>
        <v>2.4-11.1</v>
      </c>
      <c r="B1196" s="33" t="s">
        <v>814</v>
      </c>
      <c r="C1196" s="39" t="s">
        <v>262</v>
      </c>
      <c r="D1196" s="33">
        <f>IF(C1196="ID",1,(IF(C1196="PR",2,(IF(C1196="DE",3,(IF(C1196="RS",4,(IF(C1196="RC",5,0)))))))))</f>
        <v>2</v>
      </c>
      <c r="E1196" s="33" t="s">
        <v>344</v>
      </c>
      <c r="F1196" s="33">
        <f>IF(E1196="AM",1,(IF(E1196="BE",2,(IF(E1196="GV",3,(IF(E1196="RA",4,(IF(E1196="RM",5,(IF(E1196="AC",1,(IF(E1196="AT",2,(IF(E1196="DS",3,(IF(E1196="IP",4,(IF(E1196="MA",5,(IF(E1196="PT",6,(IF(E1196="AE",1,(IF(E1196="CM",2,(IF(E1196="DP",3,(IF(E1196="AN",1,(IF(E1196="CO",2,(IF(E1196="IM",3,(IF(E1196="MI",4,(IF(E1196="RP",5,(IF(E1196="SC",6,0)))))))))))))))))))))))))))))))))))))))</f>
        <v>4</v>
      </c>
      <c r="G1196" s="170">
        <v>11</v>
      </c>
      <c r="H1196" s="38" t="s">
        <v>511</v>
      </c>
      <c r="I1196" s="105" t="s">
        <v>821</v>
      </c>
      <c r="J1196" s="150" t="s">
        <v>102</v>
      </c>
      <c r="K1196" s="79" t="s">
        <v>1283</v>
      </c>
      <c r="L1196" s="66">
        <f>IF(O1196="","",N1196*O1196*M1196)</f>
        <v>75</v>
      </c>
      <c r="M1196" s="8">
        <v>1</v>
      </c>
      <c r="N1196" s="3">
        <v>1</v>
      </c>
      <c r="O1196" s="15">
        <f>IF(SUM(Q1196:AF1196)&lt;1,"",SUM(Q1196:AF1196)/COUNTIF(Q1196:AF1196,"&gt;0"))</f>
        <v>75</v>
      </c>
      <c r="P1196" s="16"/>
      <c r="Q1196" s="13"/>
      <c r="T1196" s="4">
        <v>75</v>
      </c>
      <c r="U1196" s="2"/>
      <c r="V1196" s="2"/>
      <c r="W1196" s="2"/>
      <c r="X1196" s="2"/>
      <c r="Z1196" s="2"/>
      <c r="AA1196" s="2"/>
      <c r="AF1196" s="14"/>
    </row>
    <row r="1197" spans="1:32" s="4" customFormat="1" ht="15.75" customHeight="1" x14ac:dyDescent="0.25">
      <c r="A1197" s="33" t="str">
        <f>CONCATENATE(D1197,".",F1197,"-",G1197,".",H1197,"")</f>
        <v>2.4-11.1</v>
      </c>
      <c r="B1197" s="33" t="s">
        <v>814</v>
      </c>
      <c r="C1197" s="39" t="s">
        <v>262</v>
      </c>
      <c r="D1197" s="33">
        <f>IF(C1197="ID",1,(IF(C1197="PR",2,(IF(C1197="DE",3,(IF(C1197="RS",4,(IF(C1197="RC",5,0)))))))))</f>
        <v>2</v>
      </c>
      <c r="E1197" s="33" t="s">
        <v>344</v>
      </c>
      <c r="F1197" s="33">
        <f>IF(E1197="AM",1,(IF(E1197="BE",2,(IF(E1197="GV",3,(IF(E1197="RA",4,(IF(E1197="RM",5,(IF(E1197="AC",1,(IF(E1197="AT",2,(IF(E1197="DS",3,(IF(E1197="IP",4,(IF(E1197="MA",5,(IF(E1197="PT",6,(IF(E1197="AE",1,(IF(E1197="CM",2,(IF(E1197="DP",3,(IF(E1197="AN",1,(IF(E1197="CO",2,(IF(E1197="IM",3,(IF(E1197="MI",4,(IF(E1197="RP",5,(IF(E1197="SC",6,0)))))))))))))))))))))))))))))))))))))))</f>
        <v>4</v>
      </c>
      <c r="G1197" s="170">
        <v>11</v>
      </c>
      <c r="H1197" s="38" t="s">
        <v>511</v>
      </c>
      <c r="I1197" s="105" t="s">
        <v>821</v>
      </c>
      <c r="J1197" s="150" t="s">
        <v>178</v>
      </c>
      <c r="K1197" s="79" t="s">
        <v>1283</v>
      </c>
      <c r="L1197" s="66">
        <f>IF(O1197="","",N1197*O1197*M1197)</f>
        <v>75</v>
      </c>
      <c r="M1197" s="8">
        <v>1</v>
      </c>
      <c r="N1197" s="3">
        <v>1</v>
      </c>
      <c r="O1197" s="15">
        <f>IF(SUM(Q1197:AF1197)&lt;1,"",SUM(Q1197:AF1197)/COUNTIF(Q1197:AF1197,"&gt;0"))</f>
        <v>75</v>
      </c>
      <c r="P1197" s="16"/>
      <c r="Q1197" s="13"/>
      <c r="T1197" s="4">
        <v>75</v>
      </c>
      <c r="U1197" s="2"/>
      <c r="V1197" s="2"/>
      <c r="W1197" s="2"/>
      <c r="X1197" s="2"/>
      <c r="Z1197" s="2"/>
      <c r="AA1197" s="2"/>
      <c r="AF1197" s="14"/>
    </row>
    <row r="1198" spans="1:32" s="4" customFormat="1" ht="15.75" customHeight="1" x14ac:dyDescent="0.25">
      <c r="A1198" s="33" t="str">
        <f>CONCATENATE(D1198,".",F1198,"-",G1198,".",H1198,"")</f>
        <v>2.4-11.1</v>
      </c>
      <c r="B1198" s="33" t="s">
        <v>814</v>
      </c>
      <c r="C1198" s="39" t="s">
        <v>262</v>
      </c>
      <c r="D1198" s="33">
        <f>IF(C1198="ID",1,(IF(C1198="PR",2,(IF(C1198="DE",3,(IF(C1198="RS",4,(IF(C1198="RC",5,0)))))))))</f>
        <v>2</v>
      </c>
      <c r="E1198" s="33" t="s">
        <v>344</v>
      </c>
      <c r="F1198" s="33">
        <f>IF(E1198="AM",1,(IF(E1198="BE",2,(IF(E1198="GV",3,(IF(E1198="RA",4,(IF(E1198="RM",5,(IF(E1198="AC",1,(IF(E1198="AT",2,(IF(E1198="DS",3,(IF(E1198="IP",4,(IF(E1198="MA",5,(IF(E1198="PT",6,(IF(E1198="AE",1,(IF(E1198="CM",2,(IF(E1198="DP",3,(IF(E1198="AN",1,(IF(E1198="CO",2,(IF(E1198="IM",3,(IF(E1198="MI",4,(IF(E1198="RP",5,(IF(E1198="SC",6,0)))))))))))))))))))))))))))))))))))))))</f>
        <v>4</v>
      </c>
      <c r="G1198" s="170">
        <v>11</v>
      </c>
      <c r="H1198" s="38" t="s">
        <v>511</v>
      </c>
      <c r="I1198" s="105" t="s">
        <v>821</v>
      </c>
      <c r="J1198" s="150" t="s">
        <v>179</v>
      </c>
      <c r="K1198" s="79" t="s">
        <v>1283</v>
      </c>
      <c r="L1198" s="66">
        <f>IF(O1198="","",N1198*O1198*M1198)</f>
        <v>75</v>
      </c>
      <c r="M1198" s="8">
        <v>1</v>
      </c>
      <c r="N1198" s="3">
        <v>1</v>
      </c>
      <c r="O1198" s="15">
        <f>IF(SUM(Q1198:AF1198)&lt;1,"",SUM(Q1198:AF1198)/COUNTIF(Q1198:AF1198,"&gt;0"))</f>
        <v>75</v>
      </c>
      <c r="P1198" s="16"/>
      <c r="Q1198" s="13"/>
      <c r="T1198" s="4">
        <v>75</v>
      </c>
      <c r="U1198" s="2"/>
      <c r="V1198" s="2"/>
      <c r="W1198" s="2"/>
      <c r="X1198" s="2"/>
      <c r="Z1198" s="2"/>
      <c r="AA1198" s="2"/>
      <c r="AF1198" s="14"/>
    </row>
    <row r="1199" spans="1:32" s="4" customFormat="1" ht="15.75" customHeight="1" x14ac:dyDescent="0.25">
      <c r="A1199" s="33" t="str">
        <f>CONCATENATE(D1199,".",F1199,"-",G1199,".",H1199,"")</f>
        <v>2.4-11.1</v>
      </c>
      <c r="B1199" s="33" t="s">
        <v>814</v>
      </c>
      <c r="C1199" s="39" t="s">
        <v>262</v>
      </c>
      <c r="D1199" s="33">
        <f>IF(C1199="ID",1,(IF(C1199="PR",2,(IF(C1199="DE",3,(IF(C1199="RS",4,(IF(C1199="RC",5,0)))))))))</f>
        <v>2</v>
      </c>
      <c r="E1199" s="33" t="s">
        <v>344</v>
      </c>
      <c r="F1199" s="33">
        <f>IF(E1199="AM",1,(IF(E1199="BE",2,(IF(E1199="GV",3,(IF(E1199="RA",4,(IF(E1199="RM",5,(IF(E1199="AC",1,(IF(E1199="AT",2,(IF(E1199="DS",3,(IF(E1199="IP",4,(IF(E1199="MA",5,(IF(E1199="PT",6,(IF(E1199="AE",1,(IF(E1199="CM",2,(IF(E1199="DP",3,(IF(E1199="AN",1,(IF(E1199="CO",2,(IF(E1199="IM",3,(IF(E1199="MI",4,(IF(E1199="RP",5,(IF(E1199="SC",6,0)))))))))))))))))))))))))))))))))))))))</f>
        <v>4</v>
      </c>
      <c r="G1199" s="170">
        <v>11</v>
      </c>
      <c r="H1199" s="38" t="s">
        <v>511</v>
      </c>
      <c r="I1199" s="105" t="s">
        <v>821</v>
      </c>
      <c r="J1199" s="150" t="s">
        <v>180</v>
      </c>
      <c r="K1199" s="79" t="s">
        <v>1283</v>
      </c>
      <c r="L1199" s="66">
        <f>IF(O1199="","",N1199*O1199*M1199)</f>
        <v>75</v>
      </c>
      <c r="M1199" s="8">
        <v>1</v>
      </c>
      <c r="N1199" s="3">
        <v>1</v>
      </c>
      <c r="O1199" s="15">
        <f>IF(SUM(Q1199:AF1199)&lt;1,"",SUM(Q1199:AF1199)/COUNTIF(Q1199:AF1199,"&gt;0"))</f>
        <v>75</v>
      </c>
      <c r="P1199" s="16"/>
      <c r="Q1199" s="13"/>
      <c r="T1199" s="4">
        <v>75</v>
      </c>
      <c r="U1199" s="2"/>
      <c r="V1199" s="2"/>
      <c r="W1199" s="2"/>
      <c r="X1199" s="2"/>
      <c r="Z1199" s="2"/>
      <c r="AA1199" s="2"/>
      <c r="AF1199" s="14"/>
    </row>
    <row r="1200" spans="1:32" s="4" customFormat="1" ht="15.75" customHeight="1" x14ac:dyDescent="0.25">
      <c r="A1200" s="33" t="str">
        <f>CONCATENATE(D1200,".",F1200,"-",G1200,".",H1200,"")</f>
        <v>2.4-11.1</v>
      </c>
      <c r="B1200" s="33" t="s">
        <v>814</v>
      </c>
      <c r="C1200" s="39" t="s">
        <v>262</v>
      </c>
      <c r="D1200" s="33">
        <f>IF(C1200="ID",1,(IF(C1200="PR",2,(IF(C1200="DE",3,(IF(C1200="RS",4,(IF(C1200="RC",5,0)))))))))</f>
        <v>2</v>
      </c>
      <c r="E1200" s="33" t="s">
        <v>344</v>
      </c>
      <c r="F1200" s="33">
        <f>IF(E1200="AM",1,(IF(E1200="BE",2,(IF(E1200="GV",3,(IF(E1200="RA",4,(IF(E1200="RM",5,(IF(E1200="AC",1,(IF(E1200="AT",2,(IF(E1200="DS",3,(IF(E1200="IP",4,(IF(E1200="MA",5,(IF(E1200="PT",6,(IF(E1200="AE",1,(IF(E1200="CM",2,(IF(E1200="DP",3,(IF(E1200="AN",1,(IF(E1200="CO",2,(IF(E1200="IM",3,(IF(E1200="MI",4,(IF(E1200="RP",5,(IF(E1200="SC",6,0)))))))))))))))))))))))))))))))))))))))</f>
        <v>4</v>
      </c>
      <c r="G1200" s="170">
        <v>11</v>
      </c>
      <c r="H1200" s="38" t="s">
        <v>511</v>
      </c>
      <c r="I1200" s="27" t="s">
        <v>266</v>
      </c>
      <c r="J1200" s="149" t="s">
        <v>496</v>
      </c>
      <c r="K1200" s="79" t="s">
        <v>1406</v>
      </c>
      <c r="L1200" s="66">
        <f>IF(O1200="","",N1200*O1200*M1200)</f>
        <v>75</v>
      </c>
      <c r="M1200" s="8">
        <v>1</v>
      </c>
      <c r="N1200" s="1">
        <v>1</v>
      </c>
      <c r="O1200" s="15">
        <f>IF(SUM(Q1200:AF1200)&lt;1,"",SUM(Q1200:AF1200)/COUNTIF(Q1200:AF1200,"&gt;0"))</f>
        <v>75</v>
      </c>
      <c r="P1200" s="16"/>
      <c r="Q1200" s="13"/>
      <c r="T1200" s="4">
        <v>75</v>
      </c>
      <c r="U1200" s="2"/>
      <c r="V1200" s="2"/>
      <c r="W1200" s="2"/>
      <c r="X1200" s="2"/>
      <c r="Z1200" s="2"/>
      <c r="AA1200" s="2"/>
      <c r="AF1200" s="14"/>
    </row>
    <row r="1201" spans="1:33" s="4" customFormat="1" ht="15.75" customHeight="1" x14ac:dyDescent="0.25">
      <c r="A1201" s="33" t="str">
        <f>CONCATENATE(D1201,".",F1201,"-",G1201,".",H1201,"")</f>
        <v>2.4-11.1</v>
      </c>
      <c r="B1201" s="33" t="s">
        <v>814</v>
      </c>
      <c r="C1201" s="39" t="s">
        <v>262</v>
      </c>
      <c r="D1201" s="33">
        <f>IF(C1201="ID",1,(IF(C1201="PR",2,(IF(C1201="DE",3,(IF(C1201="RS",4,(IF(C1201="RC",5,0)))))))))</f>
        <v>2</v>
      </c>
      <c r="E1201" s="33" t="s">
        <v>344</v>
      </c>
      <c r="F1201" s="33">
        <f>IF(E1201="AM",1,(IF(E1201="BE",2,(IF(E1201="GV",3,(IF(E1201="RA",4,(IF(E1201="RM",5,(IF(E1201="AC",1,(IF(E1201="AT",2,(IF(E1201="DS",3,(IF(E1201="IP",4,(IF(E1201="MA",5,(IF(E1201="PT",6,(IF(E1201="AE",1,(IF(E1201="CM",2,(IF(E1201="DP",3,(IF(E1201="AN",1,(IF(E1201="CO",2,(IF(E1201="IM",3,(IF(E1201="MI",4,(IF(E1201="RP",5,(IF(E1201="SC",6,0)))))))))))))))))))))))))))))))))))))))</f>
        <v>4</v>
      </c>
      <c r="G1201" s="170">
        <v>11</v>
      </c>
      <c r="H1201" s="38" t="s">
        <v>511</v>
      </c>
      <c r="I1201" s="27" t="s">
        <v>266</v>
      </c>
      <c r="J1201" s="149" t="s">
        <v>497</v>
      </c>
      <c r="K1201" s="79" t="s">
        <v>1407</v>
      </c>
      <c r="L1201" s="66">
        <f>IF(O1201="","",N1201*O1201*M1201)</f>
        <v>75</v>
      </c>
      <c r="M1201" s="8">
        <v>1</v>
      </c>
      <c r="N1201" s="1">
        <v>1</v>
      </c>
      <c r="O1201" s="15">
        <f>IF(SUM(Q1201:AF1201)&lt;1,"",SUM(Q1201:AF1201)/COUNTIF(Q1201:AF1201,"&gt;0"))</f>
        <v>75</v>
      </c>
      <c r="P1201" s="16"/>
      <c r="Q1201" s="13"/>
      <c r="T1201" s="4">
        <v>75</v>
      </c>
      <c r="U1201" s="2"/>
      <c r="V1201" s="2"/>
      <c r="W1201" s="2"/>
      <c r="X1201" s="2"/>
      <c r="Z1201" s="2"/>
      <c r="AA1201" s="2"/>
      <c r="AF1201" s="14"/>
    </row>
    <row r="1202" spans="1:33" s="4" customFormat="1" ht="15.75" customHeight="1" x14ac:dyDescent="0.25">
      <c r="A1202" s="33" t="str">
        <f>CONCATENATE(D1202,".",F1202,"-",G1202,".",H1202,"")</f>
        <v>2.4-11.1</v>
      </c>
      <c r="B1202" s="33" t="s">
        <v>814</v>
      </c>
      <c r="C1202" s="39" t="s">
        <v>262</v>
      </c>
      <c r="D1202" s="33">
        <f>IF(C1202="ID",1,(IF(C1202="PR",2,(IF(C1202="DE",3,(IF(C1202="RS",4,(IF(C1202="RC",5,0)))))))))</f>
        <v>2</v>
      </c>
      <c r="E1202" s="33" t="s">
        <v>344</v>
      </c>
      <c r="F1202" s="33">
        <f>IF(E1202="AM",1,(IF(E1202="BE",2,(IF(E1202="GV",3,(IF(E1202="RA",4,(IF(E1202="RM",5,(IF(E1202="AC",1,(IF(E1202="AT",2,(IF(E1202="DS",3,(IF(E1202="IP",4,(IF(E1202="MA",5,(IF(E1202="PT",6,(IF(E1202="AE",1,(IF(E1202="CM",2,(IF(E1202="DP",3,(IF(E1202="AN",1,(IF(E1202="CO",2,(IF(E1202="IM",3,(IF(E1202="MI",4,(IF(E1202="RP",5,(IF(E1202="SC",6,0)))))))))))))))))))))))))))))))))))))))</f>
        <v>4</v>
      </c>
      <c r="G1202" s="171">
        <v>11</v>
      </c>
      <c r="H1202" s="33">
        <v>1</v>
      </c>
      <c r="I1202" s="27" t="s">
        <v>266</v>
      </c>
      <c r="J1202" s="150" t="s">
        <v>267</v>
      </c>
      <c r="K1202" s="79" t="s">
        <v>1408</v>
      </c>
      <c r="L1202" s="5">
        <f>IF(O1202="","",N1202*O1202*M1202)</f>
        <v>75</v>
      </c>
      <c r="M1202" s="8">
        <v>1</v>
      </c>
      <c r="N1202" s="1">
        <v>1</v>
      </c>
      <c r="O1202" s="15">
        <f>IF(SUM(Q1202:AF1202)&lt;1,"",SUM(Q1202:AF1202)/COUNTIF(Q1202:AF1202,"&gt;0"))</f>
        <v>75</v>
      </c>
      <c r="P1202" s="16"/>
      <c r="Q1202" s="13"/>
      <c r="R1202" s="3"/>
      <c r="S1202" s="3"/>
      <c r="T1202" s="4">
        <v>75</v>
      </c>
      <c r="U1202" s="3"/>
      <c r="V1202" s="3"/>
      <c r="W1202" s="3"/>
      <c r="X1202" s="3"/>
      <c r="Y1202" s="3"/>
      <c r="Z1202" s="3"/>
      <c r="AA1202" s="3"/>
      <c r="AB1202" s="3"/>
      <c r="AC1202" s="3"/>
      <c r="AD1202" s="3"/>
      <c r="AE1202" s="3"/>
      <c r="AF1202" s="104"/>
    </row>
    <row r="1203" spans="1:33" s="4" customFormat="1" ht="15.75" customHeight="1" x14ac:dyDescent="0.25">
      <c r="A1203" s="33" t="str">
        <f>CONCATENATE(D1203,".",F1203,"-",G1203,".",H1203,"")</f>
        <v>2.4-11.1</v>
      </c>
      <c r="B1203" s="33" t="s">
        <v>814</v>
      </c>
      <c r="C1203" s="39" t="s">
        <v>262</v>
      </c>
      <c r="D1203" s="33">
        <f>IF(C1203="ID",1,(IF(C1203="PR",2,(IF(C1203="DE",3,(IF(C1203="RS",4,(IF(C1203="RC",5,0)))))))))</f>
        <v>2</v>
      </c>
      <c r="E1203" s="33" t="s">
        <v>344</v>
      </c>
      <c r="F1203" s="33">
        <f>IF(E1203="AM",1,(IF(E1203="BE",2,(IF(E1203="GV",3,(IF(E1203="RA",4,(IF(E1203="RM",5,(IF(E1203="AC",1,(IF(E1203="AT",2,(IF(E1203="DS",3,(IF(E1203="IP",4,(IF(E1203="MA",5,(IF(E1203="PT",6,(IF(E1203="AE",1,(IF(E1203="CM",2,(IF(E1203="DP",3,(IF(E1203="AN",1,(IF(E1203="CO",2,(IF(E1203="IM",3,(IF(E1203="MI",4,(IF(E1203="RP",5,(IF(E1203="SC",6,0)))))))))))))))))))))))))))))))))))))))</f>
        <v>4</v>
      </c>
      <c r="G1203" s="170">
        <v>11</v>
      </c>
      <c r="H1203" s="38" t="s">
        <v>511</v>
      </c>
      <c r="I1203" s="27" t="s">
        <v>266</v>
      </c>
      <c r="J1203" s="149" t="s">
        <v>500</v>
      </c>
      <c r="K1203" s="79" t="s">
        <v>1414</v>
      </c>
      <c r="L1203" s="66">
        <f>IF(O1203="","",N1203*O1203*M1203)</f>
        <v>75</v>
      </c>
      <c r="M1203" s="8">
        <v>1</v>
      </c>
      <c r="N1203" s="1">
        <v>1</v>
      </c>
      <c r="O1203" s="15">
        <f>IF(SUM(Q1203:AF1203)&lt;1,"",SUM(Q1203:AF1203)/COUNTIF(Q1203:AF1203,"&gt;0"))</f>
        <v>75</v>
      </c>
      <c r="P1203" s="16"/>
      <c r="Q1203" s="13"/>
      <c r="T1203" s="4">
        <v>75</v>
      </c>
      <c r="U1203" s="2"/>
      <c r="V1203" s="2"/>
      <c r="W1203" s="2"/>
      <c r="X1203" s="2"/>
      <c r="Z1203" s="2"/>
      <c r="AA1203" s="2"/>
      <c r="AF1203" s="14"/>
    </row>
    <row r="1204" spans="1:33" s="4" customFormat="1" ht="15.75" customHeight="1" x14ac:dyDescent="0.25">
      <c r="A1204" s="33" t="str">
        <f>CONCATENATE(D1204,".",F1204,"-",G1204,".",H1204,"")</f>
        <v>2.4-11.1</v>
      </c>
      <c r="B1204" s="33" t="s">
        <v>814</v>
      </c>
      <c r="C1204" s="41" t="s">
        <v>262</v>
      </c>
      <c r="D1204" s="33">
        <f>IF(C1204="ID",1,(IF(C1204="PR",2,(IF(C1204="DE",3,(IF(C1204="RS",4,(IF(C1204="RC",5,0)))))))))</f>
        <v>2</v>
      </c>
      <c r="E1204" s="33" t="s">
        <v>344</v>
      </c>
      <c r="F1204" s="33">
        <f>IF(E1204="AM",1,(IF(E1204="BE",2,(IF(E1204="GV",3,(IF(E1204="RA",4,(IF(E1204="RM",5,(IF(E1204="AC",1,(IF(E1204="AT",2,(IF(E1204="DS",3,(IF(E1204="IP",4,(IF(E1204="MA",5,(IF(E1204="PT",6,(IF(E1204="AE",1,(IF(E1204="CM",2,(IF(E1204="DP",3,(IF(E1204="AN",1,(IF(E1204="CO",2,(IF(E1204="IM",3,(IF(E1204="MI",4,(IF(E1204="RP",5,(IF(E1204="SC",6,0)))))))))))))))))))))))))))))))))))))))</f>
        <v>4</v>
      </c>
      <c r="G1204" s="170">
        <v>11</v>
      </c>
      <c r="H1204" s="38" t="s">
        <v>511</v>
      </c>
      <c r="I1204" s="27" t="s">
        <v>266</v>
      </c>
      <c r="J1204" s="149" t="s">
        <v>316</v>
      </c>
      <c r="K1204" s="79" t="s">
        <v>1415</v>
      </c>
      <c r="L1204" s="5">
        <f>IF(O1204="","",N1204*O1204*M1204)</f>
        <v>75</v>
      </c>
      <c r="M1204" s="8">
        <v>1</v>
      </c>
      <c r="N1204" s="1">
        <v>1</v>
      </c>
      <c r="O1204" s="15">
        <f>IF(SUM(Q1204:AF1204)&lt;1,"",SUM(Q1204:AF1204)/COUNTIF(Q1204:AF1204,"&gt;0"))</f>
        <v>75</v>
      </c>
      <c r="P1204" s="16"/>
      <c r="Q1204" s="13"/>
      <c r="T1204" s="4">
        <v>75</v>
      </c>
      <c r="U1204" s="2"/>
      <c r="V1204" s="2"/>
      <c r="W1204" s="2"/>
      <c r="X1204" s="2"/>
      <c r="Z1204" s="2"/>
      <c r="AA1204" s="2"/>
      <c r="AF1204" s="14"/>
    </row>
    <row r="1205" spans="1:33" s="4" customFormat="1" ht="15.75" customHeight="1" x14ac:dyDescent="0.25">
      <c r="A1205" s="33" t="str">
        <f>CONCATENATE(D1205,".",F1205,"-",G1205,".",H1205,"")</f>
        <v>2.4-11.1</v>
      </c>
      <c r="B1205" s="33" t="s">
        <v>814</v>
      </c>
      <c r="C1205" s="41" t="s">
        <v>262</v>
      </c>
      <c r="D1205" s="33">
        <f>IF(C1205="ID",1,(IF(C1205="PR",2,(IF(C1205="DE",3,(IF(C1205="RS",4,(IF(C1205="RC",5,0)))))))))</f>
        <v>2</v>
      </c>
      <c r="E1205" s="33" t="s">
        <v>344</v>
      </c>
      <c r="F1205" s="33">
        <f>IF(E1205="AM",1,(IF(E1205="BE",2,(IF(E1205="GV",3,(IF(E1205="RA",4,(IF(E1205="RM",5,(IF(E1205="AC",1,(IF(E1205="AT",2,(IF(E1205="DS",3,(IF(E1205="IP",4,(IF(E1205="MA",5,(IF(E1205="PT",6,(IF(E1205="AE",1,(IF(E1205="CM",2,(IF(E1205="DP",3,(IF(E1205="AN",1,(IF(E1205="CO",2,(IF(E1205="IM",3,(IF(E1205="MI",4,(IF(E1205="RP",5,(IF(E1205="SC",6,0)))))))))))))))))))))))))))))))))))))))</f>
        <v>4</v>
      </c>
      <c r="G1205" s="170">
        <v>11</v>
      </c>
      <c r="H1205" s="38" t="s">
        <v>511</v>
      </c>
      <c r="I1205" s="27" t="s">
        <v>266</v>
      </c>
      <c r="J1205" s="149" t="s">
        <v>320</v>
      </c>
      <c r="K1205" s="79" t="s">
        <v>1421</v>
      </c>
      <c r="L1205" s="5">
        <f>IF(O1205="","",N1205*O1205*M1205)</f>
        <v>75</v>
      </c>
      <c r="M1205" s="8">
        <v>1</v>
      </c>
      <c r="N1205" s="1">
        <v>1</v>
      </c>
      <c r="O1205" s="15">
        <f>IF(SUM(Q1205:AF1205)&lt;1,"",SUM(Q1205:AF1205)/COUNTIF(Q1205:AF1205,"&gt;0"))</f>
        <v>75</v>
      </c>
      <c r="P1205" s="16"/>
      <c r="Q1205" s="13"/>
      <c r="T1205" s="4">
        <v>75</v>
      </c>
      <c r="U1205" s="2"/>
      <c r="V1205" s="2"/>
      <c r="W1205" s="2"/>
      <c r="X1205" s="2"/>
      <c r="Z1205" s="2"/>
      <c r="AA1205" s="2"/>
      <c r="AF1205" s="14"/>
    </row>
    <row r="1206" spans="1:33" s="4" customFormat="1" ht="15.75" customHeight="1" x14ac:dyDescent="0.25">
      <c r="A1206" s="33" t="str">
        <f>CONCATENATE(D1206,".",F1206,"-",G1206,".",H1206,"")</f>
        <v>2.4-11.1</v>
      </c>
      <c r="B1206" s="33"/>
      <c r="C1206" s="39" t="s">
        <v>262</v>
      </c>
      <c r="D1206" s="33">
        <f>IF(C1206="ID",1,(IF(C1206="PR",2,(IF(C1206="DE",3,(IF(C1206="RS",4,(IF(C1206="RC",5,0)))))))))</f>
        <v>2</v>
      </c>
      <c r="E1206" s="33" t="s">
        <v>344</v>
      </c>
      <c r="F1206" s="33">
        <f>IF(E1206="AM",1,(IF(E1206="BE",2,(IF(E1206="GV",3,(IF(E1206="RA",4,(IF(E1206="RM",5,(IF(E1206="AC",1,(IF(E1206="AT",2,(IF(E1206="DS",3,(IF(E1206="IP",4,(IF(E1206="MA",5,(IF(E1206="PT",6,(IF(E1206="AE",1,(IF(E1206="CM",2,(IF(E1206="DP",3,(IF(E1206="AN",1,(IF(E1206="CO",2,(IF(E1206="IM",3,(IF(E1206="MI",4,(IF(E1206="RP",5,(IF(E1206="SC",6,0)))))))))))))))))))))))))))))))))))))))</f>
        <v>4</v>
      </c>
      <c r="G1206" s="170">
        <v>11</v>
      </c>
      <c r="H1206" s="38" t="s">
        <v>511</v>
      </c>
      <c r="I1206" s="105" t="s">
        <v>1449</v>
      </c>
      <c r="J1206" s="157" t="s">
        <v>2515</v>
      </c>
      <c r="K1206" s="34" t="s">
        <v>2516</v>
      </c>
      <c r="L1206" s="5">
        <f>IF(O1206="","",N1206*O1206*M1206)</f>
        <v>99</v>
      </c>
      <c r="M1206" s="8">
        <v>1</v>
      </c>
      <c r="N1206" s="1">
        <v>1</v>
      </c>
      <c r="O1206" s="15">
        <f>IF(SUM(Q1206:AF1206)&lt;1,"",SUM(Q1206:AF1206)/COUNTIF(Q1206:AF1206,"&gt;0"))</f>
        <v>99</v>
      </c>
      <c r="P1206" s="16"/>
      <c r="Q1206" s="13"/>
      <c r="T1206" s="4">
        <v>99</v>
      </c>
      <c r="U1206" s="2"/>
      <c r="V1206" s="2"/>
      <c r="W1206" s="2"/>
      <c r="X1206" s="2"/>
      <c r="Z1206" s="2"/>
      <c r="AA1206" s="2"/>
      <c r="AF1206" s="14"/>
    </row>
    <row r="1207" spans="1:33" s="4" customFormat="1" ht="15.75" customHeight="1" x14ac:dyDescent="0.25">
      <c r="A1207" s="33" t="str">
        <f>CONCATENATE(D1207,".",F1207,"-",G1207,".",H1207,"")</f>
        <v>2.4-11.1</v>
      </c>
      <c r="B1207" s="33"/>
      <c r="C1207" s="39" t="s">
        <v>262</v>
      </c>
      <c r="D1207" s="33">
        <f>IF(C1207="ID",1,(IF(C1207="PR",2,(IF(C1207="DE",3,(IF(C1207="RS",4,(IF(C1207="RC",5,0)))))))))</f>
        <v>2</v>
      </c>
      <c r="E1207" s="33" t="s">
        <v>344</v>
      </c>
      <c r="F1207" s="33">
        <f>IF(E1207="AM",1,(IF(E1207="BE",2,(IF(E1207="GV",3,(IF(E1207="RA",4,(IF(E1207="RM",5,(IF(E1207="AC",1,(IF(E1207="AT",2,(IF(E1207="DS",3,(IF(E1207="IP",4,(IF(E1207="MA",5,(IF(E1207="PT",6,(IF(E1207="AE",1,(IF(E1207="CM",2,(IF(E1207="DP",3,(IF(E1207="AN",1,(IF(E1207="CO",2,(IF(E1207="IM",3,(IF(E1207="MI",4,(IF(E1207="RP",5,(IF(E1207="SC",6,0)))))))))))))))))))))))))))))))))))))))</f>
        <v>4</v>
      </c>
      <c r="G1207" s="170">
        <v>11</v>
      </c>
      <c r="H1207" s="38" t="s">
        <v>511</v>
      </c>
      <c r="I1207" s="105" t="s">
        <v>1449</v>
      </c>
      <c r="J1207" s="157" t="s">
        <v>2525</v>
      </c>
      <c r="K1207" s="34" t="s">
        <v>2526</v>
      </c>
      <c r="L1207" s="5">
        <f>IF(O1207="","",N1207*O1207*M1207)</f>
        <v>99</v>
      </c>
      <c r="M1207" s="8">
        <v>1</v>
      </c>
      <c r="N1207" s="1">
        <v>1</v>
      </c>
      <c r="O1207" s="15">
        <f>IF(SUM(Q1207:AF1207)&lt;1,"",SUM(Q1207:AF1207)/COUNTIF(Q1207:AF1207,"&gt;0"))</f>
        <v>99</v>
      </c>
      <c r="P1207" s="16"/>
      <c r="Q1207" s="13"/>
      <c r="T1207" s="4">
        <v>99</v>
      </c>
      <c r="U1207" s="2"/>
      <c r="V1207" s="2"/>
      <c r="W1207" s="2"/>
      <c r="X1207" s="2"/>
      <c r="Z1207" s="2"/>
      <c r="AA1207" s="2"/>
      <c r="AF1207" s="14"/>
    </row>
    <row r="1208" spans="1:33" s="4" customFormat="1" ht="15.75" customHeight="1" x14ac:dyDescent="0.25">
      <c r="A1208" s="33" t="str">
        <f>CONCATENATE(D1208,".",F1208,"-",G1208,".",H1208,"")</f>
        <v>2.4-11.1</v>
      </c>
      <c r="B1208" s="33"/>
      <c r="C1208" s="39" t="s">
        <v>262</v>
      </c>
      <c r="D1208" s="33">
        <f>IF(C1208="ID",1,(IF(C1208="PR",2,(IF(C1208="DE",3,(IF(C1208="RS",4,(IF(C1208="RC",5,0)))))))))</f>
        <v>2</v>
      </c>
      <c r="E1208" s="33" t="s">
        <v>344</v>
      </c>
      <c r="F1208" s="33">
        <f>IF(E1208="AM",1,(IF(E1208="BE",2,(IF(E1208="GV",3,(IF(E1208="RA",4,(IF(E1208="RM",5,(IF(E1208="AC",1,(IF(E1208="AT",2,(IF(E1208="DS",3,(IF(E1208="IP",4,(IF(E1208="MA",5,(IF(E1208="PT",6,(IF(E1208="AE",1,(IF(E1208="CM",2,(IF(E1208="DP",3,(IF(E1208="AN",1,(IF(E1208="CO",2,(IF(E1208="IM",3,(IF(E1208="MI",4,(IF(E1208="RP",5,(IF(E1208="SC",6,0)))))))))))))))))))))))))))))))))))))))</f>
        <v>4</v>
      </c>
      <c r="G1208" s="170">
        <v>11</v>
      </c>
      <c r="H1208" s="38" t="s">
        <v>511</v>
      </c>
      <c r="I1208" s="105" t="s">
        <v>1449</v>
      </c>
      <c r="J1208" s="157" t="s">
        <v>2527</v>
      </c>
      <c r="K1208" s="34" t="s">
        <v>2528</v>
      </c>
      <c r="L1208" s="5">
        <f>IF(O1208="","",N1208*O1208*M1208)</f>
        <v>99</v>
      </c>
      <c r="M1208" s="8">
        <v>1</v>
      </c>
      <c r="N1208" s="1">
        <v>1</v>
      </c>
      <c r="O1208" s="15">
        <f>IF(SUM(Q1208:AF1208)&lt;1,"",SUM(Q1208:AF1208)/COUNTIF(Q1208:AF1208,"&gt;0"))</f>
        <v>99</v>
      </c>
      <c r="P1208" s="16"/>
      <c r="Q1208" s="13"/>
      <c r="T1208" s="4">
        <v>99</v>
      </c>
      <c r="U1208" s="2"/>
      <c r="V1208" s="2"/>
      <c r="W1208" s="2"/>
      <c r="X1208" s="2"/>
      <c r="Z1208" s="2"/>
      <c r="AA1208" s="2"/>
      <c r="AF1208" s="14"/>
    </row>
    <row r="1209" spans="1:33" s="4" customFormat="1" ht="15.75" customHeight="1" x14ac:dyDescent="0.25">
      <c r="A1209" s="33" t="str">
        <f>CONCATENATE(D1209,".",F1209,"-",G1209,".",H1209,"")</f>
        <v>2.4-11.1</v>
      </c>
      <c r="B1209" s="33"/>
      <c r="C1209" s="39" t="s">
        <v>262</v>
      </c>
      <c r="D1209" s="33">
        <f>IF(C1209="ID",1,(IF(C1209="PR",2,(IF(C1209="DE",3,(IF(C1209="RS",4,(IF(C1209="RC",5,0)))))))))</f>
        <v>2</v>
      </c>
      <c r="E1209" s="33" t="s">
        <v>344</v>
      </c>
      <c r="F1209" s="33">
        <f>IF(E1209="AM",1,(IF(E1209="BE",2,(IF(E1209="GV",3,(IF(E1209="RA",4,(IF(E1209="RM",5,(IF(E1209="AC",1,(IF(E1209="AT",2,(IF(E1209="DS",3,(IF(E1209="IP",4,(IF(E1209="MA",5,(IF(E1209="PT",6,(IF(E1209="AE",1,(IF(E1209="CM",2,(IF(E1209="DP",3,(IF(E1209="AN",1,(IF(E1209="CO",2,(IF(E1209="IM",3,(IF(E1209="MI",4,(IF(E1209="RP",5,(IF(E1209="SC",6,0)))))))))))))))))))))))))))))))))))))))</f>
        <v>4</v>
      </c>
      <c r="G1209" s="170">
        <v>11</v>
      </c>
      <c r="H1209" s="38" t="s">
        <v>511</v>
      </c>
      <c r="I1209" s="105" t="s">
        <v>1449</v>
      </c>
      <c r="J1209" s="157" t="s">
        <v>2529</v>
      </c>
      <c r="K1209" s="34" t="s">
        <v>2530</v>
      </c>
      <c r="L1209" s="5">
        <f>IF(O1209="","",N1209*O1209*M1209)</f>
        <v>99</v>
      </c>
      <c r="M1209" s="8">
        <v>1</v>
      </c>
      <c r="N1209" s="1">
        <v>1</v>
      </c>
      <c r="O1209" s="15">
        <f>IF(SUM(Q1209:AF1209)&lt;1,"",SUM(Q1209:AF1209)/COUNTIF(Q1209:AF1209,"&gt;0"))</f>
        <v>99</v>
      </c>
      <c r="P1209" s="16"/>
      <c r="Q1209" s="13"/>
      <c r="T1209" s="4">
        <v>99</v>
      </c>
      <c r="U1209" s="2"/>
      <c r="V1209" s="2"/>
      <c r="W1209" s="2"/>
      <c r="X1209" s="2"/>
      <c r="Z1209" s="2"/>
      <c r="AA1209" s="2"/>
      <c r="AF1209" s="14"/>
    </row>
    <row r="1210" spans="1:33" s="4" customFormat="1" ht="15.75" customHeight="1" x14ac:dyDescent="0.25">
      <c r="A1210" s="33" t="str">
        <f>CONCATENATE(D1210,".",F1210,"-",G1210,".",H1210,"")</f>
        <v>2.4-11.1</v>
      </c>
      <c r="B1210" s="33"/>
      <c r="C1210" s="39" t="s">
        <v>262</v>
      </c>
      <c r="D1210" s="33">
        <f>IF(C1210="ID",1,(IF(C1210="PR",2,(IF(C1210="DE",3,(IF(C1210="RS",4,(IF(C1210="RC",5,0)))))))))</f>
        <v>2</v>
      </c>
      <c r="E1210" s="33" t="s">
        <v>344</v>
      </c>
      <c r="F1210" s="33">
        <f>IF(E1210="AM",1,(IF(E1210="BE",2,(IF(E1210="GV",3,(IF(E1210="RA",4,(IF(E1210="RM",5,(IF(E1210="AC",1,(IF(E1210="AT",2,(IF(E1210="DS",3,(IF(E1210="IP",4,(IF(E1210="MA",5,(IF(E1210="PT",6,(IF(E1210="AE",1,(IF(E1210="CM",2,(IF(E1210="DP",3,(IF(E1210="AN",1,(IF(E1210="CO",2,(IF(E1210="IM",3,(IF(E1210="MI",4,(IF(E1210="RP",5,(IF(E1210="SC",6,0)))))))))))))))))))))))))))))))))))))))</f>
        <v>4</v>
      </c>
      <c r="G1210" s="170">
        <v>11</v>
      </c>
      <c r="H1210" s="38" t="s">
        <v>511</v>
      </c>
      <c r="I1210" s="105" t="s">
        <v>1449</v>
      </c>
      <c r="J1210" s="157" t="s">
        <v>2531</v>
      </c>
      <c r="K1210" s="34" t="s">
        <v>2532</v>
      </c>
      <c r="L1210" s="5">
        <f>IF(O1210="","",N1210*O1210*M1210)</f>
        <v>99</v>
      </c>
      <c r="M1210" s="8">
        <v>1</v>
      </c>
      <c r="N1210" s="1">
        <v>1</v>
      </c>
      <c r="O1210" s="15">
        <f>IF(SUM(Q1210:AF1210)&lt;1,"",SUM(Q1210:AF1210)/COUNTIF(Q1210:AF1210,"&gt;0"))</f>
        <v>99</v>
      </c>
      <c r="P1210" s="16"/>
      <c r="Q1210" s="13"/>
      <c r="T1210" s="4">
        <v>99</v>
      </c>
      <c r="U1210" s="2"/>
      <c r="V1210" s="2"/>
      <c r="W1210" s="2"/>
      <c r="X1210" s="2"/>
      <c r="Z1210" s="2"/>
      <c r="AA1210" s="2"/>
      <c r="AF1210" s="14"/>
    </row>
    <row r="1211" spans="1:33" s="4" customFormat="1" ht="15.75" customHeight="1" x14ac:dyDescent="0.25">
      <c r="A1211" s="33" t="str">
        <f>CONCATENATE(D1211,".",F1211,"-",G1211,".",H1211,"")</f>
        <v>2.4-11.1</v>
      </c>
      <c r="B1211" s="33"/>
      <c r="C1211" s="39" t="s">
        <v>262</v>
      </c>
      <c r="D1211" s="33">
        <f>IF(C1211="ID",1,(IF(C1211="PR",2,(IF(C1211="DE",3,(IF(C1211="RS",4,(IF(C1211="RC",5,0)))))))))</f>
        <v>2</v>
      </c>
      <c r="E1211" s="33" t="s">
        <v>344</v>
      </c>
      <c r="F1211" s="33">
        <f>IF(E1211="AM",1,(IF(E1211="BE",2,(IF(E1211="GV",3,(IF(E1211="RA",4,(IF(E1211="RM",5,(IF(E1211="AC",1,(IF(E1211="AT",2,(IF(E1211="DS",3,(IF(E1211="IP",4,(IF(E1211="MA",5,(IF(E1211="PT",6,(IF(E1211="AE",1,(IF(E1211="CM",2,(IF(E1211="DP",3,(IF(E1211="AN",1,(IF(E1211="CO",2,(IF(E1211="IM",3,(IF(E1211="MI",4,(IF(E1211="RP",5,(IF(E1211="SC",6,0)))))))))))))))))))))))))))))))))))))))</f>
        <v>4</v>
      </c>
      <c r="G1211" s="170">
        <v>11</v>
      </c>
      <c r="H1211" s="38" t="s">
        <v>511</v>
      </c>
      <c r="I1211" s="105" t="s">
        <v>1449</v>
      </c>
      <c r="J1211" s="157" t="s">
        <v>2695</v>
      </c>
      <c r="K1211" s="34" t="s">
        <v>2696</v>
      </c>
      <c r="L1211" s="5">
        <f>IF(O1211="","",N1211*O1211*M1211)</f>
        <v>99</v>
      </c>
      <c r="M1211" s="8">
        <v>1</v>
      </c>
      <c r="N1211" s="1">
        <v>1</v>
      </c>
      <c r="O1211" s="15">
        <f>IF(SUM(Q1211:AF1211)&lt;1,"",SUM(Q1211:AF1211)/COUNTIF(Q1211:AF1211,"&gt;0"))</f>
        <v>99</v>
      </c>
      <c r="P1211" s="16"/>
      <c r="Q1211" s="13"/>
      <c r="T1211" s="4">
        <v>99</v>
      </c>
      <c r="U1211" s="2"/>
      <c r="V1211" s="2"/>
      <c r="W1211" s="2"/>
      <c r="X1211" s="2"/>
      <c r="Z1211" s="2"/>
      <c r="AA1211" s="2"/>
      <c r="AF1211" s="14"/>
    </row>
    <row r="1212" spans="1:33" ht="15.75" customHeight="1" x14ac:dyDescent="0.25">
      <c r="A1212" s="33" t="str">
        <f>CONCATENATE(D1212,".",F1212,"-",G1212,".",H1212,"")</f>
        <v>2.4-11.1</v>
      </c>
      <c r="C1212" s="39" t="s">
        <v>262</v>
      </c>
      <c r="D1212" s="33">
        <f>IF(C1212="ID",1,(IF(C1212="PR",2,(IF(C1212="DE",3,(IF(C1212="RS",4,(IF(C1212="RC",5,0)))))))))</f>
        <v>2</v>
      </c>
      <c r="E1212" s="33" t="s">
        <v>344</v>
      </c>
      <c r="F1212" s="33">
        <f>IF(E1212="AM",1,(IF(E1212="BE",2,(IF(E1212="GV",3,(IF(E1212="RA",4,(IF(E1212="RM",5,(IF(E1212="AC",1,(IF(E1212="AT",2,(IF(E1212="DS",3,(IF(E1212="IP",4,(IF(E1212="MA",5,(IF(E1212="PT",6,(IF(E1212="AE",1,(IF(E1212="CM",2,(IF(E1212="DP",3,(IF(E1212="AN",1,(IF(E1212="CO",2,(IF(E1212="IM",3,(IF(E1212="MI",4,(IF(E1212="RP",5,(IF(E1212="SC",6,0)))))))))))))))))))))))))))))))))))))))</f>
        <v>4</v>
      </c>
      <c r="G1212" s="170">
        <v>11</v>
      </c>
      <c r="H1212" s="38" t="s">
        <v>511</v>
      </c>
      <c r="I1212" s="105" t="s">
        <v>1449</v>
      </c>
      <c r="J1212" s="157" t="s">
        <v>2697</v>
      </c>
      <c r="K1212" s="34" t="s">
        <v>2698</v>
      </c>
      <c r="L1212" s="5">
        <f>IF(O1212="","",N1212*O1212*M1212)</f>
        <v>99</v>
      </c>
      <c r="M1212" s="8">
        <v>1</v>
      </c>
      <c r="N1212" s="1">
        <v>1</v>
      </c>
      <c r="O1212" s="15">
        <f>IF(SUM(Q1212:AF1212)&lt;1,"",SUM(Q1212:AF1212)/COUNTIF(Q1212:AF1212,"&gt;0"))</f>
        <v>99</v>
      </c>
      <c r="P1212" s="16"/>
      <c r="Q1212" s="13"/>
      <c r="R1212" s="4"/>
      <c r="S1212" s="4"/>
      <c r="T1212" s="4">
        <v>99</v>
      </c>
      <c r="U1212" s="2"/>
      <c r="V1212" s="2"/>
      <c r="W1212" s="2"/>
      <c r="X1212" s="2"/>
      <c r="Y1212" s="4"/>
      <c r="Z1212" s="2"/>
      <c r="AA1212" s="2"/>
      <c r="AB1212" s="4"/>
      <c r="AC1212" s="4"/>
      <c r="AD1212" s="4"/>
      <c r="AE1212" s="4"/>
      <c r="AF1212" s="14"/>
      <c r="AG1212" s="3"/>
    </row>
    <row r="1213" spans="1:33" ht="15.75" customHeight="1" x14ac:dyDescent="0.25">
      <c r="A1213" s="33" t="str">
        <f>CONCATENATE(D1213,".",F1213,"-",G1213,".",H1213,"")</f>
        <v>2.4-11.2</v>
      </c>
      <c r="B1213" s="33" t="s">
        <v>814</v>
      </c>
      <c r="C1213" s="39" t="s">
        <v>262</v>
      </c>
      <c r="D1213" s="33">
        <f>IF(C1213="ID",1,(IF(C1213="PR",2,(IF(C1213="DE",3,(IF(C1213="RS",4,(IF(C1213="RC",5,0)))))))))</f>
        <v>2</v>
      </c>
      <c r="E1213" s="33" t="s">
        <v>344</v>
      </c>
      <c r="F1213" s="33">
        <f>IF(E1213="AM",1,(IF(E1213="BE",2,(IF(E1213="GV",3,(IF(E1213="RA",4,(IF(E1213="RM",5,(IF(E1213="AC",1,(IF(E1213="AT",2,(IF(E1213="DS",3,(IF(E1213="IP",4,(IF(E1213="MA",5,(IF(E1213="PT",6,(IF(E1213="AE",1,(IF(E1213="CM",2,(IF(E1213="DP",3,(IF(E1213="AN",1,(IF(E1213="CO",2,(IF(E1213="IM",3,(IF(E1213="MI",4,(IF(E1213="RP",5,(IF(E1213="SC",6,0)))))))))))))))))))))))))))))))))))))))</f>
        <v>4</v>
      </c>
      <c r="G1213" s="170">
        <v>11</v>
      </c>
      <c r="H1213" s="33">
        <v>2</v>
      </c>
      <c r="I1213" s="27" t="s">
        <v>266</v>
      </c>
      <c r="J1213" s="150" t="s">
        <v>268</v>
      </c>
      <c r="K1213" s="79" t="s">
        <v>1409</v>
      </c>
      <c r="L1213" s="5">
        <f>IF(O1213="","",N1213*O1213*M1213)</f>
        <v>75</v>
      </c>
      <c r="M1213" s="8">
        <v>1</v>
      </c>
      <c r="N1213" s="1">
        <v>1</v>
      </c>
      <c r="O1213" s="15">
        <f>IF(SUM(Q1213:AF1213)&lt;1,"",SUM(Q1213:AF1213)/COUNTIF(Q1213:AF1213,"&gt;0"))</f>
        <v>75</v>
      </c>
      <c r="P1213" s="16"/>
      <c r="Q1213" s="13"/>
      <c r="T1213" s="4">
        <v>75</v>
      </c>
      <c r="AF1213" s="104"/>
      <c r="AG1213" s="3"/>
    </row>
    <row r="1214" spans="1:33" ht="15.75" customHeight="1" x14ac:dyDescent="0.25">
      <c r="A1214" s="33" t="str">
        <f>CONCATENATE(D1214,".",F1214,"-",G1214,".",H1214,"")</f>
        <v>2.4-11.9</v>
      </c>
      <c r="C1214" s="39" t="s">
        <v>262</v>
      </c>
      <c r="D1214" s="33">
        <f>IF(C1214="ID",1,(IF(C1214="PR",2,(IF(C1214="DE",3,(IF(C1214="RS",4,(IF(C1214="RC",5,0)))))))))</f>
        <v>2</v>
      </c>
      <c r="E1214" s="33" t="s">
        <v>344</v>
      </c>
      <c r="F1214" s="33">
        <f>IF(E1214="AM",1,(IF(E1214="BE",2,(IF(E1214="GV",3,(IF(E1214="RA",4,(IF(E1214="RM",5,(IF(E1214="AC",1,(IF(E1214="AT",2,(IF(E1214="DS",3,(IF(E1214="IP",4,(IF(E1214="MA",5,(IF(E1214="PT",6,(IF(E1214="AE",1,(IF(E1214="CM",2,(IF(E1214="DP",3,(IF(E1214="AN",1,(IF(E1214="CO",2,(IF(E1214="IM",3,(IF(E1214="MI",4,(IF(E1214="RP",5,(IF(E1214="SC",6,0)))))))))))))))))))))))))))))))))))))))</f>
        <v>4</v>
      </c>
      <c r="G1214" s="170">
        <v>11</v>
      </c>
      <c r="H1214" s="38" t="s">
        <v>596</v>
      </c>
      <c r="I1214" s="105" t="s">
        <v>1449</v>
      </c>
      <c r="J1214" s="157" t="s">
        <v>2541</v>
      </c>
      <c r="K1214" s="34" t="s">
        <v>2542</v>
      </c>
      <c r="L1214" s="5">
        <f>IF(O1214="","",N1214*O1214*M1214)</f>
        <v>99</v>
      </c>
      <c r="M1214" s="8">
        <v>1</v>
      </c>
      <c r="N1214" s="1">
        <v>1</v>
      </c>
      <c r="O1214" s="15">
        <f>IF(SUM(Q1214:AF1214)&lt;1,"",SUM(Q1214:AF1214)/COUNTIF(Q1214:AF1214,"&gt;0"))</f>
        <v>99</v>
      </c>
      <c r="P1214" s="16"/>
      <c r="Q1214" s="13"/>
      <c r="R1214" s="4"/>
      <c r="S1214" s="4"/>
      <c r="T1214" s="4">
        <v>99</v>
      </c>
      <c r="U1214" s="2"/>
      <c r="V1214" s="2"/>
      <c r="W1214" s="2"/>
      <c r="X1214" s="2"/>
      <c r="Y1214" s="4"/>
      <c r="Z1214" s="2"/>
      <c r="AA1214" s="2"/>
      <c r="AB1214" s="4"/>
      <c r="AC1214" s="4"/>
      <c r="AD1214" s="4"/>
      <c r="AE1214" s="4"/>
      <c r="AF1214" s="14"/>
      <c r="AG1214" s="3"/>
    </row>
    <row r="1215" spans="1:33" ht="15.75" customHeight="1" x14ac:dyDescent="0.25">
      <c r="A1215" s="33" t="str">
        <f>CONCATENATE(D1215,".",F1215,"-",G1215,".",H1215,"")</f>
        <v>2.4-12.0</v>
      </c>
      <c r="B1215" s="33" t="s">
        <v>814</v>
      </c>
      <c r="C1215" s="40" t="s">
        <v>262</v>
      </c>
      <c r="D1215" s="33">
        <f>IF(C1215="ID",1,(IF(C1215="PR",2,(IF(C1215="DE",3,(IF(C1215="RS",4,(IF(C1215="RC",5,0)))))))))</f>
        <v>2</v>
      </c>
      <c r="E1215" s="33" t="s">
        <v>344</v>
      </c>
      <c r="F1215" s="33">
        <f>IF(E1215="AM",1,(IF(E1215="BE",2,(IF(E1215="GV",3,(IF(E1215="RA",4,(IF(E1215="RM",5,(IF(E1215="AC",1,(IF(E1215="AT",2,(IF(E1215="DS",3,(IF(E1215="IP",4,(IF(E1215="MA",5,(IF(E1215="PT",6,(IF(E1215="AE",1,(IF(E1215="CM",2,(IF(E1215="DP",3,(IF(E1215="AN",1,(IF(E1215="CO",2,(IF(E1215="IM",3,(IF(E1215="MI",4,(IF(E1215="RP",5,(IF(E1215="SC",6,0)))))))))))))))))))))))))))))))))))))))</f>
        <v>4</v>
      </c>
      <c r="G1215" s="170">
        <v>12</v>
      </c>
      <c r="H1215" s="38" t="s">
        <v>597</v>
      </c>
      <c r="I1215" s="27" t="s">
        <v>1200</v>
      </c>
      <c r="J1215" s="149" t="s">
        <v>683</v>
      </c>
      <c r="K1215" s="98" t="s">
        <v>395</v>
      </c>
      <c r="L1215" s="5">
        <f>IF(O1215="","",N1215*O1215*M1215)</f>
        <v>75</v>
      </c>
      <c r="M1215" s="8">
        <v>1</v>
      </c>
      <c r="N1215" s="1">
        <v>1</v>
      </c>
      <c r="O1215" s="15">
        <f>IF(SUM(Q1215:AF1215)&lt;1,"",SUM(Q1215:AF1215)/COUNTIF(Q1215:AF1215,"&gt;0"))</f>
        <v>75</v>
      </c>
      <c r="P1215" s="16"/>
      <c r="Q1215" s="13"/>
      <c r="R1215" s="4"/>
      <c r="S1215" s="4"/>
      <c r="T1215" s="4">
        <v>75</v>
      </c>
      <c r="U1215" s="2"/>
      <c r="V1215" s="2"/>
      <c r="W1215" s="2"/>
      <c r="X1215" s="2"/>
      <c r="Y1215" s="4"/>
      <c r="Z1215" s="2"/>
      <c r="AA1215" s="2"/>
      <c r="AB1215" s="4"/>
      <c r="AC1215" s="4"/>
      <c r="AD1215" s="4"/>
      <c r="AE1215" s="4"/>
      <c r="AF1215" s="14"/>
      <c r="AG1215" s="3"/>
    </row>
    <row r="1216" spans="1:33" ht="15.75" customHeight="1" x14ac:dyDescent="0.25">
      <c r="A1216" s="33" t="str">
        <f>CONCATENATE(D1216,".",F1216,"-",G1216,".",H1216,"")</f>
        <v>2.4-12.1</v>
      </c>
      <c r="B1216" s="33" t="s">
        <v>814</v>
      </c>
      <c r="C1216" s="40" t="s">
        <v>262</v>
      </c>
      <c r="D1216" s="33">
        <f>IF(C1216="ID",1,(IF(C1216="PR",2,(IF(C1216="DE",3,(IF(C1216="RS",4,(IF(C1216="RC",5,0)))))))))</f>
        <v>2</v>
      </c>
      <c r="E1216" s="33" t="s">
        <v>344</v>
      </c>
      <c r="F1216" s="33">
        <f>IF(E1216="AM",1,(IF(E1216="BE",2,(IF(E1216="GV",3,(IF(E1216="RA",4,(IF(E1216="RM",5,(IF(E1216="AC",1,(IF(E1216="AT",2,(IF(E1216="DS",3,(IF(E1216="IP",4,(IF(E1216="MA",5,(IF(E1216="PT",6,(IF(E1216="AE",1,(IF(E1216="CM",2,(IF(E1216="DP",3,(IF(E1216="AN",1,(IF(E1216="CO",2,(IF(E1216="IM",3,(IF(E1216="MI",4,(IF(E1216="RP",5,(IF(E1216="SC",6,0)))))))))))))))))))))))))))))))))))))))</f>
        <v>4</v>
      </c>
      <c r="G1216" s="171">
        <v>12</v>
      </c>
      <c r="H1216" s="38" t="s">
        <v>511</v>
      </c>
      <c r="I1216" s="105" t="s">
        <v>821</v>
      </c>
      <c r="J1216" s="150">
        <v>6.1</v>
      </c>
      <c r="K1216" s="79" t="s">
        <v>1283</v>
      </c>
      <c r="L1216" s="66">
        <f>IF(O1216="","",N1216*O1216*M1216)</f>
        <v>75</v>
      </c>
      <c r="M1216" s="8">
        <v>1</v>
      </c>
      <c r="N1216" s="3">
        <v>1</v>
      </c>
      <c r="O1216" s="15">
        <f>IF(SUM(Q1216:AF1216)&lt;1,"",SUM(Q1216:AF1216)/COUNTIF(Q1216:AF1216,"&gt;0"))</f>
        <v>75</v>
      </c>
      <c r="P1216" s="16"/>
      <c r="Q1216" s="13"/>
      <c r="R1216" s="4"/>
      <c r="S1216" s="4"/>
      <c r="T1216" s="4">
        <v>75</v>
      </c>
      <c r="U1216" s="2"/>
      <c r="V1216" s="2"/>
      <c r="W1216" s="2"/>
      <c r="X1216" s="2"/>
      <c r="Y1216" s="4"/>
      <c r="Z1216" s="2"/>
      <c r="AA1216" s="2"/>
      <c r="AB1216" s="4"/>
      <c r="AC1216" s="4"/>
      <c r="AD1216" s="4"/>
      <c r="AE1216" s="4"/>
      <c r="AF1216" s="14"/>
      <c r="AG1216" s="3"/>
    </row>
    <row r="1217" spans="1:33" ht="15.75" customHeight="1" x14ac:dyDescent="0.25">
      <c r="A1217" s="33" t="str">
        <f>CONCATENATE(D1217,".",F1217,"-",G1217,".",H1217,"")</f>
        <v>2.4-12.1</v>
      </c>
      <c r="B1217" s="33" t="s">
        <v>814</v>
      </c>
      <c r="C1217" s="39" t="s">
        <v>262</v>
      </c>
      <c r="D1217" s="33">
        <f>IF(C1217="ID",1,(IF(C1217="PR",2,(IF(C1217="DE",3,(IF(C1217="RS",4,(IF(C1217="RC",5,0)))))))))</f>
        <v>2</v>
      </c>
      <c r="E1217" s="33" t="s">
        <v>344</v>
      </c>
      <c r="F1217" s="33">
        <f>IF(E1217="AM",1,(IF(E1217="BE",2,(IF(E1217="GV",3,(IF(E1217="RA",4,(IF(E1217="RM",5,(IF(E1217="AC",1,(IF(E1217="AT",2,(IF(E1217="DS",3,(IF(E1217="IP",4,(IF(E1217="MA",5,(IF(E1217="PT",6,(IF(E1217="AE",1,(IF(E1217="CM",2,(IF(E1217="DP",3,(IF(E1217="AN",1,(IF(E1217="CO",2,(IF(E1217="IM",3,(IF(E1217="MI",4,(IF(E1217="RP",5,(IF(E1217="SC",6,0)))))))))))))))))))))))))))))))))))))))</f>
        <v>4</v>
      </c>
      <c r="G1217" s="170">
        <v>12</v>
      </c>
      <c r="H1217" s="38" t="s">
        <v>511</v>
      </c>
      <c r="I1217" s="35" t="s">
        <v>1176</v>
      </c>
      <c r="J1217" s="162">
        <v>4.0999999999999996</v>
      </c>
      <c r="K1217" t="s">
        <v>1055</v>
      </c>
      <c r="L1217" s="66">
        <f>IF(O1217="","",N1217*O1217*M1217)</f>
        <v>75</v>
      </c>
      <c r="M1217" s="8">
        <v>1</v>
      </c>
      <c r="N1217" s="3">
        <v>1</v>
      </c>
      <c r="O1217" s="15">
        <f>IF(SUM(Q1217:AF1217)&lt;1,"",SUM(Q1217:AF1217)/COUNTIF(Q1217:AF1217,"&gt;0"))</f>
        <v>75</v>
      </c>
      <c r="P1217" s="16"/>
      <c r="Q1217" s="13"/>
      <c r="R1217" s="4"/>
      <c r="S1217" s="4"/>
      <c r="T1217" s="4">
        <v>75</v>
      </c>
      <c r="U1217" s="2"/>
      <c r="V1217" s="2"/>
      <c r="W1217" s="2"/>
      <c r="X1217" s="2"/>
      <c r="Y1217" s="4"/>
      <c r="Z1217" s="2"/>
      <c r="AA1217" s="2"/>
      <c r="AB1217" s="4"/>
      <c r="AC1217" s="4"/>
      <c r="AD1217" s="4"/>
      <c r="AE1217" s="4"/>
      <c r="AF1217" s="14"/>
      <c r="AG1217" s="3"/>
    </row>
    <row r="1218" spans="1:33" ht="15.75" customHeight="1" x14ac:dyDescent="0.25">
      <c r="A1218" s="33" t="str">
        <f>CONCATENATE(D1218,".",F1218,"-",G1218,".",H1218,"")</f>
        <v>2.4-12.1</v>
      </c>
      <c r="B1218" s="33" t="s">
        <v>814</v>
      </c>
      <c r="C1218" s="40" t="s">
        <v>262</v>
      </c>
      <c r="D1218" s="33">
        <f>IF(C1218="ID",1,(IF(C1218="PR",2,(IF(C1218="DE",3,(IF(C1218="RS",4,(IF(C1218="RC",5,0)))))))))</f>
        <v>2</v>
      </c>
      <c r="E1218" s="37" t="s">
        <v>344</v>
      </c>
      <c r="F1218" s="33">
        <f>IF(E1218="AM",1,(IF(E1218="BE",2,(IF(E1218="GV",3,(IF(E1218="RA",4,(IF(E1218="RM",5,(IF(E1218="AC",1,(IF(E1218="AT",2,(IF(E1218="DS",3,(IF(E1218="IP",4,(IF(E1218="MA",5,(IF(E1218="PT",6,(IF(E1218="AE",1,(IF(E1218="CM",2,(IF(E1218="DP",3,(IF(E1218="AN",1,(IF(E1218="CO",2,(IF(E1218="IM",3,(IF(E1218="MI",4,(IF(E1218="RP",5,(IF(E1218="SC",6,0)))))))))))))))))))))))))))))))))))))))</f>
        <v>4</v>
      </c>
      <c r="G1218" s="170">
        <v>12</v>
      </c>
      <c r="H1218" s="38" t="s">
        <v>511</v>
      </c>
      <c r="I1218" s="35" t="s">
        <v>1176</v>
      </c>
      <c r="J1218" s="162">
        <v>9.3000000000000007</v>
      </c>
      <c r="K1218" s="80" t="s">
        <v>1084</v>
      </c>
      <c r="L1218" s="66">
        <f>IF(O1218="","",N1218*O1218*M1218)</f>
        <v>75</v>
      </c>
      <c r="M1218" s="8">
        <v>1</v>
      </c>
      <c r="N1218" s="3">
        <v>1</v>
      </c>
      <c r="O1218" s="15">
        <f>IF(SUM(Q1218:AF1218)&lt;1,"",SUM(Q1218:AF1218)/COUNTIF(Q1218:AF1218,"&gt;0"))</f>
        <v>75</v>
      </c>
      <c r="P1218" s="16"/>
      <c r="Q1218" s="13"/>
      <c r="R1218" s="4"/>
      <c r="S1218" s="4"/>
      <c r="T1218" s="4">
        <v>75</v>
      </c>
      <c r="U1218" s="2"/>
      <c r="V1218" s="2"/>
      <c r="W1218" s="2"/>
      <c r="X1218" s="2"/>
      <c r="Y1218" s="4"/>
      <c r="Z1218" s="2"/>
      <c r="AA1218" s="2"/>
      <c r="AB1218" s="4"/>
      <c r="AC1218" s="4"/>
      <c r="AD1218" s="4"/>
      <c r="AE1218" s="4"/>
      <c r="AF1218" s="14"/>
      <c r="AG1218" s="3"/>
    </row>
    <row r="1219" spans="1:33" ht="15.75" customHeight="1" x14ac:dyDescent="0.25">
      <c r="A1219" s="33" t="str">
        <f>CONCATENATE(D1219,".",F1219,"-",G1219,".",H1219,"")</f>
        <v>2.4-12.1</v>
      </c>
      <c r="B1219" s="33" t="s">
        <v>814</v>
      </c>
      <c r="C1219" s="40" t="s">
        <v>262</v>
      </c>
      <c r="D1219" s="33">
        <f>IF(C1219="ID",1,(IF(C1219="PR",2,(IF(C1219="DE",3,(IF(C1219="RS",4,(IF(C1219="RC",5,0)))))))))</f>
        <v>2</v>
      </c>
      <c r="E1219" s="33" t="s">
        <v>344</v>
      </c>
      <c r="F1219" s="33">
        <f>IF(E1219="AM",1,(IF(E1219="BE",2,(IF(E1219="GV",3,(IF(E1219="RA",4,(IF(E1219="RM",5,(IF(E1219="AC",1,(IF(E1219="AT",2,(IF(E1219="DS",3,(IF(E1219="IP",4,(IF(E1219="MA",5,(IF(E1219="PT",6,(IF(E1219="AE",1,(IF(E1219="CM",2,(IF(E1219="DP",3,(IF(E1219="AN",1,(IF(E1219="CO",2,(IF(E1219="IM",3,(IF(E1219="MI",4,(IF(E1219="RP",5,(IF(E1219="SC",6,0)))))))))))))))))))))))))))))))))))))))</f>
        <v>4</v>
      </c>
      <c r="G1219" s="171">
        <v>12</v>
      </c>
      <c r="H1219" s="38" t="s">
        <v>511</v>
      </c>
      <c r="I1219" s="105" t="s">
        <v>821</v>
      </c>
      <c r="J1219" s="149" t="s">
        <v>211</v>
      </c>
      <c r="K1219" s="79" t="s">
        <v>1283</v>
      </c>
      <c r="L1219" s="66">
        <f>IF(O1219="","",N1219*O1219*M1219)</f>
        <v>75</v>
      </c>
      <c r="M1219" s="8">
        <v>1</v>
      </c>
      <c r="N1219" s="1">
        <v>1</v>
      </c>
      <c r="O1219" s="15">
        <f>IF(SUM(Q1219:AF1219)&lt;1,"",SUM(Q1219:AF1219)/COUNTIF(Q1219:AF1219,"&gt;0"))</f>
        <v>75</v>
      </c>
      <c r="P1219" s="16"/>
      <c r="Q1219" s="13"/>
      <c r="R1219" s="4"/>
      <c r="S1219" s="4"/>
      <c r="T1219" s="4">
        <v>75</v>
      </c>
      <c r="U1219" s="2"/>
      <c r="V1219" s="2"/>
      <c r="W1219" s="2"/>
      <c r="X1219" s="2"/>
      <c r="Y1219" s="4"/>
      <c r="Z1219" s="2"/>
      <c r="AA1219" s="2"/>
      <c r="AB1219" s="4"/>
      <c r="AC1219" s="4"/>
      <c r="AD1219" s="4"/>
      <c r="AE1219" s="4"/>
      <c r="AF1219" s="14"/>
      <c r="AG1219" s="3"/>
    </row>
    <row r="1220" spans="1:33" ht="15.75" customHeight="1" x14ac:dyDescent="0.25">
      <c r="A1220" s="33" t="str">
        <f>CONCATENATE(D1220,".",F1220,"-",G1220,".",H1220,"")</f>
        <v>2.4-12.1</v>
      </c>
      <c r="B1220" s="33" t="s">
        <v>814</v>
      </c>
      <c r="C1220" s="40" t="s">
        <v>262</v>
      </c>
      <c r="D1220" s="33">
        <f>IF(C1220="ID",1,(IF(C1220="PR",2,(IF(C1220="DE",3,(IF(C1220="RS",4,(IF(C1220="RC",5,0)))))))))</f>
        <v>2</v>
      </c>
      <c r="E1220" s="33" t="s">
        <v>344</v>
      </c>
      <c r="F1220" s="33">
        <f>IF(E1220="AM",1,(IF(E1220="BE",2,(IF(E1220="GV",3,(IF(E1220="RA",4,(IF(E1220="RM",5,(IF(E1220="AC",1,(IF(E1220="AT",2,(IF(E1220="DS",3,(IF(E1220="IP",4,(IF(E1220="MA",5,(IF(E1220="PT",6,(IF(E1220="AE",1,(IF(E1220="CM",2,(IF(E1220="DP",3,(IF(E1220="AN",1,(IF(E1220="CO",2,(IF(E1220="IM",3,(IF(E1220="MI",4,(IF(E1220="RP",5,(IF(E1220="SC",6,0)))))))))))))))))))))))))))))))))))))))</f>
        <v>4</v>
      </c>
      <c r="G1220" s="171">
        <v>12</v>
      </c>
      <c r="H1220" s="38" t="s">
        <v>511</v>
      </c>
      <c r="I1220" s="105" t="s">
        <v>821</v>
      </c>
      <c r="J1220" s="149" t="s">
        <v>212</v>
      </c>
      <c r="K1220" s="79" t="s">
        <v>1283</v>
      </c>
      <c r="L1220" s="66">
        <f>IF(O1220="","",N1220*O1220*M1220)</f>
        <v>75</v>
      </c>
      <c r="M1220" s="8">
        <v>1</v>
      </c>
      <c r="N1220" s="1">
        <v>1</v>
      </c>
      <c r="O1220" s="15">
        <f>IF(SUM(Q1220:AF1220)&lt;1,"",SUM(Q1220:AF1220)/COUNTIF(Q1220:AF1220,"&gt;0"))</f>
        <v>75</v>
      </c>
      <c r="P1220" s="16"/>
      <c r="Q1220" s="13"/>
      <c r="R1220" s="4"/>
      <c r="S1220" s="4"/>
      <c r="T1220" s="4">
        <v>75</v>
      </c>
      <c r="U1220" s="2"/>
      <c r="V1220" s="2"/>
      <c r="W1220" s="2"/>
      <c r="X1220" s="2"/>
      <c r="Y1220" s="4"/>
      <c r="Z1220" s="2"/>
      <c r="AA1220" s="2"/>
      <c r="AB1220" s="4"/>
      <c r="AC1220" s="4"/>
      <c r="AD1220" s="4"/>
      <c r="AE1220" s="4"/>
      <c r="AF1220" s="14"/>
      <c r="AG1220" s="3"/>
    </row>
    <row r="1221" spans="1:33" ht="15.75" customHeight="1" x14ac:dyDescent="0.25">
      <c r="A1221" s="33" t="str">
        <f>CONCATENATE(D1221,".",F1221,"-",G1221,".",H1221,"")</f>
        <v>2.4-12.1</v>
      </c>
      <c r="B1221" s="33" t="s">
        <v>814</v>
      </c>
      <c r="C1221" s="40" t="s">
        <v>262</v>
      </c>
      <c r="D1221" s="33">
        <f>IF(C1221="ID",1,(IF(C1221="PR",2,(IF(C1221="DE",3,(IF(C1221="RS",4,(IF(C1221="RC",5,0)))))))))</f>
        <v>2</v>
      </c>
      <c r="E1221" s="33" t="s">
        <v>344</v>
      </c>
      <c r="F1221" s="33">
        <f>IF(E1221="AM",1,(IF(E1221="BE",2,(IF(E1221="GV",3,(IF(E1221="RA",4,(IF(E1221="RM",5,(IF(E1221="AC",1,(IF(E1221="AT",2,(IF(E1221="DS",3,(IF(E1221="IP",4,(IF(E1221="MA",5,(IF(E1221="PT",6,(IF(E1221="AE",1,(IF(E1221="CM",2,(IF(E1221="DP",3,(IF(E1221="AN",1,(IF(E1221="CO",2,(IF(E1221="IM",3,(IF(E1221="MI",4,(IF(E1221="RP",5,(IF(E1221="SC",6,0)))))))))))))))))))))))))))))))))))))))</f>
        <v>4</v>
      </c>
      <c r="G1221" s="171">
        <v>12</v>
      </c>
      <c r="H1221" s="38" t="s">
        <v>511</v>
      </c>
      <c r="I1221" s="105" t="s">
        <v>821</v>
      </c>
      <c r="J1221" s="149" t="s">
        <v>213</v>
      </c>
      <c r="K1221" s="79" t="s">
        <v>1283</v>
      </c>
      <c r="L1221" s="66">
        <f>IF(O1221="","",N1221*O1221*M1221)</f>
        <v>75</v>
      </c>
      <c r="M1221" s="8">
        <v>1</v>
      </c>
      <c r="N1221" s="1">
        <v>1</v>
      </c>
      <c r="O1221" s="15">
        <f>IF(SUM(Q1221:AF1221)&lt;1,"",SUM(Q1221:AF1221)/COUNTIF(Q1221:AF1221,"&gt;0"))</f>
        <v>75</v>
      </c>
      <c r="P1221" s="16"/>
      <c r="Q1221" s="13"/>
      <c r="R1221" s="4"/>
      <c r="S1221" s="4"/>
      <c r="T1221" s="4">
        <v>75</v>
      </c>
      <c r="U1221" s="2"/>
      <c r="V1221" s="2"/>
      <c r="W1221" s="2"/>
      <c r="X1221" s="2"/>
      <c r="Y1221" s="4"/>
      <c r="Z1221" s="2"/>
      <c r="AA1221" s="2"/>
      <c r="AB1221" s="4"/>
      <c r="AC1221" s="4"/>
      <c r="AD1221" s="4"/>
      <c r="AE1221" s="4"/>
      <c r="AF1221" s="14"/>
      <c r="AG1221" s="3"/>
    </row>
    <row r="1222" spans="1:33" s="4" customFormat="1" ht="15.75" customHeight="1" x14ac:dyDescent="0.25">
      <c r="A1222" s="33" t="str">
        <f>CONCATENATE(D1222,".",F1222,"-",G1222,".",H1222,"")</f>
        <v>2.4-12.1</v>
      </c>
      <c r="B1222" s="33" t="s">
        <v>814</v>
      </c>
      <c r="C1222" s="41" t="s">
        <v>262</v>
      </c>
      <c r="D1222" s="33">
        <f>IF(C1222="ID",1,(IF(C1222="PR",2,(IF(C1222="DE",3,(IF(C1222="RS",4,(IF(C1222="RC",5,0)))))))))</f>
        <v>2</v>
      </c>
      <c r="E1222" s="33" t="s">
        <v>344</v>
      </c>
      <c r="F1222" s="33">
        <f>IF(E1222="AM",1,(IF(E1222="BE",2,(IF(E1222="GV",3,(IF(E1222="RA",4,(IF(E1222="RM",5,(IF(E1222="AC",1,(IF(E1222="AT",2,(IF(E1222="DS",3,(IF(E1222="IP",4,(IF(E1222="MA",5,(IF(E1222="PT",6,(IF(E1222="AE",1,(IF(E1222="CM",2,(IF(E1222="DP",3,(IF(E1222="AN",1,(IF(E1222="CO",2,(IF(E1222="IM",3,(IF(E1222="MI",4,(IF(E1222="RP",5,(IF(E1222="SC",6,0)))))))))))))))))))))))))))))))))))))))</f>
        <v>4</v>
      </c>
      <c r="G1222" s="170">
        <v>12</v>
      </c>
      <c r="H1222" s="38" t="s">
        <v>511</v>
      </c>
      <c r="I1222" s="27" t="s">
        <v>266</v>
      </c>
      <c r="J1222" s="149" t="s">
        <v>305</v>
      </c>
      <c r="K1222" s="79" t="s">
        <v>1314</v>
      </c>
      <c r="L1222" s="5">
        <f>IF(O1222="","",N1222*O1222*M1222)</f>
        <v>75</v>
      </c>
      <c r="M1222" s="8">
        <v>1</v>
      </c>
      <c r="N1222" s="1">
        <v>1</v>
      </c>
      <c r="O1222" s="15">
        <f>IF(SUM(Q1222:AF1222)&lt;1,"",SUM(Q1222:AF1222)/COUNTIF(Q1222:AF1222,"&gt;0"))</f>
        <v>75</v>
      </c>
      <c r="P1222" s="16"/>
      <c r="Q1222" s="13"/>
      <c r="T1222" s="4">
        <v>75</v>
      </c>
      <c r="U1222" s="2"/>
      <c r="V1222" s="2"/>
      <c r="W1222" s="2"/>
      <c r="X1222" s="2"/>
      <c r="Z1222" s="2"/>
      <c r="AA1222" s="2"/>
      <c r="AF1222" s="14"/>
    </row>
    <row r="1223" spans="1:33" s="4" customFormat="1" ht="15.75" customHeight="1" x14ac:dyDescent="0.25">
      <c r="A1223" s="33" t="str">
        <f>CONCATENATE(D1223,".",F1223,"-",G1223,".",H1223,"")</f>
        <v>2.4-12.1</v>
      </c>
      <c r="B1223" s="33" t="s">
        <v>814</v>
      </c>
      <c r="C1223" s="41" t="s">
        <v>262</v>
      </c>
      <c r="D1223" s="33">
        <f>IF(C1223="ID",1,(IF(C1223="PR",2,(IF(C1223="DE",3,(IF(C1223="RS",4,(IF(C1223="RC",5,0)))))))))</f>
        <v>2</v>
      </c>
      <c r="E1223" s="33" t="s">
        <v>344</v>
      </c>
      <c r="F1223" s="33">
        <f>IF(E1223="AM",1,(IF(E1223="BE",2,(IF(E1223="GV",3,(IF(E1223="RA",4,(IF(E1223="RM",5,(IF(E1223="AC",1,(IF(E1223="AT",2,(IF(E1223="DS",3,(IF(E1223="IP",4,(IF(E1223="MA",5,(IF(E1223="PT",6,(IF(E1223="AE",1,(IF(E1223="CM",2,(IF(E1223="DP",3,(IF(E1223="AN",1,(IF(E1223="CO",2,(IF(E1223="IM",3,(IF(E1223="MI",4,(IF(E1223="RP",5,(IF(E1223="SC",6,0)))))))))))))))))))))))))))))))))))))))</f>
        <v>4</v>
      </c>
      <c r="G1223" s="170">
        <v>12</v>
      </c>
      <c r="H1223" s="38" t="s">
        <v>511</v>
      </c>
      <c r="I1223" s="27" t="s">
        <v>266</v>
      </c>
      <c r="J1223" s="149" t="s">
        <v>272</v>
      </c>
      <c r="K1223" s="79" t="s">
        <v>1325</v>
      </c>
      <c r="L1223" s="5">
        <f>IF(O1223="","",N1223*O1223*M1223)</f>
        <v>75</v>
      </c>
      <c r="M1223" s="8">
        <v>1</v>
      </c>
      <c r="N1223" s="1">
        <v>1</v>
      </c>
      <c r="O1223" s="15">
        <f>IF(SUM(Q1223:AF1223)&lt;1,"",SUM(Q1223:AF1223)/COUNTIF(Q1223:AF1223,"&gt;0"))</f>
        <v>75</v>
      </c>
      <c r="P1223" s="16"/>
      <c r="Q1223" s="13"/>
      <c r="T1223" s="4">
        <v>75</v>
      </c>
      <c r="U1223" s="2"/>
      <c r="V1223" s="2"/>
      <c r="W1223" s="2"/>
      <c r="X1223" s="2"/>
      <c r="Z1223" s="2"/>
      <c r="AA1223" s="2"/>
      <c r="AF1223" s="14"/>
    </row>
    <row r="1224" spans="1:33" s="4" customFormat="1" ht="15.75" customHeight="1" x14ac:dyDescent="0.25">
      <c r="A1224" s="33" t="str">
        <f>CONCATENATE(D1224,".",F1224,"-",G1224,".",H1224,"")</f>
        <v>2.4-12.1</v>
      </c>
      <c r="B1224" s="33" t="s">
        <v>814</v>
      </c>
      <c r="C1224" s="41" t="s">
        <v>262</v>
      </c>
      <c r="D1224" s="33">
        <f>IF(C1224="ID",1,(IF(C1224="PR",2,(IF(C1224="DE",3,(IF(C1224="RS",4,(IF(C1224="RC",5,0)))))))))</f>
        <v>2</v>
      </c>
      <c r="E1224" s="33" t="s">
        <v>344</v>
      </c>
      <c r="F1224" s="33">
        <f>IF(E1224="AM",1,(IF(E1224="BE",2,(IF(E1224="GV",3,(IF(E1224="RA",4,(IF(E1224="RM",5,(IF(E1224="AC",1,(IF(E1224="AT",2,(IF(E1224="DS",3,(IF(E1224="IP",4,(IF(E1224="MA",5,(IF(E1224="PT",6,(IF(E1224="AE",1,(IF(E1224="CM",2,(IF(E1224="DP",3,(IF(E1224="AN",1,(IF(E1224="CO",2,(IF(E1224="IM",3,(IF(E1224="MI",4,(IF(E1224="RP",5,(IF(E1224="SC",6,0)))))))))))))))))))))))))))))))))))))))</f>
        <v>4</v>
      </c>
      <c r="G1224" s="170">
        <v>12</v>
      </c>
      <c r="H1224" s="38" t="s">
        <v>511</v>
      </c>
      <c r="I1224" s="27" t="s">
        <v>266</v>
      </c>
      <c r="J1224" s="149" t="s">
        <v>12</v>
      </c>
      <c r="K1224" s="79" t="s">
        <v>1389</v>
      </c>
      <c r="L1224" s="5">
        <f>IF(O1224="","",N1224*O1224*M1224)</f>
        <v>75</v>
      </c>
      <c r="M1224" s="8">
        <v>1</v>
      </c>
      <c r="N1224" s="1">
        <v>1</v>
      </c>
      <c r="O1224" s="15">
        <f>IF(SUM(Q1224:AF1224)&lt;1,"",SUM(Q1224:AF1224)/COUNTIF(Q1224:AF1224,"&gt;0"))</f>
        <v>75</v>
      </c>
      <c r="P1224" s="16"/>
      <c r="Q1224" s="13"/>
      <c r="T1224" s="4">
        <v>75</v>
      </c>
      <c r="U1224" s="2"/>
      <c r="V1224" s="2"/>
      <c r="W1224" s="2"/>
      <c r="X1224" s="2"/>
      <c r="Z1224" s="2"/>
      <c r="AA1224" s="2"/>
      <c r="AF1224" s="14"/>
    </row>
    <row r="1225" spans="1:33" s="4" customFormat="1" ht="15.75" customHeight="1" x14ac:dyDescent="0.25">
      <c r="A1225" s="33" t="str">
        <f>CONCATENATE(D1225,".",F1225,"-",G1225,".",H1225,"")</f>
        <v>2.4-12.1</v>
      </c>
      <c r="B1225" s="33" t="s">
        <v>814</v>
      </c>
      <c r="C1225" s="39" t="s">
        <v>262</v>
      </c>
      <c r="D1225" s="33">
        <f>IF(C1225="ID",1,(IF(C1225="PR",2,(IF(C1225="DE",3,(IF(C1225="RS",4,(IF(C1225="RC",5,0)))))))))</f>
        <v>2</v>
      </c>
      <c r="E1225" s="33" t="s">
        <v>344</v>
      </c>
      <c r="F1225" s="33">
        <f>IF(E1225="AM",1,(IF(E1225="BE",2,(IF(E1225="GV",3,(IF(E1225="RA",4,(IF(E1225="RM",5,(IF(E1225="AC",1,(IF(E1225="AT",2,(IF(E1225="DS",3,(IF(E1225="IP",4,(IF(E1225="MA",5,(IF(E1225="PT",6,(IF(E1225="AE",1,(IF(E1225="CM",2,(IF(E1225="DP",3,(IF(E1225="AN",1,(IF(E1225="CO",2,(IF(E1225="IM",3,(IF(E1225="MI",4,(IF(E1225="RP",5,(IF(E1225="SC",6,0)))))))))))))))))))))))))))))))))))))))</f>
        <v>4</v>
      </c>
      <c r="G1225" s="170">
        <v>12</v>
      </c>
      <c r="H1225" s="38" t="s">
        <v>511</v>
      </c>
      <c r="I1225" s="105" t="s">
        <v>1449</v>
      </c>
      <c r="J1225" s="157" t="s">
        <v>2609</v>
      </c>
      <c r="K1225" s="34" t="s">
        <v>2610</v>
      </c>
      <c r="L1225" s="5">
        <f>IF(O1225="","",N1225*O1225*M1225)</f>
        <v>99</v>
      </c>
      <c r="M1225" s="8">
        <v>1</v>
      </c>
      <c r="N1225" s="1">
        <v>1</v>
      </c>
      <c r="O1225" s="15">
        <f>IF(SUM(Q1225:AF1225)&lt;1,"",SUM(Q1225:AF1225)/COUNTIF(Q1225:AF1225,"&gt;0"))</f>
        <v>99</v>
      </c>
      <c r="P1225" s="16"/>
      <c r="Q1225" s="13"/>
      <c r="T1225" s="4">
        <v>99</v>
      </c>
      <c r="U1225" s="2"/>
      <c r="V1225" s="2"/>
      <c r="W1225" s="2"/>
      <c r="X1225" s="2"/>
      <c r="Z1225" s="2"/>
      <c r="AA1225" s="2"/>
      <c r="AF1225" s="14"/>
    </row>
    <row r="1226" spans="1:33" s="4" customFormat="1" ht="15.75" customHeight="1" x14ac:dyDescent="0.25">
      <c r="A1226" s="33" t="str">
        <f>CONCATENATE(D1226,".",F1226,"-",G1226,".",H1226,"")</f>
        <v>2.4-2.0</v>
      </c>
      <c r="B1226" s="33" t="s">
        <v>814</v>
      </c>
      <c r="C1226" s="40" t="s">
        <v>262</v>
      </c>
      <c r="D1226" s="33">
        <f>IF(C1226="ID",1,(IF(C1226="PR",2,(IF(C1226="DE",3,(IF(C1226="RS",4,(IF(C1226="RC",5,0)))))))))</f>
        <v>2</v>
      </c>
      <c r="E1226" s="33" t="s">
        <v>344</v>
      </c>
      <c r="F1226" s="33">
        <f>IF(E1226="AM",1,(IF(E1226="BE",2,(IF(E1226="GV",3,(IF(E1226="RA",4,(IF(E1226="RM",5,(IF(E1226="AC",1,(IF(E1226="AT",2,(IF(E1226="DS",3,(IF(E1226="IP",4,(IF(E1226="MA",5,(IF(E1226="PT",6,(IF(E1226="AE",1,(IF(E1226="CM",2,(IF(E1226="DP",3,(IF(E1226="AN",1,(IF(E1226="CO",2,(IF(E1226="IM",3,(IF(E1226="MI",4,(IF(E1226="RP",5,(IF(E1226="SC",6,0)))))))))))))))))))))))))))))))))))))))</f>
        <v>4</v>
      </c>
      <c r="G1226" s="170">
        <v>2</v>
      </c>
      <c r="H1226" s="38" t="s">
        <v>597</v>
      </c>
      <c r="I1226" s="27" t="s">
        <v>1200</v>
      </c>
      <c r="J1226" s="149" t="s">
        <v>684</v>
      </c>
      <c r="K1226" s="98" t="s">
        <v>385</v>
      </c>
      <c r="L1226" s="5">
        <f>IF(O1226="","",N1226*O1226*M1226)</f>
        <v>75</v>
      </c>
      <c r="M1226" s="8">
        <v>1</v>
      </c>
      <c r="N1226" s="1">
        <v>1</v>
      </c>
      <c r="O1226" s="15">
        <f>IF(SUM(Q1226:AF1226)&lt;1,"",SUM(Q1226:AF1226)/COUNTIF(Q1226:AF1226,"&gt;0"))</f>
        <v>75</v>
      </c>
      <c r="P1226" s="16"/>
      <c r="Q1226" s="13"/>
      <c r="T1226" s="4">
        <v>75</v>
      </c>
      <c r="U1226" s="2"/>
      <c r="V1226" s="2"/>
      <c r="W1226" s="2"/>
      <c r="X1226" s="2"/>
      <c r="Z1226" s="2"/>
      <c r="AA1226" s="2"/>
      <c r="AF1226" s="14"/>
    </row>
    <row r="1227" spans="1:33" s="4" customFormat="1" ht="15.75" customHeight="1" x14ac:dyDescent="0.25">
      <c r="A1227" s="33" t="str">
        <f>CONCATENATE(D1227,".",F1227,"-",G1227,".",H1227,"")</f>
        <v>2.4-2.1</v>
      </c>
      <c r="B1227" s="33" t="s">
        <v>814</v>
      </c>
      <c r="C1227" s="39" t="s">
        <v>262</v>
      </c>
      <c r="D1227" s="33">
        <f>IF(C1227="ID",1,(IF(C1227="PR",2,(IF(C1227="DE",3,(IF(C1227="RS",4,(IF(C1227="RC",5,0)))))))))</f>
        <v>2</v>
      </c>
      <c r="E1227" s="33" t="s">
        <v>344</v>
      </c>
      <c r="F1227" s="33">
        <f>IF(E1227="AM",1,(IF(E1227="BE",2,(IF(E1227="GV",3,(IF(E1227="RA",4,(IF(E1227="RM",5,(IF(E1227="AC",1,(IF(E1227="AT",2,(IF(E1227="DS",3,(IF(E1227="IP",4,(IF(E1227="MA",5,(IF(E1227="PT",6,(IF(E1227="AE",1,(IF(E1227="CM",2,(IF(E1227="DP",3,(IF(E1227="AN",1,(IF(E1227="CO",2,(IF(E1227="IM",3,(IF(E1227="MI",4,(IF(E1227="RP",5,(IF(E1227="SC",6,0)))))))))))))))))))))))))))))))))))))))</f>
        <v>4</v>
      </c>
      <c r="G1227" s="170">
        <v>2</v>
      </c>
      <c r="H1227" s="38" t="s">
        <v>511</v>
      </c>
      <c r="I1227" s="105" t="s">
        <v>821</v>
      </c>
      <c r="J1227" s="150">
        <v>6</v>
      </c>
      <c r="K1227" s="79" t="s">
        <v>1283</v>
      </c>
      <c r="L1227" s="66">
        <f>IF(O1227="","",N1227*O1227*M1227)</f>
        <v>75</v>
      </c>
      <c r="M1227" s="8">
        <v>1</v>
      </c>
      <c r="N1227" s="3">
        <v>1</v>
      </c>
      <c r="O1227" s="15">
        <f>IF(SUM(Q1227:AF1227)&lt;1,"",SUM(Q1227:AF1227)/COUNTIF(Q1227:AF1227,"&gt;0"))</f>
        <v>75</v>
      </c>
      <c r="P1227" s="16"/>
      <c r="Q1227" s="13"/>
      <c r="T1227" s="4">
        <v>75</v>
      </c>
      <c r="U1227" s="2"/>
      <c r="V1227" s="2"/>
      <c r="W1227" s="2"/>
      <c r="X1227" s="2"/>
      <c r="Z1227" s="2"/>
      <c r="AA1227" s="2"/>
      <c r="AF1227" s="14"/>
    </row>
    <row r="1228" spans="1:33" s="4" customFormat="1" ht="15.75" customHeight="1" x14ac:dyDescent="0.25">
      <c r="A1228" s="33" t="str">
        <f>CONCATENATE(D1228,".",F1228,"-",G1228,".",H1228,"")</f>
        <v>2.4-2.1</v>
      </c>
      <c r="B1228" s="33" t="s">
        <v>814</v>
      </c>
      <c r="C1228" s="40" t="s">
        <v>262</v>
      </c>
      <c r="D1228" s="33">
        <f>IF(C1228="ID",1,(IF(C1228="PR",2,(IF(C1228="DE",3,(IF(C1228="RS",4,(IF(C1228="RC",5,0)))))))))</f>
        <v>2</v>
      </c>
      <c r="E1228" s="33" t="s">
        <v>344</v>
      </c>
      <c r="F1228" s="33">
        <f>IF(E1228="AM",1,(IF(E1228="BE",2,(IF(E1228="GV",3,(IF(E1228="RA",4,(IF(E1228="RM",5,(IF(E1228="AC",1,(IF(E1228="AT",2,(IF(E1228="DS",3,(IF(E1228="IP",4,(IF(E1228="MA",5,(IF(E1228="PT",6,(IF(E1228="AE",1,(IF(E1228="CM",2,(IF(E1228="DP",3,(IF(E1228="AN",1,(IF(E1228="CO",2,(IF(E1228="IM",3,(IF(E1228="MI",4,(IF(E1228="RP",5,(IF(E1228="SC",6,0)))))))))))))))))))))))))))))))))))))))</f>
        <v>4</v>
      </c>
      <c r="G1228" s="171">
        <v>2</v>
      </c>
      <c r="H1228" s="38" t="s">
        <v>511</v>
      </c>
      <c r="I1228" s="105" t="s">
        <v>821</v>
      </c>
      <c r="J1228" s="150">
        <v>6.3</v>
      </c>
      <c r="K1228" s="79" t="s">
        <v>1283</v>
      </c>
      <c r="L1228" s="66">
        <f>IF(O1228="","",N1228*O1228*M1228)</f>
        <v>75</v>
      </c>
      <c r="M1228" s="8">
        <v>1</v>
      </c>
      <c r="N1228" s="3">
        <v>1</v>
      </c>
      <c r="O1228" s="15">
        <f>IF(SUM(Q1228:AF1228)&lt;1,"",SUM(Q1228:AF1228)/COUNTIF(Q1228:AF1228,"&gt;0"))</f>
        <v>75</v>
      </c>
      <c r="P1228" s="16"/>
      <c r="Q1228" s="13"/>
      <c r="T1228" s="4">
        <v>75</v>
      </c>
      <c r="U1228" s="2"/>
      <c r="V1228" s="2"/>
      <c r="W1228" s="2"/>
      <c r="X1228" s="2"/>
      <c r="Z1228" s="2"/>
      <c r="AA1228" s="2"/>
      <c r="AF1228" s="14"/>
    </row>
    <row r="1229" spans="1:33" s="4" customFormat="1" ht="15.75" customHeight="1" x14ac:dyDescent="0.25">
      <c r="A1229" s="33" t="str">
        <f>CONCATENATE(D1229,".",F1229,"-",G1229,".",H1229,"")</f>
        <v>2.4-2.1</v>
      </c>
      <c r="B1229" s="33" t="s">
        <v>814</v>
      </c>
      <c r="C1229" s="39" t="s">
        <v>262</v>
      </c>
      <c r="D1229" s="33">
        <f>IF(C1229="ID",1,(IF(C1229="PR",2,(IF(C1229="DE",3,(IF(C1229="RS",4,(IF(C1229="RC",5,0)))))))))</f>
        <v>2</v>
      </c>
      <c r="E1229" s="33" t="s">
        <v>344</v>
      </c>
      <c r="F1229" s="33">
        <f>IF(E1229="AM",1,(IF(E1229="BE",2,(IF(E1229="GV",3,(IF(E1229="RA",4,(IF(E1229="RM",5,(IF(E1229="AC",1,(IF(E1229="AT",2,(IF(E1229="DS",3,(IF(E1229="IP",4,(IF(E1229="MA",5,(IF(E1229="PT",6,(IF(E1229="AE",1,(IF(E1229="CM",2,(IF(E1229="DP",3,(IF(E1229="AN",1,(IF(E1229="CO",2,(IF(E1229="IM",3,(IF(E1229="MI",4,(IF(E1229="RP",5,(IF(E1229="SC",6,0)))))))))))))))))))))))))))))))))))))))</f>
        <v>4</v>
      </c>
      <c r="G1229" s="170">
        <v>2</v>
      </c>
      <c r="H1229" s="38" t="s">
        <v>511</v>
      </c>
      <c r="I1229" s="105" t="s">
        <v>821</v>
      </c>
      <c r="J1229" s="150">
        <v>6.5</v>
      </c>
      <c r="K1229" s="79" t="s">
        <v>1283</v>
      </c>
      <c r="L1229" s="66">
        <f>IF(O1229="","",N1229*O1229*M1229)</f>
        <v>75</v>
      </c>
      <c r="M1229" s="8">
        <v>1</v>
      </c>
      <c r="N1229" s="3">
        <v>1</v>
      </c>
      <c r="O1229" s="15">
        <f>IF(SUM(Q1229:AF1229)&lt;1,"",SUM(Q1229:AF1229)/COUNTIF(Q1229:AF1229,"&gt;0"))</f>
        <v>75</v>
      </c>
      <c r="P1229" s="16"/>
      <c r="Q1229" s="13"/>
      <c r="T1229" s="4">
        <v>75</v>
      </c>
      <c r="U1229" s="2"/>
      <c r="V1229" s="2"/>
      <c r="W1229" s="2"/>
      <c r="X1229" s="2"/>
      <c r="Z1229" s="2"/>
      <c r="AA1229" s="2"/>
      <c r="AF1229" s="14"/>
    </row>
    <row r="1230" spans="1:33" s="4" customFormat="1" ht="15.75" customHeight="1" x14ac:dyDescent="0.25">
      <c r="A1230" s="33" t="str">
        <f>CONCATENATE(D1230,".",F1230,"-",G1230,".",H1230,"")</f>
        <v>2.4-2.1</v>
      </c>
      <c r="B1230" s="33" t="s">
        <v>814</v>
      </c>
      <c r="C1230" s="39" t="s">
        <v>262</v>
      </c>
      <c r="D1230" s="33">
        <f>IF(C1230="ID",1,(IF(C1230="PR",2,(IF(C1230="DE",3,(IF(C1230="RS",4,(IF(C1230="RC",5,0)))))))))</f>
        <v>2</v>
      </c>
      <c r="E1230" s="33" t="s">
        <v>344</v>
      </c>
      <c r="F1230" s="33">
        <f>IF(E1230="AM",1,(IF(E1230="BE",2,(IF(E1230="GV",3,(IF(E1230="RA",4,(IF(E1230="RM",5,(IF(E1230="AC",1,(IF(E1230="AT",2,(IF(E1230="DS",3,(IF(E1230="IP",4,(IF(E1230="MA",5,(IF(E1230="PT",6,(IF(E1230="AE",1,(IF(E1230="CM",2,(IF(E1230="DP",3,(IF(E1230="AN",1,(IF(E1230="CO",2,(IF(E1230="IM",3,(IF(E1230="MI",4,(IF(E1230="RP",5,(IF(E1230="SC",6,0)))))))))))))))))))))))))))))))))))))))</f>
        <v>4</v>
      </c>
      <c r="G1230" s="170">
        <v>2</v>
      </c>
      <c r="H1230" s="38" t="s">
        <v>511</v>
      </c>
      <c r="I1230" s="35" t="s">
        <v>1176</v>
      </c>
      <c r="J1230" s="162">
        <v>7.3</v>
      </c>
      <c r="K1230" s="80" t="s">
        <v>807</v>
      </c>
      <c r="L1230" s="66">
        <f>IF(O1230="","",N1230*O1230*M1230)</f>
        <v>75</v>
      </c>
      <c r="M1230" s="8">
        <v>1</v>
      </c>
      <c r="N1230" s="3">
        <v>1</v>
      </c>
      <c r="O1230" s="15">
        <f>IF(SUM(Q1230:AF1230)&lt;1,"",SUM(Q1230:AF1230)/COUNTIF(Q1230:AF1230,"&gt;0"))</f>
        <v>75</v>
      </c>
      <c r="P1230" s="16"/>
      <c r="Q1230" s="13"/>
      <c r="T1230" s="4">
        <v>75</v>
      </c>
      <c r="U1230" s="2"/>
      <c r="V1230" s="2"/>
      <c r="W1230" s="2"/>
      <c r="X1230" s="2"/>
      <c r="Z1230" s="2"/>
      <c r="AA1230" s="2"/>
      <c r="AF1230" s="14"/>
    </row>
    <row r="1231" spans="1:33" s="4" customFormat="1" ht="15.75" customHeight="1" x14ac:dyDescent="0.25">
      <c r="A1231" s="33" t="str">
        <f>CONCATENATE(D1231,".",F1231,"-",G1231,".",H1231,"")</f>
        <v>2.4-2.1</v>
      </c>
      <c r="B1231" s="33" t="s">
        <v>814</v>
      </c>
      <c r="C1231" s="39" t="s">
        <v>262</v>
      </c>
      <c r="D1231" s="33">
        <f>IF(C1231="ID",1,(IF(C1231="PR",2,(IF(C1231="DE",3,(IF(C1231="RS",4,(IF(C1231="RC",5,0)))))))))</f>
        <v>2</v>
      </c>
      <c r="E1231" s="33" t="s">
        <v>344</v>
      </c>
      <c r="F1231" s="33">
        <f>IF(E1231="AM",1,(IF(E1231="BE",2,(IF(E1231="GV",3,(IF(E1231="RA",4,(IF(E1231="RM",5,(IF(E1231="AC",1,(IF(E1231="AT",2,(IF(E1231="DS",3,(IF(E1231="IP",4,(IF(E1231="MA",5,(IF(E1231="PT",6,(IF(E1231="AE",1,(IF(E1231="CM",2,(IF(E1231="DP",3,(IF(E1231="AN",1,(IF(E1231="CO",2,(IF(E1231="IM",3,(IF(E1231="MI",4,(IF(E1231="RP",5,(IF(E1231="SC",6,0)))))))))))))))))))))))))))))))))))))))</f>
        <v>4</v>
      </c>
      <c r="G1231" s="170">
        <v>2</v>
      </c>
      <c r="H1231" s="38" t="s">
        <v>511</v>
      </c>
      <c r="I1231" s="35" t="s">
        <v>1176</v>
      </c>
      <c r="J1231" s="162">
        <v>11.2</v>
      </c>
      <c r="K1231" s="4" t="s">
        <v>1093</v>
      </c>
      <c r="L1231" s="66">
        <f>IF(O1231="","",N1231*O1231*M1231)</f>
        <v>75</v>
      </c>
      <c r="M1231" s="8">
        <v>1</v>
      </c>
      <c r="N1231" s="3">
        <v>1</v>
      </c>
      <c r="O1231" s="15">
        <f>IF(SUM(Q1231:AF1231)&lt;1,"",SUM(Q1231:AF1231)/COUNTIF(Q1231:AF1231,"&gt;0"))</f>
        <v>75</v>
      </c>
      <c r="P1231" s="16"/>
      <c r="Q1231" s="13"/>
      <c r="T1231" s="4">
        <v>75</v>
      </c>
      <c r="U1231" s="2"/>
      <c r="V1231" s="2"/>
      <c r="W1231" s="2"/>
      <c r="X1231" s="2"/>
      <c r="Z1231" s="2"/>
      <c r="AA1231" s="2"/>
      <c r="AF1231" s="14"/>
    </row>
    <row r="1232" spans="1:33" s="4" customFormat="1" ht="15.75" customHeight="1" x14ac:dyDescent="0.25">
      <c r="A1232" s="33" t="str">
        <f>CONCATENATE(D1232,".",F1232,"-",G1232,".",H1232,"")</f>
        <v>2.4-2.1</v>
      </c>
      <c r="B1232" s="33" t="s">
        <v>814</v>
      </c>
      <c r="C1232" s="39" t="s">
        <v>262</v>
      </c>
      <c r="D1232" s="33">
        <f>IF(C1232="ID",1,(IF(C1232="PR",2,(IF(C1232="DE",3,(IF(C1232="RS",4,(IF(C1232="RC",5,0)))))))))</f>
        <v>2</v>
      </c>
      <c r="E1232" s="33" t="s">
        <v>344</v>
      </c>
      <c r="F1232" s="33">
        <f>IF(E1232="AM",1,(IF(E1232="BE",2,(IF(E1232="GV",3,(IF(E1232="RA",4,(IF(E1232="RM",5,(IF(E1232="AC",1,(IF(E1232="AT",2,(IF(E1232="DS",3,(IF(E1232="IP",4,(IF(E1232="MA",5,(IF(E1232="PT",6,(IF(E1232="AE",1,(IF(E1232="CM",2,(IF(E1232="DP",3,(IF(E1232="AN",1,(IF(E1232="CO",2,(IF(E1232="IM",3,(IF(E1232="MI",4,(IF(E1232="RP",5,(IF(E1232="SC",6,0)))))))))))))))))))))))))))))))))))))))</f>
        <v>4</v>
      </c>
      <c r="G1232" s="170">
        <v>2</v>
      </c>
      <c r="H1232" s="38" t="s">
        <v>511</v>
      </c>
      <c r="I1232" s="35" t="s">
        <v>1176</v>
      </c>
      <c r="J1232" s="162">
        <v>18</v>
      </c>
      <c r="K1232" s="80" t="s">
        <v>1153</v>
      </c>
      <c r="L1232" s="66">
        <f>IF(O1232="","",N1232*O1232*M1232)</f>
        <v>75</v>
      </c>
      <c r="M1232" s="8">
        <v>1</v>
      </c>
      <c r="N1232" s="3">
        <v>1</v>
      </c>
      <c r="O1232" s="15">
        <f>IF(SUM(Q1232:AF1232)&lt;1,"",SUM(Q1232:AF1232)/COUNTIF(Q1232:AF1232,"&gt;0"))</f>
        <v>75</v>
      </c>
      <c r="P1232" s="16"/>
      <c r="Q1232" s="13"/>
      <c r="T1232" s="4">
        <v>75</v>
      </c>
      <c r="U1232" s="2"/>
      <c r="V1232" s="2"/>
      <c r="W1232" s="2"/>
      <c r="X1232" s="2"/>
      <c r="Z1232" s="2"/>
      <c r="AA1232" s="2"/>
      <c r="AF1232" s="14"/>
    </row>
    <row r="1233" spans="1:32" s="4" customFormat="1" ht="15.75" customHeight="1" x14ac:dyDescent="0.25">
      <c r="A1233" s="33" t="str">
        <f>CONCATENATE(D1233,".",F1233,"-",G1233,".",H1233,"")</f>
        <v>2.4-2.1</v>
      </c>
      <c r="B1233" s="33" t="s">
        <v>814</v>
      </c>
      <c r="C1233" s="39" t="s">
        <v>262</v>
      </c>
      <c r="D1233" s="33">
        <f>IF(C1233="ID",1,(IF(C1233="PR",2,(IF(C1233="DE",3,(IF(C1233="RS",4,(IF(C1233="RC",5,0)))))))))</f>
        <v>2</v>
      </c>
      <c r="E1233" s="33" t="s">
        <v>344</v>
      </c>
      <c r="F1233" s="33">
        <f>IF(E1233="AM",1,(IF(E1233="BE",2,(IF(E1233="GV",3,(IF(E1233="RA",4,(IF(E1233="RM",5,(IF(E1233="AC",1,(IF(E1233="AT",2,(IF(E1233="DS",3,(IF(E1233="IP",4,(IF(E1233="MA",5,(IF(E1233="PT",6,(IF(E1233="AE",1,(IF(E1233="CM",2,(IF(E1233="DP",3,(IF(E1233="AN",1,(IF(E1233="CO",2,(IF(E1233="IM",3,(IF(E1233="MI",4,(IF(E1233="RP",5,(IF(E1233="SC",6,0)))))))))))))))))))))))))))))))))))))))</f>
        <v>4</v>
      </c>
      <c r="G1233" s="170">
        <v>2</v>
      </c>
      <c r="H1233" s="38" t="s">
        <v>511</v>
      </c>
      <c r="I1233" s="35" t="s">
        <v>1176</v>
      </c>
      <c r="J1233" s="162">
        <v>18.3</v>
      </c>
      <c r="K1233" s="80" t="s">
        <v>1155</v>
      </c>
      <c r="L1233" s="66">
        <f>IF(O1233="","",N1233*O1233*M1233)</f>
        <v>75</v>
      </c>
      <c r="M1233" s="8">
        <v>1</v>
      </c>
      <c r="N1233" s="3">
        <v>1</v>
      </c>
      <c r="O1233" s="15">
        <f>IF(SUM(Q1233:AF1233)&lt;1,"",SUM(Q1233:AF1233)/COUNTIF(Q1233:AF1233,"&gt;0"))</f>
        <v>75</v>
      </c>
      <c r="P1233" s="16"/>
      <c r="Q1233" s="13"/>
      <c r="T1233" s="4">
        <v>75</v>
      </c>
      <c r="U1233" s="2"/>
      <c r="V1233" s="2"/>
      <c r="W1233" s="2"/>
      <c r="X1233" s="2"/>
      <c r="Z1233" s="2"/>
      <c r="AA1233" s="2"/>
      <c r="AF1233" s="14"/>
    </row>
    <row r="1234" spans="1:32" s="4" customFormat="1" ht="15.75" customHeight="1" x14ac:dyDescent="0.25">
      <c r="A1234" s="33" t="str">
        <f>CONCATENATE(D1234,".",F1234,"-",G1234,".",H1234,"")</f>
        <v>2.4-2.1</v>
      </c>
      <c r="B1234" s="33" t="s">
        <v>814</v>
      </c>
      <c r="C1234" s="39" t="s">
        <v>262</v>
      </c>
      <c r="D1234" s="33">
        <f>IF(C1234="ID",1,(IF(C1234="PR",2,(IF(C1234="DE",3,(IF(C1234="RS",4,(IF(C1234="RC",5,0)))))))))</f>
        <v>2</v>
      </c>
      <c r="E1234" s="33" t="s">
        <v>344</v>
      </c>
      <c r="F1234" s="33">
        <f>IF(E1234="AM",1,(IF(E1234="BE",2,(IF(E1234="GV",3,(IF(E1234="RA",4,(IF(E1234="RM",5,(IF(E1234="AC",1,(IF(E1234="AT",2,(IF(E1234="DS",3,(IF(E1234="IP",4,(IF(E1234="MA",5,(IF(E1234="PT",6,(IF(E1234="AE",1,(IF(E1234="CM",2,(IF(E1234="DP",3,(IF(E1234="AN",1,(IF(E1234="CO",2,(IF(E1234="IM",3,(IF(E1234="MI",4,(IF(E1234="RP",5,(IF(E1234="SC",6,0)))))))))))))))))))))))))))))))))))))))</f>
        <v>4</v>
      </c>
      <c r="G1234" s="170">
        <v>2</v>
      </c>
      <c r="H1234" s="38" t="s">
        <v>511</v>
      </c>
      <c r="I1234" s="35" t="s">
        <v>1176</v>
      </c>
      <c r="J1234" s="162">
        <v>18.399999999999999</v>
      </c>
      <c r="K1234" s="80" t="s">
        <v>1156</v>
      </c>
      <c r="L1234" s="66">
        <f>IF(O1234="","",N1234*O1234*M1234)</f>
        <v>75</v>
      </c>
      <c r="M1234" s="8">
        <v>1</v>
      </c>
      <c r="N1234" s="3">
        <v>1</v>
      </c>
      <c r="O1234" s="15">
        <f>IF(SUM(Q1234:AF1234)&lt;1,"",SUM(Q1234:AF1234)/COUNTIF(Q1234:AF1234,"&gt;0"))</f>
        <v>75</v>
      </c>
      <c r="P1234" s="16"/>
      <c r="Q1234" s="13"/>
      <c r="T1234" s="4">
        <v>75</v>
      </c>
      <c r="U1234" s="2"/>
      <c r="V1234" s="2"/>
      <c r="W1234" s="2"/>
      <c r="X1234" s="2"/>
      <c r="Z1234" s="2"/>
      <c r="AA1234" s="2"/>
      <c r="AF1234" s="14"/>
    </row>
    <row r="1235" spans="1:32" s="4" customFormat="1" ht="15.75" customHeight="1" x14ac:dyDescent="0.25">
      <c r="A1235" s="33" t="str">
        <f>CONCATENATE(D1235,".",F1235,"-",G1235,".",H1235,"")</f>
        <v>2.4-2.1</v>
      </c>
      <c r="B1235" s="33" t="s">
        <v>814</v>
      </c>
      <c r="C1235" s="39" t="s">
        <v>262</v>
      </c>
      <c r="D1235" s="33">
        <f>IF(C1235="ID",1,(IF(C1235="PR",2,(IF(C1235="DE",3,(IF(C1235="RS",4,(IF(C1235="RC",5,0)))))))))</f>
        <v>2</v>
      </c>
      <c r="E1235" s="33" t="s">
        <v>344</v>
      </c>
      <c r="F1235" s="33">
        <f>IF(E1235="AM",1,(IF(E1235="BE",2,(IF(E1235="GV",3,(IF(E1235="RA",4,(IF(E1235="RM",5,(IF(E1235="AC",1,(IF(E1235="AT",2,(IF(E1235="DS",3,(IF(E1235="IP",4,(IF(E1235="MA",5,(IF(E1235="PT",6,(IF(E1235="AE",1,(IF(E1235="CM",2,(IF(E1235="DP",3,(IF(E1235="AN",1,(IF(E1235="CO",2,(IF(E1235="IM",3,(IF(E1235="MI",4,(IF(E1235="RP",5,(IF(E1235="SC",6,0)))))))))))))))))))))))))))))))))))))))</f>
        <v>4</v>
      </c>
      <c r="G1235" s="170">
        <v>2</v>
      </c>
      <c r="H1235" s="38" t="s">
        <v>511</v>
      </c>
      <c r="I1235" s="35" t="s">
        <v>1176</v>
      </c>
      <c r="J1235" s="162">
        <v>18.5</v>
      </c>
      <c r="K1235" s="80" t="s">
        <v>1249</v>
      </c>
      <c r="L1235" s="66">
        <f>IF(O1235="","",N1235*O1235*M1235)</f>
        <v>75</v>
      </c>
      <c r="M1235" s="8">
        <v>1</v>
      </c>
      <c r="N1235" s="3">
        <v>1</v>
      </c>
      <c r="O1235" s="15">
        <f>IF(SUM(Q1235:AF1235)&lt;1,"",SUM(Q1235:AF1235)/COUNTIF(Q1235:AF1235,"&gt;0"))</f>
        <v>75</v>
      </c>
      <c r="P1235" s="16"/>
      <c r="Q1235" s="13"/>
      <c r="T1235" s="4">
        <v>75</v>
      </c>
      <c r="U1235" s="2"/>
      <c r="V1235" s="2"/>
      <c r="W1235" s="2"/>
      <c r="X1235" s="2"/>
      <c r="Z1235" s="2"/>
      <c r="AA1235" s="2"/>
      <c r="AF1235" s="14"/>
    </row>
    <row r="1236" spans="1:32" s="4" customFormat="1" ht="15.75" customHeight="1" x14ac:dyDescent="0.25">
      <c r="A1236" s="33" t="str">
        <f>CONCATENATE(D1236,".",F1236,"-",G1236,".",H1236,"")</f>
        <v>2.4-2.1</v>
      </c>
      <c r="B1236" s="33" t="s">
        <v>814</v>
      </c>
      <c r="C1236" s="39" t="s">
        <v>262</v>
      </c>
      <c r="D1236" s="33">
        <f>IF(C1236="ID",1,(IF(C1236="PR",2,(IF(C1236="DE",3,(IF(C1236="RS",4,(IF(C1236="RC",5,0)))))))))</f>
        <v>2</v>
      </c>
      <c r="E1236" s="33" t="s">
        <v>344</v>
      </c>
      <c r="F1236" s="33">
        <f>IF(E1236="AM",1,(IF(E1236="BE",2,(IF(E1236="GV",3,(IF(E1236="RA",4,(IF(E1236="RM",5,(IF(E1236="AC",1,(IF(E1236="AT",2,(IF(E1236="DS",3,(IF(E1236="IP",4,(IF(E1236="MA",5,(IF(E1236="PT",6,(IF(E1236="AE",1,(IF(E1236="CM",2,(IF(E1236="DP",3,(IF(E1236="AN",1,(IF(E1236="CO",2,(IF(E1236="IM",3,(IF(E1236="MI",4,(IF(E1236="RP",5,(IF(E1236="SC",6,0)))))))))))))))))))))))))))))))))))))))</f>
        <v>4</v>
      </c>
      <c r="G1236" s="170">
        <v>2</v>
      </c>
      <c r="H1236" s="38" t="s">
        <v>511</v>
      </c>
      <c r="I1236" s="35" t="s">
        <v>1176</v>
      </c>
      <c r="J1236" s="177">
        <v>18.7</v>
      </c>
      <c r="K1236" s="80" t="s">
        <v>1158</v>
      </c>
      <c r="L1236" s="66">
        <f>IF(O1236="","",N1236*O1236*M1236)</f>
        <v>75</v>
      </c>
      <c r="M1236" s="8">
        <v>1</v>
      </c>
      <c r="N1236" s="3">
        <v>1</v>
      </c>
      <c r="O1236" s="15">
        <f>IF(SUM(Q1236:AF1236)&lt;1,"",SUM(Q1236:AF1236)/COUNTIF(Q1236:AF1236,"&gt;0"))</f>
        <v>75</v>
      </c>
      <c r="P1236" s="16"/>
      <c r="Q1236" s="13"/>
      <c r="T1236" s="4">
        <v>75</v>
      </c>
      <c r="U1236" s="2"/>
      <c r="V1236" s="2"/>
      <c r="W1236" s="2"/>
      <c r="X1236" s="2"/>
      <c r="Z1236" s="2"/>
      <c r="AA1236" s="2"/>
      <c r="AF1236" s="14"/>
    </row>
    <row r="1237" spans="1:32" s="4" customFormat="1" ht="15.75" customHeight="1" x14ac:dyDescent="0.25">
      <c r="A1237" s="33" t="str">
        <f>CONCATENATE(D1237,".",F1237,"-",G1237,".",H1237,"")</f>
        <v>2.4-2.1</v>
      </c>
      <c r="B1237" s="33" t="s">
        <v>814</v>
      </c>
      <c r="C1237" s="39" t="s">
        <v>262</v>
      </c>
      <c r="D1237" s="33">
        <f>IF(C1237="ID",1,(IF(C1237="PR",2,(IF(C1237="DE",3,(IF(C1237="RS",4,(IF(C1237="RC",5,0)))))))))</f>
        <v>2</v>
      </c>
      <c r="E1237" s="33" t="s">
        <v>344</v>
      </c>
      <c r="F1237" s="33">
        <f>IF(E1237="AM",1,(IF(E1237="BE",2,(IF(E1237="GV",3,(IF(E1237="RA",4,(IF(E1237="RM",5,(IF(E1237="AC",1,(IF(E1237="AT",2,(IF(E1237="DS",3,(IF(E1237="IP",4,(IF(E1237="MA",5,(IF(E1237="PT",6,(IF(E1237="AE",1,(IF(E1237="CM",2,(IF(E1237="DP",3,(IF(E1237="AN",1,(IF(E1237="CO",2,(IF(E1237="IM",3,(IF(E1237="MI",4,(IF(E1237="RP",5,(IF(E1237="SC",6,0)))))))))))))))))))))))))))))))))))))))</f>
        <v>4</v>
      </c>
      <c r="G1237" s="170">
        <v>2</v>
      </c>
      <c r="H1237" s="38" t="s">
        <v>511</v>
      </c>
      <c r="I1237" s="35" t="s">
        <v>1176</v>
      </c>
      <c r="J1237" s="177">
        <v>18.899999999999999</v>
      </c>
      <c r="K1237" s="80" t="s">
        <v>1160</v>
      </c>
      <c r="L1237" s="66">
        <f>IF(O1237="","",N1237*O1237*M1237)</f>
        <v>75</v>
      </c>
      <c r="M1237" s="8">
        <v>1</v>
      </c>
      <c r="N1237" s="3">
        <v>1</v>
      </c>
      <c r="O1237" s="15">
        <f>IF(SUM(Q1237:AF1237)&lt;1,"",SUM(Q1237:AF1237)/COUNTIF(Q1237:AF1237,"&gt;0"))</f>
        <v>75</v>
      </c>
      <c r="P1237" s="16"/>
      <c r="Q1237" s="13"/>
      <c r="T1237" s="4">
        <v>75</v>
      </c>
      <c r="U1237" s="2"/>
      <c r="V1237" s="2"/>
      <c r="W1237" s="2"/>
      <c r="X1237" s="2"/>
      <c r="Z1237" s="2"/>
      <c r="AA1237" s="2"/>
      <c r="AF1237" s="14"/>
    </row>
    <row r="1238" spans="1:32" s="4" customFormat="1" ht="15.75" customHeight="1" x14ac:dyDescent="0.25">
      <c r="A1238" s="33" t="str">
        <f>CONCATENATE(D1238,".",F1238,"-",G1238,".",H1238,"")</f>
        <v>2.4-2.1</v>
      </c>
      <c r="B1238" s="33" t="s">
        <v>814</v>
      </c>
      <c r="C1238" s="39" t="s">
        <v>262</v>
      </c>
      <c r="D1238" s="33">
        <f>IF(C1238="ID",1,(IF(C1238="PR",2,(IF(C1238="DE",3,(IF(C1238="RS",4,(IF(C1238="RC",5,0)))))))))</f>
        <v>2</v>
      </c>
      <c r="E1238" s="33" t="s">
        <v>344</v>
      </c>
      <c r="F1238" s="33">
        <f>IF(E1238="AM",1,(IF(E1238="BE",2,(IF(E1238="GV",3,(IF(E1238="RA",4,(IF(E1238="RM",5,(IF(E1238="AC",1,(IF(E1238="AT",2,(IF(E1238="DS",3,(IF(E1238="IP",4,(IF(E1238="MA",5,(IF(E1238="PT",6,(IF(E1238="AE",1,(IF(E1238="CM",2,(IF(E1238="DP",3,(IF(E1238="AN",1,(IF(E1238="CO",2,(IF(E1238="IM",3,(IF(E1238="MI",4,(IF(E1238="RP",5,(IF(E1238="SC",6,0)))))))))))))))))))))))))))))))))))))))</f>
        <v>4</v>
      </c>
      <c r="G1238" s="170">
        <v>2</v>
      </c>
      <c r="H1238" s="38" t="s">
        <v>511</v>
      </c>
      <c r="I1238" s="105" t="s">
        <v>821</v>
      </c>
      <c r="J1238" s="166" t="s">
        <v>145</v>
      </c>
      <c r="K1238" s="79" t="s">
        <v>1283</v>
      </c>
      <c r="L1238" s="66">
        <f>IF(O1238="","",N1238*O1238*M1238)</f>
        <v>75</v>
      </c>
      <c r="M1238" s="8">
        <v>1</v>
      </c>
      <c r="N1238" s="3">
        <v>1</v>
      </c>
      <c r="O1238" s="15">
        <f>IF(SUM(Q1238:AF1238)&lt;1,"",SUM(Q1238:AF1238)/COUNTIF(Q1238:AF1238,"&gt;0"))</f>
        <v>75</v>
      </c>
      <c r="P1238" s="16"/>
      <c r="Q1238" s="13"/>
      <c r="T1238" s="4">
        <v>75</v>
      </c>
      <c r="U1238" s="2"/>
      <c r="V1238" s="2"/>
      <c r="W1238" s="2"/>
      <c r="X1238" s="2"/>
      <c r="Z1238" s="2"/>
      <c r="AA1238" s="2"/>
      <c r="AF1238" s="14"/>
    </row>
    <row r="1239" spans="1:32" s="4" customFormat="1" ht="15.75" customHeight="1" x14ac:dyDescent="0.25">
      <c r="A1239" s="33" t="str">
        <f>CONCATENATE(D1239,".",F1239,"-",G1239,".",H1239,"")</f>
        <v>2.4-2.1</v>
      </c>
      <c r="B1239" s="33" t="s">
        <v>814</v>
      </c>
      <c r="C1239" s="39" t="s">
        <v>262</v>
      </c>
      <c r="D1239" s="33">
        <f>IF(C1239="ID",1,(IF(C1239="PR",2,(IF(C1239="DE",3,(IF(C1239="RS",4,(IF(C1239="RC",5,0)))))))))</f>
        <v>2</v>
      </c>
      <c r="E1239" s="33" t="s">
        <v>344</v>
      </c>
      <c r="F1239" s="33">
        <f>IF(E1239="AM",1,(IF(E1239="BE",2,(IF(E1239="GV",3,(IF(E1239="RA",4,(IF(E1239="RM",5,(IF(E1239="AC",1,(IF(E1239="AT",2,(IF(E1239="DS",3,(IF(E1239="IP",4,(IF(E1239="MA",5,(IF(E1239="PT",6,(IF(E1239="AE",1,(IF(E1239="CM",2,(IF(E1239="DP",3,(IF(E1239="AN",1,(IF(E1239="CO",2,(IF(E1239="IM",3,(IF(E1239="MI",4,(IF(E1239="RP",5,(IF(E1239="SC",6,0)))))))))))))))))))))))))))))))))))))))</f>
        <v>4</v>
      </c>
      <c r="G1239" s="170">
        <v>2</v>
      </c>
      <c r="H1239" s="33">
        <v>1</v>
      </c>
      <c r="I1239" s="27" t="s">
        <v>266</v>
      </c>
      <c r="J1239" s="150" t="s">
        <v>325</v>
      </c>
      <c r="K1239" s="79" t="s">
        <v>1341</v>
      </c>
      <c r="L1239" s="5">
        <f>IF(O1239="","",N1239*O1239*M1239)</f>
        <v>75</v>
      </c>
      <c r="M1239" s="8">
        <v>1</v>
      </c>
      <c r="N1239" s="1">
        <v>1</v>
      </c>
      <c r="O1239" s="15">
        <f>IF(SUM(Q1239:AF1239)&lt;1,"",SUM(Q1239:AF1239)/COUNTIF(Q1239:AF1239,"&gt;0"))</f>
        <v>75</v>
      </c>
      <c r="P1239" s="16"/>
      <c r="Q1239" s="13"/>
      <c r="R1239" s="3"/>
      <c r="S1239" s="3"/>
      <c r="T1239" s="4">
        <v>75</v>
      </c>
      <c r="U1239" s="3"/>
      <c r="V1239" s="3"/>
      <c r="W1239" s="3"/>
      <c r="X1239" s="3"/>
      <c r="Y1239" s="3"/>
      <c r="Z1239" s="3"/>
      <c r="AA1239" s="3"/>
      <c r="AB1239" s="3"/>
      <c r="AC1239" s="3"/>
      <c r="AD1239" s="3"/>
      <c r="AE1239" s="3"/>
      <c r="AF1239" s="104"/>
    </row>
    <row r="1240" spans="1:32" s="4" customFormat="1" ht="15.75" customHeight="1" x14ac:dyDescent="0.25">
      <c r="A1240" s="33" t="str">
        <f>CONCATENATE(D1240,".",F1240,"-",G1240,".",H1240,"")</f>
        <v>2.4-2.1</v>
      </c>
      <c r="B1240" s="33" t="s">
        <v>814</v>
      </c>
      <c r="C1240" s="39" t="s">
        <v>262</v>
      </c>
      <c r="D1240" s="33">
        <f>IF(C1240="ID",1,(IF(C1240="PR",2,(IF(C1240="DE",3,(IF(C1240="RS",4,(IF(C1240="RC",5,0)))))))))</f>
        <v>2</v>
      </c>
      <c r="E1240" s="33" t="s">
        <v>344</v>
      </c>
      <c r="F1240" s="33">
        <f>IF(E1240="AM",1,(IF(E1240="BE",2,(IF(E1240="GV",3,(IF(E1240="RA",4,(IF(E1240="RM",5,(IF(E1240="AC",1,(IF(E1240="AT",2,(IF(E1240="DS",3,(IF(E1240="IP",4,(IF(E1240="MA",5,(IF(E1240="PT",6,(IF(E1240="AE",1,(IF(E1240="CM",2,(IF(E1240="DP",3,(IF(E1240="AN",1,(IF(E1240="CO",2,(IF(E1240="IM",3,(IF(E1240="MI",4,(IF(E1240="RP",5,(IF(E1240="SC",6,0)))))))))))))))))))))))))))))))))))))))</f>
        <v>4</v>
      </c>
      <c r="G1240" s="170">
        <v>2</v>
      </c>
      <c r="H1240" s="38" t="s">
        <v>511</v>
      </c>
      <c r="I1240" s="27" t="s">
        <v>266</v>
      </c>
      <c r="J1240" s="149" t="s">
        <v>471</v>
      </c>
      <c r="K1240" s="79" t="s">
        <v>1344</v>
      </c>
      <c r="L1240" s="66">
        <f>IF(O1240="","",N1240*O1240*M1240)</f>
        <v>75</v>
      </c>
      <c r="M1240" s="8">
        <v>1</v>
      </c>
      <c r="N1240" s="1">
        <v>1</v>
      </c>
      <c r="O1240" s="15">
        <f>IF(SUM(Q1240:AF1240)&lt;1,"",SUM(Q1240:AF1240)/COUNTIF(Q1240:AF1240,"&gt;0"))</f>
        <v>75</v>
      </c>
      <c r="P1240" s="16"/>
      <c r="Q1240" s="13"/>
      <c r="T1240" s="4">
        <v>75</v>
      </c>
      <c r="U1240" s="2"/>
      <c r="V1240" s="2"/>
      <c r="W1240" s="2"/>
      <c r="X1240" s="2"/>
      <c r="Z1240" s="2"/>
      <c r="AA1240" s="2"/>
      <c r="AF1240" s="14"/>
    </row>
    <row r="1241" spans="1:32" s="4" customFormat="1" ht="15.75" customHeight="1" x14ac:dyDescent="0.25">
      <c r="A1241" s="33" t="str">
        <f>CONCATENATE(D1241,".",F1241,"-",G1241,".",H1241,"")</f>
        <v>2.4-2.1</v>
      </c>
      <c r="B1241" s="33" t="s">
        <v>814</v>
      </c>
      <c r="C1241" s="41" t="s">
        <v>262</v>
      </c>
      <c r="D1241" s="33">
        <f>IF(C1241="ID",1,(IF(C1241="PR",2,(IF(C1241="DE",3,(IF(C1241="RS",4,(IF(C1241="RC",5,0)))))))))</f>
        <v>2</v>
      </c>
      <c r="E1241" s="33" t="s">
        <v>344</v>
      </c>
      <c r="F1241" s="33">
        <f>IF(E1241="AM",1,(IF(E1241="BE",2,(IF(E1241="GV",3,(IF(E1241="RA",4,(IF(E1241="RM",5,(IF(E1241="AC",1,(IF(E1241="AT",2,(IF(E1241="DS",3,(IF(E1241="IP",4,(IF(E1241="MA",5,(IF(E1241="PT",6,(IF(E1241="AE",1,(IF(E1241="CM",2,(IF(E1241="DP",3,(IF(E1241="AN",1,(IF(E1241="CO",2,(IF(E1241="IM",3,(IF(E1241="MI",4,(IF(E1241="RP",5,(IF(E1241="SC",6,0)))))))))))))))))))))))))))))))))))))))</f>
        <v>4</v>
      </c>
      <c r="G1241" s="170">
        <v>2</v>
      </c>
      <c r="H1241" s="38" t="s">
        <v>511</v>
      </c>
      <c r="I1241" s="27" t="s">
        <v>266</v>
      </c>
      <c r="J1241" s="149" t="s">
        <v>326</v>
      </c>
      <c r="K1241" s="79" t="s">
        <v>1345</v>
      </c>
      <c r="L1241" s="5">
        <f>IF(O1241="","",N1241*O1241*M1241)</f>
        <v>75</v>
      </c>
      <c r="M1241" s="8">
        <v>1</v>
      </c>
      <c r="N1241" s="1">
        <v>1</v>
      </c>
      <c r="O1241" s="15">
        <f>IF(SUM(Q1241:AF1241)&lt;1,"",SUM(Q1241:AF1241)/COUNTIF(Q1241:AF1241,"&gt;0"))</f>
        <v>75</v>
      </c>
      <c r="P1241" s="16"/>
      <c r="Q1241" s="13"/>
      <c r="T1241" s="4">
        <v>75</v>
      </c>
      <c r="U1241" s="2"/>
      <c r="V1241" s="2"/>
      <c r="W1241" s="2"/>
      <c r="X1241" s="2"/>
      <c r="Z1241" s="2"/>
      <c r="AA1241" s="2"/>
      <c r="AF1241" s="14"/>
    </row>
    <row r="1242" spans="1:32" s="4" customFormat="1" ht="15.75" customHeight="1" x14ac:dyDescent="0.25">
      <c r="A1242" s="33" t="str">
        <f>CONCATENATE(D1242,".",F1242,"-",G1242,".",H1242,"")</f>
        <v>2.4-2.1</v>
      </c>
      <c r="B1242" s="33" t="s">
        <v>814</v>
      </c>
      <c r="C1242" s="41" t="s">
        <v>262</v>
      </c>
      <c r="D1242" s="33">
        <f>IF(C1242="ID",1,(IF(C1242="PR",2,(IF(C1242="DE",3,(IF(C1242="RS",4,(IF(C1242="RC",5,0)))))))))</f>
        <v>2</v>
      </c>
      <c r="E1242" s="33" t="s">
        <v>344</v>
      </c>
      <c r="F1242" s="33">
        <f>IF(E1242="AM",1,(IF(E1242="BE",2,(IF(E1242="GV",3,(IF(E1242="RA",4,(IF(E1242="RM",5,(IF(E1242="AC",1,(IF(E1242="AT",2,(IF(E1242="DS",3,(IF(E1242="IP",4,(IF(E1242="MA",5,(IF(E1242="PT",6,(IF(E1242="AE",1,(IF(E1242="CM",2,(IF(E1242="DP",3,(IF(E1242="AN",1,(IF(E1242="CO",2,(IF(E1242="IM",3,(IF(E1242="MI",4,(IF(E1242="RP",5,(IF(E1242="SC",6,0)))))))))))))))))))))))))))))))))))))))</f>
        <v>4</v>
      </c>
      <c r="G1242" s="170">
        <v>2</v>
      </c>
      <c r="H1242" s="38" t="s">
        <v>511</v>
      </c>
      <c r="I1242" s="27" t="s">
        <v>266</v>
      </c>
      <c r="J1242" s="149" t="s">
        <v>323</v>
      </c>
      <c r="K1242" s="79" t="s">
        <v>1349</v>
      </c>
      <c r="L1242" s="5">
        <f>IF(O1242="","",N1242*O1242*M1242)</f>
        <v>75</v>
      </c>
      <c r="M1242" s="8">
        <v>1</v>
      </c>
      <c r="N1242" s="1">
        <v>1</v>
      </c>
      <c r="O1242" s="15">
        <f>IF(SUM(Q1242:AF1242)&lt;1,"",SUM(Q1242:AF1242)/COUNTIF(Q1242:AF1242,"&gt;0"))</f>
        <v>75</v>
      </c>
      <c r="P1242" s="16"/>
      <c r="Q1242" s="13"/>
      <c r="T1242" s="4">
        <v>75</v>
      </c>
      <c r="U1242" s="2"/>
      <c r="V1242" s="2"/>
      <c r="W1242" s="2"/>
      <c r="X1242" s="2"/>
      <c r="Z1242" s="2"/>
      <c r="AA1242" s="2"/>
      <c r="AF1242" s="14"/>
    </row>
    <row r="1243" spans="1:32" s="4" customFormat="1" ht="15.75" customHeight="1" x14ac:dyDescent="0.25">
      <c r="A1243" s="33" t="str">
        <f>CONCATENATE(D1243,".",F1243,"-",G1243,".",H1243,"")</f>
        <v>2.4-2.1</v>
      </c>
      <c r="B1243" s="33" t="s">
        <v>814</v>
      </c>
      <c r="C1243" s="39" t="s">
        <v>262</v>
      </c>
      <c r="D1243" s="33">
        <f>IF(C1243="ID",1,(IF(C1243="PR",2,(IF(C1243="DE",3,(IF(C1243="RS",4,(IF(C1243="RC",5,0)))))))))</f>
        <v>2</v>
      </c>
      <c r="E1243" s="33" t="s">
        <v>344</v>
      </c>
      <c r="F1243" s="33">
        <f>IF(E1243="AM",1,(IF(E1243="BE",2,(IF(E1243="GV",3,(IF(E1243="RA",4,(IF(E1243="RM",5,(IF(E1243="AC",1,(IF(E1243="AT",2,(IF(E1243="DS",3,(IF(E1243="IP",4,(IF(E1243="MA",5,(IF(E1243="PT",6,(IF(E1243="AE",1,(IF(E1243="CM",2,(IF(E1243="DP",3,(IF(E1243="AN",1,(IF(E1243="CO",2,(IF(E1243="IM",3,(IF(E1243="MI",4,(IF(E1243="RP",5,(IF(E1243="SC",6,0)))))))))))))))))))))))))))))))))))))))</f>
        <v>4</v>
      </c>
      <c r="G1243" s="171">
        <v>2</v>
      </c>
      <c r="H1243" s="33">
        <v>1</v>
      </c>
      <c r="I1243" s="27" t="s">
        <v>266</v>
      </c>
      <c r="J1243" s="150" t="s">
        <v>281</v>
      </c>
      <c r="K1243" s="79" t="s">
        <v>1352</v>
      </c>
      <c r="L1243" s="5">
        <f>IF(O1243="","",N1243*O1243*M1243)</f>
        <v>75</v>
      </c>
      <c r="M1243" s="8">
        <v>1</v>
      </c>
      <c r="N1243" s="1">
        <v>1</v>
      </c>
      <c r="O1243" s="15">
        <f>IF(SUM(Q1243:AF1243)&lt;1,"",SUM(Q1243:AF1243)/COUNTIF(Q1243:AF1243,"&gt;0"))</f>
        <v>75</v>
      </c>
      <c r="P1243" s="16"/>
      <c r="Q1243" s="13"/>
      <c r="R1243" s="3"/>
      <c r="S1243" s="3"/>
      <c r="T1243" s="4">
        <v>75</v>
      </c>
      <c r="U1243" s="3"/>
      <c r="V1243" s="3"/>
      <c r="W1243" s="3"/>
      <c r="X1243" s="3"/>
      <c r="Y1243" s="3"/>
      <c r="Z1243" s="3"/>
      <c r="AA1243" s="3"/>
      <c r="AB1243" s="3"/>
      <c r="AC1243" s="3"/>
      <c r="AD1243" s="3"/>
      <c r="AE1243" s="3"/>
      <c r="AF1243" s="104"/>
    </row>
    <row r="1244" spans="1:32" s="4" customFormat="1" ht="15.75" customHeight="1" x14ac:dyDescent="0.25">
      <c r="A1244" s="33" t="str">
        <f>CONCATENATE(D1244,".",F1244,"-",G1244,".",H1244,"")</f>
        <v>2.4-2.1</v>
      </c>
      <c r="B1244" s="33" t="s">
        <v>814</v>
      </c>
      <c r="C1244" s="41" t="s">
        <v>262</v>
      </c>
      <c r="D1244" s="33">
        <f>IF(C1244="ID",1,(IF(C1244="PR",2,(IF(C1244="DE",3,(IF(C1244="RS",4,(IF(C1244="RC",5,0)))))))))</f>
        <v>2</v>
      </c>
      <c r="E1244" s="33" t="s">
        <v>344</v>
      </c>
      <c r="F1244" s="33">
        <f>IF(E1244="AM",1,(IF(E1244="BE",2,(IF(E1244="GV",3,(IF(E1244="RA",4,(IF(E1244="RM",5,(IF(E1244="AC",1,(IF(E1244="AT",2,(IF(E1244="DS",3,(IF(E1244="IP",4,(IF(E1244="MA",5,(IF(E1244="PT",6,(IF(E1244="AE",1,(IF(E1244="CM",2,(IF(E1244="DP",3,(IF(E1244="AN",1,(IF(E1244="CO",2,(IF(E1244="IM",3,(IF(E1244="MI",4,(IF(E1244="RP",5,(IF(E1244="SC",6,0)))))))))))))))))))))))))))))))))))))))</f>
        <v>4</v>
      </c>
      <c r="G1244" s="170">
        <v>2</v>
      </c>
      <c r="H1244" s="38" t="s">
        <v>511</v>
      </c>
      <c r="I1244" s="27" t="s">
        <v>266</v>
      </c>
      <c r="J1244" s="149" t="s">
        <v>324</v>
      </c>
      <c r="K1244" s="79" t="s">
        <v>1402</v>
      </c>
      <c r="L1244" s="5">
        <f>IF(O1244="","",N1244*O1244*M1244)</f>
        <v>75</v>
      </c>
      <c r="M1244" s="8">
        <v>1</v>
      </c>
      <c r="N1244" s="1">
        <v>1</v>
      </c>
      <c r="O1244" s="15">
        <f>IF(SUM(Q1244:AF1244)&lt;1,"",SUM(Q1244:AF1244)/COUNTIF(Q1244:AF1244,"&gt;0"))</f>
        <v>75</v>
      </c>
      <c r="P1244" s="16"/>
      <c r="Q1244" s="13"/>
      <c r="T1244" s="4">
        <v>75</v>
      </c>
      <c r="U1244" s="2"/>
      <c r="V1244" s="2"/>
      <c r="W1244" s="2"/>
      <c r="X1244" s="2"/>
      <c r="Z1244" s="2"/>
      <c r="AA1244" s="2"/>
      <c r="AF1244" s="14"/>
    </row>
    <row r="1245" spans="1:32" s="4" customFormat="1" ht="15.75" customHeight="1" x14ac:dyDescent="0.25">
      <c r="A1245" s="33" t="str">
        <f>CONCATENATE(D1245,".",F1245,"-",G1245,".",H1245,"")</f>
        <v>2.4-2.1</v>
      </c>
      <c r="B1245" s="33"/>
      <c r="C1245" s="39" t="s">
        <v>262</v>
      </c>
      <c r="D1245" s="33">
        <f>IF(C1245="ID",1,(IF(C1245="PR",2,(IF(C1245="DE",3,(IF(C1245="RS",4,(IF(C1245="RC",5,0)))))))))</f>
        <v>2</v>
      </c>
      <c r="E1245" s="33" t="s">
        <v>344</v>
      </c>
      <c r="F1245" s="33">
        <f>IF(E1245="AM",1,(IF(E1245="BE",2,(IF(E1245="GV",3,(IF(E1245="RA",4,(IF(E1245="RM",5,(IF(E1245="AC",1,(IF(E1245="AT",2,(IF(E1245="DS",3,(IF(E1245="IP",4,(IF(E1245="MA",5,(IF(E1245="PT",6,(IF(E1245="AE",1,(IF(E1245="CM",2,(IF(E1245="DP",3,(IF(E1245="AN",1,(IF(E1245="CO",2,(IF(E1245="IM",3,(IF(E1245="MI",4,(IF(E1245="RP",5,(IF(E1245="SC",6,0)))))))))))))))))))))))))))))))))))))))</f>
        <v>4</v>
      </c>
      <c r="G1245" s="170">
        <v>2</v>
      </c>
      <c r="H1245" s="38" t="s">
        <v>511</v>
      </c>
      <c r="I1245" s="105" t="s">
        <v>1449</v>
      </c>
      <c r="J1245" s="157" t="s">
        <v>2573</v>
      </c>
      <c r="K1245" s="34" t="s">
        <v>2574</v>
      </c>
      <c r="L1245" s="5">
        <f>IF(O1245="","",N1245*O1245*M1245)</f>
        <v>99</v>
      </c>
      <c r="M1245" s="8">
        <v>1</v>
      </c>
      <c r="N1245" s="1">
        <v>1</v>
      </c>
      <c r="O1245" s="15">
        <f>IF(SUM(Q1245:AF1245)&lt;1,"",SUM(Q1245:AF1245)/COUNTIF(Q1245:AF1245,"&gt;0"))</f>
        <v>99</v>
      </c>
      <c r="P1245" s="16"/>
      <c r="Q1245" s="13"/>
      <c r="T1245" s="4">
        <v>99</v>
      </c>
      <c r="U1245" s="2"/>
      <c r="V1245" s="2"/>
      <c r="W1245" s="2"/>
      <c r="X1245" s="2"/>
      <c r="Z1245" s="2"/>
      <c r="AA1245" s="2"/>
      <c r="AF1245" s="14"/>
    </row>
    <row r="1246" spans="1:32" s="4" customFormat="1" ht="15.75" customHeight="1" x14ac:dyDescent="0.25">
      <c r="A1246" s="33" t="str">
        <f>CONCATENATE(D1246,".",F1246,"-",G1246,".",H1246,"")</f>
        <v>2.4-2.1</v>
      </c>
      <c r="B1246" s="33"/>
      <c r="C1246" s="39" t="s">
        <v>262</v>
      </c>
      <c r="D1246" s="33">
        <f>IF(C1246="ID",1,(IF(C1246="PR",2,(IF(C1246="DE",3,(IF(C1246="RS",4,(IF(C1246="RC",5,0)))))))))</f>
        <v>2</v>
      </c>
      <c r="E1246" s="33" t="s">
        <v>344</v>
      </c>
      <c r="F1246" s="33">
        <f>IF(E1246="AM",1,(IF(E1246="BE",2,(IF(E1246="GV",3,(IF(E1246="RA",4,(IF(E1246="RM",5,(IF(E1246="AC",1,(IF(E1246="AT",2,(IF(E1246="DS",3,(IF(E1246="IP",4,(IF(E1246="MA",5,(IF(E1246="PT",6,(IF(E1246="AE",1,(IF(E1246="CM",2,(IF(E1246="DP",3,(IF(E1246="AN",1,(IF(E1246="CO",2,(IF(E1246="IM",3,(IF(E1246="MI",4,(IF(E1246="RP",5,(IF(E1246="SC",6,0)))))))))))))))))))))))))))))))))))))))</f>
        <v>4</v>
      </c>
      <c r="G1246" s="170">
        <v>2</v>
      </c>
      <c r="H1246" s="38" t="s">
        <v>511</v>
      </c>
      <c r="I1246" s="105" t="s">
        <v>1449</v>
      </c>
      <c r="J1246" s="157" t="s">
        <v>2601</v>
      </c>
      <c r="K1246" s="34" t="s">
        <v>2602</v>
      </c>
      <c r="L1246" s="5">
        <f>IF(O1246="","",N1246*O1246*M1246)</f>
        <v>99</v>
      </c>
      <c r="M1246" s="8">
        <v>1</v>
      </c>
      <c r="N1246" s="1">
        <v>1</v>
      </c>
      <c r="O1246" s="15">
        <f>IF(SUM(Q1246:AF1246)&lt;1,"",SUM(Q1246:AF1246)/COUNTIF(Q1246:AF1246,"&gt;0"))</f>
        <v>99</v>
      </c>
      <c r="P1246" s="16"/>
      <c r="Q1246" s="13"/>
      <c r="T1246" s="4">
        <v>99</v>
      </c>
      <c r="U1246" s="2"/>
      <c r="V1246" s="2"/>
      <c r="W1246" s="2"/>
      <c r="X1246" s="2"/>
      <c r="Z1246" s="2"/>
      <c r="AA1246" s="2"/>
      <c r="AF1246" s="14"/>
    </row>
    <row r="1247" spans="1:32" s="4" customFormat="1" ht="15.75" customHeight="1" x14ac:dyDescent="0.25">
      <c r="A1247" s="33" t="str">
        <f>CONCATENATE(D1247,".",F1247,"-",G1247,".",H1247,"")</f>
        <v>2.4-2.1</v>
      </c>
      <c r="B1247" s="33"/>
      <c r="C1247" s="39" t="s">
        <v>262</v>
      </c>
      <c r="D1247" s="33">
        <f>IF(C1247="ID",1,(IF(C1247="PR",2,(IF(C1247="DE",3,(IF(C1247="RS",4,(IF(C1247="RC",5,0)))))))))</f>
        <v>2</v>
      </c>
      <c r="E1247" s="33" t="s">
        <v>344</v>
      </c>
      <c r="F1247" s="33">
        <f>IF(E1247="AM",1,(IF(E1247="BE",2,(IF(E1247="GV",3,(IF(E1247="RA",4,(IF(E1247="RM",5,(IF(E1247="AC",1,(IF(E1247="AT",2,(IF(E1247="DS",3,(IF(E1247="IP",4,(IF(E1247="MA",5,(IF(E1247="PT",6,(IF(E1247="AE",1,(IF(E1247="CM",2,(IF(E1247="DP",3,(IF(E1247="AN",1,(IF(E1247="CO",2,(IF(E1247="IM",3,(IF(E1247="MI",4,(IF(E1247="RP",5,(IF(E1247="SC",6,0)))))))))))))))))))))))))))))))))))))))</f>
        <v>4</v>
      </c>
      <c r="G1247" s="170">
        <v>2</v>
      </c>
      <c r="H1247" s="38" t="s">
        <v>511</v>
      </c>
      <c r="I1247" s="105" t="s">
        <v>1449</v>
      </c>
      <c r="J1247" s="157" t="s">
        <v>2633</v>
      </c>
      <c r="K1247" s="34" t="s">
        <v>2634</v>
      </c>
      <c r="L1247" s="5">
        <f>IF(O1247="","",N1247*O1247*M1247)</f>
        <v>99</v>
      </c>
      <c r="M1247" s="8">
        <v>1</v>
      </c>
      <c r="N1247" s="1">
        <v>1</v>
      </c>
      <c r="O1247" s="15">
        <f>IF(SUM(Q1247:AF1247)&lt;1,"",SUM(Q1247:AF1247)/COUNTIF(Q1247:AF1247,"&gt;0"))</f>
        <v>99</v>
      </c>
      <c r="P1247" s="16"/>
      <c r="Q1247" s="13"/>
      <c r="T1247" s="4">
        <v>99</v>
      </c>
      <c r="U1247" s="2"/>
      <c r="V1247" s="2"/>
      <c r="W1247" s="2"/>
      <c r="X1247" s="2"/>
      <c r="Z1247" s="2"/>
      <c r="AA1247" s="2"/>
      <c r="AF1247" s="14"/>
    </row>
    <row r="1248" spans="1:32" s="4" customFormat="1" ht="15.75" customHeight="1" x14ac:dyDescent="0.25">
      <c r="A1248" s="33" t="str">
        <f>CONCATENATE(D1248,".",F1248,"-",G1248,".",H1248,"")</f>
        <v>2.4-2.1</v>
      </c>
      <c r="B1248" s="33"/>
      <c r="C1248" s="39" t="s">
        <v>262</v>
      </c>
      <c r="D1248" s="33">
        <f>IF(C1248="ID",1,(IF(C1248="PR",2,(IF(C1248="DE",3,(IF(C1248="RS",4,(IF(C1248="RC",5,0)))))))))</f>
        <v>2</v>
      </c>
      <c r="E1248" s="33" t="s">
        <v>344</v>
      </c>
      <c r="F1248" s="33">
        <f>IF(E1248="AM",1,(IF(E1248="BE",2,(IF(E1248="GV",3,(IF(E1248="RA",4,(IF(E1248="RM",5,(IF(E1248="AC",1,(IF(E1248="AT",2,(IF(E1248="DS",3,(IF(E1248="IP",4,(IF(E1248="MA",5,(IF(E1248="PT",6,(IF(E1248="AE",1,(IF(E1248="CM",2,(IF(E1248="DP",3,(IF(E1248="AN",1,(IF(E1248="CO",2,(IF(E1248="IM",3,(IF(E1248="MI",4,(IF(E1248="RP",5,(IF(E1248="SC",6,0)))))))))))))))))))))))))))))))))))))))</f>
        <v>4</v>
      </c>
      <c r="G1248" s="170">
        <v>2</v>
      </c>
      <c r="H1248" s="38" t="s">
        <v>511</v>
      </c>
      <c r="I1248" s="105" t="s">
        <v>1449</v>
      </c>
      <c r="J1248" s="157" t="s">
        <v>2635</v>
      </c>
      <c r="K1248" s="34" t="s">
        <v>2636</v>
      </c>
      <c r="L1248" s="5">
        <f>IF(O1248="","",N1248*O1248*M1248)</f>
        <v>99</v>
      </c>
      <c r="M1248" s="8">
        <v>1</v>
      </c>
      <c r="N1248" s="1">
        <v>1</v>
      </c>
      <c r="O1248" s="15">
        <f>IF(SUM(Q1248:AF1248)&lt;1,"",SUM(Q1248:AF1248)/COUNTIF(Q1248:AF1248,"&gt;0"))</f>
        <v>99</v>
      </c>
      <c r="P1248" s="16"/>
      <c r="Q1248" s="13"/>
      <c r="T1248" s="4">
        <v>99</v>
      </c>
      <c r="U1248" s="2"/>
      <c r="V1248" s="2"/>
      <c r="W1248" s="2"/>
      <c r="X1248" s="2"/>
      <c r="Z1248" s="2"/>
      <c r="AA1248" s="2"/>
      <c r="AF1248" s="14"/>
    </row>
    <row r="1249" spans="1:32" s="4" customFormat="1" ht="15.75" customHeight="1" x14ac:dyDescent="0.25">
      <c r="A1249" s="33" t="str">
        <f>CONCATENATE(D1249,".",F1249,"-",G1249,".",H1249,"")</f>
        <v>2.4-2.1</v>
      </c>
      <c r="B1249" s="33"/>
      <c r="C1249" s="39" t="s">
        <v>262</v>
      </c>
      <c r="D1249" s="33">
        <f>IF(C1249="ID",1,(IF(C1249="PR",2,(IF(C1249="DE",3,(IF(C1249="RS",4,(IF(C1249="RC",5,0)))))))))</f>
        <v>2</v>
      </c>
      <c r="E1249" s="33" t="s">
        <v>344</v>
      </c>
      <c r="F1249" s="33">
        <f>IF(E1249="AM",1,(IF(E1249="BE",2,(IF(E1249="GV",3,(IF(E1249="RA",4,(IF(E1249="RM",5,(IF(E1249="AC",1,(IF(E1249="AT",2,(IF(E1249="DS",3,(IF(E1249="IP",4,(IF(E1249="MA",5,(IF(E1249="PT",6,(IF(E1249="AE",1,(IF(E1249="CM",2,(IF(E1249="DP",3,(IF(E1249="AN",1,(IF(E1249="CO",2,(IF(E1249="IM",3,(IF(E1249="MI",4,(IF(E1249="RP",5,(IF(E1249="SC",6,0)))))))))))))))))))))))))))))))))))))))</f>
        <v>4</v>
      </c>
      <c r="G1249" s="170">
        <v>2</v>
      </c>
      <c r="H1249" s="38" t="s">
        <v>511</v>
      </c>
      <c r="I1249" s="105" t="s">
        <v>1449</v>
      </c>
      <c r="J1249" s="157" t="s">
        <v>2637</v>
      </c>
      <c r="K1249" s="34" t="s">
        <v>2638</v>
      </c>
      <c r="L1249" s="5">
        <f>IF(O1249="","",N1249*O1249*M1249)</f>
        <v>99</v>
      </c>
      <c r="M1249" s="8">
        <v>1</v>
      </c>
      <c r="N1249" s="1">
        <v>1</v>
      </c>
      <c r="O1249" s="15">
        <f>IF(SUM(Q1249:AF1249)&lt;1,"",SUM(Q1249:AF1249)/COUNTIF(Q1249:AF1249,"&gt;0"))</f>
        <v>99</v>
      </c>
      <c r="P1249" s="16"/>
      <c r="Q1249" s="13"/>
      <c r="T1249" s="4">
        <v>99</v>
      </c>
      <c r="U1249" s="2"/>
      <c r="V1249" s="2"/>
      <c r="W1249" s="2"/>
      <c r="X1249" s="2"/>
      <c r="Z1249" s="2"/>
      <c r="AA1249" s="2"/>
      <c r="AF1249" s="14"/>
    </row>
    <row r="1250" spans="1:32" s="4" customFormat="1" ht="15.75" customHeight="1" x14ac:dyDescent="0.25">
      <c r="A1250" s="33" t="str">
        <f>CONCATENATE(D1250,".",F1250,"-",G1250,".",H1250,"")</f>
        <v>2.4-2.1</v>
      </c>
      <c r="B1250" s="33"/>
      <c r="C1250" s="39" t="s">
        <v>262</v>
      </c>
      <c r="D1250" s="33">
        <f>IF(C1250="ID",1,(IF(C1250="PR",2,(IF(C1250="DE",3,(IF(C1250="RS",4,(IF(C1250="RC",5,0)))))))))</f>
        <v>2</v>
      </c>
      <c r="E1250" s="33" t="s">
        <v>344</v>
      </c>
      <c r="F1250" s="33">
        <f>IF(E1250="AM",1,(IF(E1250="BE",2,(IF(E1250="GV",3,(IF(E1250="RA",4,(IF(E1250="RM",5,(IF(E1250="AC",1,(IF(E1250="AT",2,(IF(E1250="DS",3,(IF(E1250="IP",4,(IF(E1250="MA",5,(IF(E1250="PT",6,(IF(E1250="AE",1,(IF(E1250="CM",2,(IF(E1250="DP",3,(IF(E1250="AN",1,(IF(E1250="CO",2,(IF(E1250="IM",3,(IF(E1250="MI",4,(IF(E1250="RP",5,(IF(E1250="SC",6,0)))))))))))))))))))))))))))))))))))))))</f>
        <v>4</v>
      </c>
      <c r="G1250" s="170">
        <v>2</v>
      </c>
      <c r="H1250" s="38" t="s">
        <v>511</v>
      </c>
      <c r="I1250" s="105" t="s">
        <v>1449</v>
      </c>
      <c r="J1250" s="157" t="s">
        <v>2639</v>
      </c>
      <c r="K1250" s="34" t="s">
        <v>2640</v>
      </c>
      <c r="L1250" s="5">
        <f>IF(O1250="","",N1250*O1250*M1250)</f>
        <v>99</v>
      </c>
      <c r="M1250" s="8">
        <v>1</v>
      </c>
      <c r="N1250" s="1">
        <v>1</v>
      </c>
      <c r="O1250" s="15">
        <f>IF(SUM(Q1250:AF1250)&lt;1,"",SUM(Q1250:AF1250)/COUNTIF(Q1250:AF1250,"&gt;0"))</f>
        <v>99</v>
      </c>
      <c r="P1250" s="16"/>
      <c r="Q1250" s="13"/>
      <c r="T1250" s="4">
        <v>99</v>
      </c>
      <c r="U1250" s="2"/>
      <c r="V1250" s="2"/>
      <c r="W1250" s="2"/>
      <c r="X1250" s="2"/>
      <c r="Z1250" s="2"/>
      <c r="AA1250" s="2"/>
      <c r="AF1250" s="14"/>
    </row>
    <row r="1251" spans="1:32" s="4" customFormat="1" ht="15.75" customHeight="1" x14ac:dyDescent="0.25">
      <c r="A1251" s="33" t="str">
        <f>CONCATENATE(D1251,".",F1251,"-",G1251,".",H1251,"")</f>
        <v>2.4-2.1</v>
      </c>
      <c r="B1251" s="33"/>
      <c r="C1251" s="39" t="s">
        <v>262</v>
      </c>
      <c r="D1251" s="33">
        <f>IF(C1251="ID",1,(IF(C1251="PR",2,(IF(C1251="DE",3,(IF(C1251="RS",4,(IF(C1251="RC",5,0)))))))))</f>
        <v>2</v>
      </c>
      <c r="E1251" s="33" t="s">
        <v>344</v>
      </c>
      <c r="F1251" s="33">
        <f>IF(E1251="AM",1,(IF(E1251="BE",2,(IF(E1251="GV",3,(IF(E1251="RA",4,(IF(E1251="RM",5,(IF(E1251="AC",1,(IF(E1251="AT",2,(IF(E1251="DS",3,(IF(E1251="IP",4,(IF(E1251="MA",5,(IF(E1251="PT",6,(IF(E1251="AE",1,(IF(E1251="CM",2,(IF(E1251="DP",3,(IF(E1251="AN",1,(IF(E1251="CO",2,(IF(E1251="IM",3,(IF(E1251="MI",4,(IF(E1251="RP",5,(IF(E1251="SC",6,0)))))))))))))))))))))))))))))))))))))))</f>
        <v>4</v>
      </c>
      <c r="G1251" s="170">
        <v>2</v>
      </c>
      <c r="H1251" s="38" t="s">
        <v>511</v>
      </c>
      <c r="I1251" s="105" t="s">
        <v>1449</v>
      </c>
      <c r="J1251" s="157" t="s">
        <v>2641</v>
      </c>
      <c r="K1251" s="34" t="s">
        <v>2642</v>
      </c>
      <c r="L1251" s="5">
        <f>IF(O1251="","",N1251*O1251*M1251)</f>
        <v>99</v>
      </c>
      <c r="M1251" s="8">
        <v>1</v>
      </c>
      <c r="N1251" s="1">
        <v>1</v>
      </c>
      <c r="O1251" s="15">
        <f>IF(SUM(Q1251:AF1251)&lt;1,"",SUM(Q1251:AF1251)/COUNTIF(Q1251:AF1251,"&gt;0"))</f>
        <v>99</v>
      </c>
      <c r="P1251" s="16"/>
      <c r="Q1251" s="13"/>
      <c r="T1251" s="4">
        <v>99</v>
      </c>
      <c r="U1251" s="2"/>
      <c r="V1251" s="2"/>
      <c r="W1251" s="2"/>
      <c r="X1251" s="2"/>
      <c r="Z1251" s="2"/>
      <c r="AA1251" s="2"/>
      <c r="AF1251" s="14"/>
    </row>
    <row r="1252" spans="1:32" s="4" customFormat="1" ht="15.75" customHeight="1" x14ac:dyDescent="0.25">
      <c r="A1252" s="33" t="str">
        <f>CONCATENATE(D1252,".",F1252,"-",G1252,".",H1252,"")</f>
        <v>2.4-2.1</v>
      </c>
      <c r="B1252" s="33"/>
      <c r="C1252" s="39" t="s">
        <v>262</v>
      </c>
      <c r="D1252" s="33">
        <f>IF(C1252="ID",1,(IF(C1252="PR",2,(IF(C1252="DE",3,(IF(C1252="RS",4,(IF(C1252="RC",5,0)))))))))</f>
        <v>2</v>
      </c>
      <c r="E1252" s="33" t="s">
        <v>344</v>
      </c>
      <c r="F1252" s="33">
        <f>IF(E1252="AM",1,(IF(E1252="BE",2,(IF(E1252="GV",3,(IF(E1252="RA",4,(IF(E1252="RM",5,(IF(E1252="AC",1,(IF(E1252="AT",2,(IF(E1252="DS",3,(IF(E1252="IP",4,(IF(E1252="MA",5,(IF(E1252="PT",6,(IF(E1252="AE",1,(IF(E1252="CM",2,(IF(E1252="DP",3,(IF(E1252="AN",1,(IF(E1252="CO",2,(IF(E1252="IM",3,(IF(E1252="MI",4,(IF(E1252="RP",5,(IF(E1252="SC",6,0)))))))))))))))))))))))))))))))))))))))</f>
        <v>4</v>
      </c>
      <c r="G1252" s="170">
        <v>2</v>
      </c>
      <c r="H1252" s="38" t="s">
        <v>511</v>
      </c>
      <c r="I1252" s="105" t="s">
        <v>1449</v>
      </c>
      <c r="J1252" s="157" t="s">
        <v>2643</v>
      </c>
      <c r="K1252" s="34" t="s">
        <v>2644</v>
      </c>
      <c r="L1252" s="5">
        <f>IF(O1252="","",N1252*O1252*M1252)</f>
        <v>99</v>
      </c>
      <c r="M1252" s="8">
        <v>1</v>
      </c>
      <c r="N1252" s="1">
        <v>1</v>
      </c>
      <c r="O1252" s="15">
        <f>IF(SUM(Q1252:AF1252)&lt;1,"",SUM(Q1252:AF1252)/COUNTIF(Q1252:AF1252,"&gt;0"))</f>
        <v>99</v>
      </c>
      <c r="P1252" s="16"/>
      <c r="Q1252" s="13"/>
      <c r="T1252" s="4">
        <v>99</v>
      </c>
      <c r="U1252" s="2"/>
      <c r="V1252" s="2"/>
      <c r="W1252" s="2"/>
      <c r="X1252" s="2"/>
      <c r="Z1252" s="2"/>
      <c r="AA1252" s="2"/>
      <c r="AF1252" s="14"/>
    </row>
    <row r="1253" spans="1:32" s="4" customFormat="1" ht="15.75" customHeight="1" x14ac:dyDescent="0.25">
      <c r="A1253" s="33" t="str">
        <f>CONCATENATE(D1253,".",F1253,"-",G1253,".",H1253,"")</f>
        <v>2.4-2.1</v>
      </c>
      <c r="B1253" s="33"/>
      <c r="C1253" s="39" t="s">
        <v>262</v>
      </c>
      <c r="D1253" s="33">
        <f>IF(C1253="ID",1,(IF(C1253="PR",2,(IF(C1253="DE",3,(IF(C1253="RS",4,(IF(C1253="RC",5,0)))))))))</f>
        <v>2</v>
      </c>
      <c r="E1253" s="33" t="s">
        <v>344</v>
      </c>
      <c r="F1253" s="33">
        <f>IF(E1253="AM",1,(IF(E1253="BE",2,(IF(E1253="GV",3,(IF(E1253="RA",4,(IF(E1253="RM",5,(IF(E1253="AC",1,(IF(E1253="AT",2,(IF(E1253="DS",3,(IF(E1253="IP",4,(IF(E1253="MA",5,(IF(E1253="PT",6,(IF(E1253="AE",1,(IF(E1253="CM",2,(IF(E1253="DP",3,(IF(E1253="AN",1,(IF(E1253="CO",2,(IF(E1253="IM",3,(IF(E1253="MI",4,(IF(E1253="RP",5,(IF(E1253="SC",6,0)))))))))))))))))))))))))))))))))))))))</f>
        <v>4</v>
      </c>
      <c r="G1253" s="170">
        <v>2</v>
      </c>
      <c r="H1253" s="38" t="s">
        <v>511</v>
      </c>
      <c r="I1253" s="105" t="s">
        <v>1449</v>
      </c>
      <c r="J1253" s="157" t="s">
        <v>2645</v>
      </c>
      <c r="K1253" s="34" t="s">
        <v>2646</v>
      </c>
      <c r="L1253" s="5">
        <f>IF(O1253="","",N1253*O1253*M1253)</f>
        <v>99</v>
      </c>
      <c r="M1253" s="8">
        <v>1</v>
      </c>
      <c r="N1253" s="1">
        <v>1</v>
      </c>
      <c r="O1253" s="15">
        <f>IF(SUM(Q1253:AF1253)&lt;1,"",SUM(Q1253:AF1253)/COUNTIF(Q1253:AF1253,"&gt;0"))</f>
        <v>99</v>
      </c>
      <c r="P1253" s="16"/>
      <c r="Q1253" s="13"/>
      <c r="T1253" s="4">
        <v>99</v>
      </c>
      <c r="U1253" s="2"/>
      <c r="V1253" s="2"/>
      <c r="W1253" s="2"/>
      <c r="X1253" s="2"/>
      <c r="Z1253" s="2"/>
      <c r="AA1253" s="2"/>
      <c r="AF1253" s="14"/>
    </row>
    <row r="1254" spans="1:32" s="4" customFormat="1" ht="15.75" customHeight="1" x14ac:dyDescent="0.25">
      <c r="A1254" s="33" t="str">
        <f>CONCATENATE(D1254,".",F1254,"-",G1254,".",H1254,"")</f>
        <v>2.4-2.1</v>
      </c>
      <c r="B1254" s="33"/>
      <c r="C1254" s="39" t="s">
        <v>262</v>
      </c>
      <c r="D1254" s="33">
        <f>IF(C1254="ID",1,(IF(C1254="PR",2,(IF(C1254="DE",3,(IF(C1254="RS",4,(IF(C1254="RC",5,0)))))))))</f>
        <v>2</v>
      </c>
      <c r="E1254" s="33" t="s">
        <v>344</v>
      </c>
      <c r="F1254" s="33">
        <f>IF(E1254="AM",1,(IF(E1254="BE",2,(IF(E1254="GV",3,(IF(E1254="RA",4,(IF(E1254="RM",5,(IF(E1254="AC",1,(IF(E1254="AT",2,(IF(E1254="DS",3,(IF(E1254="IP",4,(IF(E1254="MA",5,(IF(E1254="PT",6,(IF(E1254="AE",1,(IF(E1254="CM",2,(IF(E1254="DP",3,(IF(E1254="AN",1,(IF(E1254="CO",2,(IF(E1254="IM",3,(IF(E1254="MI",4,(IF(E1254="RP",5,(IF(E1254="SC",6,0)))))))))))))))))))))))))))))))))))))))</f>
        <v>4</v>
      </c>
      <c r="G1254" s="170">
        <v>2</v>
      </c>
      <c r="H1254" s="38" t="s">
        <v>511</v>
      </c>
      <c r="I1254" s="105" t="s">
        <v>1449</v>
      </c>
      <c r="J1254" s="157" t="s">
        <v>2647</v>
      </c>
      <c r="K1254" s="34" t="s">
        <v>2648</v>
      </c>
      <c r="L1254" s="5">
        <f>IF(O1254="","",N1254*O1254*M1254)</f>
        <v>99</v>
      </c>
      <c r="M1254" s="8">
        <v>1</v>
      </c>
      <c r="N1254" s="1">
        <v>1</v>
      </c>
      <c r="O1254" s="15">
        <f>IF(SUM(Q1254:AF1254)&lt;1,"",SUM(Q1254:AF1254)/COUNTIF(Q1254:AF1254,"&gt;0"))</f>
        <v>99</v>
      </c>
      <c r="P1254" s="16"/>
      <c r="Q1254" s="13"/>
      <c r="T1254" s="4">
        <v>99</v>
      </c>
      <c r="U1254" s="2"/>
      <c r="V1254" s="2"/>
      <c r="W1254" s="2"/>
      <c r="X1254" s="2"/>
      <c r="Z1254" s="2"/>
      <c r="AA1254" s="2"/>
      <c r="AF1254" s="14"/>
    </row>
    <row r="1255" spans="1:32" s="4" customFormat="1" ht="15.75" customHeight="1" x14ac:dyDescent="0.25">
      <c r="A1255" s="33" t="str">
        <f>CONCATENATE(D1255,".",F1255,"-",G1255,".",H1255,"")</f>
        <v>2.4-2.1</v>
      </c>
      <c r="B1255" s="33"/>
      <c r="C1255" s="39" t="s">
        <v>262</v>
      </c>
      <c r="D1255" s="33">
        <f>IF(C1255="ID",1,(IF(C1255="PR",2,(IF(C1255="DE",3,(IF(C1255="RS",4,(IF(C1255="RC",5,0)))))))))</f>
        <v>2</v>
      </c>
      <c r="E1255" s="33" t="s">
        <v>344</v>
      </c>
      <c r="F1255" s="33">
        <f>IF(E1255="AM",1,(IF(E1255="BE",2,(IF(E1255="GV",3,(IF(E1255="RA",4,(IF(E1255="RM",5,(IF(E1255="AC",1,(IF(E1255="AT",2,(IF(E1255="DS",3,(IF(E1255="IP",4,(IF(E1255="MA",5,(IF(E1255="PT",6,(IF(E1255="AE",1,(IF(E1255="CM",2,(IF(E1255="DP",3,(IF(E1255="AN",1,(IF(E1255="CO",2,(IF(E1255="IM",3,(IF(E1255="MI",4,(IF(E1255="RP",5,(IF(E1255="SC",6,0)))))))))))))))))))))))))))))))))))))))</f>
        <v>4</v>
      </c>
      <c r="G1255" s="170">
        <v>2</v>
      </c>
      <c r="H1255" s="38" t="s">
        <v>511</v>
      </c>
      <c r="I1255" s="105" t="s">
        <v>1449</v>
      </c>
      <c r="J1255" s="157" t="s">
        <v>2649</v>
      </c>
      <c r="K1255" s="34" t="s">
        <v>2650</v>
      </c>
      <c r="L1255" s="5">
        <f>IF(O1255="","",N1255*O1255*M1255)</f>
        <v>99</v>
      </c>
      <c r="M1255" s="8">
        <v>1</v>
      </c>
      <c r="N1255" s="1">
        <v>1</v>
      </c>
      <c r="O1255" s="15">
        <f>IF(SUM(Q1255:AF1255)&lt;1,"",SUM(Q1255:AF1255)/COUNTIF(Q1255:AF1255,"&gt;0"))</f>
        <v>99</v>
      </c>
      <c r="P1255" s="16"/>
      <c r="Q1255" s="13"/>
      <c r="T1255" s="4">
        <v>99</v>
      </c>
      <c r="U1255" s="2"/>
      <c r="V1255" s="2"/>
      <c r="W1255" s="2"/>
      <c r="X1255" s="2"/>
      <c r="Z1255" s="2"/>
      <c r="AA1255" s="2"/>
      <c r="AF1255" s="14"/>
    </row>
    <row r="1256" spans="1:32" s="4" customFormat="1" ht="15.75" customHeight="1" x14ac:dyDescent="0.25">
      <c r="A1256" s="33" t="str">
        <f>CONCATENATE(D1256,".",F1256,"-",G1256,".",H1256,"")</f>
        <v>2.4-2.1</v>
      </c>
      <c r="B1256" s="33"/>
      <c r="C1256" s="39" t="s">
        <v>262</v>
      </c>
      <c r="D1256" s="33">
        <f>IF(C1256="ID",1,(IF(C1256="PR",2,(IF(C1256="DE",3,(IF(C1256="RS",4,(IF(C1256="RC",5,0)))))))))</f>
        <v>2</v>
      </c>
      <c r="E1256" s="33" t="s">
        <v>344</v>
      </c>
      <c r="F1256" s="33">
        <f>IF(E1256="AM",1,(IF(E1256="BE",2,(IF(E1256="GV",3,(IF(E1256="RA",4,(IF(E1256="RM",5,(IF(E1256="AC",1,(IF(E1256="AT",2,(IF(E1256="DS",3,(IF(E1256="IP",4,(IF(E1256="MA",5,(IF(E1256="PT",6,(IF(E1256="AE",1,(IF(E1256="CM",2,(IF(E1256="DP",3,(IF(E1256="AN",1,(IF(E1256="CO",2,(IF(E1256="IM",3,(IF(E1256="MI",4,(IF(E1256="RP",5,(IF(E1256="SC",6,0)))))))))))))))))))))))))))))))))))))))</f>
        <v>4</v>
      </c>
      <c r="G1256" s="170">
        <v>2</v>
      </c>
      <c r="H1256" s="38" t="s">
        <v>511</v>
      </c>
      <c r="I1256" s="105" t="s">
        <v>1449</v>
      </c>
      <c r="J1256" s="157" t="s">
        <v>2651</v>
      </c>
      <c r="K1256" s="34" t="s">
        <v>2652</v>
      </c>
      <c r="L1256" s="5">
        <f>IF(O1256="","",N1256*O1256*M1256)</f>
        <v>99</v>
      </c>
      <c r="M1256" s="8">
        <v>1</v>
      </c>
      <c r="N1256" s="1">
        <v>1</v>
      </c>
      <c r="O1256" s="15">
        <f>IF(SUM(Q1256:AF1256)&lt;1,"",SUM(Q1256:AF1256)/COUNTIF(Q1256:AF1256,"&gt;0"))</f>
        <v>99</v>
      </c>
      <c r="P1256" s="16"/>
      <c r="Q1256" s="13"/>
      <c r="T1256" s="4">
        <v>99</v>
      </c>
      <c r="U1256" s="2"/>
      <c r="V1256" s="2"/>
      <c r="W1256" s="2"/>
      <c r="X1256" s="2"/>
      <c r="Z1256" s="2"/>
      <c r="AA1256" s="2"/>
      <c r="AF1256" s="14"/>
    </row>
    <row r="1257" spans="1:32" s="4" customFormat="1" ht="15.75" customHeight="1" x14ac:dyDescent="0.25">
      <c r="A1257" s="33" t="str">
        <f>CONCATENATE(D1257,".",F1257,"-",G1257,".",H1257,"")</f>
        <v>2.4-2.1</v>
      </c>
      <c r="B1257" s="33"/>
      <c r="C1257" s="39" t="s">
        <v>262</v>
      </c>
      <c r="D1257" s="33">
        <f>IF(C1257="ID",1,(IF(C1257="PR",2,(IF(C1257="DE",3,(IF(C1257="RS",4,(IF(C1257="RC",5,0)))))))))</f>
        <v>2</v>
      </c>
      <c r="E1257" s="33" t="s">
        <v>344</v>
      </c>
      <c r="F1257" s="33">
        <f>IF(E1257="AM",1,(IF(E1257="BE",2,(IF(E1257="GV",3,(IF(E1257="RA",4,(IF(E1257="RM",5,(IF(E1257="AC",1,(IF(E1257="AT",2,(IF(E1257="DS",3,(IF(E1257="IP",4,(IF(E1257="MA",5,(IF(E1257="PT",6,(IF(E1257="AE",1,(IF(E1257="CM",2,(IF(E1257="DP",3,(IF(E1257="AN",1,(IF(E1257="CO",2,(IF(E1257="IM",3,(IF(E1257="MI",4,(IF(E1257="RP",5,(IF(E1257="SC",6,0)))))))))))))))))))))))))))))))))))))))</f>
        <v>4</v>
      </c>
      <c r="G1257" s="170">
        <v>2</v>
      </c>
      <c r="H1257" s="38" t="s">
        <v>511</v>
      </c>
      <c r="I1257" s="105" t="s">
        <v>1449</v>
      </c>
      <c r="J1257" s="157" t="s">
        <v>2653</v>
      </c>
      <c r="K1257" s="34" t="s">
        <v>2654</v>
      </c>
      <c r="L1257" s="5">
        <f>IF(O1257="","",N1257*O1257*M1257)</f>
        <v>99</v>
      </c>
      <c r="M1257" s="8">
        <v>1</v>
      </c>
      <c r="N1257" s="1">
        <v>1</v>
      </c>
      <c r="O1257" s="15">
        <f>IF(SUM(Q1257:AF1257)&lt;1,"",SUM(Q1257:AF1257)/COUNTIF(Q1257:AF1257,"&gt;0"))</f>
        <v>99</v>
      </c>
      <c r="P1257" s="16"/>
      <c r="Q1257" s="13"/>
      <c r="T1257" s="4">
        <v>99</v>
      </c>
      <c r="U1257" s="2"/>
      <c r="V1257" s="2"/>
      <c r="W1257" s="2"/>
      <c r="X1257" s="2"/>
      <c r="Z1257" s="2"/>
      <c r="AA1257" s="2"/>
      <c r="AF1257" s="14"/>
    </row>
    <row r="1258" spans="1:32" s="4" customFormat="1" ht="15.75" customHeight="1" x14ac:dyDescent="0.25">
      <c r="A1258" s="33" t="str">
        <f>CONCATENATE(D1258,".",F1258,"-",G1258,".",H1258,"")</f>
        <v>2.4-2.1</v>
      </c>
      <c r="B1258" s="33"/>
      <c r="C1258" s="39" t="s">
        <v>262</v>
      </c>
      <c r="D1258" s="33">
        <f>IF(C1258="ID",1,(IF(C1258="PR",2,(IF(C1258="DE",3,(IF(C1258="RS",4,(IF(C1258="RC",5,0)))))))))</f>
        <v>2</v>
      </c>
      <c r="E1258" s="33" t="s">
        <v>344</v>
      </c>
      <c r="F1258" s="33">
        <f>IF(E1258="AM",1,(IF(E1258="BE",2,(IF(E1258="GV",3,(IF(E1258="RA",4,(IF(E1258="RM",5,(IF(E1258="AC",1,(IF(E1258="AT",2,(IF(E1258="DS",3,(IF(E1258="IP",4,(IF(E1258="MA",5,(IF(E1258="PT",6,(IF(E1258="AE",1,(IF(E1258="CM",2,(IF(E1258="DP",3,(IF(E1258="AN",1,(IF(E1258="CO",2,(IF(E1258="IM",3,(IF(E1258="MI",4,(IF(E1258="RP",5,(IF(E1258="SC",6,0)))))))))))))))))))))))))))))))))))))))</f>
        <v>4</v>
      </c>
      <c r="G1258" s="170">
        <v>2</v>
      </c>
      <c r="H1258" s="38" t="s">
        <v>511</v>
      </c>
      <c r="I1258" s="105" t="s">
        <v>1449</v>
      </c>
      <c r="J1258" s="157" t="s">
        <v>2655</v>
      </c>
      <c r="K1258" s="34" t="s">
        <v>2656</v>
      </c>
      <c r="L1258" s="5">
        <f>IF(O1258="","",N1258*O1258*M1258)</f>
        <v>99</v>
      </c>
      <c r="M1258" s="8">
        <v>1</v>
      </c>
      <c r="N1258" s="1">
        <v>1</v>
      </c>
      <c r="O1258" s="15">
        <f>IF(SUM(Q1258:AF1258)&lt;1,"",SUM(Q1258:AF1258)/COUNTIF(Q1258:AF1258,"&gt;0"))</f>
        <v>99</v>
      </c>
      <c r="P1258" s="16"/>
      <c r="Q1258" s="13"/>
      <c r="T1258" s="4">
        <v>99</v>
      </c>
      <c r="U1258" s="2"/>
      <c r="V1258" s="2"/>
      <c r="W1258" s="2"/>
      <c r="X1258" s="2"/>
      <c r="Z1258" s="2"/>
      <c r="AA1258" s="2"/>
      <c r="AF1258" s="14"/>
    </row>
    <row r="1259" spans="1:32" s="4" customFormat="1" ht="15.75" customHeight="1" x14ac:dyDescent="0.25">
      <c r="A1259" s="33" t="str">
        <f>CONCATENATE(D1259,".",F1259,"-",G1259,".",H1259,"")</f>
        <v>2.4-2.1</v>
      </c>
      <c r="B1259" s="33"/>
      <c r="C1259" s="39" t="s">
        <v>262</v>
      </c>
      <c r="D1259" s="33">
        <f>IF(C1259="ID",1,(IF(C1259="PR",2,(IF(C1259="DE",3,(IF(C1259="RS",4,(IF(C1259="RC",5,0)))))))))</f>
        <v>2</v>
      </c>
      <c r="E1259" s="33" t="s">
        <v>344</v>
      </c>
      <c r="F1259" s="33">
        <f>IF(E1259="AM",1,(IF(E1259="BE",2,(IF(E1259="GV",3,(IF(E1259="RA",4,(IF(E1259="RM",5,(IF(E1259="AC",1,(IF(E1259="AT",2,(IF(E1259="DS",3,(IF(E1259="IP",4,(IF(E1259="MA",5,(IF(E1259="PT",6,(IF(E1259="AE",1,(IF(E1259="CM",2,(IF(E1259="DP",3,(IF(E1259="AN",1,(IF(E1259="CO",2,(IF(E1259="IM",3,(IF(E1259="MI",4,(IF(E1259="RP",5,(IF(E1259="SC",6,0)))))))))))))))))))))))))))))))))))))))</f>
        <v>4</v>
      </c>
      <c r="G1259" s="170">
        <v>2</v>
      </c>
      <c r="H1259" s="38" t="s">
        <v>511</v>
      </c>
      <c r="I1259" s="105" t="s">
        <v>1449</v>
      </c>
      <c r="J1259" s="157" t="s">
        <v>2659</v>
      </c>
      <c r="K1259" s="34" t="s">
        <v>2660</v>
      </c>
      <c r="L1259" s="5">
        <f>IF(O1259="","",N1259*O1259*M1259)</f>
        <v>99</v>
      </c>
      <c r="M1259" s="8">
        <v>1</v>
      </c>
      <c r="N1259" s="1">
        <v>1</v>
      </c>
      <c r="O1259" s="15">
        <f>IF(SUM(Q1259:AF1259)&lt;1,"",SUM(Q1259:AF1259)/COUNTIF(Q1259:AF1259,"&gt;0"))</f>
        <v>99</v>
      </c>
      <c r="P1259" s="16"/>
      <c r="Q1259" s="13"/>
      <c r="T1259" s="4">
        <v>99</v>
      </c>
      <c r="U1259" s="2"/>
      <c r="V1259" s="2"/>
      <c r="W1259" s="2"/>
      <c r="X1259" s="2"/>
      <c r="Z1259" s="2"/>
      <c r="AA1259" s="2"/>
      <c r="AF1259" s="14"/>
    </row>
    <row r="1260" spans="1:32" s="4" customFormat="1" ht="15.75" customHeight="1" x14ac:dyDescent="0.25">
      <c r="A1260" s="33" t="str">
        <f>CONCATENATE(D1260,".",F1260,"-",G1260,".",H1260,"")</f>
        <v>2.4-2.1</v>
      </c>
      <c r="B1260" s="33"/>
      <c r="C1260" s="39" t="s">
        <v>262</v>
      </c>
      <c r="D1260" s="33">
        <f>IF(C1260="ID",1,(IF(C1260="PR",2,(IF(C1260="DE",3,(IF(C1260="RS",4,(IF(C1260="RC",5,0)))))))))</f>
        <v>2</v>
      </c>
      <c r="E1260" s="33" t="s">
        <v>344</v>
      </c>
      <c r="F1260" s="33">
        <f>IF(E1260="AM",1,(IF(E1260="BE",2,(IF(E1260="GV",3,(IF(E1260="RA",4,(IF(E1260="RM",5,(IF(E1260="AC",1,(IF(E1260="AT",2,(IF(E1260="DS",3,(IF(E1260="IP",4,(IF(E1260="MA",5,(IF(E1260="PT",6,(IF(E1260="AE",1,(IF(E1260="CM",2,(IF(E1260="DP",3,(IF(E1260="AN",1,(IF(E1260="CO",2,(IF(E1260="IM",3,(IF(E1260="MI",4,(IF(E1260="RP",5,(IF(E1260="SC",6,0)))))))))))))))))))))))))))))))))))))))</f>
        <v>4</v>
      </c>
      <c r="G1260" s="170">
        <v>2</v>
      </c>
      <c r="H1260" s="38" t="s">
        <v>511</v>
      </c>
      <c r="I1260" s="105" t="s">
        <v>1449</v>
      </c>
      <c r="J1260" s="157" t="s">
        <v>2661</v>
      </c>
      <c r="K1260" s="34" t="s">
        <v>2662</v>
      </c>
      <c r="L1260" s="5">
        <f>IF(O1260="","",N1260*O1260*M1260)</f>
        <v>99</v>
      </c>
      <c r="M1260" s="8">
        <v>1</v>
      </c>
      <c r="N1260" s="1">
        <v>1</v>
      </c>
      <c r="O1260" s="15">
        <f>IF(SUM(Q1260:AF1260)&lt;1,"",SUM(Q1260:AF1260)/COUNTIF(Q1260:AF1260,"&gt;0"))</f>
        <v>99</v>
      </c>
      <c r="P1260" s="16"/>
      <c r="Q1260" s="13"/>
      <c r="T1260" s="4">
        <v>99</v>
      </c>
      <c r="U1260" s="2"/>
      <c r="V1260" s="2"/>
      <c r="W1260" s="2"/>
      <c r="X1260" s="2"/>
      <c r="Z1260" s="2"/>
      <c r="AA1260" s="2"/>
      <c r="AF1260" s="14"/>
    </row>
    <row r="1261" spans="1:32" s="4" customFormat="1" ht="15.75" customHeight="1" x14ac:dyDescent="0.25">
      <c r="A1261" s="33" t="str">
        <f>CONCATENATE(D1261,".",F1261,"-",G1261,".",H1261,"")</f>
        <v>2.4-2.1</v>
      </c>
      <c r="B1261" s="33"/>
      <c r="C1261" s="39" t="s">
        <v>262</v>
      </c>
      <c r="D1261" s="33">
        <f>IF(C1261="ID",1,(IF(C1261="PR",2,(IF(C1261="DE",3,(IF(C1261="RS",4,(IF(C1261="RC",5,0)))))))))</f>
        <v>2</v>
      </c>
      <c r="E1261" s="33" t="s">
        <v>344</v>
      </c>
      <c r="F1261" s="33">
        <f>IF(E1261="AM",1,(IF(E1261="BE",2,(IF(E1261="GV",3,(IF(E1261="RA",4,(IF(E1261="RM",5,(IF(E1261="AC",1,(IF(E1261="AT",2,(IF(E1261="DS",3,(IF(E1261="IP",4,(IF(E1261="MA",5,(IF(E1261="PT",6,(IF(E1261="AE",1,(IF(E1261="CM",2,(IF(E1261="DP",3,(IF(E1261="AN",1,(IF(E1261="CO",2,(IF(E1261="IM",3,(IF(E1261="MI",4,(IF(E1261="RP",5,(IF(E1261="SC",6,0)))))))))))))))))))))))))))))))))))))))</f>
        <v>4</v>
      </c>
      <c r="G1261" s="170">
        <v>2</v>
      </c>
      <c r="H1261" s="38" t="s">
        <v>511</v>
      </c>
      <c r="I1261" s="105" t="s">
        <v>1449</v>
      </c>
      <c r="J1261" s="157" t="s">
        <v>2663</v>
      </c>
      <c r="K1261" s="34" t="s">
        <v>2664</v>
      </c>
      <c r="L1261" s="5">
        <f>IF(O1261="","",N1261*O1261*M1261)</f>
        <v>99</v>
      </c>
      <c r="M1261" s="8">
        <v>1</v>
      </c>
      <c r="N1261" s="1">
        <v>1</v>
      </c>
      <c r="O1261" s="15">
        <f>IF(SUM(Q1261:AF1261)&lt;1,"",SUM(Q1261:AF1261)/COUNTIF(Q1261:AF1261,"&gt;0"))</f>
        <v>99</v>
      </c>
      <c r="P1261" s="16"/>
      <c r="Q1261" s="13"/>
      <c r="T1261" s="4">
        <v>99</v>
      </c>
      <c r="U1261" s="2"/>
      <c r="V1261" s="2"/>
      <c r="W1261" s="2"/>
      <c r="X1261" s="2"/>
      <c r="Z1261" s="2"/>
      <c r="AA1261" s="2"/>
      <c r="AF1261" s="14"/>
    </row>
    <row r="1262" spans="1:32" s="4" customFormat="1" ht="15.75" customHeight="1" x14ac:dyDescent="0.25">
      <c r="A1262" s="33" t="str">
        <f>CONCATENATE(D1262,".",F1262,"-",G1262,".",H1262,"")</f>
        <v>2.4-2.1</v>
      </c>
      <c r="B1262" s="33"/>
      <c r="C1262" s="39" t="s">
        <v>262</v>
      </c>
      <c r="D1262" s="33">
        <f>IF(C1262="ID",1,(IF(C1262="PR",2,(IF(C1262="DE",3,(IF(C1262="RS",4,(IF(C1262="RC",5,0)))))))))</f>
        <v>2</v>
      </c>
      <c r="E1262" s="33" t="s">
        <v>344</v>
      </c>
      <c r="F1262" s="33">
        <f>IF(E1262="AM",1,(IF(E1262="BE",2,(IF(E1262="GV",3,(IF(E1262="RA",4,(IF(E1262="RM",5,(IF(E1262="AC",1,(IF(E1262="AT",2,(IF(E1262="DS",3,(IF(E1262="IP",4,(IF(E1262="MA",5,(IF(E1262="PT",6,(IF(E1262="AE",1,(IF(E1262="CM",2,(IF(E1262="DP",3,(IF(E1262="AN",1,(IF(E1262="CO",2,(IF(E1262="IM",3,(IF(E1262="MI",4,(IF(E1262="RP",5,(IF(E1262="SC",6,0)))))))))))))))))))))))))))))))))))))))</f>
        <v>4</v>
      </c>
      <c r="G1262" s="170">
        <v>2</v>
      </c>
      <c r="H1262" s="38" t="s">
        <v>511</v>
      </c>
      <c r="I1262" s="105" t="s">
        <v>1449</v>
      </c>
      <c r="J1262" s="157" t="s">
        <v>2665</v>
      </c>
      <c r="K1262" s="34" t="s">
        <v>2666</v>
      </c>
      <c r="L1262" s="5">
        <f>IF(O1262="","",N1262*O1262*M1262)</f>
        <v>99</v>
      </c>
      <c r="M1262" s="8">
        <v>1</v>
      </c>
      <c r="N1262" s="1">
        <v>1</v>
      </c>
      <c r="O1262" s="15">
        <f>IF(SUM(Q1262:AF1262)&lt;1,"",SUM(Q1262:AF1262)/COUNTIF(Q1262:AF1262,"&gt;0"))</f>
        <v>99</v>
      </c>
      <c r="P1262" s="16"/>
      <c r="Q1262" s="13"/>
      <c r="T1262" s="4">
        <v>99</v>
      </c>
      <c r="U1262" s="2"/>
      <c r="V1262" s="2"/>
      <c r="W1262" s="2"/>
      <c r="X1262" s="2"/>
      <c r="Z1262" s="2"/>
      <c r="AA1262" s="2"/>
      <c r="AF1262" s="14"/>
    </row>
    <row r="1263" spans="1:32" s="4" customFormat="1" ht="15.75" customHeight="1" x14ac:dyDescent="0.25">
      <c r="A1263" s="33" t="str">
        <f>CONCATENATE(D1263,".",F1263,"-",G1263,".",H1263,"")</f>
        <v>2.4-2.1</v>
      </c>
      <c r="B1263" s="33"/>
      <c r="C1263" s="39" t="s">
        <v>262</v>
      </c>
      <c r="D1263" s="33">
        <f>IF(C1263="ID",1,(IF(C1263="PR",2,(IF(C1263="DE",3,(IF(C1263="RS",4,(IF(C1263="RC",5,0)))))))))</f>
        <v>2</v>
      </c>
      <c r="E1263" s="33" t="s">
        <v>344</v>
      </c>
      <c r="F1263" s="33">
        <f>IF(E1263="AM",1,(IF(E1263="BE",2,(IF(E1263="GV",3,(IF(E1263="RA",4,(IF(E1263="RM",5,(IF(E1263="AC",1,(IF(E1263="AT",2,(IF(E1263="DS",3,(IF(E1263="IP",4,(IF(E1263="MA",5,(IF(E1263="PT",6,(IF(E1263="AE",1,(IF(E1263="CM",2,(IF(E1263="DP",3,(IF(E1263="AN",1,(IF(E1263="CO",2,(IF(E1263="IM",3,(IF(E1263="MI",4,(IF(E1263="RP",5,(IF(E1263="SC",6,0)))))))))))))))))))))))))))))))))))))))</f>
        <v>4</v>
      </c>
      <c r="G1263" s="170">
        <v>2</v>
      </c>
      <c r="H1263" s="38" t="s">
        <v>511</v>
      </c>
      <c r="I1263" s="105" t="s">
        <v>1449</v>
      </c>
      <c r="J1263" s="157" t="s">
        <v>2667</v>
      </c>
      <c r="K1263" s="34" t="s">
        <v>2668</v>
      </c>
      <c r="L1263" s="5">
        <f>IF(O1263="","",N1263*O1263*M1263)</f>
        <v>99</v>
      </c>
      <c r="M1263" s="8">
        <v>1</v>
      </c>
      <c r="N1263" s="1">
        <v>1</v>
      </c>
      <c r="O1263" s="15">
        <f>IF(SUM(Q1263:AF1263)&lt;1,"",SUM(Q1263:AF1263)/COUNTIF(Q1263:AF1263,"&gt;0"))</f>
        <v>99</v>
      </c>
      <c r="P1263" s="16"/>
      <c r="Q1263" s="13"/>
      <c r="T1263" s="4">
        <v>99</v>
      </c>
      <c r="U1263" s="2"/>
      <c r="V1263" s="2"/>
      <c r="W1263" s="2"/>
      <c r="X1263" s="2"/>
      <c r="Z1263" s="2"/>
      <c r="AA1263" s="2"/>
      <c r="AF1263" s="14"/>
    </row>
    <row r="1264" spans="1:32" s="4" customFormat="1" ht="15.75" customHeight="1" x14ac:dyDescent="0.25">
      <c r="A1264" s="33" t="str">
        <f>CONCATENATE(D1264,".",F1264,"-",G1264,".",H1264,"")</f>
        <v>2.4-2.1</v>
      </c>
      <c r="B1264" s="33"/>
      <c r="C1264" s="39" t="s">
        <v>262</v>
      </c>
      <c r="D1264" s="33">
        <f>IF(C1264="ID",1,(IF(C1264="PR",2,(IF(C1264="DE",3,(IF(C1264="RS",4,(IF(C1264="RC",5,0)))))))))</f>
        <v>2</v>
      </c>
      <c r="E1264" s="33" t="s">
        <v>344</v>
      </c>
      <c r="F1264" s="33">
        <f>IF(E1264="AM",1,(IF(E1264="BE",2,(IF(E1264="GV",3,(IF(E1264="RA",4,(IF(E1264="RM",5,(IF(E1264="AC",1,(IF(E1264="AT",2,(IF(E1264="DS",3,(IF(E1264="IP",4,(IF(E1264="MA",5,(IF(E1264="PT",6,(IF(E1264="AE",1,(IF(E1264="CM",2,(IF(E1264="DP",3,(IF(E1264="AN",1,(IF(E1264="CO",2,(IF(E1264="IM",3,(IF(E1264="MI",4,(IF(E1264="RP",5,(IF(E1264="SC",6,0)))))))))))))))))))))))))))))))))))))))</f>
        <v>4</v>
      </c>
      <c r="G1264" s="170">
        <v>2</v>
      </c>
      <c r="H1264" s="38" t="s">
        <v>511</v>
      </c>
      <c r="I1264" s="105" t="s">
        <v>1449</v>
      </c>
      <c r="J1264" s="157" t="s">
        <v>2669</v>
      </c>
      <c r="K1264" s="34" t="s">
        <v>2670</v>
      </c>
      <c r="L1264" s="5">
        <f>IF(O1264="","",N1264*O1264*M1264)</f>
        <v>99</v>
      </c>
      <c r="M1264" s="8">
        <v>1</v>
      </c>
      <c r="N1264" s="1">
        <v>1</v>
      </c>
      <c r="O1264" s="15">
        <f>IF(SUM(Q1264:AF1264)&lt;1,"",SUM(Q1264:AF1264)/COUNTIF(Q1264:AF1264,"&gt;0"))</f>
        <v>99</v>
      </c>
      <c r="P1264" s="16"/>
      <c r="Q1264" s="13"/>
      <c r="T1264" s="4">
        <v>99</v>
      </c>
      <c r="U1264" s="2"/>
      <c r="V1264" s="2"/>
      <c r="W1264" s="2"/>
      <c r="X1264" s="2"/>
      <c r="Z1264" s="2"/>
      <c r="AA1264" s="2"/>
      <c r="AF1264" s="14"/>
    </row>
    <row r="1265" spans="1:32" s="4" customFormat="1" ht="15.75" customHeight="1" x14ac:dyDescent="0.25">
      <c r="A1265" s="33" t="str">
        <f>CONCATENATE(D1265,".",F1265,"-",G1265,".",H1265,"")</f>
        <v>2.4-2.1</v>
      </c>
      <c r="B1265" s="33"/>
      <c r="C1265" s="39" t="s">
        <v>262</v>
      </c>
      <c r="D1265" s="33">
        <f>IF(C1265="ID",1,(IF(C1265="PR",2,(IF(C1265="DE",3,(IF(C1265="RS",4,(IF(C1265="RC",5,0)))))))))</f>
        <v>2</v>
      </c>
      <c r="E1265" s="33" t="s">
        <v>344</v>
      </c>
      <c r="F1265" s="33">
        <f>IF(E1265="AM",1,(IF(E1265="BE",2,(IF(E1265="GV",3,(IF(E1265="RA",4,(IF(E1265="RM",5,(IF(E1265="AC",1,(IF(E1265="AT",2,(IF(E1265="DS",3,(IF(E1265="IP",4,(IF(E1265="MA",5,(IF(E1265="PT",6,(IF(E1265="AE",1,(IF(E1265="CM",2,(IF(E1265="DP",3,(IF(E1265="AN",1,(IF(E1265="CO",2,(IF(E1265="IM",3,(IF(E1265="MI",4,(IF(E1265="RP",5,(IF(E1265="SC",6,0)))))))))))))))))))))))))))))))))))))))</f>
        <v>4</v>
      </c>
      <c r="G1265" s="170">
        <v>2</v>
      </c>
      <c r="H1265" s="38" t="s">
        <v>511</v>
      </c>
      <c r="I1265" s="105" t="s">
        <v>1449</v>
      </c>
      <c r="J1265" s="157" t="s">
        <v>2671</v>
      </c>
      <c r="K1265" s="34" t="s">
        <v>2672</v>
      </c>
      <c r="L1265" s="5">
        <f>IF(O1265="","",N1265*O1265*M1265)</f>
        <v>99</v>
      </c>
      <c r="M1265" s="8">
        <v>1</v>
      </c>
      <c r="N1265" s="1">
        <v>1</v>
      </c>
      <c r="O1265" s="15">
        <f>IF(SUM(Q1265:AF1265)&lt;1,"",SUM(Q1265:AF1265)/COUNTIF(Q1265:AF1265,"&gt;0"))</f>
        <v>99</v>
      </c>
      <c r="P1265" s="16"/>
      <c r="Q1265" s="13"/>
      <c r="T1265" s="4">
        <v>99</v>
      </c>
      <c r="U1265" s="2"/>
      <c r="V1265" s="2"/>
      <c r="W1265" s="2"/>
      <c r="X1265" s="2"/>
      <c r="Z1265" s="2"/>
      <c r="AA1265" s="2"/>
      <c r="AF1265" s="14"/>
    </row>
    <row r="1266" spans="1:32" s="4" customFormat="1" ht="15.75" customHeight="1" x14ac:dyDescent="0.25">
      <c r="A1266" s="33" t="str">
        <f>CONCATENATE(D1266,".",F1266,"-",G1266,".",H1266,"")</f>
        <v>2.4-2.1</v>
      </c>
      <c r="B1266" s="33"/>
      <c r="C1266" s="39" t="s">
        <v>262</v>
      </c>
      <c r="D1266" s="33">
        <f>IF(C1266="ID",1,(IF(C1266="PR",2,(IF(C1266="DE",3,(IF(C1266="RS",4,(IF(C1266="RC",5,0)))))))))</f>
        <v>2</v>
      </c>
      <c r="E1266" s="33" t="s">
        <v>344</v>
      </c>
      <c r="F1266" s="33">
        <f>IF(E1266="AM",1,(IF(E1266="BE",2,(IF(E1266="GV",3,(IF(E1266="RA",4,(IF(E1266="RM",5,(IF(E1266="AC",1,(IF(E1266="AT",2,(IF(E1266="DS",3,(IF(E1266="IP",4,(IF(E1266="MA",5,(IF(E1266="PT",6,(IF(E1266="AE",1,(IF(E1266="CM",2,(IF(E1266="DP",3,(IF(E1266="AN",1,(IF(E1266="CO",2,(IF(E1266="IM",3,(IF(E1266="MI",4,(IF(E1266="RP",5,(IF(E1266="SC",6,0)))))))))))))))))))))))))))))))))))))))</f>
        <v>4</v>
      </c>
      <c r="G1266" s="170">
        <v>2</v>
      </c>
      <c r="H1266" s="38" t="s">
        <v>511</v>
      </c>
      <c r="I1266" s="105" t="s">
        <v>1449</v>
      </c>
      <c r="J1266" s="157" t="s">
        <v>2673</v>
      </c>
      <c r="K1266" s="34" t="s">
        <v>2674</v>
      </c>
      <c r="L1266" s="5">
        <f>IF(O1266="","",N1266*O1266*M1266)</f>
        <v>99</v>
      </c>
      <c r="M1266" s="8">
        <v>1</v>
      </c>
      <c r="N1266" s="1">
        <v>1</v>
      </c>
      <c r="O1266" s="15">
        <f>IF(SUM(Q1266:AF1266)&lt;1,"",SUM(Q1266:AF1266)/COUNTIF(Q1266:AF1266,"&gt;0"))</f>
        <v>99</v>
      </c>
      <c r="P1266" s="16"/>
      <c r="Q1266" s="13"/>
      <c r="T1266" s="4">
        <v>99</v>
      </c>
      <c r="U1266" s="2"/>
      <c r="V1266" s="2"/>
      <c r="W1266" s="2"/>
      <c r="X1266" s="2"/>
      <c r="Z1266" s="2"/>
      <c r="AA1266" s="2"/>
      <c r="AF1266" s="14"/>
    </row>
    <row r="1267" spans="1:32" s="4" customFormat="1" ht="15.75" customHeight="1" x14ac:dyDescent="0.25">
      <c r="A1267" s="33" t="str">
        <f>CONCATENATE(D1267,".",F1267,"-",G1267,".",H1267,"")</f>
        <v>2.4-2.1</v>
      </c>
      <c r="B1267" s="33"/>
      <c r="C1267" s="39" t="s">
        <v>262</v>
      </c>
      <c r="D1267" s="33">
        <f>IF(C1267="ID",1,(IF(C1267="PR",2,(IF(C1267="DE",3,(IF(C1267="RS",4,(IF(C1267="RC",5,0)))))))))</f>
        <v>2</v>
      </c>
      <c r="E1267" s="33" t="s">
        <v>344</v>
      </c>
      <c r="F1267" s="33">
        <f>IF(E1267="AM",1,(IF(E1267="BE",2,(IF(E1267="GV",3,(IF(E1267="RA",4,(IF(E1267="RM",5,(IF(E1267="AC",1,(IF(E1267="AT",2,(IF(E1267="DS",3,(IF(E1267="IP",4,(IF(E1267="MA",5,(IF(E1267="PT",6,(IF(E1267="AE",1,(IF(E1267="CM",2,(IF(E1267="DP",3,(IF(E1267="AN",1,(IF(E1267="CO",2,(IF(E1267="IM",3,(IF(E1267="MI",4,(IF(E1267="RP",5,(IF(E1267="SC",6,0)))))))))))))))))))))))))))))))))))))))</f>
        <v>4</v>
      </c>
      <c r="G1267" s="170">
        <v>2</v>
      </c>
      <c r="H1267" s="38" t="s">
        <v>511</v>
      </c>
      <c r="I1267" s="105" t="s">
        <v>1449</v>
      </c>
      <c r="J1267" s="157" t="s">
        <v>2677</v>
      </c>
      <c r="K1267" s="34" t="s">
        <v>2678</v>
      </c>
      <c r="L1267" s="5">
        <f>IF(O1267="","",N1267*O1267*M1267)</f>
        <v>99</v>
      </c>
      <c r="M1267" s="8">
        <v>1</v>
      </c>
      <c r="N1267" s="1">
        <v>1</v>
      </c>
      <c r="O1267" s="15">
        <f>IF(SUM(Q1267:AF1267)&lt;1,"",SUM(Q1267:AF1267)/COUNTIF(Q1267:AF1267,"&gt;0"))</f>
        <v>99</v>
      </c>
      <c r="P1267" s="16"/>
      <c r="Q1267" s="13"/>
      <c r="T1267" s="4">
        <v>99</v>
      </c>
      <c r="U1267" s="2"/>
      <c r="V1267" s="2"/>
      <c r="W1267" s="2"/>
      <c r="X1267" s="2"/>
      <c r="Z1267" s="2"/>
      <c r="AA1267" s="2"/>
      <c r="AF1267" s="14"/>
    </row>
    <row r="1268" spans="1:32" s="4" customFormat="1" ht="15.75" customHeight="1" x14ac:dyDescent="0.25">
      <c r="A1268" s="33" t="str">
        <f>CONCATENATE(D1268,".",F1268,"-",G1268,".",H1268,"")</f>
        <v>2.4-2.1</v>
      </c>
      <c r="B1268" s="33"/>
      <c r="C1268" s="39" t="s">
        <v>262</v>
      </c>
      <c r="D1268" s="33">
        <f>IF(C1268="ID",1,(IF(C1268="PR",2,(IF(C1268="DE",3,(IF(C1268="RS",4,(IF(C1268="RC",5,0)))))))))</f>
        <v>2</v>
      </c>
      <c r="E1268" s="33" t="s">
        <v>344</v>
      </c>
      <c r="F1268" s="33">
        <f>IF(E1268="AM",1,(IF(E1268="BE",2,(IF(E1268="GV",3,(IF(E1268="RA",4,(IF(E1268="RM",5,(IF(E1268="AC",1,(IF(E1268="AT",2,(IF(E1268="DS",3,(IF(E1268="IP",4,(IF(E1268="MA",5,(IF(E1268="PT",6,(IF(E1268="AE",1,(IF(E1268="CM",2,(IF(E1268="DP",3,(IF(E1268="AN",1,(IF(E1268="CO",2,(IF(E1268="IM",3,(IF(E1268="MI",4,(IF(E1268="RP",5,(IF(E1268="SC",6,0)))))))))))))))))))))))))))))))))))))))</f>
        <v>4</v>
      </c>
      <c r="G1268" s="170">
        <v>2</v>
      </c>
      <c r="H1268" s="38" t="s">
        <v>511</v>
      </c>
      <c r="I1268" s="105" t="s">
        <v>1449</v>
      </c>
      <c r="J1268" s="157" t="s">
        <v>2699</v>
      </c>
      <c r="K1268" s="34" t="s">
        <v>2700</v>
      </c>
      <c r="L1268" s="5">
        <f>IF(O1268="","",N1268*O1268*M1268)</f>
        <v>99</v>
      </c>
      <c r="M1268" s="8">
        <v>1</v>
      </c>
      <c r="N1268" s="1">
        <v>1</v>
      </c>
      <c r="O1268" s="15">
        <f>IF(SUM(Q1268:AF1268)&lt;1,"",SUM(Q1268:AF1268)/COUNTIF(Q1268:AF1268,"&gt;0"))</f>
        <v>99</v>
      </c>
      <c r="P1268" s="16"/>
      <c r="Q1268" s="13"/>
      <c r="T1268" s="4">
        <v>99</v>
      </c>
      <c r="U1268" s="2"/>
      <c r="V1268" s="2"/>
      <c r="W1268" s="2"/>
      <c r="X1268" s="2"/>
      <c r="Z1268" s="2"/>
      <c r="AA1268" s="2"/>
      <c r="AF1268" s="14"/>
    </row>
    <row r="1269" spans="1:32" s="4" customFormat="1" ht="15.75" customHeight="1" x14ac:dyDescent="0.25">
      <c r="A1269" s="33" t="str">
        <f>CONCATENATE(D1269,".",F1269,"-",G1269,".",H1269,"")</f>
        <v>2.4-2.1</v>
      </c>
      <c r="B1269" s="33"/>
      <c r="C1269" s="39" t="s">
        <v>262</v>
      </c>
      <c r="D1269" s="33">
        <f>IF(C1269="ID",1,(IF(C1269="PR",2,(IF(C1269="DE",3,(IF(C1269="RS",4,(IF(C1269="RC",5,0)))))))))</f>
        <v>2</v>
      </c>
      <c r="E1269" s="33" t="s">
        <v>344</v>
      </c>
      <c r="F1269" s="33">
        <f>IF(E1269="AM",1,(IF(E1269="BE",2,(IF(E1269="GV",3,(IF(E1269="RA",4,(IF(E1269="RM",5,(IF(E1269="AC",1,(IF(E1269="AT",2,(IF(E1269="DS",3,(IF(E1269="IP",4,(IF(E1269="MA",5,(IF(E1269="PT",6,(IF(E1269="AE",1,(IF(E1269="CM",2,(IF(E1269="DP",3,(IF(E1269="AN",1,(IF(E1269="CO",2,(IF(E1269="IM",3,(IF(E1269="MI",4,(IF(E1269="RP",5,(IF(E1269="SC",6,0)))))))))))))))))))))))))))))))))))))))</f>
        <v>4</v>
      </c>
      <c r="G1269" s="170">
        <v>2</v>
      </c>
      <c r="H1269" s="38" t="s">
        <v>511</v>
      </c>
      <c r="I1269" s="105" t="s">
        <v>1449</v>
      </c>
      <c r="J1269" s="157" t="s">
        <v>2701</v>
      </c>
      <c r="K1269" s="34" t="s">
        <v>2702</v>
      </c>
      <c r="L1269" s="5">
        <f>IF(O1269="","",N1269*O1269*M1269)</f>
        <v>99</v>
      </c>
      <c r="M1269" s="8">
        <v>1</v>
      </c>
      <c r="N1269" s="1">
        <v>1</v>
      </c>
      <c r="O1269" s="15">
        <f>IF(SUM(Q1269:AF1269)&lt;1,"",SUM(Q1269:AF1269)/COUNTIF(Q1269:AF1269,"&gt;0"))</f>
        <v>99</v>
      </c>
      <c r="P1269" s="16"/>
      <c r="Q1269" s="13"/>
      <c r="T1269" s="4">
        <v>99</v>
      </c>
      <c r="U1269" s="2"/>
      <c r="V1269" s="2"/>
      <c r="W1269" s="2"/>
      <c r="X1269" s="2"/>
      <c r="Z1269" s="2"/>
      <c r="AA1269" s="2"/>
      <c r="AF1269" s="14"/>
    </row>
    <row r="1270" spans="1:32" s="4" customFormat="1" ht="15.75" customHeight="1" x14ac:dyDescent="0.25">
      <c r="A1270" s="33" t="str">
        <f>CONCATENATE(D1270,".",F1270,"-",G1270,".",H1270,"")</f>
        <v>2.4-2.1</v>
      </c>
      <c r="B1270" s="33"/>
      <c r="C1270" s="39" t="s">
        <v>262</v>
      </c>
      <c r="D1270" s="33">
        <f>IF(C1270="ID",1,(IF(C1270="PR",2,(IF(C1270="DE",3,(IF(C1270="RS",4,(IF(C1270="RC",5,0)))))))))</f>
        <v>2</v>
      </c>
      <c r="E1270" s="33" t="s">
        <v>344</v>
      </c>
      <c r="F1270" s="33">
        <f>IF(E1270="AM",1,(IF(E1270="BE",2,(IF(E1270="GV",3,(IF(E1270="RA",4,(IF(E1270="RM",5,(IF(E1270="AC",1,(IF(E1270="AT",2,(IF(E1270="DS",3,(IF(E1270="IP",4,(IF(E1270="MA",5,(IF(E1270="PT",6,(IF(E1270="AE",1,(IF(E1270="CM",2,(IF(E1270="DP",3,(IF(E1270="AN",1,(IF(E1270="CO",2,(IF(E1270="IM",3,(IF(E1270="MI",4,(IF(E1270="RP",5,(IF(E1270="SC",6,0)))))))))))))))))))))))))))))))))))))))</f>
        <v>4</v>
      </c>
      <c r="G1270" s="170">
        <v>2</v>
      </c>
      <c r="H1270" s="38" t="s">
        <v>511</v>
      </c>
      <c r="I1270" s="105" t="s">
        <v>1449</v>
      </c>
      <c r="J1270" s="157" t="s">
        <v>2703</v>
      </c>
      <c r="K1270" s="34" t="s">
        <v>2704</v>
      </c>
      <c r="L1270" s="5">
        <f>IF(O1270="","",N1270*O1270*M1270)</f>
        <v>99</v>
      </c>
      <c r="M1270" s="8">
        <v>1</v>
      </c>
      <c r="N1270" s="1">
        <v>1</v>
      </c>
      <c r="O1270" s="15">
        <f>IF(SUM(Q1270:AF1270)&lt;1,"",SUM(Q1270:AF1270)/COUNTIF(Q1270:AF1270,"&gt;0"))</f>
        <v>99</v>
      </c>
      <c r="P1270" s="16"/>
      <c r="Q1270" s="13"/>
      <c r="T1270" s="4">
        <v>99</v>
      </c>
      <c r="U1270" s="2"/>
      <c r="V1270" s="2"/>
      <c r="W1270" s="2"/>
      <c r="X1270" s="2"/>
      <c r="Z1270" s="2"/>
      <c r="AA1270" s="2"/>
      <c r="AF1270" s="14"/>
    </row>
    <row r="1271" spans="1:32" s="4" customFormat="1" ht="15.75" customHeight="1" x14ac:dyDescent="0.25">
      <c r="A1271" s="33" t="str">
        <f>CONCATENATE(D1271,".",F1271,"-",G1271,".",H1271,"")</f>
        <v>2.4-2.1</v>
      </c>
      <c r="B1271" s="33"/>
      <c r="C1271" s="39" t="s">
        <v>262</v>
      </c>
      <c r="D1271" s="33">
        <f>IF(C1271="ID",1,(IF(C1271="PR",2,(IF(C1271="DE",3,(IF(C1271="RS",4,(IF(C1271="RC",5,0)))))))))</f>
        <v>2</v>
      </c>
      <c r="E1271" s="33" t="s">
        <v>344</v>
      </c>
      <c r="F1271" s="33">
        <f>IF(E1271="AM",1,(IF(E1271="BE",2,(IF(E1271="GV",3,(IF(E1271="RA",4,(IF(E1271="RM",5,(IF(E1271="AC",1,(IF(E1271="AT",2,(IF(E1271="DS",3,(IF(E1271="IP",4,(IF(E1271="MA",5,(IF(E1271="PT",6,(IF(E1271="AE",1,(IF(E1271="CM",2,(IF(E1271="DP",3,(IF(E1271="AN",1,(IF(E1271="CO",2,(IF(E1271="IM",3,(IF(E1271="MI",4,(IF(E1271="RP",5,(IF(E1271="SC",6,0)))))))))))))))))))))))))))))))))))))))</f>
        <v>4</v>
      </c>
      <c r="G1271" s="170">
        <v>2</v>
      </c>
      <c r="H1271" s="38" t="s">
        <v>511</v>
      </c>
      <c r="I1271" s="105" t="s">
        <v>1449</v>
      </c>
      <c r="J1271" s="157" t="s">
        <v>2705</v>
      </c>
      <c r="K1271" s="34" t="s">
        <v>2706</v>
      </c>
      <c r="L1271" s="5">
        <f>IF(O1271="","",N1271*O1271*M1271)</f>
        <v>99</v>
      </c>
      <c r="M1271" s="8">
        <v>1</v>
      </c>
      <c r="N1271" s="1">
        <v>1</v>
      </c>
      <c r="O1271" s="15">
        <f>IF(SUM(Q1271:AF1271)&lt;1,"",SUM(Q1271:AF1271)/COUNTIF(Q1271:AF1271,"&gt;0"))</f>
        <v>99</v>
      </c>
      <c r="P1271" s="16"/>
      <c r="Q1271" s="13"/>
      <c r="T1271" s="4">
        <v>99</v>
      </c>
      <c r="U1271" s="2"/>
      <c r="V1271" s="2"/>
      <c r="W1271" s="2"/>
      <c r="X1271" s="2"/>
      <c r="Z1271" s="2"/>
      <c r="AA1271" s="2"/>
      <c r="AF1271" s="14"/>
    </row>
    <row r="1272" spans="1:32" s="4" customFormat="1" ht="15.75" customHeight="1" x14ac:dyDescent="0.25">
      <c r="A1272" s="33" t="str">
        <f>CONCATENATE(D1272,".",F1272,"-",G1272,".",H1272,"")</f>
        <v>2.4-2.1</v>
      </c>
      <c r="B1272" s="33"/>
      <c r="C1272" s="39" t="s">
        <v>262</v>
      </c>
      <c r="D1272" s="33">
        <f>IF(C1272="ID",1,(IF(C1272="PR",2,(IF(C1272="DE",3,(IF(C1272="RS",4,(IF(C1272="RC",5,0)))))))))</f>
        <v>2</v>
      </c>
      <c r="E1272" s="33" t="s">
        <v>344</v>
      </c>
      <c r="F1272" s="33">
        <f>IF(E1272="AM",1,(IF(E1272="BE",2,(IF(E1272="GV",3,(IF(E1272="RA",4,(IF(E1272="RM",5,(IF(E1272="AC",1,(IF(E1272="AT",2,(IF(E1272="DS",3,(IF(E1272="IP",4,(IF(E1272="MA",5,(IF(E1272="PT",6,(IF(E1272="AE",1,(IF(E1272="CM",2,(IF(E1272="DP",3,(IF(E1272="AN",1,(IF(E1272="CO",2,(IF(E1272="IM",3,(IF(E1272="MI",4,(IF(E1272="RP",5,(IF(E1272="SC",6,0)))))))))))))))))))))))))))))))))))))))</f>
        <v>4</v>
      </c>
      <c r="G1272" s="170">
        <v>2</v>
      </c>
      <c r="H1272" s="38" t="s">
        <v>511</v>
      </c>
      <c r="I1272" s="105" t="s">
        <v>1449</v>
      </c>
      <c r="J1272" s="157" t="s">
        <v>2707</v>
      </c>
      <c r="K1272" s="34" t="s">
        <v>2708</v>
      </c>
      <c r="L1272" s="5">
        <f>IF(O1272="","",N1272*O1272*M1272)</f>
        <v>99</v>
      </c>
      <c r="M1272" s="8">
        <v>1</v>
      </c>
      <c r="N1272" s="1">
        <v>1</v>
      </c>
      <c r="O1272" s="15">
        <f>IF(SUM(Q1272:AF1272)&lt;1,"",SUM(Q1272:AF1272)/COUNTIF(Q1272:AF1272,"&gt;0"))</f>
        <v>99</v>
      </c>
      <c r="P1272" s="16"/>
      <c r="Q1272" s="13"/>
      <c r="T1272" s="4">
        <v>99</v>
      </c>
      <c r="U1272" s="2"/>
      <c r="V1272" s="2"/>
      <c r="W1272" s="2"/>
      <c r="X1272" s="2"/>
      <c r="Z1272" s="2"/>
      <c r="AA1272" s="2"/>
      <c r="AF1272" s="14"/>
    </row>
    <row r="1273" spans="1:32" s="4" customFormat="1" ht="15.75" customHeight="1" x14ac:dyDescent="0.25">
      <c r="A1273" s="33" t="str">
        <f>CONCATENATE(D1273,".",F1273,"-",G1273,".",H1273,"")</f>
        <v>2.4-2.1</v>
      </c>
      <c r="B1273" s="33"/>
      <c r="C1273" s="39" t="s">
        <v>262</v>
      </c>
      <c r="D1273" s="33">
        <f>IF(C1273="ID",1,(IF(C1273="PR",2,(IF(C1273="DE",3,(IF(C1273="RS",4,(IF(C1273="RC",5,0)))))))))</f>
        <v>2</v>
      </c>
      <c r="E1273" s="33" t="s">
        <v>344</v>
      </c>
      <c r="F1273" s="33">
        <f>IF(E1273="AM",1,(IF(E1273="BE",2,(IF(E1273="GV",3,(IF(E1273="RA",4,(IF(E1273="RM",5,(IF(E1273="AC",1,(IF(E1273="AT",2,(IF(E1273="DS",3,(IF(E1273="IP",4,(IF(E1273="MA",5,(IF(E1273="PT",6,(IF(E1273="AE",1,(IF(E1273="CM",2,(IF(E1273="DP",3,(IF(E1273="AN",1,(IF(E1273="CO",2,(IF(E1273="IM",3,(IF(E1273="MI",4,(IF(E1273="RP",5,(IF(E1273="SC",6,0)))))))))))))))))))))))))))))))))))))))</f>
        <v>4</v>
      </c>
      <c r="G1273" s="170">
        <v>2</v>
      </c>
      <c r="H1273" s="38" t="s">
        <v>511</v>
      </c>
      <c r="I1273" s="105" t="s">
        <v>1449</v>
      </c>
      <c r="J1273" s="157" t="s">
        <v>2709</v>
      </c>
      <c r="K1273" s="34" t="s">
        <v>2710</v>
      </c>
      <c r="L1273" s="5">
        <f>IF(O1273="","",N1273*O1273*M1273)</f>
        <v>99</v>
      </c>
      <c r="M1273" s="8">
        <v>1</v>
      </c>
      <c r="N1273" s="1">
        <v>1</v>
      </c>
      <c r="O1273" s="15">
        <f>IF(SUM(Q1273:AF1273)&lt;1,"",SUM(Q1273:AF1273)/COUNTIF(Q1273:AF1273,"&gt;0"))</f>
        <v>99</v>
      </c>
      <c r="P1273" s="16"/>
      <c r="Q1273" s="13"/>
      <c r="T1273" s="4">
        <v>99</v>
      </c>
      <c r="U1273" s="2"/>
      <c r="V1273" s="2"/>
      <c r="W1273" s="2"/>
      <c r="X1273" s="2"/>
      <c r="Z1273" s="2"/>
      <c r="AA1273" s="2"/>
      <c r="AF1273" s="14"/>
    </row>
    <row r="1274" spans="1:32" s="4" customFormat="1" ht="15.75" customHeight="1" x14ac:dyDescent="0.25">
      <c r="A1274" s="33" t="str">
        <f>CONCATENATE(D1274,".",F1274,"-",G1274,".",H1274,"")</f>
        <v>2.4-2.1</v>
      </c>
      <c r="B1274" s="33"/>
      <c r="C1274" s="39" t="s">
        <v>262</v>
      </c>
      <c r="D1274" s="33">
        <f>IF(C1274="ID",1,(IF(C1274="PR",2,(IF(C1274="DE",3,(IF(C1274="RS",4,(IF(C1274="RC",5,0)))))))))</f>
        <v>2</v>
      </c>
      <c r="E1274" s="33" t="s">
        <v>344</v>
      </c>
      <c r="F1274" s="33">
        <f>IF(E1274="AM",1,(IF(E1274="BE",2,(IF(E1274="GV",3,(IF(E1274="RA",4,(IF(E1274="RM",5,(IF(E1274="AC",1,(IF(E1274="AT",2,(IF(E1274="DS",3,(IF(E1274="IP",4,(IF(E1274="MA",5,(IF(E1274="PT",6,(IF(E1274="AE",1,(IF(E1274="CM",2,(IF(E1274="DP",3,(IF(E1274="AN",1,(IF(E1274="CO",2,(IF(E1274="IM",3,(IF(E1274="MI",4,(IF(E1274="RP",5,(IF(E1274="SC",6,0)))))))))))))))))))))))))))))))))))))))</f>
        <v>4</v>
      </c>
      <c r="G1274" s="170">
        <v>2</v>
      </c>
      <c r="H1274" s="38" t="s">
        <v>511</v>
      </c>
      <c r="I1274" s="105" t="s">
        <v>1449</v>
      </c>
      <c r="J1274" s="157" t="s">
        <v>2711</v>
      </c>
      <c r="K1274" s="34" t="s">
        <v>2712</v>
      </c>
      <c r="L1274" s="5">
        <f>IF(O1274="","",N1274*O1274*M1274)</f>
        <v>99</v>
      </c>
      <c r="M1274" s="8">
        <v>1</v>
      </c>
      <c r="N1274" s="1">
        <v>1</v>
      </c>
      <c r="O1274" s="15">
        <f>IF(SUM(Q1274:AF1274)&lt;1,"",SUM(Q1274:AF1274)/COUNTIF(Q1274:AF1274,"&gt;0"))</f>
        <v>99</v>
      </c>
      <c r="P1274" s="16"/>
      <c r="Q1274" s="13"/>
      <c r="T1274" s="4">
        <v>99</v>
      </c>
      <c r="U1274" s="2"/>
      <c r="V1274" s="2"/>
      <c r="W1274" s="2"/>
      <c r="X1274" s="2"/>
      <c r="Z1274" s="2"/>
      <c r="AA1274" s="2"/>
      <c r="AF1274" s="14"/>
    </row>
    <row r="1275" spans="1:32" s="4" customFormat="1" ht="15.75" customHeight="1" x14ac:dyDescent="0.25">
      <c r="A1275" s="33" t="str">
        <f>CONCATENATE(D1275,".",F1275,"-",G1275,".",H1275,"")</f>
        <v>2.4-2.1</v>
      </c>
      <c r="B1275" s="33"/>
      <c r="C1275" s="39" t="s">
        <v>262</v>
      </c>
      <c r="D1275" s="33">
        <f>IF(C1275="ID",1,(IF(C1275="PR",2,(IF(C1275="DE",3,(IF(C1275="RS",4,(IF(C1275="RC",5,0)))))))))</f>
        <v>2</v>
      </c>
      <c r="E1275" s="33" t="s">
        <v>344</v>
      </c>
      <c r="F1275" s="33">
        <f>IF(E1275="AM",1,(IF(E1275="BE",2,(IF(E1275="GV",3,(IF(E1275="RA",4,(IF(E1275="RM",5,(IF(E1275="AC",1,(IF(E1275="AT",2,(IF(E1275="DS",3,(IF(E1275="IP",4,(IF(E1275="MA",5,(IF(E1275="PT",6,(IF(E1275="AE",1,(IF(E1275="CM",2,(IF(E1275="DP",3,(IF(E1275="AN",1,(IF(E1275="CO",2,(IF(E1275="IM",3,(IF(E1275="MI",4,(IF(E1275="RP",5,(IF(E1275="SC",6,0)))))))))))))))))))))))))))))))))))))))</f>
        <v>4</v>
      </c>
      <c r="G1275" s="170">
        <v>2</v>
      </c>
      <c r="H1275" s="38" t="s">
        <v>511</v>
      </c>
      <c r="I1275" s="105" t="s">
        <v>1449</v>
      </c>
      <c r="J1275" s="157" t="s">
        <v>2713</v>
      </c>
      <c r="K1275" s="34" t="s">
        <v>2714</v>
      </c>
      <c r="L1275" s="5">
        <f>IF(O1275="","",N1275*O1275*M1275)</f>
        <v>99</v>
      </c>
      <c r="M1275" s="8">
        <v>1</v>
      </c>
      <c r="N1275" s="1">
        <v>1</v>
      </c>
      <c r="O1275" s="15">
        <f>IF(SUM(Q1275:AF1275)&lt;1,"",SUM(Q1275:AF1275)/COUNTIF(Q1275:AF1275,"&gt;0"))</f>
        <v>99</v>
      </c>
      <c r="P1275" s="16"/>
      <c r="Q1275" s="13"/>
      <c r="T1275" s="4">
        <v>99</v>
      </c>
      <c r="U1275" s="2"/>
      <c r="V1275" s="2"/>
      <c r="W1275" s="2"/>
      <c r="X1275" s="2"/>
      <c r="Z1275" s="2"/>
      <c r="AA1275" s="2"/>
      <c r="AF1275" s="14"/>
    </row>
    <row r="1276" spans="1:32" s="4" customFormat="1" ht="15.75" customHeight="1" x14ac:dyDescent="0.25">
      <c r="A1276" s="33" t="str">
        <f>CONCATENATE(D1276,".",F1276,"-",G1276,".",H1276,"")</f>
        <v>2.4-2.1</v>
      </c>
      <c r="B1276" s="33"/>
      <c r="C1276" s="39" t="s">
        <v>262</v>
      </c>
      <c r="D1276" s="33">
        <f>IF(C1276="ID",1,(IF(C1276="PR",2,(IF(C1276="DE",3,(IF(C1276="RS",4,(IF(C1276="RC",5,0)))))))))</f>
        <v>2</v>
      </c>
      <c r="E1276" s="33" t="s">
        <v>344</v>
      </c>
      <c r="F1276" s="33">
        <f>IF(E1276="AM",1,(IF(E1276="BE",2,(IF(E1276="GV",3,(IF(E1276="RA",4,(IF(E1276="RM",5,(IF(E1276="AC",1,(IF(E1276="AT",2,(IF(E1276="DS",3,(IF(E1276="IP",4,(IF(E1276="MA",5,(IF(E1276="PT",6,(IF(E1276="AE",1,(IF(E1276="CM",2,(IF(E1276="DP",3,(IF(E1276="AN",1,(IF(E1276="CO",2,(IF(E1276="IM",3,(IF(E1276="MI",4,(IF(E1276="RP",5,(IF(E1276="SC",6,0)))))))))))))))))))))))))))))))))))))))</f>
        <v>4</v>
      </c>
      <c r="G1276" s="170">
        <v>2</v>
      </c>
      <c r="H1276" s="38" t="s">
        <v>511</v>
      </c>
      <c r="I1276" s="105" t="s">
        <v>1449</v>
      </c>
      <c r="J1276" s="157" t="s">
        <v>2715</v>
      </c>
      <c r="K1276" s="34" t="s">
        <v>2716</v>
      </c>
      <c r="L1276" s="5">
        <f>IF(O1276="","",N1276*O1276*M1276)</f>
        <v>99</v>
      </c>
      <c r="M1276" s="8">
        <v>1</v>
      </c>
      <c r="N1276" s="1">
        <v>1</v>
      </c>
      <c r="O1276" s="15">
        <f>IF(SUM(Q1276:AF1276)&lt;1,"",SUM(Q1276:AF1276)/COUNTIF(Q1276:AF1276,"&gt;0"))</f>
        <v>99</v>
      </c>
      <c r="P1276" s="16"/>
      <c r="Q1276" s="13"/>
      <c r="T1276" s="4">
        <v>99</v>
      </c>
      <c r="U1276" s="2"/>
      <c r="V1276" s="2"/>
      <c r="W1276" s="2"/>
      <c r="X1276" s="2"/>
      <c r="Z1276" s="2"/>
      <c r="AA1276" s="2"/>
      <c r="AF1276" s="14"/>
    </row>
    <row r="1277" spans="1:32" s="4" customFormat="1" ht="15.75" customHeight="1" x14ac:dyDescent="0.25">
      <c r="A1277" s="33" t="str">
        <f>CONCATENATE(D1277,".",F1277,"-",G1277,".",H1277,"")</f>
        <v>2.4-2.1</v>
      </c>
      <c r="B1277" s="33"/>
      <c r="C1277" s="39" t="s">
        <v>262</v>
      </c>
      <c r="D1277" s="33">
        <f>IF(C1277="ID",1,(IF(C1277="PR",2,(IF(C1277="DE",3,(IF(C1277="RS",4,(IF(C1277="RC",5,0)))))))))</f>
        <v>2</v>
      </c>
      <c r="E1277" s="33" t="s">
        <v>344</v>
      </c>
      <c r="F1277" s="33">
        <f>IF(E1277="AM",1,(IF(E1277="BE",2,(IF(E1277="GV",3,(IF(E1277="RA",4,(IF(E1277="RM",5,(IF(E1277="AC",1,(IF(E1277="AT",2,(IF(E1277="DS",3,(IF(E1277="IP",4,(IF(E1277="MA",5,(IF(E1277="PT",6,(IF(E1277="AE",1,(IF(E1277="CM",2,(IF(E1277="DP",3,(IF(E1277="AN",1,(IF(E1277="CO",2,(IF(E1277="IM",3,(IF(E1277="MI",4,(IF(E1277="RP",5,(IF(E1277="SC",6,0)))))))))))))))))))))))))))))))))))))))</f>
        <v>4</v>
      </c>
      <c r="G1277" s="170">
        <v>2</v>
      </c>
      <c r="H1277" s="38" t="s">
        <v>511</v>
      </c>
      <c r="I1277" s="105" t="s">
        <v>1449</v>
      </c>
      <c r="J1277" s="157" t="s">
        <v>2717</v>
      </c>
      <c r="K1277" s="34" t="s">
        <v>2718</v>
      </c>
      <c r="L1277" s="5">
        <f>IF(O1277="","",N1277*O1277*M1277)</f>
        <v>99</v>
      </c>
      <c r="M1277" s="8">
        <v>1</v>
      </c>
      <c r="N1277" s="1">
        <v>1</v>
      </c>
      <c r="O1277" s="15">
        <f>IF(SUM(Q1277:AF1277)&lt;1,"",SUM(Q1277:AF1277)/COUNTIF(Q1277:AF1277,"&gt;0"))</f>
        <v>99</v>
      </c>
      <c r="P1277" s="16"/>
      <c r="Q1277" s="13"/>
      <c r="T1277" s="4">
        <v>99</v>
      </c>
      <c r="U1277" s="2"/>
      <c r="V1277" s="2"/>
      <c r="W1277" s="2"/>
      <c r="X1277" s="2"/>
      <c r="Z1277" s="2"/>
      <c r="AA1277" s="2"/>
      <c r="AF1277" s="14"/>
    </row>
    <row r="1278" spans="1:32" s="4" customFormat="1" ht="15.75" customHeight="1" x14ac:dyDescent="0.25">
      <c r="A1278" s="33" t="str">
        <f>CONCATENATE(D1278,".",F1278,"-",G1278,".",H1278,"")</f>
        <v>2.4-2.1</v>
      </c>
      <c r="B1278" s="33"/>
      <c r="C1278" s="39" t="s">
        <v>262</v>
      </c>
      <c r="D1278" s="33">
        <f>IF(C1278="ID",1,(IF(C1278="PR",2,(IF(C1278="DE",3,(IF(C1278="RS",4,(IF(C1278="RC",5,0)))))))))</f>
        <v>2</v>
      </c>
      <c r="E1278" s="33" t="s">
        <v>344</v>
      </c>
      <c r="F1278" s="33">
        <f>IF(E1278="AM",1,(IF(E1278="BE",2,(IF(E1278="GV",3,(IF(E1278="RA",4,(IF(E1278="RM",5,(IF(E1278="AC",1,(IF(E1278="AT",2,(IF(E1278="DS",3,(IF(E1278="IP",4,(IF(E1278="MA",5,(IF(E1278="PT",6,(IF(E1278="AE",1,(IF(E1278="CM",2,(IF(E1278="DP",3,(IF(E1278="AN",1,(IF(E1278="CO",2,(IF(E1278="IM",3,(IF(E1278="MI",4,(IF(E1278="RP",5,(IF(E1278="SC",6,0)))))))))))))))))))))))))))))))))))))))</f>
        <v>4</v>
      </c>
      <c r="G1278" s="170">
        <v>2</v>
      </c>
      <c r="H1278" s="38" t="s">
        <v>511</v>
      </c>
      <c r="I1278" s="105" t="s">
        <v>1449</v>
      </c>
      <c r="J1278" s="157" t="s">
        <v>2719</v>
      </c>
      <c r="K1278" s="34" t="s">
        <v>2720</v>
      </c>
      <c r="L1278" s="5">
        <f>IF(O1278="","",N1278*O1278*M1278)</f>
        <v>99</v>
      </c>
      <c r="M1278" s="8">
        <v>1</v>
      </c>
      <c r="N1278" s="1">
        <v>1</v>
      </c>
      <c r="O1278" s="15">
        <f>IF(SUM(Q1278:AF1278)&lt;1,"",SUM(Q1278:AF1278)/COUNTIF(Q1278:AF1278,"&gt;0"))</f>
        <v>99</v>
      </c>
      <c r="P1278" s="16"/>
      <c r="Q1278" s="13"/>
      <c r="T1278" s="4">
        <v>99</v>
      </c>
      <c r="U1278" s="2"/>
      <c r="V1278" s="2"/>
      <c r="W1278" s="2"/>
      <c r="X1278" s="2"/>
      <c r="Z1278" s="2"/>
      <c r="AA1278" s="2"/>
      <c r="AF1278" s="14"/>
    </row>
    <row r="1279" spans="1:32" s="4" customFormat="1" ht="15.75" customHeight="1" x14ac:dyDescent="0.25">
      <c r="A1279" s="33" t="str">
        <f>CONCATENATE(D1279,".",F1279,"-",G1279,".",H1279,"")</f>
        <v>2.4-2.1</v>
      </c>
      <c r="B1279" s="33"/>
      <c r="C1279" s="39" t="s">
        <v>262</v>
      </c>
      <c r="D1279" s="33">
        <f>IF(C1279="ID",1,(IF(C1279="PR",2,(IF(C1279="DE",3,(IF(C1279="RS",4,(IF(C1279="RC",5,0)))))))))</f>
        <v>2</v>
      </c>
      <c r="E1279" s="33" t="s">
        <v>344</v>
      </c>
      <c r="F1279" s="33">
        <f>IF(E1279="AM",1,(IF(E1279="BE",2,(IF(E1279="GV",3,(IF(E1279="RA",4,(IF(E1279="RM",5,(IF(E1279="AC",1,(IF(E1279="AT",2,(IF(E1279="DS",3,(IF(E1279="IP",4,(IF(E1279="MA",5,(IF(E1279="PT",6,(IF(E1279="AE",1,(IF(E1279="CM",2,(IF(E1279="DP",3,(IF(E1279="AN",1,(IF(E1279="CO",2,(IF(E1279="IM",3,(IF(E1279="MI",4,(IF(E1279="RP",5,(IF(E1279="SC",6,0)))))))))))))))))))))))))))))))))))))))</f>
        <v>4</v>
      </c>
      <c r="G1279" s="170">
        <v>2</v>
      </c>
      <c r="H1279" s="38" t="s">
        <v>511</v>
      </c>
      <c r="I1279" s="105" t="s">
        <v>1449</v>
      </c>
      <c r="J1279" s="157" t="s">
        <v>2721</v>
      </c>
      <c r="K1279" s="34" t="s">
        <v>2722</v>
      </c>
      <c r="L1279" s="5">
        <f>IF(O1279="","",N1279*O1279*M1279)</f>
        <v>99</v>
      </c>
      <c r="M1279" s="8">
        <v>1</v>
      </c>
      <c r="N1279" s="1">
        <v>1</v>
      </c>
      <c r="O1279" s="15">
        <f>IF(SUM(Q1279:AF1279)&lt;1,"",SUM(Q1279:AF1279)/COUNTIF(Q1279:AF1279,"&gt;0"))</f>
        <v>99</v>
      </c>
      <c r="P1279" s="16"/>
      <c r="Q1279" s="13"/>
      <c r="T1279" s="4">
        <v>99</v>
      </c>
      <c r="U1279" s="2"/>
      <c r="V1279" s="2"/>
      <c r="W1279" s="2"/>
      <c r="X1279" s="2"/>
      <c r="Z1279" s="2"/>
      <c r="AA1279" s="2"/>
      <c r="AF1279" s="14"/>
    </row>
    <row r="1280" spans="1:32" s="4" customFormat="1" ht="15.75" customHeight="1" x14ac:dyDescent="0.25">
      <c r="A1280" s="33" t="str">
        <f>CONCATENATE(D1280,".",F1280,"-",G1280,".",H1280,"")</f>
        <v>2.4-2.1</v>
      </c>
      <c r="B1280" s="33"/>
      <c r="C1280" s="39" t="s">
        <v>262</v>
      </c>
      <c r="D1280" s="33">
        <f>IF(C1280="ID",1,(IF(C1280="PR",2,(IF(C1280="DE",3,(IF(C1280="RS",4,(IF(C1280="RC",5,0)))))))))</f>
        <v>2</v>
      </c>
      <c r="E1280" s="33" t="s">
        <v>344</v>
      </c>
      <c r="F1280" s="33">
        <f>IF(E1280="AM",1,(IF(E1280="BE",2,(IF(E1280="GV",3,(IF(E1280="RA",4,(IF(E1280="RM",5,(IF(E1280="AC",1,(IF(E1280="AT",2,(IF(E1280="DS",3,(IF(E1280="IP",4,(IF(E1280="MA",5,(IF(E1280="PT",6,(IF(E1280="AE",1,(IF(E1280="CM",2,(IF(E1280="DP",3,(IF(E1280="AN",1,(IF(E1280="CO",2,(IF(E1280="IM",3,(IF(E1280="MI",4,(IF(E1280="RP",5,(IF(E1280="SC",6,0)))))))))))))))))))))))))))))))))))))))</f>
        <v>4</v>
      </c>
      <c r="G1280" s="170">
        <v>2</v>
      </c>
      <c r="H1280" s="38" t="s">
        <v>511</v>
      </c>
      <c r="I1280" s="105" t="s">
        <v>1449</v>
      </c>
      <c r="J1280" s="157" t="s">
        <v>2723</v>
      </c>
      <c r="K1280" s="34" t="s">
        <v>2724</v>
      </c>
      <c r="L1280" s="5">
        <f>IF(O1280="","",N1280*O1280*M1280)</f>
        <v>99</v>
      </c>
      <c r="M1280" s="8">
        <v>1</v>
      </c>
      <c r="N1280" s="1">
        <v>1</v>
      </c>
      <c r="O1280" s="15">
        <f>IF(SUM(Q1280:AF1280)&lt;1,"",SUM(Q1280:AF1280)/COUNTIF(Q1280:AF1280,"&gt;0"))</f>
        <v>99</v>
      </c>
      <c r="P1280" s="16"/>
      <c r="Q1280" s="13"/>
      <c r="T1280" s="4">
        <v>99</v>
      </c>
      <c r="U1280" s="2"/>
      <c r="V1280" s="2"/>
      <c r="W1280" s="2"/>
      <c r="X1280" s="2"/>
      <c r="Z1280" s="2"/>
      <c r="AA1280" s="2"/>
      <c r="AF1280" s="14"/>
    </row>
    <row r="1281" spans="1:32" s="2" customFormat="1" ht="15.75" customHeight="1" x14ac:dyDescent="0.25">
      <c r="A1281" s="33" t="str">
        <f>CONCATENATE(D1281,".",F1281,"-",G1281,".",H1281,"")</f>
        <v>2.4-2.1</v>
      </c>
      <c r="B1281" s="33"/>
      <c r="C1281" s="39" t="s">
        <v>262</v>
      </c>
      <c r="D1281" s="33">
        <f>IF(C1281="ID",1,(IF(C1281="PR",2,(IF(C1281="DE",3,(IF(C1281="RS",4,(IF(C1281="RC",5,0)))))))))</f>
        <v>2</v>
      </c>
      <c r="E1281" s="33" t="s">
        <v>344</v>
      </c>
      <c r="F1281" s="33">
        <f>IF(E1281="AM",1,(IF(E1281="BE",2,(IF(E1281="GV",3,(IF(E1281="RA",4,(IF(E1281="RM",5,(IF(E1281="AC",1,(IF(E1281="AT",2,(IF(E1281="DS",3,(IF(E1281="IP",4,(IF(E1281="MA",5,(IF(E1281="PT",6,(IF(E1281="AE",1,(IF(E1281="CM",2,(IF(E1281="DP",3,(IF(E1281="AN",1,(IF(E1281="CO",2,(IF(E1281="IM",3,(IF(E1281="MI",4,(IF(E1281="RP",5,(IF(E1281="SC",6,0)))))))))))))))))))))))))))))))))))))))</f>
        <v>4</v>
      </c>
      <c r="G1281" s="170">
        <v>2</v>
      </c>
      <c r="H1281" s="38" t="s">
        <v>511</v>
      </c>
      <c r="I1281" s="105" t="s">
        <v>1449</v>
      </c>
      <c r="J1281" s="157" t="s">
        <v>2727</v>
      </c>
      <c r="K1281" s="34" t="s">
        <v>2728</v>
      </c>
      <c r="L1281" s="5">
        <f>IF(O1281="","",N1281*O1281*M1281)</f>
        <v>99</v>
      </c>
      <c r="M1281" s="8">
        <v>1</v>
      </c>
      <c r="N1281" s="1">
        <v>1</v>
      </c>
      <c r="O1281" s="15">
        <f>IF(SUM(Q1281:AF1281)&lt;1,"",SUM(Q1281:AF1281)/COUNTIF(Q1281:AF1281,"&gt;0"))</f>
        <v>99</v>
      </c>
      <c r="P1281" s="16"/>
      <c r="Q1281" s="13"/>
      <c r="R1281" s="4"/>
      <c r="S1281" s="4"/>
      <c r="T1281" s="4">
        <v>99</v>
      </c>
      <c r="Y1281" s="4"/>
      <c r="AB1281" s="4"/>
      <c r="AC1281" s="4"/>
      <c r="AD1281" s="4"/>
      <c r="AE1281" s="4"/>
      <c r="AF1281" s="14"/>
    </row>
    <row r="1282" spans="1:32" s="4" customFormat="1" ht="15.75" customHeight="1" x14ac:dyDescent="0.25">
      <c r="A1282" s="33" t="str">
        <f>CONCATENATE(D1282,".",F1282,"-",G1282,".",H1282,"")</f>
        <v>2.4-2.3</v>
      </c>
      <c r="B1282" s="33" t="s">
        <v>814</v>
      </c>
      <c r="C1282" s="39" t="s">
        <v>262</v>
      </c>
      <c r="D1282" s="33">
        <f>IF(C1282="ID",1,(IF(C1282="PR",2,(IF(C1282="DE",3,(IF(C1282="RS",4,(IF(C1282="RC",5,0)))))))))</f>
        <v>2</v>
      </c>
      <c r="E1282" s="33" t="s">
        <v>344</v>
      </c>
      <c r="F1282" s="33">
        <f>IF(E1282="AM",1,(IF(E1282="BE",2,(IF(E1282="GV",3,(IF(E1282="RA",4,(IF(E1282="RM",5,(IF(E1282="AC",1,(IF(E1282="AT",2,(IF(E1282="DS",3,(IF(E1282="IP",4,(IF(E1282="MA",5,(IF(E1282="PT",6,(IF(E1282="AE",1,(IF(E1282="CM",2,(IF(E1282="DP",3,(IF(E1282="AN",1,(IF(E1282="CO",2,(IF(E1282="IM",3,(IF(E1282="MI",4,(IF(E1282="RP",5,(IF(E1282="SC",6,0)))))))))))))))))))))))))))))))))))))))</f>
        <v>4</v>
      </c>
      <c r="G1282" s="170">
        <v>2</v>
      </c>
      <c r="H1282" s="38" t="s">
        <v>513</v>
      </c>
      <c r="I1282" s="27" t="s">
        <v>266</v>
      </c>
      <c r="J1282" s="149" t="s">
        <v>470</v>
      </c>
      <c r="K1282" s="79" t="s">
        <v>1340</v>
      </c>
      <c r="L1282" s="66">
        <f>IF(O1282="","",N1282*O1282*M1282)</f>
        <v>75</v>
      </c>
      <c r="M1282" s="8">
        <v>1</v>
      </c>
      <c r="N1282" s="1">
        <v>1</v>
      </c>
      <c r="O1282" s="15">
        <f>IF(SUM(Q1282:AF1282)&lt;1,"",SUM(Q1282:AF1282)/COUNTIF(Q1282:AF1282,"&gt;0"))</f>
        <v>75</v>
      </c>
      <c r="P1282" s="16"/>
      <c r="Q1282" s="13"/>
      <c r="T1282" s="4">
        <v>75</v>
      </c>
      <c r="U1282" s="2"/>
      <c r="V1282" s="2"/>
      <c r="W1282" s="2"/>
      <c r="X1282" s="2"/>
      <c r="Z1282" s="2"/>
      <c r="AA1282" s="2"/>
      <c r="AF1282" s="14"/>
    </row>
    <row r="1283" spans="1:32" s="4" customFormat="1" ht="15.75" customHeight="1" x14ac:dyDescent="0.25">
      <c r="A1283" s="33" t="str">
        <f>CONCATENATE(D1283,".",F1283,"-",G1283,".",H1283,"")</f>
        <v>2.4-2.9</v>
      </c>
      <c r="B1283" s="33" t="s">
        <v>814</v>
      </c>
      <c r="C1283" s="39" t="s">
        <v>262</v>
      </c>
      <c r="D1283" s="33">
        <f>IF(C1283="ID",1,(IF(C1283="PR",2,(IF(C1283="DE",3,(IF(C1283="RS",4,(IF(C1283="RC",5,0)))))))))</f>
        <v>2</v>
      </c>
      <c r="E1283" s="33" t="s">
        <v>344</v>
      </c>
      <c r="F1283" s="33">
        <f>IF(E1283="AM",1,(IF(E1283="BE",2,(IF(E1283="GV",3,(IF(E1283="RA",4,(IF(E1283="RM",5,(IF(E1283="AC",1,(IF(E1283="AT",2,(IF(E1283="DS",3,(IF(E1283="IP",4,(IF(E1283="MA",5,(IF(E1283="PT",6,(IF(E1283="AE",1,(IF(E1283="CM",2,(IF(E1283="DP",3,(IF(E1283="AN",1,(IF(E1283="CO",2,(IF(E1283="IM",3,(IF(E1283="MI",4,(IF(E1283="RP",5,(IF(E1283="SC",6,0)))))))))))))))))))))))))))))))))))))))</f>
        <v>4</v>
      </c>
      <c r="G1283" s="170">
        <v>2</v>
      </c>
      <c r="H1283" s="38" t="s">
        <v>596</v>
      </c>
      <c r="I1283" s="27" t="s">
        <v>266</v>
      </c>
      <c r="J1283" s="149" t="s">
        <v>473</v>
      </c>
      <c r="K1283" s="79" t="s">
        <v>1353</v>
      </c>
      <c r="L1283" s="66">
        <f>IF(O1283="","",N1283*O1283*M1283)</f>
        <v>75</v>
      </c>
      <c r="M1283" s="8">
        <v>1</v>
      </c>
      <c r="N1283" s="1">
        <v>1</v>
      </c>
      <c r="O1283" s="15">
        <f>IF(SUM(Q1283:AF1283)&lt;1,"",SUM(Q1283:AF1283)/COUNTIF(Q1283:AF1283,"&gt;0"))</f>
        <v>75</v>
      </c>
      <c r="P1283" s="16"/>
      <c r="Q1283" s="13"/>
      <c r="T1283" s="4">
        <v>75</v>
      </c>
      <c r="U1283" s="2"/>
      <c r="V1283" s="2"/>
      <c r="W1283" s="2"/>
      <c r="X1283" s="2"/>
      <c r="Z1283" s="2"/>
      <c r="AA1283" s="2"/>
      <c r="AF1283" s="14"/>
    </row>
    <row r="1284" spans="1:32" s="4" customFormat="1" ht="15.75" customHeight="1" x14ac:dyDescent="0.25">
      <c r="A1284" s="33" t="str">
        <f>CONCATENATE(D1284,".",F1284,"-",G1284,".",H1284,"")</f>
        <v>2.4-2.9</v>
      </c>
      <c r="B1284" s="33"/>
      <c r="C1284" s="39" t="s">
        <v>262</v>
      </c>
      <c r="D1284" s="33">
        <f>IF(C1284="ID",1,(IF(C1284="PR",2,(IF(C1284="DE",3,(IF(C1284="RS",4,(IF(C1284="RC",5,0)))))))))</f>
        <v>2</v>
      </c>
      <c r="E1284" s="33" t="s">
        <v>344</v>
      </c>
      <c r="F1284" s="33">
        <f>IF(E1284="AM",1,(IF(E1284="BE",2,(IF(E1284="GV",3,(IF(E1284="RA",4,(IF(E1284="RM",5,(IF(E1284="AC",1,(IF(E1284="AT",2,(IF(E1284="DS",3,(IF(E1284="IP",4,(IF(E1284="MA",5,(IF(E1284="PT",6,(IF(E1284="AE",1,(IF(E1284="CM",2,(IF(E1284="DP",3,(IF(E1284="AN",1,(IF(E1284="CO",2,(IF(E1284="IM",3,(IF(E1284="MI",4,(IF(E1284="RP",5,(IF(E1284="SC",6,0)))))))))))))))))))))))))))))))))))))))</f>
        <v>4</v>
      </c>
      <c r="G1284" s="170">
        <v>2</v>
      </c>
      <c r="H1284" s="38" t="s">
        <v>596</v>
      </c>
      <c r="I1284" s="105" t="s">
        <v>1449</v>
      </c>
      <c r="J1284" s="157" t="s">
        <v>2471</v>
      </c>
      <c r="K1284" s="34" t="s">
        <v>2472</v>
      </c>
      <c r="L1284" s="5">
        <f>IF(O1284="","",N1284*O1284*M1284)</f>
        <v>99</v>
      </c>
      <c r="M1284" s="8">
        <v>1</v>
      </c>
      <c r="N1284" s="1">
        <v>1</v>
      </c>
      <c r="O1284" s="15">
        <f>IF(SUM(Q1284:AF1284)&lt;1,"",SUM(Q1284:AF1284)/COUNTIF(Q1284:AF1284,"&gt;0"))</f>
        <v>99</v>
      </c>
      <c r="P1284" s="16"/>
      <c r="Q1284" s="13"/>
      <c r="T1284" s="4">
        <v>99</v>
      </c>
      <c r="U1284" s="2"/>
      <c r="V1284" s="2"/>
      <c r="W1284" s="2"/>
      <c r="X1284" s="2"/>
      <c r="Z1284" s="2"/>
      <c r="AA1284" s="2"/>
      <c r="AF1284" s="14"/>
    </row>
    <row r="1285" spans="1:32" s="4" customFormat="1" ht="15.75" customHeight="1" x14ac:dyDescent="0.25">
      <c r="A1285" s="33" t="str">
        <f>CONCATENATE(D1285,".",F1285,"-",G1285,".",H1285,"")</f>
        <v>2.4-3.0</v>
      </c>
      <c r="B1285" s="33" t="s">
        <v>814</v>
      </c>
      <c r="C1285" s="40" t="s">
        <v>262</v>
      </c>
      <c r="D1285" s="33">
        <f>IF(C1285="ID",1,(IF(C1285="PR",2,(IF(C1285="DE",3,(IF(C1285="RS",4,(IF(C1285="RC",5,0)))))))))</f>
        <v>2</v>
      </c>
      <c r="E1285" s="33" t="s">
        <v>344</v>
      </c>
      <c r="F1285" s="33">
        <f>IF(E1285="AM",1,(IF(E1285="BE",2,(IF(E1285="GV",3,(IF(E1285="RA",4,(IF(E1285="RM",5,(IF(E1285="AC",1,(IF(E1285="AT",2,(IF(E1285="DS",3,(IF(E1285="IP",4,(IF(E1285="MA",5,(IF(E1285="PT",6,(IF(E1285="AE",1,(IF(E1285="CM",2,(IF(E1285="DP",3,(IF(E1285="AN",1,(IF(E1285="CO",2,(IF(E1285="IM",3,(IF(E1285="MI",4,(IF(E1285="RP",5,(IF(E1285="SC",6,0)))))))))))))))))))))))))))))))))))))))</f>
        <v>4</v>
      </c>
      <c r="G1285" s="170">
        <v>3</v>
      </c>
      <c r="H1285" s="38" t="s">
        <v>597</v>
      </c>
      <c r="I1285" s="27" t="s">
        <v>1200</v>
      </c>
      <c r="J1285" s="149" t="s">
        <v>685</v>
      </c>
      <c r="K1285" s="98" t="s">
        <v>386</v>
      </c>
      <c r="L1285" s="5">
        <f>IF(O1285="","",N1285*O1285*M1285)</f>
        <v>75</v>
      </c>
      <c r="M1285" s="8">
        <v>1</v>
      </c>
      <c r="N1285" s="1">
        <v>1</v>
      </c>
      <c r="O1285" s="15">
        <f>IF(SUM(Q1285:AF1285)&lt;1,"",SUM(Q1285:AF1285)/COUNTIF(Q1285:AF1285,"&gt;0"))</f>
        <v>75</v>
      </c>
      <c r="P1285" s="16"/>
      <c r="Q1285" s="13"/>
      <c r="T1285" s="4">
        <v>75</v>
      </c>
      <c r="U1285" s="2"/>
      <c r="V1285" s="2"/>
      <c r="W1285" s="2"/>
      <c r="X1285" s="2"/>
      <c r="Z1285" s="2"/>
      <c r="AA1285" s="2"/>
      <c r="AF1285" s="14"/>
    </row>
    <row r="1286" spans="1:32" s="4" customFormat="1" ht="15.75" customHeight="1" x14ac:dyDescent="0.25">
      <c r="A1286" s="33" t="str">
        <f>CONCATENATE(D1286,".",F1286,"-",G1286,".",H1286,"")</f>
        <v>2.4-3.1</v>
      </c>
      <c r="B1286" s="33" t="s">
        <v>814</v>
      </c>
      <c r="C1286" s="40" t="s">
        <v>262</v>
      </c>
      <c r="D1286" s="33">
        <f>IF(C1286="ID",1,(IF(C1286="PR",2,(IF(C1286="DE",3,(IF(C1286="RS",4,(IF(C1286="RC",5,0)))))))))</f>
        <v>2</v>
      </c>
      <c r="E1286" s="33" t="s">
        <v>344</v>
      </c>
      <c r="F1286" s="33">
        <f>IF(E1286="AM",1,(IF(E1286="BE",2,(IF(E1286="GV",3,(IF(E1286="RA",4,(IF(E1286="RM",5,(IF(E1286="AC",1,(IF(E1286="AT",2,(IF(E1286="DS",3,(IF(E1286="IP",4,(IF(E1286="MA",5,(IF(E1286="PT",6,(IF(E1286="AE",1,(IF(E1286="CM",2,(IF(E1286="DP",3,(IF(E1286="AN",1,(IF(E1286="CO",2,(IF(E1286="IM",3,(IF(E1286="MI",4,(IF(E1286="RP",5,(IF(E1286="SC",6,0)))))))))))))))))))))))))))))))))))))))</f>
        <v>4</v>
      </c>
      <c r="G1286" s="171">
        <v>3</v>
      </c>
      <c r="H1286" s="38" t="s">
        <v>511</v>
      </c>
      <c r="I1286" s="105" t="s">
        <v>821</v>
      </c>
      <c r="J1286" s="150">
        <v>6.4</v>
      </c>
      <c r="K1286" s="79" t="s">
        <v>1283</v>
      </c>
      <c r="L1286" s="66">
        <f>IF(O1286="","",N1286*O1286*M1286)</f>
        <v>75</v>
      </c>
      <c r="M1286" s="8">
        <v>1</v>
      </c>
      <c r="N1286" s="3">
        <v>1</v>
      </c>
      <c r="O1286" s="15">
        <f>IF(SUM(Q1286:AF1286)&lt;1,"",SUM(Q1286:AF1286)/COUNTIF(Q1286:AF1286,"&gt;0"))</f>
        <v>75</v>
      </c>
      <c r="P1286" s="16"/>
      <c r="Q1286" s="13"/>
      <c r="T1286" s="4">
        <v>75</v>
      </c>
      <c r="U1286" s="2"/>
      <c r="V1286" s="2"/>
      <c r="W1286" s="2"/>
      <c r="X1286" s="2"/>
      <c r="Z1286" s="2"/>
      <c r="AA1286" s="2"/>
      <c r="AF1286" s="14"/>
    </row>
    <row r="1287" spans="1:32" s="4" customFormat="1" ht="15.75" customHeight="1" x14ac:dyDescent="0.25">
      <c r="A1287" s="33" t="str">
        <f>CONCATENATE(D1287,".",F1287,"-",G1287,".",H1287,"")</f>
        <v>2.4-3.1</v>
      </c>
      <c r="B1287" s="33" t="s">
        <v>814</v>
      </c>
      <c r="C1287" s="39" t="s">
        <v>262</v>
      </c>
      <c r="D1287" s="33">
        <f>IF(C1287="ID",1,(IF(C1287="PR",2,(IF(C1287="DE",3,(IF(C1287="RS",4,(IF(C1287="RC",5,0)))))))))</f>
        <v>2</v>
      </c>
      <c r="E1287" s="33" t="s">
        <v>344</v>
      </c>
      <c r="F1287" s="33">
        <f>IF(E1287="AM",1,(IF(E1287="BE",2,(IF(E1287="GV",3,(IF(E1287="RA",4,(IF(E1287="RM",5,(IF(E1287="AC",1,(IF(E1287="AT",2,(IF(E1287="DS",3,(IF(E1287="IP",4,(IF(E1287="MA",5,(IF(E1287="PT",6,(IF(E1287="AE",1,(IF(E1287="CM",2,(IF(E1287="DP",3,(IF(E1287="AN",1,(IF(E1287="CO",2,(IF(E1287="IM",3,(IF(E1287="MI",4,(IF(E1287="RP",5,(IF(E1287="SC",6,0)))))))))))))))))))))))))))))))))))))))</f>
        <v>4</v>
      </c>
      <c r="G1287" s="170">
        <v>3</v>
      </c>
      <c r="H1287" s="38" t="s">
        <v>511</v>
      </c>
      <c r="I1287" s="105" t="s">
        <v>821</v>
      </c>
      <c r="J1287" s="150">
        <v>10.4</v>
      </c>
      <c r="K1287" s="79" t="s">
        <v>1283</v>
      </c>
      <c r="L1287" s="66">
        <f>IF(O1287="","",N1287*O1287*M1287)</f>
        <v>75</v>
      </c>
      <c r="M1287" s="8">
        <v>1</v>
      </c>
      <c r="N1287" s="3">
        <v>1</v>
      </c>
      <c r="O1287" s="15">
        <f>IF(SUM(Q1287:AF1287)&lt;1,"",SUM(Q1287:AF1287)/COUNTIF(Q1287:AF1287,"&gt;0"))</f>
        <v>75</v>
      </c>
      <c r="P1287" s="16"/>
      <c r="Q1287" s="13"/>
      <c r="T1287" s="4">
        <v>75</v>
      </c>
      <c r="U1287" s="2"/>
      <c r="V1287" s="2"/>
      <c r="W1287" s="2"/>
      <c r="X1287" s="2"/>
      <c r="Z1287" s="2"/>
      <c r="AA1287" s="2"/>
      <c r="AF1287" s="14"/>
    </row>
    <row r="1288" spans="1:32" s="4" customFormat="1" ht="15.75" customHeight="1" x14ac:dyDescent="0.25">
      <c r="A1288" s="33" t="str">
        <f>CONCATENATE(D1288,".",F1288,"-",G1288,".",H1288,"")</f>
        <v>2.4-3.1</v>
      </c>
      <c r="B1288" s="33" t="s">
        <v>814</v>
      </c>
      <c r="C1288" s="39" t="s">
        <v>262</v>
      </c>
      <c r="D1288" s="33">
        <f>IF(C1288="ID",1,(IF(C1288="PR",2,(IF(C1288="DE",3,(IF(C1288="RS",4,(IF(C1288="RC",5,0)))))))))</f>
        <v>2</v>
      </c>
      <c r="E1288" s="33" t="s">
        <v>344</v>
      </c>
      <c r="F1288" s="33">
        <f>IF(E1288="AM",1,(IF(E1288="BE",2,(IF(E1288="GV",3,(IF(E1288="RA",4,(IF(E1288="RM",5,(IF(E1288="AC",1,(IF(E1288="AT",2,(IF(E1288="DS",3,(IF(E1288="IP",4,(IF(E1288="MA",5,(IF(E1288="PT",6,(IF(E1288="AE",1,(IF(E1288="CM",2,(IF(E1288="DP",3,(IF(E1288="AN",1,(IF(E1288="CO",2,(IF(E1288="IM",3,(IF(E1288="MI",4,(IF(E1288="RP",5,(IF(E1288="SC",6,0)))))))))))))))))))))))))))))))))))))))</f>
        <v>4</v>
      </c>
      <c r="G1288" s="170">
        <v>3</v>
      </c>
      <c r="H1288" s="38" t="s">
        <v>511</v>
      </c>
      <c r="I1288" s="35" t="s">
        <v>1176</v>
      </c>
      <c r="J1288" s="162">
        <v>2</v>
      </c>
      <c r="K1288" t="s">
        <v>1045</v>
      </c>
      <c r="L1288" s="66">
        <f>IF(O1288="","",N1288*O1288*M1288)</f>
        <v>75</v>
      </c>
      <c r="M1288" s="8">
        <v>1</v>
      </c>
      <c r="N1288" s="3">
        <v>1</v>
      </c>
      <c r="O1288" s="15">
        <f>IF(SUM(Q1288:AF1288)&lt;1,"",SUM(Q1288:AF1288)/COUNTIF(Q1288:AF1288,"&gt;0"))</f>
        <v>75</v>
      </c>
      <c r="P1288" s="16"/>
      <c r="Q1288" s="13"/>
      <c r="T1288" s="4">
        <v>75</v>
      </c>
      <c r="U1288" s="2"/>
      <c r="V1288" s="2"/>
      <c r="W1288" s="2"/>
      <c r="X1288" s="2"/>
      <c r="Z1288" s="2"/>
      <c r="AA1288" s="2"/>
      <c r="AF1288" s="14"/>
    </row>
    <row r="1289" spans="1:32" s="4" customFormat="1" ht="15.75" customHeight="1" x14ac:dyDescent="0.25">
      <c r="A1289" s="33" t="str">
        <f>CONCATENATE(D1289,".",F1289,"-",G1289,".",H1289,"")</f>
        <v>2.4-3.1</v>
      </c>
      <c r="B1289" s="33" t="s">
        <v>814</v>
      </c>
      <c r="C1289" s="39" t="s">
        <v>262</v>
      </c>
      <c r="D1289" s="33">
        <f>IF(C1289="ID",1,(IF(C1289="PR",2,(IF(C1289="DE",3,(IF(C1289="RS",4,(IF(C1289="RC",5,0)))))))))</f>
        <v>2</v>
      </c>
      <c r="E1289" s="33" t="s">
        <v>344</v>
      </c>
      <c r="F1289" s="33">
        <f>IF(E1289="AM",1,(IF(E1289="BE",2,(IF(E1289="GV",3,(IF(E1289="RA",4,(IF(E1289="RM",5,(IF(E1289="AC",1,(IF(E1289="AT",2,(IF(E1289="DS",3,(IF(E1289="IP",4,(IF(E1289="MA",5,(IF(E1289="PT",6,(IF(E1289="AE",1,(IF(E1289="CM",2,(IF(E1289="DP",3,(IF(E1289="AN",1,(IF(E1289="CO",2,(IF(E1289="IM",3,(IF(E1289="MI",4,(IF(E1289="RP",5,(IF(E1289="SC",6,0)))))))))))))))))))))))))))))))))))))))</f>
        <v>4</v>
      </c>
      <c r="G1289" s="170">
        <v>3</v>
      </c>
      <c r="H1289" s="38" t="s">
        <v>511</v>
      </c>
      <c r="I1289" s="35" t="s">
        <v>1176</v>
      </c>
      <c r="J1289" s="162">
        <v>3</v>
      </c>
      <c r="K1289" t="s">
        <v>1050</v>
      </c>
      <c r="L1289" s="66">
        <f>IF(O1289="","",N1289*O1289*M1289)</f>
        <v>75</v>
      </c>
      <c r="M1289" s="8">
        <v>1</v>
      </c>
      <c r="N1289" s="3">
        <v>1</v>
      </c>
      <c r="O1289" s="15">
        <f>IF(SUM(Q1289:AF1289)&lt;1,"",SUM(Q1289:AF1289)/COUNTIF(Q1289:AF1289,"&gt;0"))</f>
        <v>75</v>
      </c>
      <c r="P1289" s="16"/>
      <c r="Q1289" s="13"/>
      <c r="T1289" s="4">
        <v>75</v>
      </c>
      <c r="U1289" s="2"/>
      <c r="V1289" s="2"/>
      <c r="W1289" s="2"/>
      <c r="X1289" s="2"/>
      <c r="Z1289" s="2"/>
      <c r="AA1289" s="2"/>
      <c r="AF1289" s="14"/>
    </row>
    <row r="1290" spans="1:32" s="4" customFormat="1" ht="15.75" customHeight="1" x14ac:dyDescent="0.25">
      <c r="A1290" s="33" t="str">
        <f>CONCATENATE(D1290,".",F1290,"-",G1290,".",H1290,"")</f>
        <v>2.4-3.1</v>
      </c>
      <c r="B1290" s="33" t="s">
        <v>814</v>
      </c>
      <c r="C1290" s="39" t="s">
        <v>262</v>
      </c>
      <c r="D1290" s="33">
        <f>IF(C1290="ID",1,(IF(C1290="PR",2,(IF(C1290="DE",3,(IF(C1290="RS",4,(IF(C1290="RC",5,0)))))))))</f>
        <v>2</v>
      </c>
      <c r="E1290" s="33" t="s">
        <v>344</v>
      </c>
      <c r="F1290" s="33">
        <f>IF(E1290="AM",1,(IF(E1290="BE",2,(IF(E1290="GV",3,(IF(E1290="RA",4,(IF(E1290="RM",5,(IF(E1290="AC",1,(IF(E1290="AT",2,(IF(E1290="DS",3,(IF(E1290="IP",4,(IF(E1290="MA",5,(IF(E1290="PT",6,(IF(E1290="AE",1,(IF(E1290="CM",2,(IF(E1290="DP",3,(IF(E1290="AN",1,(IF(E1290="CO",2,(IF(E1290="IM",3,(IF(E1290="MI",4,(IF(E1290="RP",5,(IF(E1290="SC",6,0)))))))))))))))))))))))))))))))))))))))</f>
        <v>4</v>
      </c>
      <c r="G1290" s="170">
        <v>3</v>
      </c>
      <c r="H1290" s="38" t="s">
        <v>511</v>
      </c>
      <c r="I1290" s="35" t="s">
        <v>1176</v>
      </c>
      <c r="J1290" s="162">
        <v>3.2</v>
      </c>
      <c r="K1290" s="80" t="s">
        <v>1052</v>
      </c>
      <c r="L1290" s="66">
        <f>IF(O1290="","",N1290*O1290*M1290)</f>
        <v>75</v>
      </c>
      <c r="M1290" s="8">
        <v>1</v>
      </c>
      <c r="N1290" s="3">
        <v>1</v>
      </c>
      <c r="O1290" s="15">
        <f>IF(SUM(Q1290:AF1290)&lt;1,"",SUM(Q1290:AF1290)/COUNTIF(Q1290:AF1290,"&gt;0"))</f>
        <v>75</v>
      </c>
      <c r="P1290" s="16"/>
      <c r="Q1290" s="13"/>
      <c r="T1290" s="4">
        <v>75</v>
      </c>
      <c r="U1290" s="2"/>
      <c r="V1290" s="2"/>
      <c r="W1290" s="2"/>
      <c r="X1290" s="2"/>
      <c r="Z1290" s="2"/>
      <c r="AA1290" s="2"/>
      <c r="AF1290" s="14"/>
    </row>
    <row r="1291" spans="1:32" s="4" customFormat="1" ht="15.75" customHeight="1" x14ac:dyDescent="0.25">
      <c r="A1291" s="33" t="str">
        <f>CONCATENATE(D1291,".",F1291,"-",G1291,".",H1291,"")</f>
        <v>2.4-3.1</v>
      </c>
      <c r="B1291" s="33" t="s">
        <v>814</v>
      </c>
      <c r="C1291" s="39" t="s">
        <v>262</v>
      </c>
      <c r="D1291" s="33">
        <f>IF(C1291="ID",1,(IF(C1291="PR",2,(IF(C1291="DE",3,(IF(C1291="RS",4,(IF(C1291="RC",5,0)))))))))</f>
        <v>2</v>
      </c>
      <c r="E1291" s="33" t="s">
        <v>344</v>
      </c>
      <c r="F1291" s="33">
        <f>IF(E1291="AM",1,(IF(E1291="BE",2,(IF(E1291="GV",3,(IF(E1291="RA",4,(IF(E1291="RM",5,(IF(E1291="AC",1,(IF(E1291="AT",2,(IF(E1291="DS",3,(IF(E1291="IP",4,(IF(E1291="MA",5,(IF(E1291="PT",6,(IF(E1291="AE",1,(IF(E1291="CM",2,(IF(E1291="DP",3,(IF(E1291="AN",1,(IF(E1291="CO",2,(IF(E1291="IM",3,(IF(E1291="MI",4,(IF(E1291="RP",5,(IF(E1291="SC",6,0)))))))))))))))))))))))))))))))))))))))</f>
        <v>4</v>
      </c>
      <c r="G1291" s="170">
        <v>3</v>
      </c>
      <c r="H1291" s="38" t="s">
        <v>511</v>
      </c>
      <c r="I1291" s="35" t="s">
        <v>1176</v>
      </c>
      <c r="J1291" s="162">
        <v>3.6</v>
      </c>
      <c r="K1291" s="80" t="s">
        <v>1242</v>
      </c>
      <c r="L1291" s="66">
        <f>IF(O1291="","",N1291*O1291*M1291)</f>
        <v>75</v>
      </c>
      <c r="M1291" s="8">
        <v>1</v>
      </c>
      <c r="N1291" s="3">
        <v>1</v>
      </c>
      <c r="O1291" s="15">
        <f>IF(SUM(Q1291:AF1291)&lt;1,"",SUM(Q1291:AF1291)/COUNTIF(Q1291:AF1291,"&gt;0"))</f>
        <v>75</v>
      </c>
      <c r="P1291" s="16"/>
      <c r="Q1291" s="13"/>
      <c r="T1291" s="4">
        <v>75</v>
      </c>
      <c r="U1291" s="2"/>
      <c r="V1291" s="2"/>
      <c r="W1291" s="2"/>
      <c r="X1291" s="2"/>
      <c r="Z1291" s="2"/>
      <c r="AA1291" s="2"/>
      <c r="AF1291" s="14"/>
    </row>
    <row r="1292" spans="1:32" s="4" customFormat="1" ht="15.75" customHeight="1" x14ac:dyDescent="0.25">
      <c r="A1292" s="33" t="str">
        <f>CONCATENATE(D1292,".",F1292,"-",G1292,".",H1292,"")</f>
        <v>2.4-3.1</v>
      </c>
      <c r="B1292" s="33" t="s">
        <v>814</v>
      </c>
      <c r="C1292" s="39" t="s">
        <v>262</v>
      </c>
      <c r="D1292" s="33">
        <f>IF(C1292="ID",1,(IF(C1292="PR",2,(IF(C1292="DE",3,(IF(C1292="RS",4,(IF(C1292="RC",5,0)))))))))</f>
        <v>2</v>
      </c>
      <c r="E1292" s="33" t="s">
        <v>344</v>
      </c>
      <c r="F1292" s="33">
        <f>IF(E1292="AM",1,(IF(E1292="BE",2,(IF(E1292="GV",3,(IF(E1292="RA",4,(IF(E1292="RM",5,(IF(E1292="AC",1,(IF(E1292="AT",2,(IF(E1292="DS",3,(IF(E1292="IP",4,(IF(E1292="MA",5,(IF(E1292="PT",6,(IF(E1292="AE",1,(IF(E1292="CM",2,(IF(E1292="DP",3,(IF(E1292="AN",1,(IF(E1292="CO",2,(IF(E1292="IM",3,(IF(E1292="MI",4,(IF(E1292="RP",5,(IF(E1292="SC",6,0)))))))))))))))))))))))))))))))))))))))</f>
        <v>4</v>
      </c>
      <c r="G1292" s="170">
        <v>3</v>
      </c>
      <c r="H1292" s="38" t="s">
        <v>511</v>
      </c>
      <c r="I1292" s="35" t="s">
        <v>1176</v>
      </c>
      <c r="J1292" s="162">
        <v>3.7</v>
      </c>
      <c r="K1292" s="80" t="s">
        <v>803</v>
      </c>
      <c r="L1292" s="66">
        <f>IF(O1292="","",N1292*O1292*M1292)</f>
        <v>75</v>
      </c>
      <c r="M1292" s="8">
        <v>1</v>
      </c>
      <c r="N1292" s="3">
        <v>1</v>
      </c>
      <c r="O1292" s="15">
        <f>IF(SUM(Q1292:AF1292)&lt;1,"",SUM(Q1292:AF1292)/COUNTIF(Q1292:AF1292,"&gt;0"))</f>
        <v>75</v>
      </c>
      <c r="P1292" s="16"/>
      <c r="Q1292" s="13"/>
      <c r="T1292" s="4">
        <v>75</v>
      </c>
      <c r="U1292" s="2"/>
      <c r="V1292" s="2"/>
      <c r="W1292" s="2"/>
      <c r="X1292" s="2"/>
      <c r="Z1292" s="2"/>
      <c r="AA1292" s="2"/>
      <c r="AF1292" s="14"/>
    </row>
    <row r="1293" spans="1:32" s="4" customFormat="1" ht="15.75" customHeight="1" x14ac:dyDescent="0.25">
      <c r="A1293" s="33" t="str">
        <f>CONCATENATE(D1293,".",F1293,"-",G1293,".",H1293,"")</f>
        <v>2.4-3.1</v>
      </c>
      <c r="B1293" s="33" t="s">
        <v>814</v>
      </c>
      <c r="C1293" s="39" t="s">
        <v>262</v>
      </c>
      <c r="D1293" s="33">
        <f>IF(C1293="ID",1,(IF(C1293="PR",2,(IF(C1293="DE",3,(IF(C1293="RS",4,(IF(C1293="RC",5,0)))))))))</f>
        <v>2</v>
      </c>
      <c r="E1293" s="33" t="s">
        <v>344</v>
      </c>
      <c r="F1293" s="33">
        <f>IF(E1293="AM",1,(IF(E1293="BE",2,(IF(E1293="GV",3,(IF(E1293="RA",4,(IF(E1293="RM",5,(IF(E1293="AC",1,(IF(E1293="AT",2,(IF(E1293="DS",3,(IF(E1293="IP",4,(IF(E1293="MA",5,(IF(E1293="PT",6,(IF(E1293="AE",1,(IF(E1293="CM",2,(IF(E1293="DP",3,(IF(E1293="AN",1,(IF(E1293="CO",2,(IF(E1293="IM",3,(IF(E1293="MI",4,(IF(E1293="RP",5,(IF(E1293="SC",6,0)))))))))))))))))))))))))))))))))))))))</f>
        <v>4</v>
      </c>
      <c r="G1293" s="170">
        <v>3</v>
      </c>
      <c r="H1293" s="38" t="s">
        <v>511</v>
      </c>
      <c r="I1293" s="35" t="s">
        <v>1176</v>
      </c>
      <c r="J1293" s="162">
        <v>6.1</v>
      </c>
      <c r="K1293" s="80" t="s">
        <v>798</v>
      </c>
      <c r="L1293" s="66">
        <f>IF(O1293="","",N1293*O1293*M1293)</f>
        <v>75</v>
      </c>
      <c r="M1293" s="8">
        <v>1</v>
      </c>
      <c r="N1293" s="3">
        <v>1</v>
      </c>
      <c r="O1293" s="15">
        <f>IF(SUM(Q1293:AF1293)&lt;1,"",SUM(Q1293:AF1293)/COUNTIF(Q1293:AF1293,"&gt;0"))</f>
        <v>75</v>
      </c>
      <c r="P1293" s="16"/>
      <c r="Q1293" s="13"/>
      <c r="T1293" s="4">
        <v>75</v>
      </c>
      <c r="U1293" s="2"/>
      <c r="V1293" s="2"/>
      <c r="W1293" s="2"/>
      <c r="X1293" s="2"/>
      <c r="Z1293" s="2"/>
      <c r="AA1293" s="2"/>
      <c r="AF1293" s="14"/>
    </row>
    <row r="1294" spans="1:32" s="4" customFormat="1" ht="15.75" customHeight="1" x14ac:dyDescent="0.25">
      <c r="A1294" s="33" t="str">
        <f>CONCATENATE(D1294,".",F1294,"-",G1294,".",H1294,"")</f>
        <v>2.4-3.1</v>
      </c>
      <c r="B1294" s="33" t="s">
        <v>814</v>
      </c>
      <c r="C1294" s="39" t="s">
        <v>262</v>
      </c>
      <c r="D1294" s="33">
        <f>IF(C1294="ID",1,(IF(C1294="PR",2,(IF(C1294="DE",3,(IF(C1294="RS",4,(IF(C1294="RC",5,0)))))))))</f>
        <v>2</v>
      </c>
      <c r="E1294" s="33" t="s">
        <v>344</v>
      </c>
      <c r="F1294" s="33">
        <f>IF(E1294="AM",1,(IF(E1294="BE",2,(IF(E1294="GV",3,(IF(E1294="RA",4,(IF(E1294="RM",5,(IF(E1294="AC",1,(IF(E1294="AT",2,(IF(E1294="DS",3,(IF(E1294="IP",4,(IF(E1294="MA",5,(IF(E1294="PT",6,(IF(E1294="AE",1,(IF(E1294="CM",2,(IF(E1294="DP",3,(IF(E1294="AN",1,(IF(E1294="CO",2,(IF(E1294="IM",3,(IF(E1294="MI",4,(IF(E1294="RP",5,(IF(E1294="SC",6,0)))))))))))))))))))))))))))))))))))))))</f>
        <v>4</v>
      </c>
      <c r="G1294" s="170">
        <v>3</v>
      </c>
      <c r="H1294" s="38" t="s">
        <v>511</v>
      </c>
      <c r="I1294" s="35" t="s">
        <v>1176</v>
      </c>
      <c r="J1294" s="162">
        <v>6.2</v>
      </c>
      <c r="K1294" s="80" t="s">
        <v>808</v>
      </c>
      <c r="L1294" s="66">
        <f>IF(O1294="","",N1294*O1294*M1294)</f>
        <v>75</v>
      </c>
      <c r="M1294" s="8">
        <v>1</v>
      </c>
      <c r="N1294" s="3">
        <v>1</v>
      </c>
      <c r="O1294" s="15">
        <f>IF(SUM(Q1294:AF1294)&lt;1,"",SUM(Q1294:AF1294)/COUNTIF(Q1294:AF1294,"&gt;0"))</f>
        <v>75</v>
      </c>
      <c r="P1294" s="16"/>
      <c r="Q1294" s="13"/>
      <c r="T1294" s="4">
        <v>75</v>
      </c>
      <c r="U1294" s="2"/>
      <c r="V1294" s="2"/>
      <c r="W1294" s="2"/>
      <c r="X1294" s="2"/>
      <c r="Z1294" s="2"/>
      <c r="AA1294" s="2"/>
      <c r="AF1294" s="14"/>
    </row>
    <row r="1295" spans="1:32" s="4" customFormat="1" ht="15.75" customHeight="1" x14ac:dyDescent="0.25">
      <c r="A1295" s="33" t="str">
        <f>CONCATENATE(D1295,".",F1295,"-",G1295,".",H1295,"")</f>
        <v>2.4-3.1</v>
      </c>
      <c r="B1295" s="33" t="s">
        <v>814</v>
      </c>
      <c r="C1295" s="40" t="s">
        <v>262</v>
      </c>
      <c r="D1295" s="33">
        <f>IF(C1295="ID",1,(IF(C1295="PR",2,(IF(C1295="DE",3,(IF(C1295="RS",4,(IF(C1295="RC",5,0)))))))))</f>
        <v>2</v>
      </c>
      <c r="E1295" s="33" t="s">
        <v>344</v>
      </c>
      <c r="F1295" s="33">
        <f>IF(E1295="AM",1,(IF(E1295="BE",2,(IF(E1295="GV",3,(IF(E1295="RA",4,(IF(E1295="RM",5,(IF(E1295="AC",1,(IF(E1295="AT",2,(IF(E1295="DS",3,(IF(E1295="IP",4,(IF(E1295="MA",5,(IF(E1295="PT",6,(IF(E1295="AE",1,(IF(E1295="CM",2,(IF(E1295="DP",3,(IF(E1295="AN",1,(IF(E1295="CO",2,(IF(E1295="IM",3,(IF(E1295="MI",4,(IF(E1295="RP",5,(IF(E1295="SC",6,0)))))))))))))))))))))))))))))))))))))))</f>
        <v>4</v>
      </c>
      <c r="G1295" s="171">
        <v>3</v>
      </c>
      <c r="H1295" s="38" t="s">
        <v>511</v>
      </c>
      <c r="I1295" s="27" t="s">
        <v>936</v>
      </c>
      <c r="J1295" s="163">
        <v>164.30600000000001</v>
      </c>
      <c r="K1295" s="34" t="s">
        <v>966</v>
      </c>
      <c r="L1295" s="66">
        <f>IF(O1295="","",N1295*O1295*M1295)</f>
        <v>75</v>
      </c>
      <c r="M1295" s="8">
        <v>1</v>
      </c>
      <c r="N1295" s="3">
        <v>1</v>
      </c>
      <c r="O1295" s="15">
        <f>IF(SUM(Q1295:AF1295)&lt;1,"",SUM(Q1295:AF1295)/COUNTIF(Q1295:AF1295,"&gt;0"))</f>
        <v>75</v>
      </c>
      <c r="P1295" s="16"/>
      <c r="Q1295" s="13"/>
      <c r="T1295" s="4">
        <v>75</v>
      </c>
      <c r="U1295" s="2"/>
      <c r="V1295" s="2"/>
      <c r="W1295" s="2"/>
      <c r="X1295" s="2"/>
      <c r="Z1295" s="2"/>
      <c r="AA1295" s="2"/>
      <c r="AF1295" s="14"/>
    </row>
    <row r="1296" spans="1:32" s="4" customFormat="1" ht="15.75" customHeight="1" x14ac:dyDescent="0.25">
      <c r="A1296" s="33" t="str">
        <f>CONCATENATE(D1296,".",F1296,"-",G1296,".",H1296,"")</f>
        <v>2.4-3.1</v>
      </c>
      <c r="B1296" s="33" t="s">
        <v>814</v>
      </c>
      <c r="C1296" s="39" t="s">
        <v>262</v>
      </c>
      <c r="D1296" s="33">
        <f>IF(C1296="ID",1,(IF(C1296="PR",2,(IF(C1296="DE",3,(IF(C1296="RS",4,(IF(C1296="RC",5,0)))))))))</f>
        <v>2</v>
      </c>
      <c r="E1296" s="33" t="s">
        <v>344</v>
      </c>
      <c r="F1296" s="33">
        <f>IF(E1296="AM",1,(IF(E1296="BE",2,(IF(E1296="GV",3,(IF(E1296="RA",4,(IF(E1296="RM",5,(IF(E1296="AC",1,(IF(E1296="AT",2,(IF(E1296="DS",3,(IF(E1296="IP",4,(IF(E1296="MA",5,(IF(E1296="PT",6,(IF(E1296="AE",1,(IF(E1296="CM",2,(IF(E1296="DP",3,(IF(E1296="AN",1,(IF(E1296="CO",2,(IF(E1296="IM",3,(IF(E1296="MI",4,(IF(E1296="RP",5,(IF(E1296="SC",6,0)))))))))))))))))))))))))))))))))))))))</f>
        <v>4</v>
      </c>
      <c r="G1296" s="170">
        <v>3</v>
      </c>
      <c r="H1296" s="38" t="s">
        <v>511</v>
      </c>
      <c r="I1296" s="105" t="s">
        <v>821</v>
      </c>
      <c r="J1296" s="150" t="s">
        <v>106</v>
      </c>
      <c r="K1296" s="79" t="s">
        <v>1283</v>
      </c>
      <c r="L1296" s="66">
        <f>IF(O1296="","",N1296*O1296*M1296)</f>
        <v>75</v>
      </c>
      <c r="M1296" s="8">
        <v>1</v>
      </c>
      <c r="N1296" s="3">
        <v>1</v>
      </c>
      <c r="O1296" s="15">
        <f>IF(SUM(Q1296:AF1296)&lt;1,"",SUM(Q1296:AF1296)/COUNTIF(Q1296:AF1296,"&gt;0"))</f>
        <v>75</v>
      </c>
      <c r="P1296" s="16"/>
      <c r="Q1296" s="13"/>
      <c r="T1296" s="4">
        <v>75</v>
      </c>
      <c r="U1296" s="2"/>
      <c r="V1296" s="2"/>
      <c r="W1296" s="2"/>
      <c r="X1296" s="2"/>
      <c r="Z1296" s="2"/>
      <c r="AA1296" s="2"/>
      <c r="AF1296" s="14"/>
    </row>
    <row r="1297" spans="1:32" s="4" customFormat="1" ht="15.75" customHeight="1" x14ac:dyDescent="0.25">
      <c r="A1297" s="33" t="str">
        <f>CONCATENATE(D1297,".",F1297,"-",G1297,".",H1297,"")</f>
        <v>2.4-3.1</v>
      </c>
      <c r="B1297" s="33" t="s">
        <v>814</v>
      </c>
      <c r="C1297" s="40" t="s">
        <v>262</v>
      </c>
      <c r="D1297" s="33">
        <f>IF(C1297="ID",1,(IF(C1297="PR",2,(IF(C1297="DE",3,(IF(C1297="RS",4,(IF(C1297="RC",5,0)))))))))</f>
        <v>2</v>
      </c>
      <c r="E1297" s="33" t="s">
        <v>344</v>
      </c>
      <c r="F1297" s="33">
        <f>IF(E1297="AM",1,(IF(E1297="BE",2,(IF(E1297="GV",3,(IF(E1297="RA",4,(IF(E1297="RM",5,(IF(E1297="AC",1,(IF(E1297="AT",2,(IF(E1297="DS",3,(IF(E1297="IP",4,(IF(E1297="MA",5,(IF(E1297="PT",6,(IF(E1297="AE",1,(IF(E1297="CM",2,(IF(E1297="DP",3,(IF(E1297="AN",1,(IF(E1297="CO",2,(IF(E1297="IM",3,(IF(E1297="MI",4,(IF(E1297="RP",5,(IF(E1297="SC",6,0)))))))))))))))))))))))))))))))))))))))</f>
        <v>4</v>
      </c>
      <c r="G1297" s="171">
        <v>3</v>
      </c>
      <c r="H1297" s="38" t="s">
        <v>511</v>
      </c>
      <c r="I1297" s="105" t="s">
        <v>821</v>
      </c>
      <c r="J1297" s="150" t="s">
        <v>599</v>
      </c>
      <c r="K1297" s="79" t="s">
        <v>1283</v>
      </c>
      <c r="L1297" s="66">
        <f>IF(O1297="","",N1297*O1297*M1297)</f>
        <v>75</v>
      </c>
      <c r="M1297" s="8">
        <v>1</v>
      </c>
      <c r="N1297" s="3">
        <v>1</v>
      </c>
      <c r="O1297" s="15">
        <f>IF(SUM(Q1297:AF1297)&lt;1,"",SUM(Q1297:AF1297)/COUNTIF(Q1297:AF1297,"&gt;0"))</f>
        <v>75</v>
      </c>
      <c r="P1297" s="16"/>
      <c r="Q1297" s="13"/>
      <c r="T1297" s="4">
        <v>75</v>
      </c>
      <c r="U1297" s="2"/>
      <c r="V1297" s="2"/>
      <c r="W1297" s="2"/>
      <c r="X1297" s="2"/>
      <c r="Z1297" s="2"/>
      <c r="AA1297" s="2"/>
      <c r="AF1297" s="14"/>
    </row>
    <row r="1298" spans="1:32" s="4" customFormat="1" ht="15.75" customHeight="1" x14ac:dyDescent="0.25">
      <c r="A1298" s="33" t="str">
        <f>CONCATENATE(D1298,".",F1298,"-",G1298,".",H1298,"")</f>
        <v>2.4-3.1</v>
      </c>
      <c r="B1298" s="33" t="s">
        <v>814</v>
      </c>
      <c r="C1298" s="39" t="s">
        <v>262</v>
      </c>
      <c r="D1298" s="33">
        <f>IF(C1298="ID",1,(IF(C1298="PR",2,(IF(C1298="DE",3,(IF(C1298="RS",4,(IF(C1298="RC",5,0)))))))))</f>
        <v>2</v>
      </c>
      <c r="E1298" s="33" t="s">
        <v>344</v>
      </c>
      <c r="F1298" s="33">
        <f>IF(E1298="AM",1,(IF(E1298="BE",2,(IF(E1298="GV",3,(IF(E1298="RA",4,(IF(E1298="RM",5,(IF(E1298="AC",1,(IF(E1298="AT",2,(IF(E1298="DS",3,(IF(E1298="IP",4,(IF(E1298="MA",5,(IF(E1298="PT",6,(IF(E1298="AE",1,(IF(E1298="CM",2,(IF(E1298="DP",3,(IF(E1298="AN",1,(IF(E1298="CO",2,(IF(E1298="IM",3,(IF(E1298="MI",4,(IF(E1298="RP",5,(IF(E1298="SC",6,0)))))))))))))))))))))))))))))))))))))))</f>
        <v>4</v>
      </c>
      <c r="G1298" s="170">
        <v>3</v>
      </c>
      <c r="H1298" s="38" t="s">
        <v>511</v>
      </c>
      <c r="I1298" s="105" t="s">
        <v>821</v>
      </c>
      <c r="J1298" s="150" t="s">
        <v>201</v>
      </c>
      <c r="K1298" s="79" t="s">
        <v>1283</v>
      </c>
      <c r="L1298" s="66">
        <f>IF(O1298="","",N1298*O1298*M1298)</f>
        <v>75</v>
      </c>
      <c r="M1298" s="8">
        <v>1</v>
      </c>
      <c r="N1298" s="3">
        <v>1</v>
      </c>
      <c r="O1298" s="15">
        <f>IF(SUM(Q1298:AF1298)&lt;1,"",SUM(Q1298:AF1298)/COUNTIF(Q1298:AF1298,"&gt;0"))</f>
        <v>75</v>
      </c>
      <c r="P1298" s="16"/>
      <c r="Q1298" s="13"/>
      <c r="T1298" s="4">
        <v>75</v>
      </c>
      <c r="U1298" s="2"/>
      <c r="V1298" s="2"/>
      <c r="W1298" s="2"/>
      <c r="X1298" s="2"/>
      <c r="Z1298" s="2"/>
      <c r="AA1298" s="2"/>
      <c r="AF1298" s="14"/>
    </row>
    <row r="1299" spans="1:32" s="4" customFormat="1" ht="15.75" customHeight="1" x14ac:dyDescent="0.25">
      <c r="A1299" s="33" t="str">
        <f>CONCATENATE(D1299,".",F1299,"-",G1299,".",H1299,"")</f>
        <v>2.4-3.1</v>
      </c>
      <c r="B1299" s="33" t="s">
        <v>814</v>
      </c>
      <c r="C1299" s="39" t="s">
        <v>262</v>
      </c>
      <c r="D1299" s="33">
        <f>IF(C1299="ID",1,(IF(C1299="PR",2,(IF(C1299="DE",3,(IF(C1299="RS",4,(IF(C1299="RC",5,0)))))))))</f>
        <v>2</v>
      </c>
      <c r="E1299" s="33" t="s">
        <v>344</v>
      </c>
      <c r="F1299" s="33">
        <f>IF(E1299="AM",1,(IF(E1299="BE",2,(IF(E1299="GV",3,(IF(E1299="RA",4,(IF(E1299="RM",5,(IF(E1299="AC",1,(IF(E1299="AT",2,(IF(E1299="DS",3,(IF(E1299="IP",4,(IF(E1299="MA",5,(IF(E1299="PT",6,(IF(E1299="AE",1,(IF(E1299="CM",2,(IF(E1299="DP",3,(IF(E1299="AN",1,(IF(E1299="CO",2,(IF(E1299="IM",3,(IF(E1299="MI",4,(IF(E1299="RP",5,(IF(E1299="SC",6,0)))))))))))))))))))))))))))))))))))))))</f>
        <v>4</v>
      </c>
      <c r="G1299" s="170">
        <v>3</v>
      </c>
      <c r="H1299" s="38" t="s">
        <v>511</v>
      </c>
      <c r="I1299" s="105" t="s">
        <v>821</v>
      </c>
      <c r="J1299" s="150" t="s">
        <v>202</v>
      </c>
      <c r="K1299" s="79" t="s">
        <v>1283</v>
      </c>
      <c r="L1299" s="66">
        <f>IF(O1299="","",N1299*O1299*M1299)</f>
        <v>75</v>
      </c>
      <c r="M1299" s="8">
        <v>1</v>
      </c>
      <c r="N1299" s="3">
        <v>1</v>
      </c>
      <c r="O1299" s="15">
        <f>IF(SUM(Q1299:AF1299)&lt;1,"",SUM(Q1299:AF1299)/COUNTIF(Q1299:AF1299,"&gt;0"))</f>
        <v>75</v>
      </c>
      <c r="P1299" s="16"/>
      <c r="Q1299" s="13"/>
      <c r="T1299" s="4">
        <v>75</v>
      </c>
      <c r="U1299" s="2"/>
      <c r="V1299" s="2"/>
      <c r="W1299" s="2"/>
      <c r="X1299" s="2"/>
      <c r="Z1299" s="2"/>
      <c r="AA1299" s="2"/>
      <c r="AF1299" s="14"/>
    </row>
    <row r="1300" spans="1:32" s="4" customFormat="1" ht="15.75" customHeight="1" x14ac:dyDescent="0.25">
      <c r="A1300" s="33" t="str">
        <f>CONCATENATE(D1300,".",F1300,"-",G1300,".",H1300,"")</f>
        <v>2.4-3.1</v>
      </c>
      <c r="B1300" s="33" t="s">
        <v>814</v>
      </c>
      <c r="C1300" s="39" t="s">
        <v>262</v>
      </c>
      <c r="D1300" s="33">
        <f>IF(C1300="ID",1,(IF(C1300="PR",2,(IF(C1300="DE",3,(IF(C1300="RS",4,(IF(C1300="RC",5,0)))))))))</f>
        <v>2</v>
      </c>
      <c r="E1300" s="33" t="s">
        <v>344</v>
      </c>
      <c r="F1300" s="33">
        <f>IF(E1300="AM",1,(IF(E1300="BE",2,(IF(E1300="GV",3,(IF(E1300="RA",4,(IF(E1300="RM",5,(IF(E1300="AC",1,(IF(E1300="AT",2,(IF(E1300="DS",3,(IF(E1300="IP",4,(IF(E1300="MA",5,(IF(E1300="PT",6,(IF(E1300="AE",1,(IF(E1300="CM",2,(IF(E1300="DP",3,(IF(E1300="AN",1,(IF(E1300="CO",2,(IF(E1300="IM",3,(IF(E1300="MI",4,(IF(E1300="RP",5,(IF(E1300="SC",6,0)))))))))))))))))))))))))))))))))))))))</f>
        <v>4</v>
      </c>
      <c r="G1300" s="170">
        <v>3</v>
      </c>
      <c r="H1300" s="38" t="s">
        <v>511</v>
      </c>
      <c r="I1300" s="105" t="s">
        <v>821</v>
      </c>
      <c r="J1300" s="150" t="s">
        <v>203</v>
      </c>
      <c r="K1300" s="79" t="s">
        <v>1283</v>
      </c>
      <c r="L1300" s="66">
        <f>IF(O1300="","",N1300*O1300*M1300)</f>
        <v>75</v>
      </c>
      <c r="M1300" s="8">
        <v>1</v>
      </c>
      <c r="N1300" s="3">
        <v>1</v>
      </c>
      <c r="O1300" s="15">
        <f>IF(SUM(Q1300:AF1300)&lt;1,"",SUM(Q1300:AF1300)/COUNTIF(Q1300:AF1300,"&gt;0"))</f>
        <v>75</v>
      </c>
      <c r="P1300" s="16"/>
      <c r="Q1300" s="13"/>
      <c r="T1300" s="4">
        <v>75</v>
      </c>
      <c r="U1300" s="2"/>
      <c r="V1300" s="2"/>
      <c r="W1300" s="2"/>
      <c r="X1300" s="2"/>
      <c r="Z1300" s="2"/>
      <c r="AA1300" s="2"/>
      <c r="AF1300" s="14"/>
    </row>
    <row r="1301" spans="1:32" s="4" customFormat="1" ht="15.75" customHeight="1" x14ac:dyDescent="0.25">
      <c r="A1301" s="33" t="str">
        <f>CONCATENATE(D1301,".",F1301,"-",G1301,".",H1301,"")</f>
        <v>2.4-3.1</v>
      </c>
      <c r="B1301" s="33" t="s">
        <v>814</v>
      </c>
      <c r="C1301" s="40" t="s">
        <v>262</v>
      </c>
      <c r="D1301" s="33">
        <f>IF(C1301="ID",1,(IF(C1301="PR",2,(IF(C1301="DE",3,(IF(C1301="RS",4,(IF(C1301="RC",5,0)))))))))</f>
        <v>2</v>
      </c>
      <c r="E1301" s="33" t="s">
        <v>344</v>
      </c>
      <c r="F1301" s="33">
        <f>IF(E1301="AM",1,(IF(E1301="BE",2,(IF(E1301="GV",3,(IF(E1301="RA",4,(IF(E1301="RM",5,(IF(E1301="AC",1,(IF(E1301="AT",2,(IF(E1301="DS",3,(IF(E1301="IP",4,(IF(E1301="MA",5,(IF(E1301="PT",6,(IF(E1301="AE",1,(IF(E1301="CM",2,(IF(E1301="DP",3,(IF(E1301="AN",1,(IF(E1301="CO",2,(IF(E1301="IM",3,(IF(E1301="MI",4,(IF(E1301="RP",5,(IF(E1301="SC",6,0)))))))))))))))))))))))))))))))))))))))</f>
        <v>4</v>
      </c>
      <c r="G1301" s="171">
        <v>3</v>
      </c>
      <c r="H1301" s="38" t="s">
        <v>511</v>
      </c>
      <c r="I1301" s="27" t="s">
        <v>936</v>
      </c>
      <c r="J1301" s="163" t="s">
        <v>869</v>
      </c>
      <c r="K1301" s="34" t="s">
        <v>992</v>
      </c>
      <c r="L1301" s="66">
        <f>IF(O1301="","",N1301*O1301*M1301)</f>
        <v>75</v>
      </c>
      <c r="M1301" s="8">
        <v>1</v>
      </c>
      <c r="N1301" s="3">
        <v>1</v>
      </c>
      <c r="O1301" s="15">
        <f>IF(SUM(Q1301:AF1301)&lt;1,"",SUM(Q1301:AF1301)/COUNTIF(Q1301:AF1301,"&gt;0"))</f>
        <v>75</v>
      </c>
      <c r="P1301" s="16"/>
      <c r="Q1301" s="13"/>
      <c r="T1301" s="4">
        <v>75</v>
      </c>
      <c r="U1301" s="2"/>
      <c r="V1301" s="2"/>
      <c r="W1301" s="2"/>
      <c r="X1301" s="2"/>
      <c r="Z1301" s="2"/>
      <c r="AA1301" s="2"/>
      <c r="AF1301" s="14"/>
    </row>
    <row r="1302" spans="1:32" s="4" customFormat="1" ht="15.75" customHeight="1" x14ac:dyDescent="0.25">
      <c r="A1302" s="33" t="str">
        <f>CONCATENATE(D1302,".",F1302,"-",G1302,".",H1302,"")</f>
        <v>2.4-3.1</v>
      </c>
      <c r="B1302" s="33" t="s">
        <v>814</v>
      </c>
      <c r="C1302" s="40" t="s">
        <v>262</v>
      </c>
      <c r="D1302" s="33">
        <f>IF(C1302="ID",1,(IF(C1302="PR",2,(IF(C1302="DE",3,(IF(C1302="RS",4,(IF(C1302="RC",5,0)))))))))</f>
        <v>2</v>
      </c>
      <c r="E1302" s="33" t="s">
        <v>344</v>
      </c>
      <c r="F1302" s="33">
        <f>IF(E1302="AM",1,(IF(E1302="BE",2,(IF(E1302="GV",3,(IF(E1302="RA",4,(IF(E1302="RM",5,(IF(E1302="AC",1,(IF(E1302="AT",2,(IF(E1302="DS",3,(IF(E1302="IP",4,(IF(E1302="MA",5,(IF(E1302="PT",6,(IF(E1302="AE",1,(IF(E1302="CM",2,(IF(E1302="DP",3,(IF(E1302="AN",1,(IF(E1302="CO",2,(IF(E1302="IM",3,(IF(E1302="MI",4,(IF(E1302="RP",5,(IF(E1302="SC",6,0)))))))))))))))))))))))))))))))))))))))</f>
        <v>4</v>
      </c>
      <c r="G1302" s="171">
        <v>3</v>
      </c>
      <c r="H1302" s="38" t="s">
        <v>511</v>
      </c>
      <c r="I1302" s="105" t="s">
        <v>821</v>
      </c>
      <c r="J1302" s="150" t="s">
        <v>147</v>
      </c>
      <c r="K1302" s="79" t="s">
        <v>1283</v>
      </c>
      <c r="L1302" s="66">
        <f>IF(O1302="","",N1302*O1302*M1302)</f>
        <v>75</v>
      </c>
      <c r="M1302" s="8">
        <v>1</v>
      </c>
      <c r="N1302" s="3">
        <v>1</v>
      </c>
      <c r="O1302" s="15">
        <f>IF(SUM(Q1302:AF1302)&lt;1,"",SUM(Q1302:AF1302)/COUNTIF(Q1302:AF1302,"&gt;0"))</f>
        <v>75</v>
      </c>
      <c r="P1302" s="16"/>
      <c r="Q1302" s="13"/>
      <c r="T1302" s="4">
        <v>75</v>
      </c>
      <c r="U1302" s="2"/>
      <c r="V1302" s="2"/>
      <c r="W1302" s="2"/>
      <c r="X1302" s="2"/>
      <c r="Z1302" s="2"/>
      <c r="AA1302" s="2"/>
      <c r="AF1302" s="14"/>
    </row>
    <row r="1303" spans="1:32" s="4" customFormat="1" ht="15.75" customHeight="1" x14ac:dyDescent="0.25">
      <c r="A1303" s="33" t="str">
        <f>CONCATENATE(D1303,".",F1303,"-",G1303,".",H1303,"")</f>
        <v>2.4-3.1</v>
      </c>
      <c r="B1303" s="33" t="s">
        <v>814</v>
      </c>
      <c r="C1303" s="39" t="s">
        <v>262</v>
      </c>
      <c r="D1303" s="33">
        <f>IF(C1303="ID",1,(IF(C1303="PR",2,(IF(C1303="DE",3,(IF(C1303="RS",4,(IF(C1303="RC",5,0)))))))))</f>
        <v>2</v>
      </c>
      <c r="E1303" s="33" t="s">
        <v>344</v>
      </c>
      <c r="F1303" s="33">
        <f>IF(E1303="AM",1,(IF(E1303="BE",2,(IF(E1303="GV",3,(IF(E1303="RA",4,(IF(E1303="RM",5,(IF(E1303="AC",1,(IF(E1303="AT",2,(IF(E1303="DS",3,(IF(E1303="IP",4,(IF(E1303="MA",5,(IF(E1303="PT",6,(IF(E1303="AE",1,(IF(E1303="CM",2,(IF(E1303="DP",3,(IF(E1303="AN",1,(IF(E1303="CO",2,(IF(E1303="IM",3,(IF(E1303="MI",4,(IF(E1303="RP",5,(IF(E1303="SC",6,0)))))))))))))))))))))))))))))))))))))))</f>
        <v>4</v>
      </c>
      <c r="G1303" s="170">
        <v>3</v>
      </c>
      <c r="H1303" s="38" t="s">
        <v>511</v>
      </c>
      <c r="I1303" s="105" t="s">
        <v>821</v>
      </c>
      <c r="J1303" s="150" t="s">
        <v>148</v>
      </c>
      <c r="K1303" s="79" t="s">
        <v>1283</v>
      </c>
      <c r="L1303" s="66">
        <f>IF(O1303="","",N1303*O1303*M1303)</f>
        <v>75</v>
      </c>
      <c r="M1303" s="8">
        <v>1</v>
      </c>
      <c r="N1303" s="3">
        <v>1</v>
      </c>
      <c r="O1303" s="15">
        <f>IF(SUM(Q1303:AF1303)&lt;1,"",SUM(Q1303:AF1303)/COUNTIF(Q1303:AF1303,"&gt;0"))</f>
        <v>75</v>
      </c>
      <c r="P1303" s="16"/>
      <c r="Q1303" s="13"/>
      <c r="T1303" s="4">
        <v>75</v>
      </c>
      <c r="U1303" s="2"/>
      <c r="V1303" s="2"/>
      <c r="W1303" s="2"/>
      <c r="X1303" s="2"/>
      <c r="Z1303" s="2"/>
      <c r="AA1303" s="2"/>
      <c r="AF1303" s="14"/>
    </row>
    <row r="1304" spans="1:32" x14ac:dyDescent="0.25">
      <c r="A1304" s="33" t="str">
        <f>CONCATENATE(D1304,".",F1304,"-",G1304,".",H1304,"")</f>
        <v>2.4-3.1</v>
      </c>
      <c r="B1304" s="33" t="s">
        <v>814</v>
      </c>
      <c r="C1304" s="39" t="s">
        <v>262</v>
      </c>
      <c r="D1304" s="33">
        <f>IF(C1304="ID",1,(IF(C1304="PR",2,(IF(C1304="DE",3,(IF(C1304="RS",4,(IF(C1304="RC",5,0)))))))))</f>
        <v>2</v>
      </c>
      <c r="E1304" s="33" t="s">
        <v>344</v>
      </c>
      <c r="F1304" s="33">
        <f>IF(E1304="AM",1,(IF(E1304="BE",2,(IF(E1304="GV",3,(IF(E1304="RA",4,(IF(E1304="RM",5,(IF(E1304="AC",1,(IF(E1304="AT",2,(IF(E1304="DS",3,(IF(E1304="IP",4,(IF(E1304="MA",5,(IF(E1304="PT",6,(IF(E1304="AE",1,(IF(E1304="CM",2,(IF(E1304="DP",3,(IF(E1304="AN",1,(IF(E1304="CO",2,(IF(E1304="IM",3,(IF(E1304="MI",4,(IF(E1304="RP",5,(IF(E1304="SC",6,0)))))))))))))))))))))))))))))))))))))))</f>
        <v>4</v>
      </c>
      <c r="G1304" s="170">
        <v>3</v>
      </c>
      <c r="H1304" s="38" t="s">
        <v>511</v>
      </c>
      <c r="I1304" s="3" t="s">
        <v>821</v>
      </c>
      <c r="J1304" s="150" t="s">
        <v>149</v>
      </c>
      <c r="K1304" s="79" t="s">
        <v>1283</v>
      </c>
      <c r="L1304" s="66">
        <f>IF(O1304="","",N1304*O1304*M1304)</f>
        <v>75</v>
      </c>
      <c r="M1304" s="8">
        <v>1</v>
      </c>
      <c r="N1304" s="3">
        <v>1</v>
      </c>
      <c r="O1304" s="15">
        <f>IF(SUM(Q1304:AF1304)&lt;1,"",SUM(Q1304:AF1304)/COUNTIF(Q1304:AF1304,"&gt;0"))</f>
        <v>75</v>
      </c>
      <c r="P1304" s="16"/>
      <c r="Q1304" s="13"/>
      <c r="R1304" s="4"/>
      <c r="S1304" s="4"/>
      <c r="T1304" s="4">
        <v>75</v>
      </c>
      <c r="U1304" s="2"/>
      <c r="V1304" s="2"/>
      <c r="W1304" s="2"/>
      <c r="X1304" s="2"/>
      <c r="Y1304" s="4"/>
      <c r="Z1304" s="2"/>
      <c r="AA1304" s="2"/>
      <c r="AB1304" s="4"/>
      <c r="AC1304" s="4"/>
      <c r="AD1304" s="4"/>
      <c r="AE1304" s="4"/>
      <c r="AF1304" s="14"/>
    </row>
    <row r="1305" spans="1:32" x14ac:dyDescent="0.25">
      <c r="A1305" s="33" t="str">
        <f>CONCATENATE(D1305,".",F1305,"-",G1305,".",H1305,"")</f>
        <v>2.4-3.1</v>
      </c>
      <c r="B1305" s="33" t="s">
        <v>814</v>
      </c>
      <c r="C1305" s="39" t="s">
        <v>262</v>
      </c>
      <c r="D1305" s="33">
        <f>IF(C1305="ID",1,(IF(C1305="PR",2,(IF(C1305="DE",3,(IF(C1305="RS",4,(IF(C1305="RC",5,0)))))))))</f>
        <v>2</v>
      </c>
      <c r="E1305" s="33" t="s">
        <v>344</v>
      </c>
      <c r="F1305" s="33">
        <f>IF(E1305="AM",1,(IF(E1305="BE",2,(IF(E1305="GV",3,(IF(E1305="RA",4,(IF(E1305="RM",5,(IF(E1305="AC",1,(IF(E1305="AT",2,(IF(E1305="DS",3,(IF(E1305="IP",4,(IF(E1305="MA",5,(IF(E1305="PT",6,(IF(E1305="AE",1,(IF(E1305="CM",2,(IF(E1305="DP",3,(IF(E1305="AN",1,(IF(E1305="CO",2,(IF(E1305="IM",3,(IF(E1305="MI",4,(IF(E1305="RP",5,(IF(E1305="SC",6,0)))))))))))))))))))))))))))))))))))))))</f>
        <v>4</v>
      </c>
      <c r="G1305" s="170">
        <v>3</v>
      </c>
      <c r="H1305" s="38" t="s">
        <v>511</v>
      </c>
      <c r="I1305" s="3" t="s">
        <v>821</v>
      </c>
      <c r="J1305" s="150" t="s">
        <v>151</v>
      </c>
      <c r="K1305" s="79" t="s">
        <v>1283</v>
      </c>
      <c r="L1305" s="66">
        <f>IF(O1305="","",N1305*O1305*M1305)</f>
        <v>75</v>
      </c>
      <c r="M1305" s="8">
        <v>1</v>
      </c>
      <c r="N1305" s="3">
        <v>1</v>
      </c>
      <c r="O1305" s="15">
        <f>IF(SUM(Q1305:AF1305)&lt;1,"",SUM(Q1305:AF1305)/COUNTIF(Q1305:AF1305,"&gt;0"))</f>
        <v>75</v>
      </c>
      <c r="P1305" s="16"/>
      <c r="Q1305" s="13"/>
      <c r="R1305" s="4"/>
      <c r="S1305" s="4"/>
      <c r="T1305" s="4">
        <v>75</v>
      </c>
      <c r="U1305" s="2"/>
      <c r="V1305" s="2"/>
      <c r="W1305" s="2"/>
      <c r="X1305" s="2"/>
      <c r="Y1305" s="4"/>
      <c r="Z1305" s="2"/>
      <c r="AA1305" s="2"/>
      <c r="AB1305" s="4"/>
      <c r="AC1305" s="4"/>
      <c r="AD1305" s="4"/>
      <c r="AE1305" s="4"/>
      <c r="AF1305" s="14"/>
    </row>
    <row r="1306" spans="1:32" x14ac:dyDescent="0.25">
      <c r="A1306" s="33" t="str">
        <f>CONCATENATE(D1306,".",F1306,"-",G1306,".",H1306,"")</f>
        <v>2.4-3.1</v>
      </c>
      <c r="B1306" s="33" t="s">
        <v>814</v>
      </c>
      <c r="C1306" s="40" t="s">
        <v>262</v>
      </c>
      <c r="D1306" s="33">
        <f>IF(C1306="ID",1,(IF(C1306="PR",2,(IF(C1306="DE",3,(IF(C1306="RS",4,(IF(C1306="RC",5,0)))))))))</f>
        <v>2</v>
      </c>
      <c r="E1306" s="33" t="s">
        <v>344</v>
      </c>
      <c r="F1306" s="33">
        <f>IF(E1306="AM",1,(IF(E1306="BE",2,(IF(E1306="GV",3,(IF(E1306="RA",4,(IF(E1306="RM",5,(IF(E1306="AC",1,(IF(E1306="AT",2,(IF(E1306="DS",3,(IF(E1306="IP",4,(IF(E1306="MA",5,(IF(E1306="PT",6,(IF(E1306="AE",1,(IF(E1306="CM",2,(IF(E1306="DP",3,(IF(E1306="AN",1,(IF(E1306="CO",2,(IF(E1306="IM",3,(IF(E1306="MI",4,(IF(E1306="RP",5,(IF(E1306="SC",6,0)))))))))))))))))))))))))))))))))))))))</f>
        <v>4</v>
      </c>
      <c r="G1306" s="170">
        <v>3</v>
      </c>
      <c r="H1306" s="38" t="s">
        <v>511</v>
      </c>
      <c r="I1306" s="3" t="s">
        <v>821</v>
      </c>
      <c r="J1306" s="150" t="s">
        <v>827</v>
      </c>
      <c r="K1306" s="79" t="s">
        <v>1283</v>
      </c>
      <c r="L1306" s="66">
        <f>IF(O1306="","",N1306*O1306*M1306)</f>
        <v>75</v>
      </c>
      <c r="M1306" s="8">
        <v>1</v>
      </c>
      <c r="N1306" s="3">
        <v>1</v>
      </c>
      <c r="O1306" s="15">
        <f>IF(SUM(Q1306:AF1306)&lt;1,"",SUM(Q1306:AF1306)/COUNTIF(Q1306:AF1306,"&gt;0"))</f>
        <v>75</v>
      </c>
      <c r="P1306" s="16"/>
      <c r="Q1306" s="13"/>
      <c r="R1306" s="4"/>
      <c r="S1306" s="4"/>
      <c r="T1306" s="4">
        <v>75</v>
      </c>
      <c r="U1306" s="2"/>
      <c r="V1306" s="2"/>
      <c r="W1306" s="2"/>
      <c r="X1306" s="2"/>
      <c r="Y1306" s="4"/>
      <c r="Z1306" s="2"/>
      <c r="AA1306" s="2"/>
      <c r="AB1306" s="4"/>
      <c r="AC1306" s="4"/>
      <c r="AD1306" s="4"/>
      <c r="AE1306" s="4"/>
      <c r="AF1306" s="14"/>
    </row>
    <row r="1307" spans="1:32" x14ac:dyDescent="0.25">
      <c r="A1307" s="33" t="str">
        <f>CONCATENATE(D1307,".",F1307,"-",G1307,".",H1307,"")</f>
        <v>2.4-3.1</v>
      </c>
      <c r="B1307" s="33" t="s">
        <v>814</v>
      </c>
      <c r="C1307" s="39" t="s">
        <v>262</v>
      </c>
      <c r="D1307" s="33">
        <f>IF(C1307="ID",1,(IF(C1307="PR",2,(IF(C1307="DE",3,(IF(C1307="RS",4,(IF(C1307="RC",5,0)))))))))</f>
        <v>2</v>
      </c>
      <c r="E1307" s="33" t="s">
        <v>344</v>
      </c>
      <c r="F1307" s="33">
        <f>IF(E1307="AM",1,(IF(E1307="BE",2,(IF(E1307="GV",3,(IF(E1307="RA",4,(IF(E1307="RM",5,(IF(E1307="AC",1,(IF(E1307="AT",2,(IF(E1307="DS",3,(IF(E1307="IP",4,(IF(E1307="MA",5,(IF(E1307="PT",6,(IF(E1307="AE",1,(IF(E1307="CM",2,(IF(E1307="DP",3,(IF(E1307="AN",1,(IF(E1307="CO",2,(IF(E1307="IM",3,(IF(E1307="MI",4,(IF(E1307="RP",5,(IF(E1307="SC",6,0)))))))))))))))))))))))))))))))))))))))</f>
        <v>4</v>
      </c>
      <c r="G1307" s="170">
        <v>3</v>
      </c>
      <c r="H1307" s="33">
        <v>1</v>
      </c>
      <c r="I1307" s="22" t="s">
        <v>266</v>
      </c>
      <c r="J1307" s="150" t="s">
        <v>285</v>
      </c>
      <c r="K1307" s="79" t="s">
        <v>1310</v>
      </c>
      <c r="L1307" s="5">
        <f>IF(O1307="","",N1307*O1307*M1307)</f>
        <v>75</v>
      </c>
      <c r="M1307" s="8">
        <v>1</v>
      </c>
      <c r="N1307" s="1">
        <v>1</v>
      </c>
      <c r="O1307" s="15">
        <f>IF(SUM(Q1307:AF1307)&lt;1,"",SUM(Q1307:AF1307)/COUNTIF(Q1307:AF1307,"&gt;0"))</f>
        <v>75</v>
      </c>
      <c r="P1307" s="16"/>
      <c r="Q1307" s="13"/>
      <c r="T1307" s="4">
        <v>75</v>
      </c>
      <c r="AF1307" s="104"/>
    </row>
    <row r="1308" spans="1:32" x14ac:dyDescent="0.25">
      <c r="A1308" s="33" t="str">
        <f>CONCATENATE(D1308,".",F1308,"-",G1308,".",H1308,"")</f>
        <v>2.4-3.1</v>
      </c>
      <c r="B1308" s="33" t="s">
        <v>814</v>
      </c>
      <c r="C1308" s="41" t="s">
        <v>262</v>
      </c>
      <c r="D1308" s="33">
        <f>IF(C1308="ID",1,(IF(C1308="PR",2,(IF(C1308="DE",3,(IF(C1308="RS",4,(IF(C1308="RC",5,0)))))))))</f>
        <v>2</v>
      </c>
      <c r="E1308" s="33" t="s">
        <v>344</v>
      </c>
      <c r="F1308" s="33">
        <f>IF(E1308="AM",1,(IF(E1308="BE",2,(IF(E1308="GV",3,(IF(E1308="RA",4,(IF(E1308="RM",5,(IF(E1308="AC",1,(IF(E1308="AT",2,(IF(E1308="DS",3,(IF(E1308="IP",4,(IF(E1308="MA",5,(IF(E1308="PT",6,(IF(E1308="AE",1,(IF(E1308="CM",2,(IF(E1308="DP",3,(IF(E1308="AN",1,(IF(E1308="CO",2,(IF(E1308="IM",3,(IF(E1308="MI",4,(IF(E1308="RP",5,(IF(E1308="SC",6,0)))))))))))))))))))))))))))))))))))))))</f>
        <v>4</v>
      </c>
      <c r="G1308" s="170">
        <v>3</v>
      </c>
      <c r="H1308" s="38" t="s">
        <v>511</v>
      </c>
      <c r="I1308" s="22" t="s">
        <v>266</v>
      </c>
      <c r="J1308" s="149" t="s">
        <v>286</v>
      </c>
      <c r="K1308" s="79" t="s">
        <v>1323</v>
      </c>
      <c r="L1308" s="5">
        <f>IF(O1308="","",N1308*O1308*M1308)</f>
        <v>75</v>
      </c>
      <c r="M1308" s="8">
        <v>1</v>
      </c>
      <c r="N1308" s="1">
        <v>1</v>
      </c>
      <c r="O1308" s="15">
        <f>IF(SUM(Q1308:AF1308)&lt;1,"",SUM(Q1308:AF1308)/COUNTIF(Q1308:AF1308,"&gt;0"))</f>
        <v>75</v>
      </c>
      <c r="P1308" s="16"/>
      <c r="Q1308" s="13"/>
      <c r="R1308" s="4"/>
      <c r="S1308" s="4"/>
      <c r="T1308" s="4">
        <v>75</v>
      </c>
      <c r="U1308" s="2"/>
      <c r="V1308" s="2"/>
      <c r="W1308" s="2"/>
      <c r="X1308" s="2"/>
      <c r="Y1308" s="4"/>
      <c r="Z1308" s="2"/>
      <c r="AA1308" s="2"/>
      <c r="AB1308" s="4"/>
      <c r="AC1308" s="4"/>
      <c r="AD1308" s="4"/>
      <c r="AE1308" s="4"/>
      <c r="AF1308" s="14"/>
    </row>
    <row r="1309" spans="1:32" x14ac:dyDescent="0.25">
      <c r="A1309" s="33" t="str">
        <f>CONCATENATE(D1309,".",F1309,"-",G1309,".",H1309,"")</f>
        <v>2.4-3.1</v>
      </c>
      <c r="B1309" s="33" t="s">
        <v>814</v>
      </c>
      <c r="C1309" s="41" t="s">
        <v>262</v>
      </c>
      <c r="D1309" s="33">
        <f>IF(C1309="ID",1,(IF(C1309="PR",2,(IF(C1309="DE",3,(IF(C1309="RS",4,(IF(C1309="RC",5,0)))))))))</f>
        <v>2</v>
      </c>
      <c r="E1309" s="33" t="s">
        <v>344</v>
      </c>
      <c r="F1309" s="33">
        <f>IF(E1309="AM",1,(IF(E1309="BE",2,(IF(E1309="GV",3,(IF(E1309="RA",4,(IF(E1309="RM",5,(IF(E1309="AC",1,(IF(E1309="AT",2,(IF(E1309="DS",3,(IF(E1309="IP",4,(IF(E1309="MA",5,(IF(E1309="PT",6,(IF(E1309="AE",1,(IF(E1309="CM",2,(IF(E1309="DP",3,(IF(E1309="AN",1,(IF(E1309="CO",2,(IF(E1309="IM",3,(IF(E1309="MI",4,(IF(E1309="RP",5,(IF(E1309="SC",6,0)))))))))))))))))))))))))))))))))))))))</f>
        <v>4</v>
      </c>
      <c r="G1309" s="170">
        <v>3</v>
      </c>
      <c r="H1309" s="38" t="s">
        <v>511</v>
      </c>
      <c r="I1309" s="22" t="s">
        <v>266</v>
      </c>
      <c r="J1309" s="149" t="s">
        <v>287</v>
      </c>
      <c r="K1309" s="79" t="s">
        <v>1326</v>
      </c>
      <c r="L1309" s="5">
        <f>IF(O1309="","",N1309*O1309*M1309)</f>
        <v>75</v>
      </c>
      <c r="M1309" s="8">
        <v>1</v>
      </c>
      <c r="N1309" s="1">
        <v>1</v>
      </c>
      <c r="O1309" s="15">
        <f>IF(SUM(Q1309:AF1309)&lt;1,"",SUM(Q1309:AF1309)/COUNTIF(Q1309:AF1309,"&gt;0"))</f>
        <v>75</v>
      </c>
      <c r="P1309" s="16"/>
      <c r="Q1309" s="13"/>
      <c r="R1309" s="4"/>
      <c r="S1309" s="4"/>
      <c r="T1309" s="4">
        <v>75</v>
      </c>
      <c r="U1309" s="2"/>
      <c r="V1309" s="2"/>
      <c r="W1309" s="2"/>
      <c r="X1309" s="2"/>
      <c r="Y1309" s="4"/>
      <c r="Z1309" s="2"/>
      <c r="AA1309" s="2"/>
      <c r="AB1309" s="4"/>
      <c r="AC1309" s="4"/>
      <c r="AD1309" s="4"/>
      <c r="AE1309" s="4"/>
      <c r="AF1309" s="14"/>
    </row>
    <row r="1310" spans="1:32" x14ac:dyDescent="0.25">
      <c r="A1310" s="33" t="str">
        <f>CONCATENATE(D1310,".",F1310,"-",G1310,".",H1310,"")</f>
        <v>2.4-3.1</v>
      </c>
      <c r="B1310" s="33" t="s">
        <v>814</v>
      </c>
      <c r="C1310" s="41" t="s">
        <v>262</v>
      </c>
      <c r="D1310" s="33">
        <f>IF(C1310="ID",1,(IF(C1310="PR",2,(IF(C1310="DE",3,(IF(C1310="RS",4,(IF(C1310="RC",5,0)))))))))</f>
        <v>2</v>
      </c>
      <c r="E1310" s="33" t="s">
        <v>344</v>
      </c>
      <c r="F1310" s="33">
        <f>IF(E1310="AM",1,(IF(E1310="BE",2,(IF(E1310="GV",3,(IF(E1310="RA",4,(IF(E1310="RM",5,(IF(E1310="AC",1,(IF(E1310="AT",2,(IF(E1310="DS",3,(IF(E1310="IP",4,(IF(E1310="MA",5,(IF(E1310="PT",6,(IF(E1310="AE",1,(IF(E1310="CM",2,(IF(E1310="DP",3,(IF(E1310="AN",1,(IF(E1310="CO",2,(IF(E1310="IM",3,(IF(E1310="MI",4,(IF(E1310="RP",5,(IF(E1310="SC",6,0)))))))))))))))))))))))))))))))))))))))</f>
        <v>4</v>
      </c>
      <c r="G1310" s="170">
        <v>3</v>
      </c>
      <c r="H1310" s="38" t="s">
        <v>511</v>
      </c>
      <c r="I1310" s="22" t="s">
        <v>266</v>
      </c>
      <c r="J1310" s="149" t="s">
        <v>288</v>
      </c>
      <c r="K1310" s="79" t="s">
        <v>1346</v>
      </c>
      <c r="L1310" s="5">
        <f>IF(O1310="","",N1310*O1310*M1310)</f>
        <v>75</v>
      </c>
      <c r="M1310" s="8">
        <v>1</v>
      </c>
      <c r="N1310" s="1">
        <v>1</v>
      </c>
      <c r="O1310" s="15">
        <f>IF(SUM(Q1310:AF1310)&lt;1,"",SUM(Q1310:AF1310)/COUNTIF(Q1310:AF1310,"&gt;0"))</f>
        <v>75</v>
      </c>
      <c r="P1310" s="16"/>
      <c r="Q1310" s="13"/>
      <c r="R1310" s="4"/>
      <c r="S1310" s="4"/>
      <c r="T1310" s="4">
        <v>75</v>
      </c>
      <c r="U1310" s="2"/>
      <c r="V1310" s="2"/>
      <c r="W1310" s="2"/>
      <c r="X1310" s="2"/>
      <c r="Y1310" s="4"/>
      <c r="Z1310" s="2"/>
      <c r="AA1310" s="2"/>
      <c r="AB1310" s="4"/>
      <c r="AC1310" s="4"/>
      <c r="AD1310" s="4"/>
      <c r="AE1310" s="4"/>
      <c r="AF1310" s="14"/>
    </row>
    <row r="1311" spans="1:32" x14ac:dyDescent="0.25">
      <c r="A1311" s="33" t="str">
        <f>CONCATENATE(D1311,".",F1311,"-",G1311,".",H1311,"")</f>
        <v>2.4-3.1</v>
      </c>
      <c r="B1311" s="33" t="s">
        <v>814</v>
      </c>
      <c r="C1311" s="41" t="s">
        <v>262</v>
      </c>
      <c r="D1311" s="33">
        <f>IF(C1311="ID",1,(IF(C1311="PR",2,(IF(C1311="DE",3,(IF(C1311="RS",4,(IF(C1311="RC",5,0)))))))))</f>
        <v>2</v>
      </c>
      <c r="E1311" s="33" t="s">
        <v>344</v>
      </c>
      <c r="F1311" s="33">
        <f>IF(E1311="AM",1,(IF(E1311="BE",2,(IF(E1311="GV",3,(IF(E1311="RA",4,(IF(E1311="RM",5,(IF(E1311="AC",1,(IF(E1311="AT",2,(IF(E1311="DS",3,(IF(E1311="IP",4,(IF(E1311="MA",5,(IF(E1311="PT",6,(IF(E1311="AE",1,(IF(E1311="CM",2,(IF(E1311="DP",3,(IF(E1311="AN",1,(IF(E1311="CO",2,(IF(E1311="IM",3,(IF(E1311="MI",4,(IF(E1311="RP",5,(IF(E1311="SC",6,0)))))))))))))))))))))))))))))))))))))))</f>
        <v>4</v>
      </c>
      <c r="G1311" s="170">
        <v>3</v>
      </c>
      <c r="H1311" s="38" t="s">
        <v>511</v>
      </c>
      <c r="I1311" s="22" t="s">
        <v>266</v>
      </c>
      <c r="J1311" s="149" t="s">
        <v>289</v>
      </c>
      <c r="K1311" s="79" t="s">
        <v>1347</v>
      </c>
      <c r="L1311" s="5">
        <f>IF(O1311="","",N1311*O1311*M1311)</f>
        <v>75</v>
      </c>
      <c r="M1311" s="8">
        <v>1</v>
      </c>
      <c r="N1311" s="1">
        <v>1</v>
      </c>
      <c r="O1311" s="15">
        <f>IF(SUM(Q1311:AF1311)&lt;1,"",SUM(Q1311:AF1311)/COUNTIF(Q1311:AF1311,"&gt;0"))</f>
        <v>75</v>
      </c>
      <c r="P1311" s="16"/>
      <c r="Q1311" s="13"/>
      <c r="R1311" s="4"/>
      <c r="S1311" s="4"/>
      <c r="T1311" s="4">
        <v>75</v>
      </c>
      <c r="U1311" s="2"/>
      <c r="V1311" s="2"/>
      <c r="W1311" s="2"/>
      <c r="X1311" s="2"/>
      <c r="Y1311" s="4"/>
      <c r="Z1311" s="2"/>
      <c r="AA1311" s="2"/>
      <c r="AB1311" s="4"/>
      <c r="AC1311" s="4"/>
      <c r="AD1311" s="4"/>
      <c r="AE1311" s="4"/>
      <c r="AF1311" s="14"/>
    </row>
    <row r="1312" spans="1:32" x14ac:dyDescent="0.25">
      <c r="A1312" s="33" t="str">
        <f>CONCATENATE(D1312,".",F1312,"-",G1312,".",H1312,"")</f>
        <v>2.4-3.1</v>
      </c>
      <c r="B1312" s="33" t="s">
        <v>814</v>
      </c>
      <c r="C1312" s="41" t="s">
        <v>262</v>
      </c>
      <c r="D1312" s="33">
        <f>IF(C1312="ID",1,(IF(C1312="PR",2,(IF(C1312="DE",3,(IF(C1312="RS",4,(IF(C1312="RC",5,0)))))))))</f>
        <v>2</v>
      </c>
      <c r="E1312" s="33" t="s">
        <v>344</v>
      </c>
      <c r="F1312" s="33">
        <f>IF(E1312="AM",1,(IF(E1312="BE",2,(IF(E1312="GV",3,(IF(E1312="RA",4,(IF(E1312="RM",5,(IF(E1312="AC",1,(IF(E1312="AT",2,(IF(E1312="DS",3,(IF(E1312="IP",4,(IF(E1312="MA",5,(IF(E1312="PT",6,(IF(E1312="AE",1,(IF(E1312="CM",2,(IF(E1312="DP",3,(IF(E1312="AN",1,(IF(E1312="CO",2,(IF(E1312="IM",3,(IF(E1312="MI",4,(IF(E1312="RP",5,(IF(E1312="SC",6,0)))))))))))))))))))))))))))))))))))))))</f>
        <v>4</v>
      </c>
      <c r="G1312" s="170">
        <v>3</v>
      </c>
      <c r="H1312" s="38" t="s">
        <v>511</v>
      </c>
      <c r="I1312" s="22" t="s">
        <v>266</v>
      </c>
      <c r="J1312" s="149" t="s">
        <v>290</v>
      </c>
      <c r="K1312" s="79" t="s">
        <v>1348</v>
      </c>
      <c r="L1312" s="5">
        <f>IF(O1312="","",N1312*O1312*M1312)</f>
        <v>75</v>
      </c>
      <c r="M1312" s="8">
        <v>1</v>
      </c>
      <c r="N1312" s="1">
        <v>1</v>
      </c>
      <c r="O1312" s="15">
        <f>IF(SUM(Q1312:AF1312)&lt;1,"",SUM(Q1312:AF1312)/COUNTIF(Q1312:AF1312,"&gt;0"))</f>
        <v>75</v>
      </c>
      <c r="P1312" s="16"/>
      <c r="Q1312" s="13"/>
      <c r="R1312" s="4"/>
      <c r="S1312" s="4"/>
      <c r="T1312" s="4">
        <v>75</v>
      </c>
      <c r="U1312" s="2"/>
      <c r="V1312" s="2"/>
      <c r="W1312" s="2"/>
      <c r="X1312" s="2"/>
      <c r="Y1312" s="4"/>
      <c r="Z1312" s="2"/>
      <c r="AA1312" s="2"/>
      <c r="AB1312" s="4"/>
      <c r="AC1312" s="4"/>
      <c r="AD1312" s="4"/>
      <c r="AE1312" s="4"/>
      <c r="AF1312" s="14"/>
    </row>
    <row r="1313" spans="1:32" x14ac:dyDescent="0.25">
      <c r="A1313" s="33" t="str">
        <f>CONCATENATE(D1313,".",F1313,"-",G1313,".",H1313,"")</f>
        <v>2.4-3.1</v>
      </c>
      <c r="B1313" s="33" t="s">
        <v>1232</v>
      </c>
      <c r="C1313" s="40" t="s">
        <v>262</v>
      </c>
      <c r="D1313" s="33">
        <f>IF(C1313="ID",1,(IF(C1313="PR",2,(IF(C1313="DE",3,(IF(C1313="RS",4,(IF(C1313="RC",5,0)))))))))</f>
        <v>2</v>
      </c>
      <c r="E1313" s="33" t="s">
        <v>344</v>
      </c>
      <c r="F1313" s="33">
        <f>IF(E1313="AM",1,(IF(E1313="BE",2,(IF(E1313="GV",3,(IF(E1313="RA",4,(IF(E1313="RM",5,(IF(E1313="AC",1,(IF(E1313="AT",2,(IF(E1313="DS",3,(IF(E1313="IP",4,(IF(E1313="MA",5,(IF(E1313="PT",6,(IF(E1313="AE",1,(IF(E1313="CM",2,(IF(E1313="DP",3,(IF(E1313="AN",1,(IF(E1313="CO",2,(IF(E1313="IM",3,(IF(E1313="MI",4,(IF(E1313="RP",5,(IF(E1313="SC",6,0)))))))))))))))))))))))))))))))))))))))</f>
        <v>4</v>
      </c>
      <c r="G1313" s="170">
        <v>3</v>
      </c>
      <c r="H1313" s="38" t="s">
        <v>511</v>
      </c>
      <c r="I1313" s="3" t="s">
        <v>821</v>
      </c>
      <c r="J1313" s="150" t="s">
        <v>846</v>
      </c>
      <c r="K1313" s="79" t="s">
        <v>1283</v>
      </c>
      <c r="L1313" s="66">
        <f>IF(O1313="","",N1313*O1313*M1313)</f>
        <v>75</v>
      </c>
      <c r="M1313" s="8">
        <v>1</v>
      </c>
      <c r="N1313" s="3">
        <v>1</v>
      </c>
      <c r="O1313" s="15">
        <f>IF(SUM(Q1313:AF1313)&lt;1,"",SUM(Q1313:AF1313)/COUNTIF(Q1313:AF1313,"&gt;0"))</f>
        <v>75</v>
      </c>
      <c r="P1313" s="16"/>
      <c r="Q1313" s="13"/>
      <c r="R1313" s="4"/>
      <c r="S1313" s="4"/>
      <c r="T1313" s="4">
        <v>75</v>
      </c>
      <c r="U1313" s="2"/>
      <c r="V1313" s="2"/>
      <c r="W1313" s="2"/>
      <c r="X1313" s="2"/>
      <c r="Y1313" s="4"/>
      <c r="Z1313" s="2"/>
      <c r="AA1313" s="2"/>
      <c r="AB1313" s="4"/>
      <c r="AC1313" s="4"/>
      <c r="AD1313" s="4"/>
      <c r="AE1313" s="4"/>
      <c r="AF1313" s="14"/>
    </row>
    <row r="1314" spans="1:32" x14ac:dyDescent="0.25">
      <c r="A1314" s="33" t="str">
        <f>CONCATENATE(D1314,".",F1314,"-",G1314,".",H1314,"")</f>
        <v>2.4-3.1</v>
      </c>
      <c r="B1314" s="33" t="s">
        <v>1232</v>
      </c>
      <c r="C1314" s="40" t="s">
        <v>262</v>
      </c>
      <c r="D1314" s="33">
        <f>IF(C1314="ID",1,(IF(C1314="PR",2,(IF(C1314="DE",3,(IF(C1314="RS",4,(IF(C1314="RC",5,0)))))))))</f>
        <v>2</v>
      </c>
      <c r="E1314" s="33" t="s">
        <v>344</v>
      </c>
      <c r="F1314" s="33">
        <f>IF(E1314="AM",1,(IF(E1314="BE",2,(IF(E1314="GV",3,(IF(E1314="RA",4,(IF(E1314="RM",5,(IF(E1314="AC",1,(IF(E1314="AT",2,(IF(E1314="DS",3,(IF(E1314="IP",4,(IF(E1314="MA",5,(IF(E1314="PT",6,(IF(E1314="AE",1,(IF(E1314="CM",2,(IF(E1314="DP",3,(IF(E1314="AN",1,(IF(E1314="CO",2,(IF(E1314="IM",3,(IF(E1314="MI",4,(IF(E1314="RP",5,(IF(E1314="SC",6,0)))))))))))))))))))))))))))))))))))))))</f>
        <v>4</v>
      </c>
      <c r="G1314" s="170">
        <v>3</v>
      </c>
      <c r="H1314" s="38" t="s">
        <v>511</v>
      </c>
      <c r="I1314" s="3" t="s">
        <v>821</v>
      </c>
      <c r="J1314" s="150" t="s">
        <v>847</v>
      </c>
      <c r="K1314" s="79" t="s">
        <v>1283</v>
      </c>
      <c r="L1314" s="66">
        <f>IF(O1314="","",N1314*O1314*M1314)</f>
        <v>75</v>
      </c>
      <c r="M1314" s="8">
        <v>1</v>
      </c>
      <c r="N1314" s="3">
        <v>1</v>
      </c>
      <c r="O1314" s="15">
        <f>IF(SUM(Q1314:AF1314)&lt;1,"",SUM(Q1314:AF1314)/COUNTIF(Q1314:AF1314,"&gt;0"))</f>
        <v>75</v>
      </c>
      <c r="P1314" s="16"/>
      <c r="Q1314" s="13"/>
      <c r="R1314" s="4"/>
      <c r="S1314" s="4"/>
      <c r="T1314" s="4">
        <v>75</v>
      </c>
      <c r="U1314" s="2"/>
      <c r="V1314" s="2"/>
      <c r="W1314" s="2"/>
      <c r="X1314" s="2"/>
      <c r="Y1314" s="4"/>
      <c r="Z1314" s="2"/>
      <c r="AA1314" s="2"/>
      <c r="AB1314" s="4"/>
      <c r="AC1314" s="4"/>
      <c r="AD1314" s="4"/>
      <c r="AE1314" s="4"/>
      <c r="AF1314" s="14"/>
    </row>
    <row r="1315" spans="1:32" x14ac:dyDescent="0.25">
      <c r="A1315" s="33" t="str">
        <f>CONCATENATE(D1315,".",F1315,"-",G1315,".",H1315,"")</f>
        <v>2.4-3.1</v>
      </c>
      <c r="B1315" s="33" t="s">
        <v>814</v>
      </c>
      <c r="C1315" s="39" t="s">
        <v>262</v>
      </c>
      <c r="D1315" s="33">
        <f>IF(C1315="ID",1,(IF(C1315="PR",2,(IF(C1315="DE",3,(IF(C1315="RS",4,(IF(C1315="RC",5,0)))))))))</f>
        <v>2</v>
      </c>
      <c r="E1315" s="33" t="s">
        <v>344</v>
      </c>
      <c r="F1315" s="33">
        <f>IF(E1315="AM",1,(IF(E1315="BE",2,(IF(E1315="GV",3,(IF(E1315="RA",4,(IF(E1315="RM",5,(IF(E1315="AC",1,(IF(E1315="AT",2,(IF(E1315="DS",3,(IF(E1315="IP",4,(IF(E1315="MA",5,(IF(E1315="PT",6,(IF(E1315="AE",1,(IF(E1315="CM",2,(IF(E1315="DP",3,(IF(E1315="AN",1,(IF(E1315="CO",2,(IF(E1315="IM",3,(IF(E1315="MI",4,(IF(E1315="RP",5,(IF(E1315="SC",6,0)))))))))))))))))))))))))))))))))))))))</f>
        <v>4</v>
      </c>
      <c r="G1315" s="170">
        <v>3</v>
      </c>
      <c r="H1315" s="38" t="s">
        <v>511</v>
      </c>
      <c r="I1315" s="3" t="s">
        <v>1449</v>
      </c>
      <c r="J1315" s="157" t="s">
        <v>1570</v>
      </c>
      <c r="K1315" s="34" t="s">
        <v>1571</v>
      </c>
      <c r="L1315" s="5">
        <f>IF(O1315="","",N1315*O1315*M1315)</f>
        <v>99</v>
      </c>
      <c r="M1315" s="8">
        <v>1</v>
      </c>
      <c r="N1315" s="1">
        <v>1</v>
      </c>
      <c r="O1315" s="15">
        <f>IF(SUM(Q1315:AF1315)&lt;1,"",SUM(Q1315:AF1315)/COUNTIF(Q1315:AF1315,"&gt;0"))</f>
        <v>99</v>
      </c>
      <c r="P1315" s="16"/>
      <c r="Q1315" s="13"/>
      <c r="R1315" s="4"/>
      <c r="S1315" s="4"/>
      <c r="T1315" s="4">
        <v>99</v>
      </c>
      <c r="U1315" s="2"/>
      <c r="V1315" s="2"/>
      <c r="W1315" s="2"/>
      <c r="X1315" s="2"/>
      <c r="Y1315" s="4"/>
      <c r="Z1315" s="2"/>
      <c r="AA1315" s="2"/>
      <c r="AB1315" s="4"/>
      <c r="AC1315" s="4"/>
      <c r="AD1315" s="4"/>
      <c r="AE1315" s="4"/>
      <c r="AF1315" s="14"/>
    </row>
    <row r="1316" spans="1:32" x14ac:dyDescent="0.25">
      <c r="A1316" s="33" t="str">
        <f>CONCATENATE(D1316,".",F1316,"-",G1316,".",H1316,"")</f>
        <v>2.4-3.1</v>
      </c>
      <c r="B1316" s="33" t="s">
        <v>814</v>
      </c>
      <c r="C1316" s="39" t="s">
        <v>262</v>
      </c>
      <c r="D1316" s="33">
        <f>IF(C1316="ID",1,(IF(C1316="PR",2,(IF(C1316="DE",3,(IF(C1316="RS",4,(IF(C1316="RC",5,0)))))))))</f>
        <v>2</v>
      </c>
      <c r="E1316" s="33" t="s">
        <v>344</v>
      </c>
      <c r="F1316" s="33">
        <f>IF(E1316="AM",1,(IF(E1316="BE",2,(IF(E1316="GV",3,(IF(E1316="RA",4,(IF(E1316="RM",5,(IF(E1316="AC",1,(IF(E1316="AT",2,(IF(E1316="DS",3,(IF(E1316="IP",4,(IF(E1316="MA",5,(IF(E1316="PT",6,(IF(E1316="AE",1,(IF(E1316="CM",2,(IF(E1316="DP",3,(IF(E1316="AN",1,(IF(E1316="CO",2,(IF(E1316="IM",3,(IF(E1316="MI",4,(IF(E1316="RP",5,(IF(E1316="SC",6,0)))))))))))))))))))))))))))))))))))))))</f>
        <v>4</v>
      </c>
      <c r="G1316" s="170">
        <v>3</v>
      </c>
      <c r="H1316" s="38" t="s">
        <v>511</v>
      </c>
      <c r="I1316" s="3" t="s">
        <v>1449</v>
      </c>
      <c r="J1316" s="157" t="s">
        <v>1610</v>
      </c>
      <c r="K1316" s="34" t="s">
        <v>1611</v>
      </c>
      <c r="L1316" s="5">
        <f>IF(O1316="","",N1316*O1316*M1316)</f>
        <v>99</v>
      </c>
      <c r="M1316" s="8">
        <v>1</v>
      </c>
      <c r="N1316" s="1">
        <v>1</v>
      </c>
      <c r="O1316" s="15">
        <f>IF(SUM(Q1316:AF1316)&lt;1,"",SUM(Q1316:AF1316)/COUNTIF(Q1316:AF1316,"&gt;0"))</f>
        <v>99</v>
      </c>
      <c r="P1316" s="16"/>
      <c r="Q1316" s="13"/>
      <c r="R1316" s="4"/>
      <c r="S1316" s="4"/>
      <c r="T1316" s="4">
        <v>99</v>
      </c>
      <c r="U1316" s="2"/>
      <c r="V1316" s="2"/>
      <c r="W1316" s="2"/>
      <c r="X1316" s="2"/>
      <c r="Y1316" s="4"/>
      <c r="Z1316" s="2"/>
      <c r="AA1316" s="2"/>
      <c r="AB1316" s="4"/>
      <c r="AC1316" s="4"/>
      <c r="AD1316" s="4"/>
      <c r="AE1316" s="4"/>
      <c r="AF1316" s="14"/>
    </row>
    <row r="1317" spans="1:32" x14ac:dyDescent="0.25">
      <c r="A1317" s="33" t="str">
        <f>CONCATENATE(D1317,".",F1317,"-",G1317,".",H1317,"")</f>
        <v>2.4-3.1</v>
      </c>
      <c r="C1317" s="39" t="s">
        <v>262</v>
      </c>
      <c r="D1317" s="33">
        <f>IF(C1317="ID",1,(IF(C1317="PR",2,(IF(C1317="DE",3,(IF(C1317="RS",4,(IF(C1317="RC",5,0)))))))))</f>
        <v>2</v>
      </c>
      <c r="E1317" s="33" t="s">
        <v>344</v>
      </c>
      <c r="F1317" s="33">
        <f>IF(E1317="AM",1,(IF(E1317="BE",2,(IF(E1317="GV",3,(IF(E1317="RA",4,(IF(E1317="RM",5,(IF(E1317="AC",1,(IF(E1317="AT",2,(IF(E1317="DS",3,(IF(E1317="IP",4,(IF(E1317="MA",5,(IF(E1317="PT",6,(IF(E1317="AE",1,(IF(E1317="CM",2,(IF(E1317="DP",3,(IF(E1317="AN",1,(IF(E1317="CO",2,(IF(E1317="IM",3,(IF(E1317="MI",4,(IF(E1317="RP",5,(IF(E1317="SC",6,0)))))))))))))))))))))))))))))))))))))))</f>
        <v>4</v>
      </c>
      <c r="G1317" s="170">
        <v>3</v>
      </c>
      <c r="H1317" s="38" t="s">
        <v>511</v>
      </c>
      <c r="I1317" s="3" t="s">
        <v>1449</v>
      </c>
      <c r="J1317" s="157" t="s">
        <v>1867</v>
      </c>
      <c r="K1317" s="34" t="s">
        <v>1868</v>
      </c>
      <c r="L1317" s="5">
        <f>IF(O1317="","",N1317*O1317*M1317)</f>
        <v>99</v>
      </c>
      <c r="M1317" s="8">
        <v>1</v>
      </c>
      <c r="N1317" s="1">
        <v>1</v>
      </c>
      <c r="O1317" s="15">
        <f>IF(SUM(Q1317:AF1317)&lt;1,"",SUM(Q1317:AF1317)/COUNTIF(Q1317:AF1317,"&gt;0"))</f>
        <v>99</v>
      </c>
      <c r="P1317" s="16"/>
      <c r="Q1317" s="13"/>
      <c r="R1317" s="4"/>
      <c r="S1317" s="4"/>
      <c r="T1317" s="4">
        <v>99</v>
      </c>
      <c r="U1317" s="2"/>
      <c r="V1317" s="2"/>
      <c r="W1317" s="2"/>
      <c r="X1317" s="2"/>
      <c r="Y1317" s="4"/>
      <c r="Z1317" s="2"/>
      <c r="AA1317" s="2"/>
      <c r="AB1317" s="4"/>
      <c r="AC1317" s="4"/>
      <c r="AD1317" s="4"/>
      <c r="AE1317" s="4"/>
      <c r="AF1317" s="14"/>
    </row>
    <row r="1318" spans="1:32" x14ac:dyDescent="0.25">
      <c r="A1318" s="33" t="str">
        <f>CONCATENATE(D1318,".",F1318,"-",G1318,".",H1318,"")</f>
        <v>2.4-3.1</v>
      </c>
      <c r="C1318" s="39" t="s">
        <v>262</v>
      </c>
      <c r="D1318" s="33">
        <f>IF(C1318="ID",1,(IF(C1318="PR",2,(IF(C1318="DE",3,(IF(C1318="RS",4,(IF(C1318="RC",5,0)))))))))</f>
        <v>2</v>
      </c>
      <c r="E1318" s="33" t="s">
        <v>344</v>
      </c>
      <c r="F1318" s="33">
        <f>IF(E1318="AM",1,(IF(E1318="BE",2,(IF(E1318="GV",3,(IF(E1318="RA",4,(IF(E1318="RM",5,(IF(E1318="AC",1,(IF(E1318="AT",2,(IF(E1318="DS",3,(IF(E1318="IP",4,(IF(E1318="MA",5,(IF(E1318="PT",6,(IF(E1318="AE",1,(IF(E1318="CM",2,(IF(E1318="DP",3,(IF(E1318="AN",1,(IF(E1318="CO",2,(IF(E1318="IM",3,(IF(E1318="MI",4,(IF(E1318="RP",5,(IF(E1318="SC",6,0)))))))))))))))))))))))))))))))))))))))</f>
        <v>4</v>
      </c>
      <c r="G1318" s="170">
        <v>3</v>
      </c>
      <c r="H1318" s="38" t="s">
        <v>511</v>
      </c>
      <c r="I1318" s="3" t="s">
        <v>1449</v>
      </c>
      <c r="J1318" s="157" t="s">
        <v>2629</v>
      </c>
      <c r="K1318" s="34" t="s">
        <v>2630</v>
      </c>
      <c r="L1318" s="5">
        <f>IF(O1318="","",N1318*O1318*M1318)</f>
        <v>99</v>
      </c>
      <c r="M1318" s="8">
        <v>1</v>
      </c>
      <c r="N1318" s="1">
        <v>1</v>
      </c>
      <c r="O1318" s="15">
        <f>IF(SUM(Q1318:AF1318)&lt;1,"",SUM(Q1318:AF1318)/COUNTIF(Q1318:AF1318,"&gt;0"))</f>
        <v>99</v>
      </c>
      <c r="P1318" s="16"/>
      <c r="Q1318" s="13"/>
      <c r="R1318" s="4"/>
      <c r="S1318" s="4"/>
      <c r="T1318" s="4">
        <v>99</v>
      </c>
      <c r="U1318" s="2"/>
      <c r="V1318" s="2"/>
      <c r="W1318" s="2"/>
      <c r="X1318" s="2"/>
      <c r="Y1318" s="4"/>
      <c r="Z1318" s="2"/>
      <c r="AA1318" s="2"/>
      <c r="AB1318" s="4"/>
      <c r="AC1318" s="4"/>
      <c r="AD1318" s="4"/>
      <c r="AE1318" s="4"/>
      <c r="AF1318" s="14"/>
    </row>
    <row r="1319" spans="1:32" x14ac:dyDescent="0.25">
      <c r="A1319" s="33" t="str">
        <f>CONCATENATE(D1319,".",F1319,"-",G1319,".",H1319,"")</f>
        <v>2.4-3.9</v>
      </c>
      <c r="C1319" s="39" t="s">
        <v>262</v>
      </c>
      <c r="D1319" s="33">
        <f>IF(C1319="ID",1,(IF(C1319="PR",2,(IF(C1319="DE",3,(IF(C1319="RS",4,(IF(C1319="RC",5,0)))))))))</f>
        <v>2</v>
      </c>
      <c r="E1319" s="33" t="s">
        <v>344</v>
      </c>
      <c r="F1319" s="33">
        <f>IF(E1319="AM",1,(IF(E1319="BE",2,(IF(E1319="GV",3,(IF(E1319="RA",4,(IF(E1319="RM",5,(IF(E1319="AC",1,(IF(E1319="AT",2,(IF(E1319="DS",3,(IF(E1319="IP",4,(IF(E1319="MA",5,(IF(E1319="PT",6,(IF(E1319="AE",1,(IF(E1319="CM",2,(IF(E1319="DP",3,(IF(E1319="AN",1,(IF(E1319="CO",2,(IF(E1319="IM",3,(IF(E1319="MI",4,(IF(E1319="RP",5,(IF(E1319="SC",6,0)))))))))))))))))))))))))))))))))))))))</f>
        <v>4</v>
      </c>
      <c r="G1319" s="170">
        <v>3</v>
      </c>
      <c r="H1319" s="38" t="s">
        <v>596</v>
      </c>
      <c r="I1319" s="3" t="s">
        <v>1449</v>
      </c>
      <c r="J1319" s="157" t="s">
        <v>1835</v>
      </c>
      <c r="K1319" s="34" t="s">
        <v>1836</v>
      </c>
      <c r="L1319" s="5">
        <f>IF(O1319="","",N1319*O1319*M1319)</f>
        <v>99</v>
      </c>
      <c r="M1319" s="8">
        <v>1</v>
      </c>
      <c r="N1319" s="1">
        <v>1</v>
      </c>
      <c r="O1319" s="15">
        <f>IF(SUM(Q1319:AF1319)&lt;1,"",SUM(Q1319:AF1319)/COUNTIF(Q1319:AF1319,"&gt;0"))</f>
        <v>99</v>
      </c>
      <c r="P1319" s="16"/>
      <c r="Q1319" s="13"/>
      <c r="R1319" s="4"/>
      <c r="S1319" s="4"/>
      <c r="T1319" s="4">
        <v>99</v>
      </c>
      <c r="U1319" s="2"/>
      <c r="V1319" s="2"/>
      <c r="W1319" s="2"/>
      <c r="X1319" s="2"/>
      <c r="Y1319" s="4"/>
      <c r="Z1319" s="2"/>
      <c r="AA1319" s="2"/>
      <c r="AB1319" s="4"/>
      <c r="AC1319" s="4"/>
      <c r="AD1319" s="4"/>
      <c r="AE1319" s="4"/>
      <c r="AF1319" s="14"/>
    </row>
    <row r="1320" spans="1:32" x14ac:dyDescent="0.25">
      <c r="A1320" s="33" t="str">
        <f>CONCATENATE(D1320,".",F1320,"-",G1320,".",H1320,"")</f>
        <v>2.4-4.0</v>
      </c>
      <c r="B1320" s="33" t="s">
        <v>814</v>
      </c>
      <c r="C1320" s="40" t="s">
        <v>262</v>
      </c>
      <c r="D1320" s="33">
        <f>IF(C1320="ID",1,(IF(C1320="PR",2,(IF(C1320="DE",3,(IF(C1320="RS",4,(IF(C1320="RC",5,0)))))))))</f>
        <v>2</v>
      </c>
      <c r="E1320" s="33" t="s">
        <v>344</v>
      </c>
      <c r="F1320" s="33">
        <f>IF(E1320="AM",1,(IF(E1320="BE",2,(IF(E1320="GV",3,(IF(E1320="RA",4,(IF(E1320="RM",5,(IF(E1320="AC",1,(IF(E1320="AT",2,(IF(E1320="DS",3,(IF(E1320="IP",4,(IF(E1320="MA",5,(IF(E1320="PT",6,(IF(E1320="AE",1,(IF(E1320="CM",2,(IF(E1320="DP",3,(IF(E1320="AN",1,(IF(E1320="CO",2,(IF(E1320="IM",3,(IF(E1320="MI",4,(IF(E1320="RP",5,(IF(E1320="SC",6,0)))))))))))))))))))))))))))))))))))))))</f>
        <v>4</v>
      </c>
      <c r="G1320" s="170">
        <v>4</v>
      </c>
      <c r="H1320" s="38" t="s">
        <v>597</v>
      </c>
      <c r="I1320" s="22" t="s">
        <v>1200</v>
      </c>
      <c r="J1320" s="149" t="s">
        <v>616</v>
      </c>
      <c r="K1320" s="98" t="s">
        <v>387</v>
      </c>
      <c r="L1320" s="5">
        <f>IF(O1320="","",N1320*O1320*M1320)</f>
        <v>75</v>
      </c>
      <c r="M1320" s="8">
        <v>1</v>
      </c>
      <c r="N1320" s="1">
        <v>1</v>
      </c>
      <c r="O1320" s="15">
        <f>IF(SUM(Q1320:AF1320)&lt;1,"",SUM(Q1320:AF1320)/COUNTIF(Q1320:AF1320,"&gt;0"))</f>
        <v>75</v>
      </c>
      <c r="P1320" s="16"/>
      <c r="Q1320" s="13"/>
      <c r="R1320" s="4"/>
      <c r="S1320" s="4"/>
      <c r="T1320" s="4">
        <v>75</v>
      </c>
      <c r="U1320" s="2"/>
      <c r="V1320" s="2"/>
      <c r="W1320" s="2"/>
      <c r="X1320" s="2"/>
      <c r="Y1320" s="4"/>
      <c r="Z1320" s="2"/>
      <c r="AA1320" s="2"/>
      <c r="AB1320" s="4"/>
      <c r="AC1320" s="4"/>
      <c r="AD1320" s="4"/>
      <c r="AE1320" s="4"/>
      <c r="AF1320" s="14"/>
    </row>
    <row r="1321" spans="1:32" x14ac:dyDescent="0.25">
      <c r="A1321" s="33" t="str">
        <f>CONCATENATE(D1321,".",F1321,"-",G1321,".",H1321,"")</f>
        <v>2.4-4.1</v>
      </c>
      <c r="B1321" s="33" t="s">
        <v>814</v>
      </c>
      <c r="C1321" s="39" t="s">
        <v>262</v>
      </c>
      <c r="D1321" s="33">
        <f>IF(C1321="ID",1,(IF(C1321="PR",2,(IF(C1321="DE",3,(IF(C1321="RS",4,(IF(C1321="RC",5,0)))))))))</f>
        <v>2</v>
      </c>
      <c r="E1321" s="33" t="s">
        <v>344</v>
      </c>
      <c r="F1321" s="33">
        <f>IF(E1321="AM",1,(IF(E1321="BE",2,(IF(E1321="GV",3,(IF(E1321="RA",4,(IF(E1321="RM",5,(IF(E1321="AC",1,(IF(E1321="AT",2,(IF(E1321="DS",3,(IF(E1321="IP",4,(IF(E1321="MA",5,(IF(E1321="PT",6,(IF(E1321="AE",1,(IF(E1321="CM",2,(IF(E1321="DP",3,(IF(E1321="AN",1,(IF(E1321="CO",2,(IF(E1321="IM",3,(IF(E1321="MI",4,(IF(E1321="RP",5,(IF(E1321="SC",6,0)))))))))))))))))))))))))))))))))))))))</f>
        <v>4</v>
      </c>
      <c r="G1321" s="170">
        <v>4</v>
      </c>
      <c r="H1321" s="38" t="s">
        <v>511</v>
      </c>
      <c r="I1321" s="3" t="s">
        <v>821</v>
      </c>
      <c r="J1321" s="150" t="s">
        <v>206</v>
      </c>
      <c r="K1321" s="79" t="s">
        <v>1283</v>
      </c>
      <c r="L1321" s="66">
        <f>IF(O1321="","",N1321*O1321*M1321)</f>
        <v>75</v>
      </c>
      <c r="M1321" s="8">
        <v>1</v>
      </c>
      <c r="N1321" s="3">
        <v>1</v>
      </c>
      <c r="O1321" s="15">
        <f>IF(SUM(Q1321:AF1321)&lt;1,"",SUM(Q1321:AF1321)/COUNTIF(Q1321:AF1321,"&gt;0"))</f>
        <v>75</v>
      </c>
      <c r="P1321" s="16"/>
      <c r="Q1321" s="13"/>
      <c r="R1321" s="4"/>
      <c r="S1321" s="4"/>
      <c r="T1321" s="4">
        <v>75</v>
      </c>
      <c r="U1321" s="2"/>
      <c r="V1321" s="2"/>
      <c r="W1321" s="2"/>
      <c r="X1321" s="2"/>
      <c r="Y1321" s="4"/>
      <c r="Z1321" s="2"/>
      <c r="AA1321" s="2"/>
      <c r="AB1321" s="4"/>
      <c r="AC1321" s="4"/>
      <c r="AD1321" s="4"/>
      <c r="AE1321" s="4"/>
      <c r="AF1321" s="14"/>
    </row>
    <row r="1322" spans="1:32" x14ac:dyDescent="0.25">
      <c r="A1322" s="33" t="str">
        <f>CONCATENATE(D1322,".",F1322,"-",G1322,".",H1322,"")</f>
        <v>2.4-4.1</v>
      </c>
      <c r="B1322" s="33" t="s">
        <v>814</v>
      </c>
      <c r="C1322" s="39" t="s">
        <v>262</v>
      </c>
      <c r="D1322" s="33">
        <f>IF(C1322="ID",1,(IF(C1322="PR",2,(IF(C1322="DE",3,(IF(C1322="RS",4,(IF(C1322="RC",5,0)))))))))</f>
        <v>2</v>
      </c>
      <c r="E1322" s="33" t="s">
        <v>344</v>
      </c>
      <c r="F1322" s="33">
        <f>IF(E1322="AM",1,(IF(E1322="BE",2,(IF(E1322="GV",3,(IF(E1322="RA",4,(IF(E1322="RM",5,(IF(E1322="AC",1,(IF(E1322="AT",2,(IF(E1322="DS",3,(IF(E1322="IP",4,(IF(E1322="MA",5,(IF(E1322="PT",6,(IF(E1322="AE",1,(IF(E1322="CM",2,(IF(E1322="DP",3,(IF(E1322="AN",1,(IF(E1322="CO",2,(IF(E1322="IM",3,(IF(E1322="MI",4,(IF(E1322="RP",5,(IF(E1322="SC",6,0)))))))))))))))))))))))))))))))))))))))</f>
        <v>4</v>
      </c>
      <c r="G1322" s="170">
        <v>4</v>
      </c>
      <c r="H1322" s="38" t="s">
        <v>511</v>
      </c>
      <c r="I1322" s="79" t="s">
        <v>1176</v>
      </c>
      <c r="J1322" s="162">
        <v>10</v>
      </c>
      <c r="K1322" s="80" t="s">
        <v>1087</v>
      </c>
      <c r="L1322" s="66">
        <f>IF(O1322="","",N1322*O1322*M1322)</f>
        <v>75</v>
      </c>
      <c r="M1322" s="8">
        <v>1</v>
      </c>
      <c r="N1322" s="3">
        <v>1</v>
      </c>
      <c r="O1322" s="15">
        <f>IF(SUM(Q1322:AF1322)&lt;1,"",SUM(Q1322:AF1322)/COUNTIF(Q1322:AF1322,"&gt;0"))</f>
        <v>75</v>
      </c>
      <c r="P1322" s="16"/>
      <c r="Q1322" s="13"/>
      <c r="R1322" s="4"/>
      <c r="S1322" s="4"/>
      <c r="T1322" s="4">
        <v>75</v>
      </c>
      <c r="U1322" s="2"/>
      <c r="V1322" s="2"/>
      <c r="W1322" s="2"/>
      <c r="X1322" s="2"/>
      <c r="Y1322" s="4"/>
      <c r="Z1322" s="2"/>
      <c r="AA1322" s="2"/>
      <c r="AB1322" s="4"/>
      <c r="AC1322" s="4"/>
      <c r="AD1322" s="4"/>
      <c r="AE1322" s="4"/>
      <c r="AF1322" s="14"/>
    </row>
    <row r="1323" spans="1:32" x14ac:dyDescent="0.25">
      <c r="A1323" s="33" t="str">
        <f>CONCATENATE(D1323,".",F1323,"-",G1323,".",H1323,"")</f>
        <v>2.4-4.1</v>
      </c>
      <c r="B1323" s="33" t="s">
        <v>814</v>
      </c>
      <c r="C1323" s="40" t="s">
        <v>262</v>
      </c>
      <c r="D1323" s="33">
        <f>IF(C1323="ID",1,(IF(C1323="PR",2,(IF(C1323="DE",3,(IF(C1323="RS",4,(IF(C1323="RC",5,0)))))))))</f>
        <v>2</v>
      </c>
      <c r="E1323" s="33" t="s">
        <v>344</v>
      </c>
      <c r="F1323" s="33">
        <f>IF(E1323="AM",1,(IF(E1323="BE",2,(IF(E1323="GV",3,(IF(E1323="RA",4,(IF(E1323="RM",5,(IF(E1323="AC",1,(IF(E1323="AT",2,(IF(E1323="DS",3,(IF(E1323="IP",4,(IF(E1323="MA",5,(IF(E1323="PT",6,(IF(E1323="AE",1,(IF(E1323="CM",2,(IF(E1323="DP",3,(IF(E1323="AN",1,(IF(E1323="CO",2,(IF(E1323="IM",3,(IF(E1323="MI",4,(IF(E1323="RP",5,(IF(E1323="SC",6,0)))))))))))))))))))))))))))))))))))))))</f>
        <v>4</v>
      </c>
      <c r="G1323" s="171">
        <v>4</v>
      </c>
      <c r="H1323" s="38" t="s">
        <v>511</v>
      </c>
      <c r="I1323" s="22" t="s">
        <v>936</v>
      </c>
      <c r="J1323" s="163" t="s">
        <v>905</v>
      </c>
      <c r="K1323" s="34" t="s">
        <v>987</v>
      </c>
      <c r="L1323" s="66">
        <f>IF(O1323="","",N1323*O1323*M1323)</f>
        <v>75</v>
      </c>
      <c r="M1323" s="8">
        <v>1</v>
      </c>
      <c r="N1323" s="3">
        <v>1</v>
      </c>
      <c r="O1323" s="15">
        <f>IF(SUM(Q1323:AF1323)&lt;1,"",SUM(Q1323:AF1323)/COUNTIF(Q1323:AF1323,"&gt;0"))</f>
        <v>75</v>
      </c>
      <c r="P1323" s="16"/>
      <c r="Q1323" s="13"/>
      <c r="R1323" s="4"/>
      <c r="S1323" s="4"/>
      <c r="T1323" s="4">
        <v>75</v>
      </c>
      <c r="U1323" s="2"/>
      <c r="V1323" s="2"/>
      <c r="W1323" s="2"/>
      <c r="X1323" s="2"/>
      <c r="Y1323" s="4"/>
      <c r="Z1323" s="2"/>
      <c r="AA1323" s="2"/>
      <c r="AB1323" s="4"/>
      <c r="AC1323" s="4"/>
      <c r="AD1323" s="4"/>
      <c r="AE1323" s="4"/>
      <c r="AF1323" s="14"/>
    </row>
    <row r="1324" spans="1:32" x14ac:dyDescent="0.25">
      <c r="A1324" s="33" t="str">
        <f>CONCATENATE(D1324,".",F1324,"-",G1324,".",H1324,"")</f>
        <v>2.4-4.1</v>
      </c>
      <c r="B1324" s="33" t="s">
        <v>814</v>
      </c>
      <c r="C1324" s="40" t="s">
        <v>262</v>
      </c>
      <c r="D1324" s="33">
        <f>IF(C1324="ID",1,(IF(C1324="PR",2,(IF(C1324="DE",3,(IF(C1324="RS",4,(IF(C1324="RC",5,0)))))))))</f>
        <v>2</v>
      </c>
      <c r="E1324" s="33" t="s">
        <v>344</v>
      </c>
      <c r="F1324" s="33">
        <f>IF(E1324="AM",1,(IF(E1324="BE",2,(IF(E1324="GV",3,(IF(E1324="RA",4,(IF(E1324="RM",5,(IF(E1324="AC",1,(IF(E1324="AT",2,(IF(E1324="DS",3,(IF(E1324="IP",4,(IF(E1324="MA",5,(IF(E1324="PT",6,(IF(E1324="AE",1,(IF(E1324="CM",2,(IF(E1324="DP",3,(IF(E1324="AN",1,(IF(E1324="CO",2,(IF(E1324="IM",3,(IF(E1324="MI",4,(IF(E1324="RP",5,(IF(E1324="SC",6,0)))))))))))))))))))))))))))))))))))))))</f>
        <v>4</v>
      </c>
      <c r="G1324" s="171">
        <v>4</v>
      </c>
      <c r="H1324" s="38" t="s">
        <v>511</v>
      </c>
      <c r="I1324" s="22" t="s">
        <v>936</v>
      </c>
      <c r="J1324" s="163" t="s">
        <v>879</v>
      </c>
      <c r="K1324" s="34" t="s">
        <v>988</v>
      </c>
      <c r="L1324" s="66">
        <f>IF(O1324="","",N1324*O1324*M1324)</f>
        <v>75</v>
      </c>
      <c r="M1324" s="8">
        <v>1</v>
      </c>
      <c r="N1324" s="3">
        <v>1</v>
      </c>
      <c r="O1324" s="15">
        <f>IF(SUM(Q1324:AF1324)&lt;1,"",SUM(Q1324:AF1324)/COUNTIF(Q1324:AF1324,"&gt;0"))</f>
        <v>75</v>
      </c>
      <c r="P1324" s="16"/>
      <c r="Q1324" s="13"/>
      <c r="R1324" s="4"/>
      <c r="S1324" s="4"/>
      <c r="T1324" s="4">
        <v>75</v>
      </c>
      <c r="U1324" s="2"/>
      <c r="V1324" s="2"/>
      <c r="W1324" s="2"/>
      <c r="X1324" s="2"/>
      <c r="Y1324" s="4"/>
      <c r="Z1324" s="2"/>
      <c r="AA1324" s="2"/>
      <c r="AB1324" s="4"/>
      <c r="AC1324" s="4"/>
      <c r="AD1324" s="4"/>
      <c r="AE1324" s="4"/>
      <c r="AF1324" s="14"/>
    </row>
    <row r="1325" spans="1:32" x14ac:dyDescent="0.25">
      <c r="A1325" s="33" t="str">
        <f>CONCATENATE(D1325,".",F1325,"-",G1325,".",H1325,"")</f>
        <v>2.4-4.1</v>
      </c>
      <c r="B1325" s="33" t="s">
        <v>814</v>
      </c>
      <c r="C1325" s="40" t="s">
        <v>262</v>
      </c>
      <c r="D1325" s="33">
        <f>IF(C1325="ID",1,(IF(C1325="PR",2,(IF(C1325="DE",3,(IF(C1325="RS",4,(IF(C1325="RC",5,0)))))))))</f>
        <v>2</v>
      </c>
      <c r="E1325" s="33" t="s">
        <v>344</v>
      </c>
      <c r="F1325" s="33">
        <f>IF(E1325="AM",1,(IF(E1325="BE",2,(IF(E1325="GV",3,(IF(E1325="RA",4,(IF(E1325="RM",5,(IF(E1325="AC",1,(IF(E1325="AT",2,(IF(E1325="DS",3,(IF(E1325="IP",4,(IF(E1325="MA",5,(IF(E1325="PT",6,(IF(E1325="AE",1,(IF(E1325="CM",2,(IF(E1325="DP",3,(IF(E1325="AN",1,(IF(E1325="CO",2,(IF(E1325="IM",3,(IF(E1325="MI",4,(IF(E1325="RP",5,(IF(E1325="SC",6,0)))))))))))))))))))))))))))))))))))))))</f>
        <v>4</v>
      </c>
      <c r="G1325" s="171">
        <v>4</v>
      </c>
      <c r="H1325" s="38" t="s">
        <v>511</v>
      </c>
      <c r="I1325" s="22" t="s">
        <v>936</v>
      </c>
      <c r="J1325" s="163" t="s">
        <v>880</v>
      </c>
      <c r="K1325" s="34" t="s">
        <v>990</v>
      </c>
      <c r="L1325" s="66">
        <f>IF(O1325="","",N1325*O1325*M1325)</f>
        <v>75</v>
      </c>
      <c r="M1325" s="8">
        <v>1</v>
      </c>
      <c r="N1325" s="3">
        <v>1</v>
      </c>
      <c r="O1325" s="15">
        <f>IF(SUM(Q1325:AF1325)&lt;1,"",SUM(Q1325:AF1325)/COUNTIF(Q1325:AF1325,"&gt;0"))</f>
        <v>75</v>
      </c>
      <c r="P1325" s="16"/>
      <c r="Q1325" s="13"/>
      <c r="R1325" s="4"/>
      <c r="S1325" s="4"/>
      <c r="T1325" s="4">
        <v>75</v>
      </c>
      <c r="U1325" s="2"/>
      <c r="V1325" s="2"/>
      <c r="W1325" s="2"/>
      <c r="X1325" s="2"/>
      <c r="Y1325" s="4"/>
      <c r="Z1325" s="2"/>
      <c r="AA1325" s="2"/>
      <c r="AB1325" s="4"/>
      <c r="AC1325" s="4"/>
      <c r="AD1325" s="4"/>
      <c r="AE1325" s="4"/>
      <c r="AF1325" s="14"/>
    </row>
    <row r="1326" spans="1:32" x14ac:dyDescent="0.25">
      <c r="A1326" s="33" t="str">
        <f>CONCATENATE(D1326,".",F1326,"-",G1326,".",H1326,"")</f>
        <v>2.4-4.1</v>
      </c>
      <c r="B1326" s="33" t="s">
        <v>814</v>
      </c>
      <c r="C1326" s="40" t="s">
        <v>262</v>
      </c>
      <c r="D1326" s="33">
        <f>IF(C1326="ID",1,(IF(C1326="PR",2,(IF(C1326="DE",3,(IF(C1326="RS",4,(IF(C1326="RC",5,0)))))))))</f>
        <v>2</v>
      </c>
      <c r="E1326" s="33" t="s">
        <v>344</v>
      </c>
      <c r="F1326" s="33">
        <f>IF(E1326="AM",1,(IF(E1326="BE",2,(IF(E1326="GV",3,(IF(E1326="RA",4,(IF(E1326="RM",5,(IF(E1326="AC",1,(IF(E1326="AT",2,(IF(E1326="DS",3,(IF(E1326="IP",4,(IF(E1326="MA",5,(IF(E1326="PT",6,(IF(E1326="AE",1,(IF(E1326="CM",2,(IF(E1326="DP",3,(IF(E1326="AN",1,(IF(E1326="CO",2,(IF(E1326="IM",3,(IF(E1326="MI",4,(IF(E1326="RP",5,(IF(E1326="SC",6,0)))))))))))))))))))))))))))))))))))))))</f>
        <v>4</v>
      </c>
      <c r="G1326" s="171">
        <v>4</v>
      </c>
      <c r="H1326" s="38" t="s">
        <v>511</v>
      </c>
      <c r="I1326" s="22" t="s">
        <v>936</v>
      </c>
      <c r="J1326" s="163" t="s">
        <v>878</v>
      </c>
      <c r="K1326" s="34" t="s">
        <v>938</v>
      </c>
      <c r="L1326" s="66">
        <f>IF(O1326="","",N1326*O1326*M1326)</f>
        <v>75</v>
      </c>
      <c r="M1326" s="8">
        <v>1</v>
      </c>
      <c r="N1326" s="3">
        <v>1</v>
      </c>
      <c r="O1326" s="15">
        <f>IF(SUM(Q1326:AF1326)&lt;1,"",SUM(Q1326:AF1326)/COUNTIF(Q1326:AF1326,"&gt;0"))</f>
        <v>75</v>
      </c>
      <c r="P1326" s="16"/>
      <c r="Q1326" s="13"/>
      <c r="R1326" s="4"/>
      <c r="S1326" s="4"/>
      <c r="T1326" s="4">
        <v>75</v>
      </c>
      <c r="U1326" s="2"/>
      <c r="V1326" s="2"/>
      <c r="W1326" s="2"/>
      <c r="X1326" s="2"/>
      <c r="Y1326" s="4"/>
      <c r="Z1326" s="2"/>
      <c r="AA1326" s="2"/>
      <c r="AB1326" s="4"/>
      <c r="AC1326" s="4"/>
      <c r="AD1326" s="4"/>
      <c r="AE1326" s="4"/>
      <c r="AF1326" s="14"/>
    </row>
    <row r="1327" spans="1:32" x14ac:dyDescent="0.25">
      <c r="A1327" s="33" t="str">
        <f>CONCATENATE(D1327,".",F1327,"-",G1327,".",H1327,"")</f>
        <v>2.4-4.1</v>
      </c>
      <c r="B1327" s="33" t="s">
        <v>814</v>
      </c>
      <c r="C1327" s="40" t="s">
        <v>262</v>
      </c>
      <c r="D1327" s="33">
        <f>IF(C1327="ID",1,(IF(C1327="PR",2,(IF(C1327="DE",3,(IF(C1327="RS",4,(IF(C1327="RC",5,0)))))))))</f>
        <v>2</v>
      </c>
      <c r="E1327" s="33" t="s">
        <v>344</v>
      </c>
      <c r="F1327" s="33">
        <f>IF(E1327="AM",1,(IF(E1327="BE",2,(IF(E1327="GV",3,(IF(E1327="RA",4,(IF(E1327="RM",5,(IF(E1327="AC",1,(IF(E1327="AT",2,(IF(E1327="DS",3,(IF(E1327="IP",4,(IF(E1327="MA",5,(IF(E1327="PT",6,(IF(E1327="AE",1,(IF(E1327="CM",2,(IF(E1327="DP",3,(IF(E1327="AN",1,(IF(E1327="CO",2,(IF(E1327="IM",3,(IF(E1327="MI",4,(IF(E1327="RP",5,(IF(E1327="SC",6,0)))))))))))))))))))))))))))))))))))))))</f>
        <v>4</v>
      </c>
      <c r="G1327" s="171">
        <v>4</v>
      </c>
      <c r="H1327" s="38" t="s">
        <v>511</v>
      </c>
      <c r="I1327" s="22" t="s">
        <v>936</v>
      </c>
      <c r="J1327" s="163" t="s">
        <v>925</v>
      </c>
      <c r="K1327" s="34" t="s">
        <v>1000</v>
      </c>
      <c r="L1327" s="66">
        <f>IF(O1327="","",N1327*O1327*M1327)</f>
        <v>75</v>
      </c>
      <c r="M1327" s="8">
        <v>1</v>
      </c>
      <c r="N1327" s="3">
        <v>1</v>
      </c>
      <c r="O1327" s="15">
        <f>IF(SUM(Q1327:AF1327)&lt;1,"",SUM(Q1327:AF1327)/COUNTIF(Q1327:AF1327,"&gt;0"))</f>
        <v>75</v>
      </c>
      <c r="P1327" s="16"/>
      <c r="Q1327" s="13"/>
      <c r="R1327" s="4"/>
      <c r="S1327" s="4"/>
      <c r="T1327" s="4">
        <v>75</v>
      </c>
      <c r="U1327" s="2"/>
      <c r="V1327" s="2"/>
      <c r="W1327" s="2"/>
      <c r="X1327" s="2"/>
      <c r="Y1327" s="4"/>
      <c r="Z1327" s="2"/>
      <c r="AA1327" s="2"/>
      <c r="AB1327" s="4"/>
      <c r="AC1327" s="4"/>
      <c r="AD1327" s="4"/>
      <c r="AE1327" s="4"/>
      <c r="AF1327" s="14"/>
    </row>
    <row r="1328" spans="1:32" x14ac:dyDescent="0.25">
      <c r="A1328" s="33" t="str">
        <f>CONCATENATE(D1328,".",F1328,"-",G1328,".",H1328,"")</f>
        <v>2.4-4.1</v>
      </c>
      <c r="B1328" s="33" t="s">
        <v>814</v>
      </c>
      <c r="C1328" s="40" t="s">
        <v>262</v>
      </c>
      <c r="D1328" s="33">
        <f>IF(C1328="ID",1,(IF(C1328="PR",2,(IF(C1328="DE",3,(IF(C1328="RS",4,(IF(C1328="RC",5,0)))))))))</f>
        <v>2</v>
      </c>
      <c r="E1328" s="33" t="s">
        <v>344</v>
      </c>
      <c r="F1328" s="33">
        <f>IF(E1328="AM",1,(IF(E1328="BE",2,(IF(E1328="GV",3,(IF(E1328="RA",4,(IF(E1328="RM",5,(IF(E1328="AC",1,(IF(E1328="AT",2,(IF(E1328="DS",3,(IF(E1328="IP",4,(IF(E1328="MA",5,(IF(E1328="PT",6,(IF(E1328="AE",1,(IF(E1328="CM",2,(IF(E1328="DP",3,(IF(E1328="AN",1,(IF(E1328="CO",2,(IF(E1328="IM",3,(IF(E1328="MI",4,(IF(E1328="RP",5,(IF(E1328="SC",6,0)))))))))))))))))))))))))))))))))))))))</f>
        <v>4</v>
      </c>
      <c r="G1328" s="171">
        <v>4</v>
      </c>
      <c r="H1328" s="38" t="s">
        <v>511</v>
      </c>
      <c r="I1328" s="22" t="s">
        <v>936</v>
      </c>
      <c r="J1328" s="163" t="s">
        <v>882</v>
      </c>
      <c r="K1328" s="34" t="s">
        <v>951</v>
      </c>
      <c r="L1328" s="66">
        <f>IF(O1328="","",N1328*O1328*M1328)</f>
        <v>75</v>
      </c>
      <c r="M1328" s="8">
        <v>1</v>
      </c>
      <c r="N1328" s="3">
        <v>1</v>
      </c>
      <c r="O1328" s="15">
        <f>IF(SUM(Q1328:AF1328)&lt;1,"",SUM(Q1328:AF1328)/COUNTIF(Q1328:AF1328,"&gt;0"))</f>
        <v>75</v>
      </c>
      <c r="P1328" s="16"/>
      <c r="Q1328" s="13"/>
      <c r="R1328" s="4"/>
      <c r="S1328" s="4"/>
      <c r="T1328" s="4">
        <v>75</v>
      </c>
      <c r="U1328" s="2"/>
      <c r="V1328" s="2"/>
      <c r="W1328" s="2"/>
      <c r="X1328" s="2"/>
      <c r="Y1328" s="4"/>
      <c r="Z1328" s="2"/>
      <c r="AA1328" s="2"/>
      <c r="AB1328" s="4"/>
      <c r="AC1328" s="4"/>
      <c r="AD1328" s="4"/>
      <c r="AE1328" s="4"/>
      <c r="AF1328" s="14"/>
    </row>
    <row r="1329" spans="1:32" x14ac:dyDescent="0.25">
      <c r="A1329" s="33" t="str">
        <f>CONCATENATE(D1329,".",F1329,"-",G1329,".",H1329,"")</f>
        <v>2.4-4.1</v>
      </c>
      <c r="B1329" s="33" t="s">
        <v>814</v>
      </c>
      <c r="C1329" s="39" t="s">
        <v>262</v>
      </c>
      <c r="D1329" s="33">
        <f>IF(C1329="ID",1,(IF(C1329="PR",2,(IF(C1329="DE",3,(IF(C1329="RS",4,(IF(C1329="RC",5,0)))))))))</f>
        <v>2</v>
      </c>
      <c r="E1329" s="33" t="s">
        <v>344</v>
      </c>
      <c r="F1329" s="33">
        <f>IF(E1329="AM",1,(IF(E1329="BE",2,(IF(E1329="GV",3,(IF(E1329="RA",4,(IF(E1329="RM",5,(IF(E1329="AC",1,(IF(E1329="AT",2,(IF(E1329="DS",3,(IF(E1329="IP",4,(IF(E1329="MA",5,(IF(E1329="PT",6,(IF(E1329="AE",1,(IF(E1329="CM",2,(IF(E1329="DP",3,(IF(E1329="AN",1,(IF(E1329="CO",2,(IF(E1329="IM",3,(IF(E1329="MI",4,(IF(E1329="RP",5,(IF(E1329="SC",6,0)))))))))))))))))))))))))))))))))))))))</f>
        <v>4</v>
      </c>
      <c r="G1329" s="170">
        <v>4</v>
      </c>
      <c r="H1329" s="38" t="s">
        <v>511</v>
      </c>
      <c r="I1329" s="3" t="s">
        <v>821</v>
      </c>
      <c r="J1329" s="150" t="s">
        <v>96</v>
      </c>
      <c r="K1329" s="79" t="s">
        <v>1283</v>
      </c>
      <c r="L1329" s="66">
        <f>IF(O1329="","",N1329*O1329*M1329)</f>
        <v>75</v>
      </c>
      <c r="M1329" s="8">
        <v>1</v>
      </c>
      <c r="N1329" s="3">
        <v>1</v>
      </c>
      <c r="O1329" s="15">
        <f>IF(SUM(Q1329:AF1329)&lt;1,"",SUM(Q1329:AF1329)/COUNTIF(Q1329:AF1329,"&gt;0"))</f>
        <v>75</v>
      </c>
      <c r="P1329" s="16"/>
      <c r="Q1329" s="13"/>
      <c r="R1329" s="4"/>
      <c r="S1329" s="4"/>
      <c r="T1329" s="4">
        <v>75</v>
      </c>
      <c r="U1329" s="2"/>
      <c r="V1329" s="2"/>
      <c r="W1329" s="2"/>
      <c r="X1329" s="2"/>
      <c r="Y1329" s="4"/>
      <c r="Z1329" s="2"/>
      <c r="AA1329" s="2"/>
      <c r="AB1329" s="4"/>
      <c r="AC1329" s="4"/>
      <c r="AD1329" s="4"/>
      <c r="AE1329" s="4"/>
      <c r="AF1329" s="14"/>
    </row>
    <row r="1330" spans="1:32" x14ac:dyDescent="0.25">
      <c r="A1330" s="33" t="str">
        <f>CONCATENATE(D1330,".",F1330,"-",G1330,".",H1330,"")</f>
        <v>2.4-4.1</v>
      </c>
      <c r="B1330" s="33" t="s">
        <v>814</v>
      </c>
      <c r="C1330" s="41" t="s">
        <v>262</v>
      </c>
      <c r="D1330" s="33">
        <f>IF(C1330="ID",1,(IF(C1330="PR",2,(IF(C1330="DE",3,(IF(C1330="RS",4,(IF(C1330="RC",5,0)))))))))</f>
        <v>2</v>
      </c>
      <c r="E1330" s="33" t="s">
        <v>344</v>
      </c>
      <c r="F1330" s="33">
        <f>IF(E1330="AM",1,(IF(E1330="BE",2,(IF(E1330="GV",3,(IF(E1330="RA",4,(IF(E1330="RM",5,(IF(E1330="AC",1,(IF(E1330="AT",2,(IF(E1330="DS",3,(IF(E1330="IP",4,(IF(E1330="MA",5,(IF(E1330="PT",6,(IF(E1330="AE",1,(IF(E1330="CM",2,(IF(E1330="DP",3,(IF(E1330="AN",1,(IF(E1330="CO",2,(IF(E1330="IM",3,(IF(E1330="MI",4,(IF(E1330="RP",5,(IF(E1330="SC",6,0)))))))))))))))))))))))))))))))))))))))</f>
        <v>4</v>
      </c>
      <c r="G1330" s="170">
        <v>4</v>
      </c>
      <c r="H1330" s="38" t="s">
        <v>511</v>
      </c>
      <c r="I1330" s="22" t="s">
        <v>266</v>
      </c>
      <c r="J1330" s="149" t="s">
        <v>275</v>
      </c>
      <c r="K1330" s="79" t="s">
        <v>1316</v>
      </c>
      <c r="L1330" s="5">
        <f>IF(O1330="","",N1330*O1330*M1330)</f>
        <v>75</v>
      </c>
      <c r="M1330" s="8">
        <v>1</v>
      </c>
      <c r="N1330" s="1">
        <v>1</v>
      </c>
      <c r="O1330" s="15">
        <f>IF(SUM(Q1330:AF1330)&lt;1,"",SUM(Q1330:AF1330)/COUNTIF(Q1330:AF1330,"&gt;0"))</f>
        <v>75</v>
      </c>
      <c r="P1330" s="16"/>
      <c r="Q1330" s="13"/>
      <c r="R1330" s="4"/>
      <c r="S1330" s="4"/>
      <c r="T1330" s="4">
        <v>75</v>
      </c>
      <c r="U1330" s="2"/>
      <c r="V1330" s="2"/>
      <c r="W1330" s="2"/>
      <c r="X1330" s="2"/>
      <c r="Y1330" s="4"/>
      <c r="Z1330" s="2"/>
      <c r="AA1330" s="2"/>
      <c r="AB1330" s="4"/>
      <c r="AC1330" s="4"/>
      <c r="AD1330" s="4"/>
      <c r="AE1330" s="4"/>
      <c r="AF1330" s="14"/>
    </row>
    <row r="1331" spans="1:32" x14ac:dyDescent="0.25">
      <c r="A1331" s="33" t="str">
        <f>CONCATENATE(D1331,".",F1331,"-",G1331,".",H1331,"")</f>
        <v>2.4-4.1</v>
      </c>
      <c r="B1331" s="33" t="s">
        <v>814</v>
      </c>
      <c r="C1331" s="41" t="s">
        <v>262</v>
      </c>
      <c r="D1331" s="33">
        <f>IF(C1331="ID",1,(IF(C1331="PR",2,(IF(C1331="DE",3,(IF(C1331="RS",4,(IF(C1331="RC",5,0)))))))))</f>
        <v>2</v>
      </c>
      <c r="E1331" s="33" t="s">
        <v>344</v>
      </c>
      <c r="F1331" s="33">
        <f>IF(E1331="AM",1,(IF(E1331="BE",2,(IF(E1331="GV",3,(IF(E1331="RA",4,(IF(E1331="RM",5,(IF(E1331="AC",1,(IF(E1331="AT",2,(IF(E1331="DS",3,(IF(E1331="IP",4,(IF(E1331="MA",5,(IF(E1331="PT",6,(IF(E1331="AE",1,(IF(E1331="CM",2,(IF(E1331="DP",3,(IF(E1331="AN",1,(IF(E1331="CO",2,(IF(E1331="IM",3,(IF(E1331="MI",4,(IF(E1331="RP",5,(IF(E1331="SC",6,0)))))))))))))))))))))))))))))))))))))))</f>
        <v>4</v>
      </c>
      <c r="G1331" s="170">
        <v>4</v>
      </c>
      <c r="H1331" s="38" t="s">
        <v>511</v>
      </c>
      <c r="I1331" s="22" t="s">
        <v>266</v>
      </c>
      <c r="J1331" s="149" t="s">
        <v>300</v>
      </c>
      <c r="K1331" s="79" t="s">
        <v>1376</v>
      </c>
      <c r="L1331" s="5">
        <f>IF(O1331="","",N1331*O1331*M1331)</f>
        <v>75</v>
      </c>
      <c r="M1331" s="8">
        <v>1</v>
      </c>
      <c r="N1331" s="1">
        <v>1</v>
      </c>
      <c r="O1331" s="15">
        <f>IF(SUM(Q1331:AF1331)&lt;1,"",SUM(Q1331:AF1331)/COUNTIF(Q1331:AF1331,"&gt;0"))</f>
        <v>75</v>
      </c>
      <c r="P1331" s="16"/>
      <c r="Q1331" s="13"/>
      <c r="R1331" s="4"/>
      <c r="S1331" s="4"/>
      <c r="T1331" s="4">
        <v>75</v>
      </c>
      <c r="U1331" s="2"/>
      <c r="V1331" s="2"/>
      <c r="W1331" s="2"/>
      <c r="X1331" s="2"/>
      <c r="Y1331" s="4"/>
      <c r="Z1331" s="2"/>
      <c r="AA1331" s="2"/>
      <c r="AB1331" s="4"/>
      <c r="AC1331" s="4"/>
      <c r="AD1331" s="4"/>
      <c r="AE1331" s="4"/>
      <c r="AF1331" s="14"/>
    </row>
    <row r="1332" spans="1:32" x14ac:dyDescent="0.25">
      <c r="A1332" s="33" t="str">
        <f>CONCATENATE(D1332,".",F1332,"-",G1332,".",H1332,"")</f>
        <v>2.4-4.1</v>
      </c>
      <c r="B1332" s="33" t="s">
        <v>814</v>
      </c>
      <c r="C1332" s="41" t="s">
        <v>262</v>
      </c>
      <c r="D1332" s="33">
        <f>IF(C1332="ID",1,(IF(C1332="PR",2,(IF(C1332="DE",3,(IF(C1332="RS",4,(IF(C1332="RC",5,0)))))))))</f>
        <v>2</v>
      </c>
      <c r="E1332" s="33" t="s">
        <v>344</v>
      </c>
      <c r="F1332" s="33">
        <f>IF(E1332="AM",1,(IF(E1332="BE",2,(IF(E1332="GV",3,(IF(E1332="RA",4,(IF(E1332="RM",5,(IF(E1332="AC",1,(IF(E1332="AT",2,(IF(E1332="DS",3,(IF(E1332="IP",4,(IF(E1332="MA",5,(IF(E1332="PT",6,(IF(E1332="AE",1,(IF(E1332="CM",2,(IF(E1332="DP",3,(IF(E1332="AN",1,(IF(E1332="CO",2,(IF(E1332="IM",3,(IF(E1332="MI",4,(IF(E1332="RP",5,(IF(E1332="SC",6,0)))))))))))))))))))))))))))))))))))))))</f>
        <v>4</v>
      </c>
      <c r="G1332" s="170">
        <v>4</v>
      </c>
      <c r="H1332" s="38" t="s">
        <v>511</v>
      </c>
      <c r="I1332" s="22" t="s">
        <v>266</v>
      </c>
      <c r="J1332" s="149" t="s">
        <v>299</v>
      </c>
      <c r="K1332" s="79" t="s">
        <v>1377</v>
      </c>
      <c r="L1332" s="5">
        <f>IF(O1332="","",N1332*O1332*M1332)</f>
        <v>75</v>
      </c>
      <c r="M1332" s="8">
        <v>1</v>
      </c>
      <c r="N1332" s="1">
        <v>1</v>
      </c>
      <c r="O1332" s="15">
        <f>IF(SUM(Q1332:AF1332)&lt;1,"",SUM(Q1332:AF1332)/COUNTIF(Q1332:AF1332,"&gt;0"))</f>
        <v>75</v>
      </c>
      <c r="P1332" s="16"/>
      <c r="Q1332" s="13"/>
      <c r="R1332" s="4"/>
      <c r="S1332" s="4"/>
      <c r="T1332" s="4">
        <v>75</v>
      </c>
      <c r="U1332" s="2"/>
      <c r="V1332" s="2"/>
      <c r="W1332" s="2"/>
      <c r="X1332" s="2"/>
      <c r="Y1332" s="4"/>
      <c r="Z1332" s="2"/>
      <c r="AA1332" s="2"/>
      <c r="AB1332" s="4"/>
      <c r="AC1332" s="4"/>
      <c r="AD1332" s="4"/>
      <c r="AE1332" s="4"/>
      <c r="AF1332" s="14"/>
    </row>
    <row r="1333" spans="1:32" x14ac:dyDescent="0.25">
      <c r="A1333" s="33" t="str">
        <f>CONCATENATE(D1333,".",F1333,"-",G1333,".",H1333,"")</f>
        <v>2.4-4.1</v>
      </c>
      <c r="B1333" s="33" t="s">
        <v>814</v>
      </c>
      <c r="C1333" s="41" t="s">
        <v>262</v>
      </c>
      <c r="D1333" s="33">
        <f>IF(C1333="ID",1,(IF(C1333="PR",2,(IF(C1333="DE",3,(IF(C1333="RS",4,(IF(C1333="RC",5,0)))))))))</f>
        <v>2</v>
      </c>
      <c r="E1333" s="33" t="s">
        <v>344</v>
      </c>
      <c r="F1333" s="33">
        <f>IF(E1333="AM",1,(IF(E1333="BE",2,(IF(E1333="GV",3,(IF(E1333="RA",4,(IF(E1333="RM",5,(IF(E1333="AC",1,(IF(E1333="AT",2,(IF(E1333="DS",3,(IF(E1333="IP",4,(IF(E1333="MA",5,(IF(E1333="PT",6,(IF(E1333="AE",1,(IF(E1333="CM",2,(IF(E1333="DP",3,(IF(E1333="AN",1,(IF(E1333="CO",2,(IF(E1333="IM",3,(IF(E1333="MI",4,(IF(E1333="RP",5,(IF(E1333="SC",6,0)))))))))))))))))))))))))))))))))))))))</f>
        <v>4</v>
      </c>
      <c r="G1333" s="170">
        <v>4</v>
      </c>
      <c r="H1333" s="38" t="s">
        <v>511</v>
      </c>
      <c r="I1333" s="22" t="s">
        <v>266</v>
      </c>
      <c r="J1333" s="149" t="s">
        <v>23</v>
      </c>
      <c r="K1333" s="79" t="s">
        <v>1384</v>
      </c>
      <c r="L1333" s="5">
        <f>IF(O1333="","",N1333*O1333*M1333)</f>
        <v>75</v>
      </c>
      <c r="M1333" s="8">
        <v>1</v>
      </c>
      <c r="N1333" s="1">
        <v>1</v>
      </c>
      <c r="O1333" s="15">
        <f>IF(SUM(Q1333:AF1333)&lt;1,"",SUM(Q1333:AF1333)/COUNTIF(Q1333:AF1333,"&gt;0"))</f>
        <v>75</v>
      </c>
      <c r="P1333" s="16"/>
      <c r="Q1333" s="13"/>
      <c r="R1333" s="4"/>
      <c r="S1333" s="4"/>
      <c r="T1333" s="4">
        <v>75</v>
      </c>
      <c r="U1333" s="2"/>
      <c r="V1333" s="2"/>
      <c r="W1333" s="2"/>
      <c r="X1333" s="2"/>
      <c r="Y1333" s="4"/>
      <c r="Z1333" s="2"/>
      <c r="AA1333" s="2"/>
      <c r="AB1333" s="4"/>
      <c r="AC1333" s="4"/>
      <c r="AD1333" s="4"/>
      <c r="AE1333" s="4"/>
      <c r="AF1333" s="14"/>
    </row>
    <row r="1334" spans="1:32" x14ac:dyDescent="0.25">
      <c r="A1334" s="33" t="str">
        <f>CONCATENATE(D1334,".",F1334,"-",G1334,".",H1334,"")</f>
        <v>2.4-4.1</v>
      </c>
      <c r="B1334" s="33" t="s">
        <v>814</v>
      </c>
      <c r="C1334" s="39" t="s">
        <v>262</v>
      </c>
      <c r="D1334" s="33">
        <f>IF(C1334="ID",1,(IF(C1334="PR",2,(IF(C1334="DE",3,(IF(C1334="RS",4,(IF(C1334="RC",5,0)))))))))</f>
        <v>2</v>
      </c>
      <c r="E1334" s="33" t="s">
        <v>344</v>
      </c>
      <c r="F1334" s="33">
        <f>IF(E1334="AM",1,(IF(E1334="BE",2,(IF(E1334="GV",3,(IF(E1334="RA",4,(IF(E1334="RM",5,(IF(E1334="AC",1,(IF(E1334="AT",2,(IF(E1334="DS",3,(IF(E1334="IP",4,(IF(E1334="MA",5,(IF(E1334="PT",6,(IF(E1334="AE",1,(IF(E1334="CM",2,(IF(E1334="DP",3,(IF(E1334="AN",1,(IF(E1334="CO",2,(IF(E1334="IM",3,(IF(E1334="MI",4,(IF(E1334="RP",5,(IF(E1334="SC",6,0)))))))))))))))))))))))))))))))))))))))</f>
        <v>4</v>
      </c>
      <c r="G1334" s="170">
        <v>4</v>
      </c>
      <c r="H1334" s="38" t="s">
        <v>511</v>
      </c>
      <c r="I1334" s="79" t="s">
        <v>1176</v>
      </c>
      <c r="J1334" s="162">
        <v>10.199999999999999</v>
      </c>
      <c r="K1334" s="80" t="s">
        <v>1088</v>
      </c>
      <c r="L1334" s="66">
        <f>IF(O1334="","",N1334*O1334*M1334)</f>
        <v>75</v>
      </c>
      <c r="M1334" s="8">
        <v>1</v>
      </c>
      <c r="N1334" s="3">
        <v>1</v>
      </c>
      <c r="O1334" s="15">
        <f>IF(SUM(Q1334:AF1334)&lt;1,"",SUM(Q1334:AF1334)/COUNTIF(Q1334:AF1334,"&gt;0"))</f>
        <v>75</v>
      </c>
      <c r="P1334" s="16"/>
      <c r="Q1334" s="13"/>
      <c r="R1334" s="4"/>
      <c r="S1334" s="4"/>
      <c r="T1334" s="4">
        <v>75</v>
      </c>
      <c r="U1334" s="2"/>
      <c r="V1334" s="2"/>
      <c r="W1334" s="2"/>
      <c r="X1334" s="2"/>
      <c r="Y1334" s="4"/>
      <c r="Z1334" s="2"/>
      <c r="AA1334" s="2"/>
      <c r="AB1334" s="4"/>
      <c r="AC1334" s="4"/>
      <c r="AD1334" s="4"/>
      <c r="AE1334" s="4"/>
      <c r="AF1334" s="14"/>
    </row>
    <row r="1335" spans="1:32" x14ac:dyDescent="0.25">
      <c r="A1335" s="33" t="str">
        <f>CONCATENATE(D1335,".",F1335,"-",G1335,".",H1335,"")</f>
        <v>2.4-4.1</v>
      </c>
      <c r="B1335" s="33" t="s">
        <v>814</v>
      </c>
      <c r="C1335" s="39" t="s">
        <v>262</v>
      </c>
      <c r="D1335" s="33">
        <f>IF(C1335="ID",1,(IF(C1335="PR",2,(IF(C1335="DE",3,(IF(C1335="RS",4,(IF(C1335="RC",5,0)))))))))</f>
        <v>2</v>
      </c>
      <c r="E1335" s="33" t="s">
        <v>344</v>
      </c>
      <c r="F1335" s="33">
        <f>IF(E1335="AM",1,(IF(E1335="BE",2,(IF(E1335="GV",3,(IF(E1335="RA",4,(IF(E1335="RM",5,(IF(E1335="AC",1,(IF(E1335="AT",2,(IF(E1335="DS",3,(IF(E1335="IP",4,(IF(E1335="MA",5,(IF(E1335="PT",6,(IF(E1335="AE",1,(IF(E1335="CM",2,(IF(E1335="DP",3,(IF(E1335="AN",1,(IF(E1335="CO",2,(IF(E1335="IM",3,(IF(E1335="MI",4,(IF(E1335="RP",5,(IF(E1335="SC",6,0)))))))))))))))))))))))))))))))))))))))</f>
        <v>4</v>
      </c>
      <c r="G1335" s="170">
        <v>4</v>
      </c>
      <c r="H1335" s="38" t="s">
        <v>511</v>
      </c>
      <c r="I1335" s="79" t="s">
        <v>1176</v>
      </c>
      <c r="J1335" s="162">
        <v>10.3</v>
      </c>
      <c r="K1335" s="80" t="s">
        <v>1089</v>
      </c>
      <c r="L1335" s="66">
        <f>IF(O1335="","",N1335*O1335*M1335)</f>
        <v>75</v>
      </c>
      <c r="M1335" s="8">
        <v>1</v>
      </c>
      <c r="N1335" s="3">
        <v>1</v>
      </c>
      <c r="O1335" s="15">
        <f>IF(SUM(Q1335:AF1335)&lt;1,"",SUM(Q1335:AF1335)/COUNTIF(Q1335:AF1335,"&gt;0"))</f>
        <v>75</v>
      </c>
      <c r="P1335" s="16"/>
      <c r="Q1335" s="13"/>
      <c r="R1335" s="4"/>
      <c r="S1335" s="4"/>
      <c r="T1335" s="4">
        <v>75</v>
      </c>
      <c r="U1335" s="2"/>
      <c r="V1335" s="2"/>
      <c r="W1335" s="2"/>
      <c r="X1335" s="2"/>
      <c r="Y1335" s="4"/>
      <c r="Z1335" s="2"/>
      <c r="AA1335" s="2"/>
      <c r="AB1335" s="4"/>
      <c r="AC1335" s="4"/>
      <c r="AD1335" s="4"/>
      <c r="AE1335" s="4"/>
      <c r="AF1335" s="14"/>
    </row>
    <row r="1336" spans="1:32" x14ac:dyDescent="0.25">
      <c r="A1336" s="33" t="str">
        <f>CONCATENATE(D1336,".",F1336,"-",G1336,".",H1336,"")</f>
        <v>2.4-4.1</v>
      </c>
      <c r="B1336" s="33" t="s">
        <v>814</v>
      </c>
      <c r="C1336" s="39" t="s">
        <v>262</v>
      </c>
      <c r="D1336" s="33">
        <f>IF(C1336="ID",1,(IF(C1336="PR",2,(IF(C1336="DE",3,(IF(C1336="RS",4,(IF(C1336="RC",5,0)))))))))</f>
        <v>2</v>
      </c>
      <c r="E1336" s="33" t="s">
        <v>344</v>
      </c>
      <c r="F1336" s="33">
        <f>IF(E1336="AM",1,(IF(E1336="BE",2,(IF(E1336="GV",3,(IF(E1336="RA",4,(IF(E1336="RM",5,(IF(E1336="AC",1,(IF(E1336="AT",2,(IF(E1336="DS",3,(IF(E1336="IP",4,(IF(E1336="MA",5,(IF(E1336="PT",6,(IF(E1336="AE",1,(IF(E1336="CM",2,(IF(E1336="DP",3,(IF(E1336="AN",1,(IF(E1336="CO",2,(IF(E1336="IM",3,(IF(E1336="MI",4,(IF(E1336="RP",5,(IF(E1336="SC",6,0)))))))))))))))))))))))))))))))))))))))</f>
        <v>4</v>
      </c>
      <c r="G1336" s="170">
        <v>4</v>
      </c>
      <c r="H1336" s="38" t="s">
        <v>511</v>
      </c>
      <c r="I1336" s="79" t="s">
        <v>1176</v>
      </c>
      <c r="J1336" s="162">
        <v>10.4</v>
      </c>
      <c r="K1336" s="80" t="s">
        <v>1090</v>
      </c>
      <c r="L1336" s="66">
        <f>IF(O1336="","",N1336*O1336*M1336)</f>
        <v>75</v>
      </c>
      <c r="M1336" s="8">
        <v>1</v>
      </c>
      <c r="N1336" s="3">
        <v>1</v>
      </c>
      <c r="O1336" s="15">
        <f>IF(SUM(Q1336:AF1336)&lt;1,"",SUM(Q1336:AF1336)/COUNTIF(Q1336:AF1336,"&gt;0"))</f>
        <v>75</v>
      </c>
      <c r="P1336" s="16"/>
      <c r="Q1336" s="13"/>
      <c r="R1336" s="4"/>
      <c r="S1336" s="4"/>
      <c r="T1336" s="4">
        <v>75</v>
      </c>
      <c r="U1336" s="2"/>
      <c r="V1336" s="2"/>
      <c r="W1336" s="2"/>
      <c r="X1336" s="2"/>
      <c r="Y1336" s="4"/>
      <c r="Z1336" s="2"/>
      <c r="AA1336" s="2"/>
      <c r="AB1336" s="4"/>
      <c r="AC1336" s="4"/>
      <c r="AD1336" s="4"/>
      <c r="AE1336" s="4"/>
      <c r="AF1336" s="14"/>
    </row>
    <row r="1337" spans="1:32" x14ac:dyDescent="0.25">
      <c r="A1337" s="33" t="str">
        <f>CONCATENATE(D1337,".",F1337,"-",G1337,".",H1337,"")</f>
        <v>2.4-4.1</v>
      </c>
      <c r="B1337" s="33" t="s">
        <v>814</v>
      </c>
      <c r="C1337" s="39" t="s">
        <v>262</v>
      </c>
      <c r="D1337" s="33">
        <f>IF(C1337="ID",1,(IF(C1337="PR",2,(IF(C1337="DE",3,(IF(C1337="RS",4,(IF(C1337="RC",5,0)))))))))</f>
        <v>2</v>
      </c>
      <c r="E1337" s="33" t="s">
        <v>344</v>
      </c>
      <c r="F1337" s="33">
        <f>IF(E1337="AM",1,(IF(E1337="BE",2,(IF(E1337="GV",3,(IF(E1337="RA",4,(IF(E1337="RM",5,(IF(E1337="AC",1,(IF(E1337="AT",2,(IF(E1337="DS",3,(IF(E1337="IP",4,(IF(E1337="MA",5,(IF(E1337="PT",6,(IF(E1337="AE",1,(IF(E1337="CM",2,(IF(E1337="DP",3,(IF(E1337="AN",1,(IF(E1337="CO",2,(IF(E1337="IM",3,(IF(E1337="MI",4,(IF(E1337="RP",5,(IF(E1337="SC",6,0)))))))))))))))))))))))))))))))))))))))</f>
        <v>4</v>
      </c>
      <c r="G1337" s="170">
        <v>4</v>
      </c>
      <c r="H1337" s="38" t="s">
        <v>511</v>
      </c>
      <c r="I1337" s="79" t="s">
        <v>1176</v>
      </c>
      <c r="J1337" s="162">
        <v>11.1</v>
      </c>
      <c r="K1337" s="4" t="s">
        <v>1092</v>
      </c>
      <c r="L1337" s="66">
        <f>IF(O1337="","",N1337*O1337*M1337)</f>
        <v>75</v>
      </c>
      <c r="M1337" s="8">
        <v>1</v>
      </c>
      <c r="N1337" s="3">
        <v>1</v>
      </c>
      <c r="O1337" s="15">
        <f>IF(SUM(Q1337:AF1337)&lt;1,"",SUM(Q1337:AF1337)/COUNTIF(Q1337:AF1337,"&gt;0"))</f>
        <v>75</v>
      </c>
      <c r="P1337" s="16"/>
      <c r="Q1337" s="13"/>
      <c r="R1337" s="4"/>
      <c r="S1337" s="4"/>
      <c r="T1337" s="4">
        <v>75</v>
      </c>
      <c r="U1337" s="2"/>
      <c r="V1337" s="2"/>
      <c r="W1337" s="2"/>
      <c r="X1337" s="2"/>
      <c r="Y1337" s="4"/>
      <c r="Z1337" s="2"/>
      <c r="AA1337" s="2"/>
      <c r="AB1337" s="4"/>
      <c r="AC1337" s="4"/>
      <c r="AD1337" s="4"/>
      <c r="AE1337" s="4"/>
      <c r="AF1337" s="14"/>
    </row>
    <row r="1338" spans="1:32" x14ac:dyDescent="0.25">
      <c r="A1338" s="33" t="str">
        <f>CONCATENATE(D1338,".",F1338,"-",G1338,".",H1338,"")</f>
        <v>2.4-4.1</v>
      </c>
      <c r="B1338" s="33" t="s">
        <v>814</v>
      </c>
      <c r="C1338" s="39" t="s">
        <v>262</v>
      </c>
      <c r="D1338" s="33">
        <f>IF(C1338="ID",1,(IF(C1338="PR",2,(IF(C1338="DE",3,(IF(C1338="RS",4,(IF(C1338="RC",5,0)))))))))</f>
        <v>2</v>
      </c>
      <c r="E1338" s="33" t="s">
        <v>344</v>
      </c>
      <c r="F1338" s="33">
        <f>IF(E1338="AM",1,(IF(E1338="BE",2,(IF(E1338="GV",3,(IF(E1338="RA",4,(IF(E1338="RM",5,(IF(E1338="AC",1,(IF(E1338="AT",2,(IF(E1338="DS",3,(IF(E1338="IP",4,(IF(E1338="MA",5,(IF(E1338="PT",6,(IF(E1338="AE",1,(IF(E1338="CM",2,(IF(E1338="DP",3,(IF(E1338="AN",1,(IF(E1338="CO",2,(IF(E1338="IM",3,(IF(E1338="MI",4,(IF(E1338="RP",5,(IF(E1338="SC",6,0)))))))))))))))))))))))))))))))))))))))</f>
        <v>4</v>
      </c>
      <c r="G1338" s="170">
        <v>4</v>
      </c>
      <c r="H1338" s="38" t="s">
        <v>511</v>
      </c>
      <c r="I1338" s="3" t="s">
        <v>1449</v>
      </c>
      <c r="J1338" s="157" t="s">
        <v>1725</v>
      </c>
      <c r="K1338" s="34" t="s">
        <v>1726</v>
      </c>
      <c r="L1338" s="5">
        <f>IF(O1338="","",N1338*O1338*M1338)</f>
        <v>99</v>
      </c>
      <c r="M1338" s="8">
        <v>1</v>
      </c>
      <c r="N1338" s="1">
        <v>1</v>
      </c>
      <c r="O1338" s="15">
        <f>IF(SUM(Q1338:AF1338)&lt;1,"",SUM(Q1338:AF1338)/COUNTIF(Q1338:AF1338,"&gt;0"))</f>
        <v>99</v>
      </c>
      <c r="P1338" s="16"/>
      <c r="Q1338" s="13"/>
      <c r="R1338" s="4"/>
      <c r="S1338" s="4"/>
      <c r="T1338" s="4">
        <v>99</v>
      </c>
      <c r="U1338" s="2"/>
      <c r="V1338" s="2"/>
      <c r="W1338" s="2"/>
      <c r="X1338" s="2"/>
      <c r="Y1338" s="4"/>
      <c r="Z1338" s="2"/>
      <c r="AA1338" s="2"/>
      <c r="AB1338" s="4"/>
      <c r="AC1338" s="4"/>
      <c r="AD1338" s="4"/>
      <c r="AE1338" s="4"/>
      <c r="AF1338" s="14"/>
    </row>
    <row r="1339" spans="1:32" x14ac:dyDescent="0.25">
      <c r="A1339" s="33" t="str">
        <f>CONCATENATE(D1339,".",F1339,"-",G1339,".",H1339,"")</f>
        <v>2.4-4.1</v>
      </c>
      <c r="C1339" s="39" t="s">
        <v>262</v>
      </c>
      <c r="D1339" s="33">
        <f>IF(C1339="ID",1,(IF(C1339="PR",2,(IF(C1339="DE",3,(IF(C1339="RS",4,(IF(C1339="RC",5,0)))))))))</f>
        <v>2</v>
      </c>
      <c r="E1339" s="33" t="s">
        <v>344</v>
      </c>
      <c r="F1339" s="33">
        <f>IF(E1339="AM",1,(IF(E1339="BE",2,(IF(E1339="GV",3,(IF(E1339="RA",4,(IF(E1339="RM",5,(IF(E1339="AC",1,(IF(E1339="AT",2,(IF(E1339="DS",3,(IF(E1339="IP",4,(IF(E1339="MA",5,(IF(E1339="PT",6,(IF(E1339="AE",1,(IF(E1339="CM",2,(IF(E1339="DP",3,(IF(E1339="AN",1,(IF(E1339="CO",2,(IF(E1339="IM",3,(IF(E1339="MI",4,(IF(E1339="RP",5,(IF(E1339="SC",6,0)))))))))))))))))))))))))))))))))))))))</f>
        <v>4</v>
      </c>
      <c r="G1339" s="170">
        <v>4</v>
      </c>
      <c r="H1339" s="38" t="s">
        <v>511</v>
      </c>
      <c r="I1339" s="3" t="s">
        <v>1449</v>
      </c>
      <c r="J1339" s="157" t="s">
        <v>2019</v>
      </c>
      <c r="K1339" s="34" t="s">
        <v>2020</v>
      </c>
      <c r="L1339" s="5">
        <f>IF(O1339="","",N1339*O1339*M1339)</f>
        <v>99</v>
      </c>
      <c r="M1339" s="8">
        <v>1</v>
      </c>
      <c r="N1339" s="1">
        <v>1</v>
      </c>
      <c r="O1339" s="15">
        <f>IF(SUM(Q1339:AF1339)&lt;1,"",SUM(Q1339:AF1339)/COUNTIF(Q1339:AF1339,"&gt;0"))</f>
        <v>99</v>
      </c>
      <c r="P1339" s="16"/>
      <c r="Q1339" s="13"/>
      <c r="R1339" s="4"/>
      <c r="S1339" s="4"/>
      <c r="T1339" s="4">
        <v>99</v>
      </c>
      <c r="U1339" s="2"/>
      <c r="V1339" s="2"/>
      <c r="W1339" s="2"/>
      <c r="X1339" s="2"/>
      <c r="Y1339" s="4"/>
      <c r="Z1339" s="2"/>
      <c r="AA1339" s="2"/>
      <c r="AB1339" s="4"/>
      <c r="AC1339" s="4"/>
      <c r="AD1339" s="4"/>
      <c r="AE1339" s="4"/>
      <c r="AF1339" s="14"/>
    </row>
    <row r="1340" spans="1:32" x14ac:dyDescent="0.25">
      <c r="A1340" s="33" t="str">
        <f>CONCATENATE(D1340,".",F1340,"-",G1340,".",H1340,"")</f>
        <v>2.4-4.1</v>
      </c>
      <c r="C1340" s="39" t="s">
        <v>262</v>
      </c>
      <c r="D1340" s="33">
        <f>IF(C1340="ID",1,(IF(C1340="PR",2,(IF(C1340="DE",3,(IF(C1340="RS",4,(IF(C1340="RC",5,0)))))))))</f>
        <v>2</v>
      </c>
      <c r="E1340" s="33" t="s">
        <v>344</v>
      </c>
      <c r="F1340" s="33">
        <f>IF(E1340="AM",1,(IF(E1340="BE",2,(IF(E1340="GV",3,(IF(E1340="RA",4,(IF(E1340="RM",5,(IF(E1340="AC",1,(IF(E1340="AT",2,(IF(E1340="DS",3,(IF(E1340="IP",4,(IF(E1340="MA",5,(IF(E1340="PT",6,(IF(E1340="AE",1,(IF(E1340="CM",2,(IF(E1340="DP",3,(IF(E1340="AN",1,(IF(E1340="CO",2,(IF(E1340="IM",3,(IF(E1340="MI",4,(IF(E1340="RP",5,(IF(E1340="SC",6,0)))))))))))))))))))))))))))))))))))))))</f>
        <v>4</v>
      </c>
      <c r="G1340" s="170">
        <v>4</v>
      </c>
      <c r="H1340" s="38" t="s">
        <v>511</v>
      </c>
      <c r="I1340" s="3" t="s">
        <v>1449</v>
      </c>
      <c r="J1340" s="157" t="s">
        <v>2021</v>
      </c>
      <c r="K1340" s="34" t="s">
        <v>2022</v>
      </c>
      <c r="L1340" s="5">
        <f>IF(O1340="","",N1340*O1340*M1340)</f>
        <v>99</v>
      </c>
      <c r="M1340" s="8">
        <v>1</v>
      </c>
      <c r="N1340" s="1">
        <v>1</v>
      </c>
      <c r="O1340" s="15">
        <f>IF(SUM(Q1340:AF1340)&lt;1,"",SUM(Q1340:AF1340)/COUNTIF(Q1340:AF1340,"&gt;0"))</f>
        <v>99</v>
      </c>
      <c r="P1340" s="16"/>
      <c r="Q1340" s="13"/>
      <c r="R1340" s="4"/>
      <c r="S1340" s="4"/>
      <c r="T1340" s="4">
        <v>99</v>
      </c>
      <c r="U1340" s="2"/>
      <c r="V1340" s="2"/>
      <c r="W1340" s="2"/>
      <c r="X1340" s="2"/>
      <c r="Y1340" s="4"/>
      <c r="Z1340" s="2"/>
      <c r="AA1340" s="2"/>
      <c r="AB1340" s="4"/>
      <c r="AC1340" s="4"/>
      <c r="AD1340" s="4"/>
      <c r="AE1340" s="4"/>
      <c r="AF1340" s="14"/>
    </row>
    <row r="1341" spans="1:32" x14ac:dyDescent="0.25">
      <c r="A1341" s="33" t="str">
        <f>CONCATENATE(D1341,".",F1341,"-",G1341,".",H1341,"")</f>
        <v>2.4-4.1</v>
      </c>
      <c r="C1341" s="39" t="s">
        <v>262</v>
      </c>
      <c r="D1341" s="33">
        <f>IF(C1341="ID",1,(IF(C1341="PR",2,(IF(C1341="DE",3,(IF(C1341="RS",4,(IF(C1341="RC",5,0)))))))))</f>
        <v>2</v>
      </c>
      <c r="E1341" s="33" t="s">
        <v>344</v>
      </c>
      <c r="F1341" s="33">
        <f>IF(E1341="AM",1,(IF(E1341="BE",2,(IF(E1341="GV",3,(IF(E1341="RA",4,(IF(E1341="RM",5,(IF(E1341="AC",1,(IF(E1341="AT",2,(IF(E1341="DS",3,(IF(E1341="IP",4,(IF(E1341="MA",5,(IF(E1341="PT",6,(IF(E1341="AE",1,(IF(E1341="CM",2,(IF(E1341="DP",3,(IF(E1341="AN",1,(IF(E1341="CO",2,(IF(E1341="IM",3,(IF(E1341="MI",4,(IF(E1341="RP",5,(IF(E1341="SC",6,0)))))))))))))))))))))))))))))))))))))))</f>
        <v>4</v>
      </c>
      <c r="G1341" s="170">
        <v>4</v>
      </c>
      <c r="H1341" s="38" t="s">
        <v>511</v>
      </c>
      <c r="I1341" s="3" t="s">
        <v>1449</v>
      </c>
      <c r="J1341" s="157" t="s">
        <v>2023</v>
      </c>
      <c r="K1341" s="34" t="s">
        <v>2024</v>
      </c>
      <c r="L1341" s="5">
        <f>IF(O1341="","",N1341*O1341*M1341)</f>
        <v>99</v>
      </c>
      <c r="M1341" s="8">
        <v>1</v>
      </c>
      <c r="N1341" s="1">
        <v>1</v>
      </c>
      <c r="O1341" s="15">
        <f>IF(SUM(Q1341:AF1341)&lt;1,"",SUM(Q1341:AF1341)/COUNTIF(Q1341:AF1341,"&gt;0"))</f>
        <v>99</v>
      </c>
      <c r="P1341" s="16"/>
      <c r="Q1341" s="13"/>
      <c r="R1341" s="4"/>
      <c r="S1341" s="4"/>
      <c r="T1341" s="4">
        <v>99</v>
      </c>
      <c r="U1341" s="2"/>
      <c r="V1341" s="2"/>
      <c r="W1341" s="2"/>
      <c r="X1341" s="2"/>
      <c r="Y1341" s="4"/>
      <c r="Z1341" s="2"/>
      <c r="AA1341" s="2"/>
      <c r="AB1341" s="4"/>
      <c r="AC1341" s="4"/>
      <c r="AD1341" s="4"/>
      <c r="AE1341" s="4"/>
      <c r="AF1341" s="14"/>
    </row>
    <row r="1342" spans="1:32" x14ac:dyDescent="0.25">
      <c r="A1342" s="33" t="str">
        <f>CONCATENATE(D1342,".",F1342,"-",G1342,".",H1342,"")</f>
        <v>2.4-4.1</v>
      </c>
      <c r="C1342" s="39" t="s">
        <v>262</v>
      </c>
      <c r="D1342" s="33">
        <f>IF(C1342="ID",1,(IF(C1342="PR",2,(IF(C1342="DE",3,(IF(C1342="RS",4,(IF(C1342="RC",5,0)))))))))</f>
        <v>2</v>
      </c>
      <c r="E1342" s="33" t="s">
        <v>344</v>
      </c>
      <c r="F1342" s="33">
        <f>IF(E1342="AM",1,(IF(E1342="BE",2,(IF(E1342="GV",3,(IF(E1342="RA",4,(IF(E1342="RM",5,(IF(E1342="AC",1,(IF(E1342="AT",2,(IF(E1342="DS",3,(IF(E1342="IP",4,(IF(E1342="MA",5,(IF(E1342="PT",6,(IF(E1342="AE",1,(IF(E1342="CM",2,(IF(E1342="DP",3,(IF(E1342="AN",1,(IF(E1342="CO",2,(IF(E1342="IM",3,(IF(E1342="MI",4,(IF(E1342="RP",5,(IF(E1342="SC",6,0)))))))))))))))))))))))))))))))))))))))</f>
        <v>4</v>
      </c>
      <c r="G1342" s="170">
        <v>4</v>
      </c>
      <c r="H1342" s="38" t="s">
        <v>511</v>
      </c>
      <c r="I1342" s="3" t="s">
        <v>1449</v>
      </c>
      <c r="J1342" s="157" t="s">
        <v>2025</v>
      </c>
      <c r="K1342" s="34" t="s">
        <v>2026</v>
      </c>
      <c r="L1342" s="5">
        <f>IF(O1342="","",N1342*O1342*M1342)</f>
        <v>99</v>
      </c>
      <c r="M1342" s="8">
        <v>1</v>
      </c>
      <c r="N1342" s="1">
        <v>1</v>
      </c>
      <c r="O1342" s="15">
        <f>IF(SUM(Q1342:AF1342)&lt;1,"",SUM(Q1342:AF1342)/COUNTIF(Q1342:AF1342,"&gt;0"))</f>
        <v>99</v>
      </c>
      <c r="P1342" s="16"/>
      <c r="Q1342" s="13"/>
      <c r="R1342" s="4"/>
      <c r="S1342" s="4"/>
      <c r="T1342" s="4">
        <v>99</v>
      </c>
      <c r="U1342" s="2"/>
      <c r="V1342" s="2"/>
      <c r="W1342" s="2"/>
      <c r="X1342" s="2"/>
      <c r="Y1342" s="4"/>
      <c r="Z1342" s="2"/>
      <c r="AA1342" s="2"/>
      <c r="AB1342" s="4"/>
      <c r="AC1342" s="4"/>
      <c r="AD1342" s="4"/>
      <c r="AE1342" s="4"/>
      <c r="AF1342" s="14"/>
    </row>
    <row r="1343" spans="1:32" x14ac:dyDescent="0.25">
      <c r="A1343" s="33" t="str">
        <f>CONCATENATE(D1343,".",F1343,"-",G1343,".",H1343,"")</f>
        <v>2.4-4.1</v>
      </c>
      <c r="C1343" s="39" t="s">
        <v>262</v>
      </c>
      <c r="D1343" s="33">
        <f>IF(C1343="ID",1,(IF(C1343="PR",2,(IF(C1343="DE",3,(IF(C1343="RS",4,(IF(C1343="RC",5,0)))))))))</f>
        <v>2</v>
      </c>
      <c r="E1343" s="33" t="s">
        <v>344</v>
      </c>
      <c r="F1343" s="33">
        <f>IF(E1343="AM",1,(IF(E1343="BE",2,(IF(E1343="GV",3,(IF(E1343="RA",4,(IF(E1343="RM",5,(IF(E1343="AC",1,(IF(E1343="AT",2,(IF(E1343="DS",3,(IF(E1343="IP",4,(IF(E1343="MA",5,(IF(E1343="PT",6,(IF(E1343="AE",1,(IF(E1343="CM",2,(IF(E1343="DP",3,(IF(E1343="AN",1,(IF(E1343="CO",2,(IF(E1343="IM",3,(IF(E1343="MI",4,(IF(E1343="RP",5,(IF(E1343="SC",6,0)))))))))))))))))))))))))))))))))))))))</f>
        <v>4</v>
      </c>
      <c r="G1343" s="170">
        <v>4</v>
      </c>
      <c r="H1343" s="38" t="s">
        <v>511</v>
      </c>
      <c r="I1343" s="3" t="s">
        <v>1449</v>
      </c>
      <c r="J1343" s="157" t="s">
        <v>2051</v>
      </c>
      <c r="K1343" s="34" t="s">
        <v>2052</v>
      </c>
      <c r="L1343" s="5">
        <f>IF(O1343="","",N1343*O1343*M1343)</f>
        <v>99</v>
      </c>
      <c r="M1343" s="8">
        <v>1</v>
      </c>
      <c r="N1343" s="1">
        <v>1</v>
      </c>
      <c r="O1343" s="15">
        <f>IF(SUM(Q1343:AF1343)&lt;1,"",SUM(Q1343:AF1343)/COUNTIF(Q1343:AF1343,"&gt;0"))</f>
        <v>99</v>
      </c>
      <c r="P1343" s="16"/>
      <c r="Q1343" s="13"/>
      <c r="R1343" s="4"/>
      <c r="S1343" s="4"/>
      <c r="T1343" s="4">
        <v>99</v>
      </c>
      <c r="U1343" s="2"/>
      <c r="V1343" s="2"/>
      <c r="W1343" s="2"/>
      <c r="X1343" s="2"/>
      <c r="Y1343" s="4"/>
      <c r="Z1343" s="2"/>
      <c r="AA1343" s="2"/>
      <c r="AB1343" s="4"/>
      <c r="AC1343" s="4"/>
      <c r="AD1343" s="4"/>
      <c r="AE1343" s="4"/>
      <c r="AF1343" s="14"/>
    </row>
    <row r="1344" spans="1:32" x14ac:dyDescent="0.25">
      <c r="A1344" s="33" t="str">
        <f>CONCATENATE(D1344,".",F1344,"-",G1344,".",H1344,"")</f>
        <v>2.4-4.1</v>
      </c>
      <c r="C1344" s="39" t="s">
        <v>262</v>
      </c>
      <c r="D1344" s="33">
        <f>IF(C1344="ID",1,(IF(C1344="PR",2,(IF(C1344="DE",3,(IF(C1344="RS",4,(IF(C1344="RC",5,0)))))))))</f>
        <v>2</v>
      </c>
      <c r="E1344" s="33" t="s">
        <v>344</v>
      </c>
      <c r="F1344" s="33">
        <f>IF(E1344="AM",1,(IF(E1344="BE",2,(IF(E1344="GV",3,(IF(E1344="RA",4,(IF(E1344="RM",5,(IF(E1344="AC",1,(IF(E1344="AT",2,(IF(E1344="DS",3,(IF(E1344="IP",4,(IF(E1344="MA",5,(IF(E1344="PT",6,(IF(E1344="AE",1,(IF(E1344="CM",2,(IF(E1344="DP",3,(IF(E1344="AN",1,(IF(E1344="CO",2,(IF(E1344="IM",3,(IF(E1344="MI",4,(IF(E1344="RP",5,(IF(E1344="SC",6,0)))))))))))))))))))))))))))))))))))))))</f>
        <v>4</v>
      </c>
      <c r="G1344" s="170">
        <v>4</v>
      </c>
      <c r="H1344" s="38" t="s">
        <v>511</v>
      </c>
      <c r="I1344" s="3" t="s">
        <v>1449</v>
      </c>
      <c r="J1344" s="157" t="s">
        <v>2053</v>
      </c>
      <c r="K1344" s="34" t="s">
        <v>2054</v>
      </c>
      <c r="L1344" s="5">
        <f>IF(O1344="","",N1344*O1344*M1344)</f>
        <v>99</v>
      </c>
      <c r="M1344" s="8">
        <v>1</v>
      </c>
      <c r="N1344" s="1">
        <v>1</v>
      </c>
      <c r="O1344" s="15">
        <f>IF(SUM(Q1344:AF1344)&lt;1,"",SUM(Q1344:AF1344)/COUNTIF(Q1344:AF1344,"&gt;0"))</f>
        <v>99</v>
      </c>
      <c r="P1344" s="16"/>
      <c r="Q1344" s="13"/>
      <c r="R1344" s="4"/>
      <c r="S1344" s="4"/>
      <c r="T1344" s="4">
        <v>99</v>
      </c>
      <c r="U1344" s="2"/>
      <c r="V1344" s="2"/>
      <c r="W1344" s="2"/>
      <c r="X1344" s="2"/>
      <c r="Y1344" s="4"/>
      <c r="Z1344" s="2"/>
      <c r="AA1344" s="2"/>
      <c r="AB1344" s="4"/>
      <c r="AC1344" s="4"/>
      <c r="AD1344" s="4"/>
      <c r="AE1344" s="4"/>
      <c r="AF1344" s="14"/>
    </row>
    <row r="1345" spans="1:32" x14ac:dyDescent="0.25">
      <c r="A1345" s="33" t="str">
        <f>CONCATENATE(D1345,".",F1345,"-",G1345,".",H1345,"")</f>
        <v>2.4-4.1</v>
      </c>
      <c r="C1345" s="39" t="s">
        <v>262</v>
      </c>
      <c r="D1345" s="33">
        <f>IF(C1345="ID",1,(IF(C1345="PR",2,(IF(C1345="DE",3,(IF(C1345="RS",4,(IF(C1345="RC",5,0)))))))))</f>
        <v>2</v>
      </c>
      <c r="E1345" s="33" t="s">
        <v>344</v>
      </c>
      <c r="F1345" s="33">
        <f>IF(E1345="AM",1,(IF(E1345="BE",2,(IF(E1345="GV",3,(IF(E1345="RA",4,(IF(E1345="RM",5,(IF(E1345="AC",1,(IF(E1345="AT",2,(IF(E1345="DS",3,(IF(E1345="IP",4,(IF(E1345="MA",5,(IF(E1345="PT",6,(IF(E1345="AE",1,(IF(E1345="CM",2,(IF(E1345="DP",3,(IF(E1345="AN",1,(IF(E1345="CO",2,(IF(E1345="IM",3,(IF(E1345="MI",4,(IF(E1345="RP",5,(IF(E1345="SC",6,0)))))))))))))))))))))))))))))))))))))))</f>
        <v>4</v>
      </c>
      <c r="G1345" s="170">
        <v>4</v>
      </c>
      <c r="H1345" s="38" t="s">
        <v>511</v>
      </c>
      <c r="I1345" s="3" t="s">
        <v>1449</v>
      </c>
      <c r="J1345" s="157" t="s">
        <v>2055</v>
      </c>
      <c r="K1345" s="34" t="s">
        <v>2056</v>
      </c>
      <c r="L1345" s="5">
        <f>IF(O1345="","",N1345*O1345*M1345)</f>
        <v>99</v>
      </c>
      <c r="M1345" s="8">
        <v>1</v>
      </c>
      <c r="N1345" s="1">
        <v>1</v>
      </c>
      <c r="O1345" s="15">
        <f>IF(SUM(Q1345:AF1345)&lt;1,"",SUM(Q1345:AF1345)/COUNTIF(Q1345:AF1345,"&gt;0"))</f>
        <v>99</v>
      </c>
      <c r="P1345" s="16"/>
      <c r="Q1345" s="13"/>
      <c r="R1345" s="4"/>
      <c r="S1345" s="4"/>
      <c r="T1345" s="4">
        <v>99</v>
      </c>
      <c r="U1345" s="2"/>
      <c r="V1345" s="2"/>
      <c r="W1345" s="2"/>
      <c r="X1345" s="2"/>
      <c r="Y1345" s="4"/>
      <c r="Z1345" s="2"/>
      <c r="AA1345" s="2"/>
      <c r="AB1345" s="4"/>
      <c r="AC1345" s="4"/>
      <c r="AD1345" s="4"/>
      <c r="AE1345" s="4"/>
      <c r="AF1345" s="14"/>
    </row>
    <row r="1346" spans="1:32" x14ac:dyDescent="0.25">
      <c r="A1346" s="33" t="str">
        <f>CONCATENATE(D1346,".",F1346,"-",G1346,".",H1346,"")</f>
        <v>2.4-4.1</v>
      </c>
      <c r="C1346" s="39" t="s">
        <v>262</v>
      </c>
      <c r="D1346" s="33">
        <f>IF(C1346="ID",1,(IF(C1346="PR",2,(IF(C1346="DE",3,(IF(C1346="RS",4,(IF(C1346="RC",5,0)))))))))</f>
        <v>2</v>
      </c>
      <c r="E1346" s="33" t="s">
        <v>344</v>
      </c>
      <c r="F1346" s="33">
        <f>IF(E1346="AM",1,(IF(E1346="BE",2,(IF(E1346="GV",3,(IF(E1346="RA",4,(IF(E1346="RM",5,(IF(E1346="AC",1,(IF(E1346="AT",2,(IF(E1346="DS",3,(IF(E1346="IP",4,(IF(E1346="MA",5,(IF(E1346="PT",6,(IF(E1346="AE",1,(IF(E1346="CM",2,(IF(E1346="DP",3,(IF(E1346="AN",1,(IF(E1346="CO",2,(IF(E1346="IM",3,(IF(E1346="MI",4,(IF(E1346="RP",5,(IF(E1346="SC",6,0)))))))))))))))))))))))))))))))))))))))</f>
        <v>4</v>
      </c>
      <c r="G1346" s="170">
        <v>4</v>
      </c>
      <c r="H1346" s="38" t="s">
        <v>511</v>
      </c>
      <c r="I1346" s="3" t="s">
        <v>1449</v>
      </c>
      <c r="J1346" s="157" t="s">
        <v>2057</v>
      </c>
      <c r="K1346" s="34" t="s">
        <v>2058</v>
      </c>
      <c r="L1346" s="5">
        <f>IF(O1346="","",N1346*O1346*M1346)</f>
        <v>99</v>
      </c>
      <c r="M1346" s="8">
        <v>1</v>
      </c>
      <c r="N1346" s="1">
        <v>1</v>
      </c>
      <c r="O1346" s="15">
        <f>IF(SUM(Q1346:AF1346)&lt;1,"",SUM(Q1346:AF1346)/COUNTIF(Q1346:AF1346,"&gt;0"))</f>
        <v>99</v>
      </c>
      <c r="P1346" s="16"/>
      <c r="Q1346" s="13"/>
      <c r="R1346" s="4"/>
      <c r="S1346" s="4"/>
      <c r="T1346" s="4">
        <v>99</v>
      </c>
      <c r="U1346" s="2"/>
      <c r="V1346" s="2"/>
      <c r="W1346" s="2"/>
      <c r="X1346" s="2"/>
      <c r="Y1346" s="4"/>
      <c r="Z1346" s="2"/>
      <c r="AA1346" s="2"/>
      <c r="AB1346" s="4"/>
      <c r="AC1346" s="4"/>
      <c r="AD1346" s="4"/>
      <c r="AE1346" s="4"/>
      <c r="AF1346" s="14"/>
    </row>
    <row r="1347" spans="1:32" x14ac:dyDescent="0.25">
      <c r="A1347" s="33" t="str">
        <f>CONCATENATE(D1347,".",F1347,"-",G1347,".",H1347,"")</f>
        <v>2.4-4.1</v>
      </c>
      <c r="C1347" s="39" t="s">
        <v>262</v>
      </c>
      <c r="D1347" s="33">
        <f>IF(C1347="ID",1,(IF(C1347="PR",2,(IF(C1347="DE",3,(IF(C1347="RS",4,(IF(C1347="RC",5,0)))))))))</f>
        <v>2</v>
      </c>
      <c r="E1347" s="33" t="s">
        <v>344</v>
      </c>
      <c r="F1347" s="33">
        <f>IF(E1347="AM",1,(IF(E1347="BE",2,(IF(E1347="GV",3,(IF(E1347="RA",4,(IF(E1347="RM",5,(IF(E1347="AC",1,(IF(E1347="AT",2,(IF(E1347="DS",3,(IF(E1347="IP",4,(IF(E1347="MA",5,(IF(E1347="PT",6,(IF(E1347="AE",1,(IF(E1347="CM",2,(IF(E1347="DP",3,(IF(E1347="AN",1,(IF(E1347="CO",2,(IF(E1347="IM",3,(IF(E1347="MI",4,(IF(E1347="RP",5,(IF(E1347="SC",6,0)))))))))))))))))))))))))))))))))))))))</f>
        <v>4</v>
      </c>
      <c r="G1347" s="170">
        <v>4</v>
      </c>
      <c r="H1347" s="38" t="s">
        <v>511</v>
      </c>
      <c r="I1347" s="3" t="s">
        <v>1449</v>
      </c>
      <c r="J1347" s="157" t="s">
        <v>2059</v>
      </c>
      <c r="K1347" s="34" t="s">
        <v>2060</v>
      </c>
      <c r="L1347" s="5">
        <f>IF(O1347="","",N1347*O1347*M1347)</f>
        <v>99</v>
      </c>
      <c r="M1347" s="8">
        <v>1</v>
      </c>
      <c r="N1347" s="1">
        <v>1</v>
      </c>
      <c r="O1347" s="15">
        <f>IF(SUM(Q1347:AF1347)&lt;1,"",SUM(Q1347:AF1347)/COUNTIF(Q1347:AF1347,"&gt;0"))</f>
        <v>99</v>
      </c>
      <c r="P1347" s="16"/>
      <c r="Q1347" s="13"/>
      <c r="R1347" s="4"/>
      <c r="S1347" s="4"/>
      <c r="T1347" s="4">
        <v>99</v>
      </c>
      <c r="U1347" s="2"/>
      <c r="V1347" s="2"/>
      <c r="W1347" s="2"/>
      <c r="X1347" s="2"/>
      <c r="Y1347" s="4"/>
      <c r="Z1347" s="2"/>
      <c r="AA1347" s="2"/>
      <c r="AB1347" s="4"/>
      <c r="AC1347" s="4"/>
      <c r="AD1347" s="4"/>
      <c r="AE1347" s="4"/>
      <c r="AF1347" s="14"/>
    </row>
    <row r="1348" spans="1:32" x14ac:dyDescent="0.25">
      <c r="A1348" s="33" t="str">
        <f>CONCATENATE(D1348,".",F1348,"-",G1348,".",H1348,"")</f>
        <v>2.4-4.1</v>
      </c>
      <c r="C1348" s="39" t="s">
        <v>262</v>
      </c>
      <c r="D1348" s="33">
        <f>IF(C1348="ID",1,(IF(C1348="PR",2,(IF(C1348="DE",3,(IF(C1348="RS",4,(IF(C1348="RC",5,0)))))))))</f>
        <v>2</v>
      </c>
      <c r="E1348" s="33" t="s">
        <v>344</v>
      </c>
      <c r="F1348" s="33">
        <f>IF(E1348="AM",1,(IF(E1348="BE",2,(IF(E1348="GV",3,(IF(E1348="RA",4,(IF(E1348="RM",5,(IF(E1348="AC",1,(IF(E1348="AT",2,(IF(E1348="DS",3,(IF(E1348="IP",4,(IF(E1348="MA",5,(IF(E1348="PT",6,(IF(E1348="AE",1,(IF(E1348="CM",2,(IF(E1348="DP",3,(IF(E1348="AN",1,(IF(E1348="CO",2,(IF(E1348="IM",3,(IF(E1348="MI",4,(IF(E1348="RP",5,(IF(E1348="SC",6,0)))))))))))))))))))))))))))))))))))))))</f>
        <v>4</v>
      </c>
      <c r="G1348" s="170">
        <v>4</v>
      </c>
      <c r="H1348" s="38" t="s">
        <v>511</v>
      </c>
      <c r="I1348" s="3" t="s">
        <v>1449</v>
      </c>
      <c r="J1348" s="157" t="s">
        <v>2061</v>
      </c>
      <c r="K1348" s="34" t="s">
        <v>2062</v>
      </c>
      <c r="L1348" s="5">
        <f>IF(O1348="","",N1348*O1348*M1348)</f>
        <v>99</v>
      </c>
      <c r="M1348" s="8">
        <v>1</v>
      </c>
      <c r="N1348" s="1">
        <v>1</v>
      </c>
      <c r="O1348" s="15">
        <f>IF(SUM(Q1348:AF1348)&lt;1,"",SUM(Q1348:AF1348)/COUNTIF(Q1348:AF1348,"&gt;0"))</f>
        <v>99</v>
      </c>
      <c r="P1348" s="16"/>
      <c r="Q1348" s="13"/>
      <c r="R1348" s="4"/>
      <c r="S1348" s="4"/>
      <c r="T1348" s="4">
        <v>99</v>
      </c>
      <c r="U1348" s="2"/>
      <c r="V1348" s="2"/>
      <c r="W1348" s="2"/>
      <c r="X1348" s="2"/>
      <c r="Y1348" s="4"/>
      <c r="Z1348" s="2"/>
      <c r="AA1348" s="2"/>
      <c r="AB1348" s="4"/>
      <c r="AC1348" s="4"/>
      <c r="AD1348" s="4"/>
      <c r="AE1348" s="4"/>
      <c r="AF1348" s="14"/>
    </row>
    <row r="1349" spans="1:32" x14ac:dyDescent="0.25">
      <c r="A1349" s="33" t="str">
        <f>CONCATENATE(D1349,".",F1349,"-",G1349,".",H1349,"")</f>
        <v>2.4-4.1</v>
      </c>
      <c r="C1349" s="39" t="s">
        <v>262</v>
      </c>
      <c r="D1349" s="33">
        <f>IF(C1349="ID",1,(IF(C1349="PR",2,(IF(C1349="DE",3,(IF(C1349="RS",4,(IF(C1349="RC",5,0)))))))))</f>
        <v>2</v>
      </c>
      <c r="E1349" s="33" t="s">
        <v>344</v>
      </c>
      <c r="F1349" s="33">
        <f>IF(E1349="AM",1,(IF(E1349="BE",2,(IF(E1349="GV",3,(IF(E1349="RA",4,(IF(E1349="RM",5,(IF(E1349="AC",1,(IF(E1349="AT",2,(IF(E1349="DS",3,(IF(E1349="IP",4,(IF(E1349="MA",5,(IF(E1349="PT",6,(IF(E1349="AE",1,(IF(E1349="CM",2,(IF(E1349="DP",3,(IF(E1349="AN",1,(IF(E1349="CO",2,(IF(E1349="IM",3,(IF(E1349="MI",4,(IF(E1349="RP",5,(IF(E1349="SC",6,0)))))))))))))))))))))))))))))))))))))))</f>
        <v>4</v>
      </c>
      <c r="G1349" s="170">
        <v>4</v>
      </c>
      <c r="H1349" s="38" t="s">
        <v>511</v>
      </c>
      <c r="I1349" s="3" t="s">
        <v>1449</v>
      </c>
      <c r="J1349" s="157" t="s">
        <v>2063</v>
      </c>
      <c r="K1349" s="34" t="s">
        <v>2064</v>
      </c>
      <c r="L1349" s="5">
        <f>IF(O1349="","",N1349*O1349*M1349)</f>
        <v>99</v>
      </c>
      <c r="M1349" s="8">
        <v>1</v>
      </c>
      <c r="N1349" s="1">
        <v>1</v>
      </c>
      <c r="O1349" s="15">
        <f>IF(SUM(Q1349:AF1349)&lt;1,"",SUM(Q1349:AF1349)/COUNTIF(Q1349:AF1349,"&gt;0"))</f>
        <v>99</v>
      </c>
      <c r="P1349" s="16"/>
      <c r="Q1349" s="13"/>
      <c r="R1349" s="4"/>
      <c r="S1349" s="4"/>
      <c r="T1349" s="4">
        <v>99</v>
      </c>
      <c r="U1349" s="2"/>
      <c r="V1349" s="2"/>
      <c r="W1349" s="2"/>
      <c r="X1349" s="2"/>
      <c r="Y1349" s="4"/>
      <c r="Z1349" s="2"/>
      <c r="AA1349" s="2"/>
      <c r="AB1349" s="4"/>
      <c r="AC1349" s="4"/>
      <c r="AD1349" s="4"/>
      <c r="AE1349" s="4"/>
      <c r="AF1349" s="14"/>
    </row>
    <row r="1350" spans="1:32" x14ac:dyDescent="0.25">
      <c r="A1350" s="33" t="str">
        <f>CONCATENATE(D1350,".",F1350,"-",G1350,".",H1350,"")</f>
        <v>2.4-4.2</v>
      </c>
      <c r="B1350" s="33" t="s">
        <v>814</v>
      </c>
      <c r="C1350" s="40" t="s">
        <v>262</v>
      </c>
      <c r="D1350" s="33">
        <f>IF(C1350="ID",1,(IF(C1350="PR",2,(IF(C1350="DE",3,(IF(C1350="RS",4,(IF(C1350="RC",5,0)))))))))</f>
        <v>2</v>
      </c>
      <c r="E1350" s="33" t="s">
        <v>344</v>
      </c>
      <c r="F1350" s="33">
        <f>IF(E1350="AM",1,(IF(E1350="BE",2,(IF(E1350="GV",3,(IF(E1350="RA",4,(IF(E1350="RM",5,(IF(E1350="AC",1,(IF(E1350="AT",2,(IF(E1350="DS",3,(IF(E1350="IP",4,(IF(E1350="MA",5,(IF(E1350="PT",6,(IF(E1350="AE",1,(IF(E1350="CM",2,(IF(E1350="DP",3,(IF(E1350="AN",1,(IF(E1350="CO",2,(IF(E1350="IM",3,(IF(E1350="MI",4,(IF(E1350="RP",5,(IF(E1350="SC",6,0)))))))))))))))))))))))))))))))))))))))</f>
        <v>4</v>
      </c>
      <c r="G1350" s="170">
        <v>4</v>
      </c>
      <c r="H1350" s="38" t="s">
        <v>512</v>
      </c>
      <c r="I1350" s="22" t="s">
        <v>266</v>
      </c>
      <c r="J1350" s="149" t="s">
        <v>459</v>
      </c>
      <c r="K1350" s="79" t="s">
        <v>1315</v>
      </c>
      <c r="L1350" s="66">
        <f>IF(O1350="","",N1350*O1350*M1350)</f>
        <v>75</v>
      </c>
      <c r="M1350" s="8">
        <v>1</v>
      </c>
      <c r="N1350" s="1">
        <v>1</v>
      </c>
      <c r="O1350" s="15">
        <f>IF(SUM(Q1350:AF1350)&lt;1,"",SUM(Q1350:AF1350)/COUNTIF(Q1350:AF1350,"&gt;0"))</f>
        <v>75</v>
      </c>
      <c r="P1350" s="16"/>
      <c r="Q1350" s="13"/>
      <c r="R1350" s="4"/>
      <c r="S1350" s="4"/>
      <c r="T1350" s="4">
        <v>75</v>
      </c>
      <c r="U1350" s="2"/>
      <c r="V1350" s="2"/>
      <c r="W1350" s="2"/>
      <c r="X1350" s="2"/>
      <c r="Y1350" s="4"/>
      <c r="Z1350" s="2"/>
      <c r="AA1350" s="2"/>
      <c r="AB1350" s="4"/>
      <c r="AC1350" s="4"/>
      <c r="AD1350" s="4"/>
      <c r="AE1350" s="4"/>
      <c r="AF1350" s="14"/>
    </row>
    <row r="1351" spans="1:32" x14ac:dyDescent="0.25">
      <c r="A1351" s="33" t="str">
        <f>CONCATENATE(D1351,".",F1351,"-",G1351,".",H1351,"")</f>
        <v>2.4-5.0</v>
      </c>
      <c r="B1351" s="33" t="s">
        <v>814</v>
      </c>
      <c r="C1351" s="40" t="s">
        <v>262</v>
      </c>
      <c r="D1351" s="33">
        <f>IF(C1351="ID",1,(IF(C1351="PR",2,(IF(C1351="DE",3,(IF(C1351="RS",4,(IF(C1351="RC",5,0)))))))))</f>
        <v>2</v>
      </c>
      <c r="E1351" s="33" t="s">
        <v>344</v>
      </c>
      <c r="F1351" s="33">
        <f>IF(E1351="AM",1,(IF(E1351="BE",2,(IF(E1351="GV",3,(IF(E1351="RA",4,(IF(E1351="RM",5,(IF(E1351="AC",1,(IF(E1351="AT",2,(IF(E1351="DS",3,(IF(E1351="IP",4,(IF(E1351="MA",5,(IF(E1351="PT",6,(IF(E1351="AE",1,(IF(E1351="CM",2,(IF(E1351="DP",3,(IF(E1351="AN",1,(IF(E1351="CO",2,(IF(E1351="IM",3,(IF(E1351="MI",4,(IF(E1351="RP",5,(IF(E1351="SC",6,0)))))))))))))))))))))))))))))))))))))))</f>
        <v>4</v>
      </c>
      <c r="G1351" s="170">
        <v>5</v>
      </c>
      <c r="H1351" s="38" t="s">
        <v>597</v>
      </c>
      <c r="I1351" s="22" t="s">
        <v>1200</v>
      </c>
      <c r="J1351" s="149" t="s">
        <v>686</v>
      </c>
      <c r="K1351" s="98" t="s">
        <v>388</v>
      </c>
      <c r="L1351" s="5">
        <f>IF(O1351="","",N1351*O1351*M1351)</f>
        <v>75</v>
      </c>
      <c r="M1351" s="8">
        <v>1</v>
      </c>
      <c r="N1351" s="1">
        <v>1</v>
      </c>
      <c r="O1351" s="15">
        <f>IF(SUM(Q1351:AF1351)&lt;1,"",SUM(Q1351:AF1351)/COUNTIF(Q1351:AF1351,"&gt;0"))</f>
        <v>75</v>
      </c>
      <c r="P1351" s="16"/>
      <c r="Q1351" s="13"/>
      <c r="R1351" s="4"/>
      <c r="S1351" s="4"/>
      <c r="T1351" s="4">
        <v>75</v>
      </c>
      <c r="U1351" s="2"/>
      <c r="V1351" s="2"/>
      <c r="W1351" s="2"/>
      <c r="X1351" s="2"/>
      <c r="Y1351" s="4"/>
      <c r="Z1351" s="2"/>
      <c r="AA1351" s="2"/>
      <c r="AB1351" s="4"/>
      <c r="AC1351" s="4"/>
      <c r="AD1351" s="4"/>
      <c r="AE1351" s="4"/>
      <c r="AF1351" s="14"/>
    </row>
    <row r="1352" spans="1:32" x14ac:dyDescent="0.25">
      <c r="A1352" s="33" t="str">
        <f>CONCATENATE(D1352,".",F1352,"-",G1352,".",H1352,"")</f>
        <v>2.4-5.1</v>
      </c>
      <c r="B1352" s="33" t="s">
        <v>814</v>
      </c>
      <c r="C1352" s="40" t="s">
        <v>262</v>
      </c>
      <c r="D1352" s="33">
        <f>IF(C1352="ID",1,(IF(C1352="PR",2,(IF(C1352="DE",3,(IF(C1352="RS",4,(IF(C1352="RC",5,0)))))))))</f>
        <v>2</v>
      </c>
      <c r="E1352" s="33" t="s">
        <v>344</v>
      </c>
      <c r="F1352" s="33">
        <f>IF(E1352="AM",1,(IF(E1352="BE",2,(IF(E1352="GV",3,(IF(E1352="RA",4,(IF(E1352="RM",5,(IF(E1352="AC",1,(IF(E1352="AT",2,(IF(E1352="DS",3,(IF(E1352="IP",4,(IF(E1352="MA",5,(IF(E1352="PT",6,(IF(E1352="AE",1,(IF(E1352="CM",2,(IF(E1352="DP",3,(IF(E1352="AN",1,(IF(E1352="CO",2,(IF(E1352="IM",3,(IF(E1352="MI",4,(IF(E1352="RP",5,(IF(E1352="SC",6,0)))))))))))))))))))))))))))))))))))))))</f>
        <v>4</v>
      </c>
      <c r="G1352" s="171">
        <v>5</v>
      </c>
      <c r="H1352" s="38" t="s">
        <v>511</v>
      </c>
      <c r="I1352" s="22" t="s">
        <v>936</v>
      </c>
      <c r="J1352" s="163" t="s">
        <v>881</v>
      </c>
      <c r="K1352" s="34" t="s">
        <v>986</v>
      </c>
      <c r="L1352" s="66">
        <f>IF(O1352="","",N1352*O1352*M1352)</f>
        <v>75</v>
      </c>
      <c r="M1352" s="8">
        <v>1</v>
      </c>
      <c r="N1352" s="3">
        <v>1</v>
      </c>
      <c r="O1352" s="15">
        <f>IF(SUM(Q1352:AF1352)&lt;1,"",SUM(Q1352:AF1352)/COUNTIF(Q1352:AF1352,"&gt;0"))</f>
        <v>75</v>
      </c>
      <c r="P1352" s="16"/>
      <c r="Q1352" s="13"/>
      <c r="R1352" s="4"/>
      <c r="S1352" s="4"/>
      <c r="T1352" s="4">
        <v>75</v>
      </c>
      <c r="U1352" s="2"/>
      <c r="V1352" s="2"/>
      <c r="W1352" s="2"/>
      <c r="X1352" s="2"/>
      <c r="Y1352" s="4"/>
      <c r="Z1352" s="2"/>
      <c r="AA1352" s="2"/>
      <c r="AB1352" s="4"/>
      <c r="AC1352" s="4"/>
      <c r="AD1352" s="4"/>
      <c r="AE1352" s="4"/>
      <c r="AF1352" s="14"/>
    </row>
    <row r="1353" spans="1:32" x14ac:dyDescent="0.25">
      <c r="A1353" s="33" t="str">
        <f>CONCATENATE(D1353,".",F1353,"-",G1353,".",H1353,"")</f>
        <v>2.4-5.1</v>
      </c>
      <c r="B1353" s="33" t="s">
        <v>814</v>
      </c>
      <c r="C1353" s="40" t="s">
        <v>262</v>
      </c>
      <c r="D1353" s="33">
        <f>IF(C1353="ID",1,(IF(C1353="PR",2,(IF(C1353="DE",3,(IF(C1353="RS",4,(IF(C1353="RC",5,0)))))))))</f>
        <v>2</v>
      </c>
      <c r="E1353" s="33" t="s">
        <v>344</v>
      </c>
      <c r="F1353" s="33">
        <f>IF(E1353="AM",1,(IF(E1353="BE",2,(IF(E1353="GV",3,(IF(E1353="RA",4,(IF(E1353="RM",5,(IF(E1353="AC",1,(IF(E1353="AT",2,(IF(E1353="DS",3,(IF(E1353="IP",4,(IF(E1353="MA",5,(IF(E1353="PT",6,(IF(E1353="AE",1,(IF(E1353="CM",2,(IF(E1353="DP",3,(IF(E1353="AN",1,(IF(E1353="CO",2,(IF(E1353="IM",3,(IF(E1353="MI",4,(IF(E1353="RP",5,(IF(E1353="SC",6,0)))))))))))))))))))))))))))))))))))))))</f>
        <v>4</v>
      </c>
      <c r="G1353" s="171">
        <v>5</v>
      </c>
      <c r="H1353" s="38" t="s">
        <v>511</v>
      </c>
      <c r="I1353" s="22" t="s">
        <v>936</v>
      </c>
      <c r="J1353" s="163" t="s">
        <v>877</v>
      </c>
      <c r="K1353" s="34" t="s">
        <v>989</v>
      </c>
      <c r="L1353" s="66">
        <f>IF(O1353="","",N1353*O1353*M1353)</f>
        <v>75</v>
      </c>
      <c r="M1353" s="8">
        <v>1</v>
      </c>
      <c r="N1353" s="3">
        <v>1</v>
      </c>
      <c r="O1353" s="15">
        <f>IF(SUM(Q1353:AF1353)&lt;1,"",SUM(Q1353:AF1353)/COUNTIF(Q1353:AF1353,"&gt;0"))</f>
        <v>75</v>
      </c>
      <c r="P1353" s="16"/>
      <c r="Q1353" s="13"/>
      <c r="R1353" s="4"/>
      <c r="S1353" s="4"/>
      <c r="T1353" s="4">
        <v>75</v>
      </c>
      <c r="U1353" s="2"/>
      <c r="V1353" s="2"/>
      <c r="W1353" s="2"/>
      <c r="X1353" s="2"/>
      <c r="Y1353" s="4"/>
      <c r="Z1353" s="2"/>
      <c r="AA1353" s="2"/>
      <c r="AB1353" s="4"/>
      <c r="AC1353" s="4"/>
      <c r="AD1353" s="4"/>
      <c r="AE1353" s="4"/>
      <c r="AF1353" s="14"/>
    </row>
    <row r="1354" spans="1:32" x14ac:dyDescent="0.25">
      <c r="A1354" s="33" t="str">
        <f>CONCATENATE(D1354,".",F1354,"-",G1354,".",H1354,"")</f>
        <v>2.4-5.1</v>
      </c>
      <c r="B1354" s="33" t="s">
        <v>814</v>
      </c>
      <c r="C1354" s="40" t="s">
        <v>262</v>
      </c>
      <c r="D1354" s="33">
        <f>IF(C1354="ID",1,(IF(C1354="PR",2,(IF(C1354="DE",3,(IF(C1354="RS",4,(IF(C1354="RC",5,0)))))))))</f>
        <v>2</v>
      </c>
      <c r="E1354" s="33" t="s">
        <v>344</v>
      </c>
      <c r="F1354" s="33">
        <f>IF(E1354="AM",1,(IF(E1354="BE",2,(IF(E1354="GV",3,(IF(E1354="RA",4,(IF(E1354="RM",5,(IF(E1354="AC",1,(IF(E1354="AT",2,(IF(E1354="DS",3,(IF(E1354="IP",4,(IF(E1354="MA",5,(IF(E1354="PT",6,(IF(E1354="AE",1,(IF(E1354="CM",2,(IF(E1354="DP",3,(IF(E1354="AN",1,(IF(E1354="CO",2,(IF(E1354="IM",3,(IF(E1354="MI",4,(IF(E1354="RP",5,(IF(E1354="SC",6,0)))))))))))))))))))))))))))))))))))))))</f>
        <v>4</v>
      </c>
      <c r="G1354" s="171">
        <v>5</v>
      </c>
      <c r="H1354" s="38" t="s">
        <v>511</v>
      </c>
      <c r="I1354" s="22" t="s">
        <v>936</v>
      </c>
      <c r="J1354" s="163" t="s">
        <v>887</v>
      </c>
      <c r="K1354" s="34" t="s">
        <v>996</v>
      </c>
      <c r="L1354" s="66">
        <f>IF(O1354="","",N1354*O1354*M1354)</f>
        <v>75</v>
      </c>
      <c r="M1354" s="8">
        <v>1</v>
      </c>
      <c r="N1354" s="3">
        <v>1</v>
      </c>
      <c r="O1354" s="15">
        <f>IF(SUM(Q1354:AF1354)&lt;1,"",SUM(Q1354:AF1354)/COUNTIF(Q1354:AF1354,"&gt;0"))</f>
        <v>75</v>
      </c>
      <c r="P1354" s="16"/>
      <c r="Q1354" s="13"/>
      <c r="R1354" s="4"/>
      <c r="S1354" s="4"/>
      <c r="T1354" s="4">
        <v>75</v>
      </c>
      <c r="U1354" s="2"/>
      <c r="V1354" s="2"/>
      <c r="W1354" s="2"/>
      <c r="X1354" s="2"/>
      <c r="Y1354" s="4"/>
      <c r="Z1354" s="2"/>
      <c r="AA1354" s="2"/>
      <c r="AB1354" s="4"/>
      <c r="AC1354" s="4"/>
      <c r="AD1354" s="4"/>
      <c r="AE1354" s="4"/>
      <c r="AF1354" s="14"/>
    </row>
    <row r="1355" spans="1:32" x14ac:dyDescent="0.25">
      <c r="A1355" s="33" t="str">
        <f>CONCATENATE(D1355,".",F1355,"-",G1355,".",H1355,"")</f>
        <v>2.4-5.1</v>
      </c>
      <c r="B1355" s="33" t="s">
        <v>814</v>
      </c>
      <c r="C1355" s="40" t="s">
        <v>262</v>
      </c>
      <c r="D1355" s="33">
        <f>IF(C1355="ID",1,(IF(C1355="PR",2,(IF(C1355="DE",3,(IF(C1355="RS",4,(IF(C1355="RC",5,0)))))))))</f>
        <v>2</v>
      </c>
      <c r="E1355" s="33" t="s">
        <v>344</v>
      </c>
      <c r="F1355" s="33">
        <f>IF(E1355="AM",1,(IF(E1355="BE",2,(IF(E1355="GV",3,(IF(E1355="RA",4,(IF(E1355="RM",5,(IF(E1355="AC",1,(IF(E1355="AT",2,(IF(E1355="DS",3,(IF(E1355="IP",4,(IF(E1355="MA",5,(IF(E1355="PT",6,(IF(E1355="AE",1,(IF(E1355="CM",2,(IF(E1355="DP",3,(IF(E1355="AN",1,(IF(E1355="CO",2,(IF(E1355="IM",3,(IF(E1355="MI",4,(IF(E1355="RP",5,(IF(E1355="SC",6,0)))))))))))))))))))))))))))))))))))))))</f>
        <v>4</v>
      </c>
      <c r="G1355" s="171">
        <v>5</v>
      </c>
      <c r="H1355" s="38" t="s">
        <v>511</v>
      </c>
      <c r="I1355" s="22" t="s">
        <v>936</v>
      </c>
      <c r="J1355" s="163" t="s">
        <v>866</v>
      </c>
      <c r="K1355" s="34" t="s">
        <v>937</v>
      </c>
      <c r="L1355" s="66">
        <f>IF(O1355="","",N1355*O1355*M1355)</f>
        <v>75</v>
      </c>
      <c r="M1355" s="8">
        <v>1</v>
      </c>
      <c r="N1355" s="3">
        <v>1</v>
      </c>
      <c r="O1355" s="15">
        <f>IF(SUM(Q1355:AF1355)&lt;1,"",SUM(Q1355:AF1355)/COUNTIF(Q1355:AF1355,"&gt;0"))</f>
        <v>75</v>
      </c>
      <c r="P1355" s="16"/>
      <c r="Q1355" s="13"/>
      <c r="R1355" s="4"/>
      <c r="S1355" s="4"/>
      <c r="T1355" s="4">
        <v>75</v>
      </c>
      <c r="U1355" s="2"/>
      <c r="V1355" s="2"/>
      <c r="W1355" s="2"/>
      <c r="X1355" s="2"/>
      <c r="Y1355" s="4"/>
      <c r="Z1355" s="2"/>
      <c r="AA1355" s="2"/>
      <c r="AB1355" s="4"/>
      <c r="AC1355" s="4"/>
      <c r="AD1355" s="4"/>
      <c r="AE1355" s="4"/>
      <c r="AF1355" s="14"/>
    </row>
    <row r="1356" spans="1:32" x14ac:dyDescent="0.25">
      <c r="A1356" s="33" t="str">
        <f>CONCATENATE(D1356,".",F1356,"-",G1356,".",H1356,"")</f>
        <v>2.4-5.1</v>
      </c>
      <c r="B1356" s="33" t="s">
        <v>814</v>
      </c>
      <c r="C1356" s="40" t="s">
        <v>262</v>
      </c>
      <c r="D1356" s="33">
        <f>IF(C1356="ID",1,(IF(C1356="PR",2,(IF(C1356="DE",3,(IF(C1356="RS",4,(IF(C1356="RC",5,0)))))))))</f>
        <v>2</v>
      </c>
      <c r="E1356" s="33" t="s">
        <v>344</v>
      </c>
      <c r="F1356" s="33">
        <f>IF(E1356="AM",1,(IF(E1356="BE",2,(IF(E1356="GV",3,(IF(E1356="RA",4,(IF(E1356="RM",5,(IF(E1356="AC",1,(IF(E1356="AT",2,(IF(E1356="DS",3,(IF(E1356="IP",4,(IF(E1356="MA",5,(IF(E1356="PT",6,(IF(E1356="AE",1,(IF(E1356="CM",2,(IF(E1356="DP",3,(IF(E1356="AN",1,(IF(E1356="CO",2,(IF(E1356="IM",3,(IF(E1356="MI",4,(IF(E1356="RP",5,(IF(E1356="SC",6,0)))))))))))))))))))))))))))))))))))))))</f>
        <v>4</v>
      </c>
      <c r="G1356" s="171">
        <v>5</v>
      </c>
      <c r="H1356" s="38" t="s">
        <v>511</v>
      </c>
      <c r="I1356" s="22" t="s">
        <v>936</v>
      </c>
      <c r="J1356" s="163" t="s">
        <v>964</v>
      </c>
      <c r="K1356" s="34" t="s">
        <v>965</v>
      </c>
      <c r="L1356" s="66">
        <f>IF(O1356="","",N1356*O1356*M1356)</f>
        <v>75</v>
      </c>
      <c r="M1356" s="8">
        <v>1</v>
      </c>
      <c r="N1356" s="3">
        <v>1</v>
      </c>
      <c r="O1356" s="15">
        <f>IF(SUM(Q1356:AF1356)&lt;1,"",SUM(Q1356:AF1356)/COUNTIF(Q1356:AF1356,"&gt;0"))</f>
        <v>75</v>
      </c>
      <c r="P1356" s="16"/>
      <c r="Q1356" s="13"/>
      <c r="R1356" s="4"/>
      <c r="S1356" s="4"/>
      <c r="T1356" s="4">
        <v>75</v>
      </c>
      <c r="U1356" s="2"/>
      <c r="V1356" s="2"/>
      <c r="W1356" s="2"/>
      <c r="X1356" s="2"/>
      <c r="Y1356" s="4"/>
      <c r="Z1356" s="2"/>
      <c r="AA1356" s="2"/>
      <c r="AB1356" s="4"/>
      <c r="AC1356" s="4"/>
      <c r="AD1356" s="4"/>
      <c r="AE1356" s="4"/>
      <c r="AF1356" s="14"/>
    </row>
    <row r="1357" spans="1:32" x14ac:dyDescent="0.25">
      <c r="A1357" s="33" t="str">
        <f>CONCATENATE(D1357,".",F1357,"-",G1357,".",H1357,"")</f>
        <v>2.4-5.1</v>
      </c>
      <c r="B1357" s="33" t="s">
        <v>814</v>
      </c>
      <c r="C1357" s="41" t="s">
        <v>262</v>
      </c>
      <c r="D1357" s="33">
        <f>IF(C1357="ID",1,(IF(C1357="PR",2,(IF(C1357="DE",3,(IF(C1357="RS",4,(IF(C1357="RC",5,0)))))))))</f>
        <v>2</v>
      </c>
      <c r="E1357" s="33" t="s">
        <v>344</v>
      </c>
      <c r="F1357" s="33">
        <f>IF(E1357="AM",1,(IF(E1357="BE",2,(IF(E1357="GV",3,(IF(E1357="RA",4,(IF(E1357="RM",5,(IF(E1357="AC",1,(IF(E1357="AT",2,(IF(E1357="DS",3,(IF(E1357="IP",4,(IF(E1357="MA",5,(IF(E1357="PT",6,(IF(E1357="AE",1,(IF(E1357="CM",2,(IF(E1357="DP",3,(IF(E1357="AN",1,(IF(E1357="CO",2,(IF(E1357="IM",3,(IF(E1357="MI",4,(IF(E1357="RP",5,(IF(E1357="SC",6,0)))))))))))))))))))))))))))))))))))))))</f>
        <v>4</v>
      </c>
      <c r="G1357" s="170">
        <v>5</v>
      </c>
      <c r="H1357" s="38" t="s">
        <v>511</v>
      </c>
      <c r="I1357" s="22" t="s">
        <v>266</v>
      </c>
      <c r="J1357" s="149" t="s">
        <v>313</v>
      </c>
      <c r="K1357" s="79" t="s">
        <v>1298</v>
      </c>
      <c r="L1357" s="5">
        <f>IF(O1357="","",N1357*O1357*M1357)</f>
        <v>75</v>
      </c>
      <c r="M1357" s="8">
        <v>1</v>
      </c>
      <c r="N1357" s="1">
        <v>1</v>
      </c>
      <c r="O1357" s="15">
        <f>IF(SUM(Q1357:AF1357)&lt;1,"",SUM(Q1357:AF1357)/COUNTIF(Q1357:AF1357,"&gt;0"))</f>
        <v>75</v>
      </c>
      <c r="P1357" s="16"/>
      <c r="Q1357" s="13"/>
      <c r="R1357" s="4"/>
      <c r="S1357" s="4"/>
      <c r="T1357" s="4">
        <v>75</v>
      </c>
      <c r="U1357" s="2"/>
      <c r="V1357" s="2"/>
      <c r="W1357" s="2"/>
      <c r="X1357" s="2"/>
      <c r="Y1357" s="4"/>
      <c r="Z1357" s="2"/>
      <c r="AA1357" s="2"/>
      <c r="AB1357" s="4"/>
      <c r="AC1357" s="4"/>
      <c r="AD1357" s="4"/>
      <c r="AE1357" s="4"/>
      <c r="AF1357" s="14"/>
    </row>
    <row r="1358" spans="1:32" x14ac:dyDescent="0.25">
      <c r="A1358" s="33" t="str">
        <f>CONCATENATE(D1358,".",F1358,"-",G1358,".",H1358,"")</f>
        <v>2.4-5.1</v>
      </c>
      <c r="B1358" s="33" t="s">
        <v>814</v>
      </c>
      <c r="C1358" s="41" t="s">
        <v>262</v>
      </c>
      <c r="D1358" s="33">
        <f>IF(C1358="ID",1,(IF(C1358="PR",2,(IF(C1358="DE",3,(IF(C1358="RS",4,(IF(C1358="RC",5,0)))))))))</f>
        <v>2</v>
      </c>
      <c r="E1358" s="33" t="s">
        <v>344</v>
      </c>
      <c r="F1358" s="33">
        <f>IF(E1358="AM",1,(IF(E1358="BE",2,(IF(E1358="GV",3,(IF(E1358="RA",4,(IF(E1358="RM",5,(IF(E1358="AC",1,(IF(E1358="AT",2,(IF(E1358="DS",3,(IF(E1358="IP",4,(IF(E1358="MA",5,(IF(E1358="PT",6,(IF(E1358="AE",1,(IF(E1358="CM",2,(IF(E1358="DP",3,(IF(E1358="AN",1,(IF(E1358="CO",2,(IF(E1358="IM",3,(IF(E1358="MI",4,(IF(E1358="RP",5,(IF(E1358="SC",6,0)))))))))))))))))))))))))))))))))))))))</f>
        <v>4</v>
      </c>
      <c r="G1358" s="170">
        <v>5</v>
      </c>
      <c r="H1358" s="38" t="s">
        <v>511</v>
      </c>
      <c r="I1358" s="22" t="s">
        <v>266</v>
      </c>
      <c r="J1358" s="149" t="s">
        <v>301</v>
      </c>
      <c r="K1358" s="79" t="s">
        <v>1299</v>
      </c>
      <c r="L1358" s="5">
        <f>IF(O1358="","",N1358*O1358*M1358)</f>
        <v>75</v>
      </c>
      <c r="M1358" s="8">
        <v>1</v>
      </c>
      <c r="N1358" s="1">
        <v>1</v>
      </c>
      <c r="O1358" s="15">
        <f>IF(SUM(Q1358:AF1358)&lt;1,"",SUM(Q1358:AF1358)/COUNTIF(Q1358:AF1358,"&gt;0"))</f>
        <v>75</v>
      </c>
      <c r="P1358" s="16"/>
      <c r="Q1358" s="13"/>
      <c r="R1358" s="4"/>
      <c r="S1358" s="4"/>
      <c r="T1358" s="4">
        <v>75</v>
      </c>
      <c r="U1358" s="2"/>
      <c r="V1358" s="2"/>
      <c r="W1358" s="2"/>
      <c r="X1358" s="2"/>
      <c r="Y1358" s="4"/>
      <c r="Z1358" s="2"/>
      <c r="AA1358" s="2"/>
      <c r="AB1358" s="4"/>
      <c r="AC1358" s="4"/>
      <c r="AD1358" s="4"/>
      <c r="AE1358" s="4"/>
      <c r="AF1358" s="14"/>
    </row>
    <row r="1359" spans="1:32" x14ac:dyDescent="0.25">
      <c r="A1359" s="33" t="str">
        <f>CONCATENATE(D1359,".",F1359,"-",G1359,".",H1359,"")</f>
        <v>2.4-5.1</v>
      </c>
      <c r="B1359" s="33" t="s">
        <v>814</v>
      </c>
      <c r="C1359" s="41" t="s">
        <v>262</v>
      </c>
      <c r="D1359" s="33">
        <f>IF(C1359="ID",1,(IF(C1359="PR",2,(IF(C1359="DE",3,(IF(C1359="RS",4,(IF(C1359="RC",5,0)))))))))</f>
        <v>2</v>
      </c>
      <c r="E1359" s="33" t="s">
        <v>344</v>
      </c>
      <c r="F1359" s="33">
        <f>IF(E1359="AM",1,(IF(E1359="BE",2,(IF(E1359="GV",3,(IF(E1359="RA",4,(IF(E1359="RM",5,(IF(E1359="AC",1,(IF(E1359="AT",2,(IF(E1359="DS",3,(IF(E1359="IP",4,(IF(E1359="MA",5,(IF(E1359="PT",6,(IF(E1359="AE",1,(IF(E1359="CM",2,(IF(E1359="DP",3,(IF(E1359="AN",1,(IF(E1359="CO",2,(IF(E1359="IM",3,(IF(E1359="MI",4,(IF(E1359="RP",5,(IF(E1359="SC",6,0)))))))))))))))))))))))))))))))))))))))</f>
        <v>4</v>
      </c>
      <c r="G1359" s="170">
        <v>5</v>
      </c>
      <c r="H1359" s="38" t="s">
        <v>511</v>
      </c>
      <c r="I1359" s="22" t="s">
        <v>266</v>
      </c>
      <c r="J1359" s="149" t="s">
        <v>314</v>
      </c>
      <c r="K1359" s="79" t="s">
        <v>1300</v>
      </c>
      <c r="L1359" s="5">
        <f>IF(O1359="","",N1359*O1359*M1359)</f>
        <v>75</v>
      </c>
      <c r="M1359" s="8">
        <v>1</v>
      </c>
      <c r="N1359" s="1">
        <v>1</v>
      </c>
      <c r="O1359" s="15">
        <f>IF(SUM(Q1359:AF1359)&lt;1,"",SUM(Q1359:AF1359)/COUNTIF(Q1359:AF1359,"&gt;0"))</f>
        <v>75</v>
      </c>
      <c r="P1359" s="16"/>
      <c r="Q1359" s="13"/>
      <c r="R1359" s="4"/>
      <c r="S1359" s="4"/>
      <c r="T1359" s="4">
        <v>75</v>
      </c>
      <c r="U1359" s="2"/>
      <c r="V1359" s="2"/>
      <c r="W1359" s="2"/>
      <c r="X1359" s="2"/>
      <c r="Y1359" s="4"/>
      <c r="Z1359" s="2"/>
      <c r="AA1359" s="2"/>
      <c r="AB1359" s="4"/>
      <c r="AC1359" s="4"/>
      <c r="AD1359" s="4"/>
      <c r="AE1359" s="4"/>
      <c r="AF1359" s="14"/>
    </row>
    <row r="1360" spans="1:32" x14ac:dyDescent="0.25">
      <c r="A1360" s="33" t="str">
        <f>CONCATENATE(D1360,".",F1360,"-",G1360,".",H1360,"")</f>
        <v>2.4-5.1</v>
      </c>
      <c r="B1360" s="33" t="s">
        <v>814</v>
      </c>
      <c r="C1360" s="39" t="s">
        <v>262</v>
      </c>
      <c r="D1360" s="33">
        <f>IF(C1360="ID",1,(IF(C1360="PR",2,(IF(C1360="DE",3,(IF(C1360="RS",4,(IF(C1360="RC",5,0)))))))))</f>
        <v>2</v>
      </c>
      <c r="E1360" s="33" t="s">
        <v>344</v>
      </c>
      <c r="F1360" s="33">
        <f>IF(E1360="AM",1,(IF(E1360="BE",2,(IF(E1360="GV",3,(IF(E1360="RA",4,(IF(E1360="RM",5,(IF(E1360="AC",1,(IF(E1360="AT",2,(IF(E1360="DS",3,(IF(E1360="IP",4,(IF(E1360="MA",5,(IF(E1360="PT",6,(IF(E1360="AE",1,(IF(E1360="CM",2,(IF(E1360="DP",3,(IF(E1360="AN",1,(IF(E1360="CO",2,(IF(E1360="IM",3,(IF(E1360="MI",4,(IF(E1360="RP",5,(IF(E1360="SC",6,0)))))))))))))))))))))))))))))))))))))))</f>
        <v>4</v>
      </c>
      <c r="G1360" s="170">
        <v>5</v>
      </c>
      <c r="H1360" s="33">
        <v>1</v>
      </c>
      <c r="I1360" s="22" t="s">
        <v>266</v>
      </c>
      <c r="J1360" s="150" t="s">
        <v>3</v>
      </c>
      <c r="K1360" s="79" t="s">
        <v>1303</v>
      </c>
      <c r="L1360" s="5">
        <f>IF(O1360="","",N1360*O1360*M1360)</f>
        <v>75</v>
      </c>
      <c r="M1360" s="8">
        <v>1</v>
      </c>
      <c r="N1360" s="1">
        <v>1</v>
      </c>
      <c r="O1360" s="15">
        <f>IF(SUM(Q1360:AF1360)&lt;1,"",SUM(Q1360:AF1360)/COUNTIF(Q1360:AF1360,"&gt;0"))</f>
        <v>75</v>
      </c>
      <c r="P1360" s="16"/>
      <c r="Q1360" s="13"/>
      <c r="T1360" s="4">
        <v>75</v>
      </c>
      <c r="AF1360" s="104"/>
    </row>
    <row r="1361" spans="1:32" x14ac:dyDescent="0.25">
      <c r="A1361" s="33" t="str">
        <f>CONCATENATE(D1361,".",F1361,"-",G1361,".",H1361,"")</f>
        <v>2.4-5.1</v>
      </c>
      <c r="B1361" s="33" t="s">
        <v>814</v>
      </c>
      <c r="C1361" s="39" t="s">
        <v>262</v>
      </c>
      <c r="D1361" s="33">
        <f>IF(C1361="ID",1,(IF(C1361="PR",2,(IF(C1361="DE",3,(IF(C1361="RS",4,(IF(C1361="RC",5,0)))))))))</f>
        <v>2</v>
      </c>
      <c r="E1361" s="33" t="s">
        <v>344</v>
      </c>
      <c r="F1361" s="33">
        <f>IF(E1361="AM",1,(IF(E1361="BE",2,(IF(E1361="GV",3,(IF(E1361="RA",4,(IF(E1361="RM",5,(IF(E1361="AC",1,(IF(E1361="AT",2,(IF(E1361="DS",3,(IF(E1361="IP",4,(IF(E1361="MA",5,(IF(E1361="PT",6,(IF(E1361="AE",1,(IF(E1361="CM",2,(IF(E1361="DP",3,(IF(E1361="AN",1,(IF(E1361="CO",2,(IF(E1361="IM",3,(IF(E1361="MI",4,(IF(E1361="RP",5,(IF(E1361="SC",6,0)))))))))))))))))))))))))))))))))))))))</f>
        <v>4</v>
      </c>
      <c r="G1361" s="170">
        <v>5</v>
      </c>
      <c r="H1361" s="33">
        <v>1</v>
      </c>
      <c r="I1361" s="22" t="s">
        <v>266</v>
      </c>
      <c r="J1361" s="150" t="s">
        <v>78</v>
      </c>
      <c r="K1361" s="79" t="s">
        <v>1309</v>
      </c>
      <c r="L1361" s="5">
        <f>IF(O1361="","",N1361*O1361*M1361)</f>
        <v>75</v>
      </c>
      <c r="M1361" s="8">
        <v>1</v>
      </c>
      <c r="N1361" s="1">
        <v>1</v>
      </c>
      <c r="O1361" s="15">
        <f>IF(SUM(Q1361:AF1361)&lt;1,"",SUM(Q1361:AF1361)/COUNTIF(Q1361:AF1361,"&gt;0"))</f>
        <v>75</v>
      </c>
      <c r="P1361" s="16"/>
      <c r="Q1361" s="13"/>
      <c r="T1361" s="4">
        <v>75</v>
      </c>
      <c r="AF1361" s="104"/>
    </row>
    <row r="1362" spans="1:32" x14ac:dyDescent="0.25">
      <c r="A1362" s="33" t="str">
        <f>CONCATENATE(D1362,".",F1362,"-",G1362,".",H1362,"")</f>
        <v>2.4-5.1</v>
      </c>
      <c r="B1362" s="33" t="s">
        <v>814</v>
      </c>
      <c r="C1362" s="39" t="s">
        <v>262</v>
      </c>
      <c r="D1362" s="33">
        <f>IF(C1362="ID",1,(IF(C1362="PR",2,(IF(C1362="DE",3,(IF(C1362="RS",4,(IF(C1362="RC",5,0)))))))))</f>
        <v>2</v>
      </c>
      <c r="E1362" s="33" t="s">
        <v>344</v>
      </c>
      <c r="F1362" s="33">
        <f>IF(E1362="AM",1,(IF(E1362="BE",2,(IF(E1362="GV",3,(IF(E1362="RA",4,(IF(E1362="RM",5,(IF(E1362="AC",1,(IF(E1362="AT",2,(IF(E1362="DS",3,(IF(E1362="IP",4,(IF(E1362="MA",5,(IF(E1362="PT",6,(IF(E1362="AE",1,(IF(E1362="CM",2,(IF(E1362="DP",3,(IF(E1362="AN",1,(IF(E1362="CO",2,(IF(E1362="IM",3,(IF(E1362="MI",4,(IF(E1362="RP",5,(IF(E1362="SC",6,0)))))))))))))))))))))))))))))))))))))))</f>
        <v>4</v>
      </c>
      <c r="G1362" s="170">
        <v>5</v>
      </c>
      <c r="H1362" s="38" t="s">
        <v>511</v>
      </c>
      <c r="I1362" s="79" t="s">
        <v>1176</v>
      </c>
      <c r="J1362" s="162">
        <v>11.7</v>
      </c>
      <c r="K1362" s="4" t="s">
        <v>1098</v>
      </c>
      <c r="L1362" s="66">
        <f>IF(O1362="","",N1362*O1362*M1362)</f>
        <v>75</v>
      </c>
      <c r="M1362" s="8">
        <v>1</v>
      </c>
      <c r="N1362" s="3">
        <v>1</v>
      </c>
      <c r="O1362" s="15">
        <f>IF(SUM(Q1362:AF1362)&lt;1,"",SUM(Q1362:AF1362)/COUNTIF(Q1362:AF1362,"&gt;0"))</f>
        <v>75</v>
      </c>
      <c r="P1362" s="16"/>
      <c r="Q1362" s="13"/>
      <c r="R1362" s="4"/>
      <c r="S1362" s="4"/>
      <c r="T1362" s="4">
        <v>75</v>
      </c>
      <c r="U1362" s="2"/>
      <c r="V1362" s="2"/>
      <c r="W1362" s="2"/>
      <c r="X1362" s="2"/>
      <c r="Y1362" s="4"/>
      <c r="Z1362" s="2"/>
      <c r="AA1362" s="2"/>
      <c r="AB1362" s="4"/>
      <c r="AC1362" s="4"/>
      <c r="AD1362" s="4"/>
      <c r="AE1362" s="4"/>
      <c r="AF1362" s="14"/>
    </row>
    <row r="1363" spans="1:32" x14ac:dyDescent="0.25">
      <c r="A1363" s="33" t="str">
        <f>CONCATENATE(D1363,".",F1363,"-",G1363,".",H1363,"")</f>
        <v>2.4-5.1</v>
      </c>
      <c r="B1363" s="33" t="s">
        <v>814</v>
      </c>
      <c r="C1363" s="39" t="s">
        <v>262</v>
      </c>
      <c r="D1363" s="33">
        <f>IF(C1363="ID",1,(IF(C1363="PR",2,(IF(C1363="DE",3,(IF(C1363="RS",4,(IF(C1363="RC",5,0)))))))))</f>
        <v>2</v>
      </c>
      <c r="E1363" s="33" t="s">
        <v>344</v>
      </c>
      <c r="F1363" s="33">
        <f>IF(E1363="AM",1,(IF(E1363="BE",2,(IF(E1363="GV",3,(IF(E1363="RA",4,(IF(E1363="RM",5,(IF(E1363="AC",1,(IF(E1363="AT",2,(IF(E1363="DS",3,(IF(E1363="IP",4,(IF(E1363="MA",5,(IF(E1363="PT",6,(IF(E1363="AE",1,(IF(E1363="CM",2,(IF(E1363="DP",3,(IF(E1363="AN",1,(IF(E1363="CO",2,(IF(E1363="IM",3,(IF(E1363="MI",4,(IF(E1363="RP",5,(IF(E1363="SC",6,0)))))))))))))))))))))))))))))))))))))))</f>
        <v>4</v>
      </c>
      <c r="G1363" s="170">
        <v>5</v>
      </c>
      <c r="H1363" s="38" t="s">
        <v>511</v>
      </c>
      <c r="I1363" s="3" t="s">
        <v>1449</v>
      </c>
      <c r="J1363" s="157" t="s">
        <v>1492</v>
      </c>
      <c r="K1363" s="34" t="s">
        <v>1493</v>
      </c>
      <c r="L1363" s="5">
        <f>IF(O1363="","",N1363*O1363*M1363)</f>
        <v>99</v>
      </c>
      <c r="M1363" s="8">
        <v>1</v>
      </c>
      <c r="N1363" s="1">
        <v>1</v>
      </c>
      <c r="O1363" s="15">
        <f>IF(SUM(Q1363:AF1363)&lt;1,"",SUM(Q1363:AF1363)/COUNTIF(Q1363:AF1363,"&gt;0"))</f>
        <v>99</v>
      </c>
      <c r="P1363" s="16"/>
      <c r="Q1363" s="13"/>
      <c r="R1363" s="4"/>
      <c r="S1363" s="4"/>
      <c r="T1363" s="4">
        <v>99</v>
      </c>
      <c r="U1363" s="2"/>
      <c r="V1363" s="2"/>
      <c r="W1363" s="2"/>
      <c r="X1363" s="2"/>
      <c r="Y1363" s="4"/>
      <c r="Z1363" s="2"/>
      <c r="AA1363" s="2"/>
      <c r="AB1363" s="4"/>
      <c r="AC1363" s="4"/>
      <c r="AD1363" s="4"/>
      <c r="AE1363" s="4"/>
      <c r="AF1363" s="14"/>
    </row>
    <row r="1364" spans="1:32" x14ac:dyDescent="0.25">
      <c r="A1364" s="33" t="str">
        <f>CONCATENATE(D1364,".",F1364,"-",G1364,".",H1364,"")</f>
        <v>2.4-5.1</v>
      </c>
      <c r="C1364" s="39" t="s">
        <v>262</v>
      </c>
      <c r="D1364" s="33">
        <f>IF(C1364="ID",1,(IF(C1364="PR",2,(IF(C1364="DE",3,(IF(C1364="RS",4,(IF(C1364="RC",5,0)))))))))</f>
        <v>2</v>
      </c>
      <c r="E1364" s="33" t="s">
        <v>344</v>
      </c>
      <c r="F1364" s="33">
        <f>IF(E1364="AM",1,(IF(E1364="BE",2,(IF(E1364="GV",3,(IF(E1364="RA",4,(IF(E1364="RM",5,(IF(E1364="AC",1,(IF(E1364="AT",2,(IF(E1364="DS",3,(IF(E1364="IP",4,(IF(E1364="MA",5,(IF(E1364="PT",6,(IF(E1364="AE",1,(IF(E1364="CM",2,(IF(E1364="DP",3,(IF(E1364="AN",1,(IF(E1364="CO",2,(IF(E1364="IM",3,(IF(E1364="MI",4,(IF(E1364="RP",5,(IF(E1364="SC",6,0)))))))))))))))))))))))))))))))))))))))</f>
        <v>4</v>
      </c>
      <c r="G1364" s="170">
        <v>5</v>
      </c>
      <c r="H1364" s="38" t="s">
        <v>511</v>
      </c>
      <c r="I1364" s="3" t="s">
        <v>1449</v>
      </c>
      <c r="J1364" s="157" t="s">
        <v>2363</v>
      </c>
      <c r="K1364" s="34" t="s">
        <v>2364</v>
      </c>
      <c r="L1364" s="5">
        <f>IF(O1364="","",N1364*O1364*M1364)</f>
        <v>99</v>
      </c>
      <c r="M1364" s="8">
        <v>1</v>
      </c>
      <c r="N1364" s="1">
        <v>1</v>
      </c>
      <c r="O1364" s="15">
        <f>IF(SUM(Q1364:AF1364)&lt;1,"",SUM(Q1364:AF1364)/COUNTIF(Q1364:AF1364,"&gt;0"))</f>
        <v>99</v>
      </c>
      <c r="P1364" s="16"/>
      <c r="Q1364" s="13"/>
      <c r="R1364" s="4"/>
      <c r="S1364" s="4"/>
      <c r="T1364" s="4">
        <v>99</v>
      </c>
      <c r="U1364" s="2"/>
      <c r="V1364" s="2"/>
      <c r="W1364" s="2"/>
      <c r="X1364" s="2"/>
      <c r="Y1364" s="4"/>
      <c r="Z1364" s="2"/>
      <c r="AA1364" s="2"/>
      <c r="AB1364" s="4"/>
      <c r="AC1364" s="4"/>
      <c r="AD1364" s="4"/>
      <c r="AE1364" s="4"/>
      <c r="AF1364" s="14"/>
    </row>
    <row r="1365" spans="1:32" x14ac:dyDescent="0.25">
      <c r="A1365" s="33" t="str">
        <f>CONCATENATE(D1365,".",F1365,"-",G1365,".",H1365,"")</f>
        <v>2.4-5.1</v>
      </c>
      <c r="C1365" s="39" t="s">
        <v>262</v>
      </c>
      <c r="D1365" s="33">
        <f>IF(C1365="ID",1,(IF(C1365="PR",2,(IF(C1365="DE",3,(IF(C1365="RS",4,(IF(C1365="RC",5,0)))))))))</f>
        <v>2</v>
      </c>
      <c r="E1365" s="33" t="s">
        <v>344</v>
      </c>
      <c r="F1365" s="33">
        <f>IF(E1365="AM",1,(IF(E1365="BE",2,(IF(E1365="GV",3,(IF(E1365="RA",4,(IF(E1365="RM",5,(IF(E1365="AC",1,(IF(E1365="AT",2,(IF(E1365="DS",3,(IF(E1365="IP",4,(IF(E1365="MA",5,(IF(E1365="PT",6,(IF(E1365="AE",1,(IF(E1365="CM",2,(IF(E1365="DP",3,(IF(E1365="AN",1,(IF(E1365="CO",2,(IF(E1365="IM",3,(IF(E1365="MI",4,(IF(E1365="RP",5,(IF(E1365="SC",6,0)))))))))))))))))))))))))))))))))))))))</f>
        <v>4</v>
      </c>
      <c r="G1365" s="170">
        <v>5</v>
      </c>
      <c r="H1365" s="38" t="s">
        <v>511</v>
      </c>
      <c r="I1365" s="3" t="s">
        <v>1449</v>
      </c>
      <c r="J1365" s="157" t="s">
        <v>2371</v>
      </c>
      <c r="K1365" s="34" t="s">
        <v>2372</v>
      </c>
      <c r="L1365" s="5">
        <f>IF(O1365="","",N1365*O1365*M1365)</f>
        <v>99</v>
      </c>
      <c r="M1365" s="8">
        <v>1</v>
      </c>
      <c r="N1365" s="1">
        <v>1</v>
      </c>
      <c r="O1365" s="15">
        <f>IF(SUM(Q1365:AF1365)&lt;1,"",SUM(Q1365:AF1365)/COUNTIF(Q1365:AF1365,"&gt;0"))</f>
        <v>99</v>
      </c>
      <c r="P1365" s="16"/>
      <c r="Q1365" s="13"/>
      <c r="R1365" s="4"/>
      <c r="S1365" s="4"/>
      <c r="T1365" s="4">
        <v>99</v>
      </c>
      <c r="U1365" s="2"/>
      <c r="V1365" s="2"/>
      <c r="W1365" s="2"/>
      <c r="X1365" s="2"/>
      <c r="Y1365" s="4"/>
      <c r="Z1365" s="2"/>
      <c r="AA1365" s="2"/>
      <c r="AB1365" s="4"/>
      <c r="AC1365" s="4"/>
      <c r="AD1365" s="4"/>
      <c r="AE1365" s="4"/>
      <c r="AF1365" s="14"/>
    </row>
    <row r="1366" spans="1:32" x14ac:dyDescent="0.25">
      <c r="A1366" s="33" t="str">
        <f>CONCATENATE(D1366,".",F1366,"-",G1366,".",H1366,"")</f>
        <v>2.4-5.1</v>
      </c>
      <c r="C1366" s="39" t="s">
        <v>262</v>
      </c>
      <c r="D1366" s="33">
        <f>IF(C1366="ID",1,(IF(C1366="PR",2,(IF(C1366="DE",3,(IF(C1366="RS",4,(IF(C1366="RC",5,0)))))))))</f>
        <v>2</v>
      </c>
      <c r="E1366" s="33" t="s">
        <v>344</v>
      </c>
      <c r="F1366" s="33">
        <f>IF(E1366="AM",1,(IF(E1366="BE",2,(IF(E1366="GV",3,(IF(E1366="RA",4,(IF(E1366="RM",5,(IF(E1366="AC",1,(IF(E1366="AT",2,(IF(E1366="DS",3,(IF(E1366="IP",4,(IF(E1366="MA",5,(IF(E1366="PT",6,(IF(E1366="AE",1,(IF(E1366="CM",2,(IF(E1366="DP",3,(IF(E1366="AN",1,(IF(E1366="CO",2,(IF(E1366="IM",3,(IF(E1366="MI",4,(IF(E1366="RP",5,(IF(E1366="SC",6,0)))))))))))))))))))))))))))))))))))))))</f>
        <v>4</v>
      </c>
      <c r="G1366" s="170">
        <v>5</v>
      </c>
      <c r="H1366" s="38" t="s">
        <v>511</v>
      </c>
      <c r="I1366" s="3" t="s">
        <v>1449</v>
      </c>
      <c r="J1366" s="157" t="s">
        <v>2373</v>
      </c>
      <c r="K1366" s="34" t="s">
        <v>2374</v>
      </c>
      <c r="L1366" s="5">
        <f>IF(O1366="","",N1366*O1366*M1366)</f>
        <v>99</v>
      </c>
      <c r="M1366" s="8">
        <v>1</v>
      </c>
      <c r="N1366" s="1">
        <v>1</v>
      </c>
      <c r="O1366" s="15">
        <f>IF(SUM(Q1366:AF1366)&lt;1,"",SUM(Q1366:AF1366)/COUNTIF(Q1366:AF1366,"&gt;0"))</f>
        <v>99</v>
      </c>
      <c r="P1366" s="16"/>
      <c r="Q1366" s="13"/>
      <c r="R1366" s="4"/>
      <c r="S1366" s="4"/>
      <c r="T1366" s="4">
        <v>99</v>
      </c>
      <c r="U1366" s="2"/>
      <c r="V1366" s="2"/>
      <c r="W1366" s="2"/>
      <c r="X1366" s="2"/>
      <c r="Y1366" s="4"/>
      <c r="Z1366" s="2"/>
      <c r="AA1366" s="2"/>
      <c r="AB1366" s="4"/>
      <c r="AC1366" s="4"/>
      <c r="AD1366" s="4"/>
      <c r="AE1366" s="4"/>
      <c r="AF1366" s="14"/>
    </row>
    <row r="1367" spans="1:32" x14ac:dyDescent="0.25">
      <c r="A1367" s="33" t="str">
        <f>CONCATENATE(D1367,".",F1367,"-",G1367,".",H1367,"")</f>
        <v>2.4-5.1</v>
      </c>
      <c r="C1367" s="39" t="s">
        <v>262</v>
      </c>
      <c r="D1367" s="33">
        <f>IF(C1367="ID",1,(IF(C1367="PR",2,(IF(C1367="DE",3,(IF(C1367="RS",4,(IF(C1367="RC",5,0)))))))))</f>
        <v>2</v>
      </c>
      <c r="E1367" s="33" t="s">
        <v>344</v>
      </c>
      <c r="F1367" s="33">
        <f>IF(E1367="AM",1,(IF(E1367="BE",2,(IF(E1367="GV",3,(IF(E1367="RA",4,(IF(E1367="RM",5,(IF(E1367="AC",1,(IF(E1367="AT",2,(IF(E1367="DS",3,(IF(E1367="IP",4,(IF(E1367="MA",5,(IF(E1367="PT",6,(IF(E1367="AE",1,(IF(E1367="CM",2,(IF(E1367="DP",3,(IF(E1367="AN",1,(IF(E1367="CO",2,(IF(E1367="IM",3,(IF(E1367="MI",4,(IF(E1367="RP",5,(IF(E1367="SC",6,0)))))))))))))))))))))))))))))))))))))))</f>
        <v>4</v>
      </c>
      <c r="G1367" s="170">
        <v>5</v>
      </c>
      <c r="H1367" s="38" t="s">
        <v>511</v>
      </c>
      <c r="I1367" s="3" t="s">
        <v>1449</v>
      </c>
      <c r="J1367" s="157" t="s">
        <v>2375</v>
      </c>
      <c r="K1367" s="34" t="s">
        <v>2376</v>
      </c>
      <c r="L1367" s="5">
        <f>IF(O1367="","",N1367*O1367*M1367)</f>
        <v>99</v>
      </c>
      <c r="M1367" s="8">
        <v>1</v>
      </c>
      <c r="N1367" s="1">
        <v>1</v>
      </c>
      <c r="O1367" s="15">
        <f>IF(SUM(Q1367:AF1367)&lt;1,"",SUM(Q1367:AF1367)/COUNTIF(Q1367:AF1367,"&gt;0"))</f>
        <v>99</v>
      </c>
      <c r="P1367" s="16"/>
      <c r="Q1367" s="13"/>
      <c r="R1367" s="4"/>
      <c r="S1367" s="4"/>
      <c r="T1367" s="4">
        <v>99</v>
      </c>
      <c r="U1367" s="2"/>
      <c r="V1367" s="2"/>
      <c r="W1367" s="2"/>
      <c r="X1367" s="2"/>
      <c r="Y1367" s="4"/>
      <c r="Z1367" s="2"/>
      <c r="AA1367" s="2"/>
      <c r="AB1367" s="4"/>
      <c r="AC1367" s="4"/>
      <c r="AD1367" s="4"/>
      <c r="AE1367" s="4"/>
      <c r="AF1367" s="14"/>
    </row>
    <row r="1368" spans="1:32" x14ac:dyDescent="0.25">
      <c r="A1368" s="33" t="str">
        <f>CONCATENATE(D1368,".",F1368,"-",G1368,".",H1368,"")</f>
        <v>2.4-5.1</v>
      </c>
      <c r="C1368" s="39" t="s">
        <v>262</v>
      </c>
      <c r="D1368" s="33">
        <f>IF(C1368="ID",1,(IF(C1368="PR",2,(IF(C1368="DE",3,(IF(C1368="RS",4,(IF(C1368="RC",5,0)))))))))</f>
        <v>2</v>
      </c>
      <c r="E1368" s="33" t="s">
        <v>344</v>
      </c>
      <c r="F1368" s="33">
        <f>IF(E1368="AM",1,(IF(E1368="BE",2,(IF(E1368="GV",3,(IF(E1368="RA",4,(IF(E1368="RM",5,(IF(E1368="AC",1,(IF(E1368="AT",2,(IF(E1368="DS",3,(IF(E1368="IP",4,(IF(E1368="MA",5,(IF(E1368="PT",6,(IF(E1368="AE",1,(IF(E1368="CM",2,(IF(E1368="DP",3,(IF(E1368="AN",1,(IF(E1368="CO",2,(IF(E1368="IM",3,(IF(E1368="MI",4,(IF(E1368="RP",5,(IF(E1368="SC",6,0)))))))))))))))))))))))))))))))))))))))</f>
        <v>4</v>
      </c>
      <c r="G1368" s="170">
        <v>5</v>
      </c>
      <c r="H1368" s="38" t="s">
        <v>511</v>
      </c>
      <c r="I1368" s="3" t="s">
        <v>1449</v>
      </c>
      <c r="J1368" s="157" t="s">
        <v>2377</v>
      </c>
      <c r="K1368" s="34" t="s">
        <v>2378</v>
      </c>
      <c r="L1368" s="5">
        <f>IF(O1368="","",N1368*O1368*M1368)</f>
        <v>99</v>
      </c>
      <c r="M1368" s="8">
        <v>1</v>
      </c>
      <c r="N1368" s="1">
        <v>1</v>
      </c>
      <c r="O1368" s="15">
        <f>IF(SUM(Q1368:AF1368)&lt;1,"",SUM(Q1368:AF1368)/COUNTIF(Q1368:AF1368,"&gt;0"))</f>
        <v>99</v>
      </c>
      <c r="P1368" s="16"/>
      <c r="Q1368" s="13"/>
      <c r="R1368" s="4"/>
      <c r="S1368" s="4"/>
      <c r="T1368" s="4">
        <v>99</v>
      </c>
      <c r="U1368" s="2"/>
      <c r="V1368" s="2"/>
      <c r="W1368" s="2"/>
      <c r="X1368" s="2"/>
      <c r="Y1368" s="4"/>
      <c r="Z1368" s="2"/>
      <c r="AA1368" s="2"/>
      <c r="AB1368" s="4"/>
      <c r="AC1368" s="4"/>
      <c r="AD1368" s="4"/>
      <c r="AE1368" s="4"/>
      <c r="AF1368" s="14"/>
    </row>
    <row r="1369" spans="1:32" x14ac:dyDescent="0.25">
      <c r="A1369" s="33" t="str">
        <f>CONCATENATE(D1369,".",F1369,"-",G1369,".",H1369,"")</f>
        <v>2.4-5.1</v>
      </c>
      <c r="C1369" s="39" t="s">
        <v>262</v>
      </c>
      <c r="D1369" s="33">
        <f>IF(C1369="ID",1,(IF(C1369="PR",2,(IF(C1369="DE",3,(IF(C1369="RS",4,(IF(C1369="RC",5,0)))))))))</f>
        <v>2</v>
      </c>
      <c r="E1369" s="33" t="s">
        <v>344</v>
      </c>
      <c r="F1369" s="33">
        <f>IF(E1369="AM",1,(IF(E1369="BE",2,(IF(E1369="GV",3,(IF(E1369="RA",4,(IF(E1369="RM",5,(IF(E1369="AC",1,(IF(E1369="AT",2,(IF(E1369="DS",3,(IF(E1369="IP",4,(IF(E1369="MA",5,(IF(E1369="PT",6,(IF(E1369="AE",1,(IF(E1369="CM",2,(IF(E1369="DP",3,(IF(E1369="AN",1,(IF(E1369="CO",2,(IF(E1369="IM",3,(IF(E1369="MI",4,(IF(E1369="RP",5,(IF(E1369="SC",6,0)))))))))))))))))))))))))))))))))))))))</f>
        <v>4</v>
      </c>
      <c r="G1369" s="170">
        <v>5</v>
      </c>
      <c r="H1369" s="38" t="s">
        <v>511</v>
      </c>
      <c r="I1369" s="3" t="s">
        <v>1449</v>
      </c>
      <c r="J1369" s="157" t="s">
        <v>2379</v>
      </c>
      <c r="K1369" s="34" t="s">
        <v>2380</v>
      </c>
      <c r="L1369" s="5">
        <f>IF(O1369="","",N1369*O1369*M1369)</f>
        <v>99</v>
      </c>
      <c r="M1369" s="8">
        <v>1</v>
      </c>
      <c r="N1369" s="1">
        <v>1</v>
      </c>
      <c r="O1369" s="15">
        <f>IF(SUM(Q1369:AF1369)&lt;1,"",SUM(Q1369:AF1369)/COUNTIF(Q1369:AF1369,"&gt;0"))</f>
        <v>99</v>
      </c>
      <c r="P1369" s="16"/>
      <c r="Q1369" s="13"/>
      <c r="R1369" s="4"/>
      <c r="S1369" s="4"/>
      <c r="T1369" s="4">
        <v>99</v>
      </c>
      <c r="U1369" s="2"/>
      <c r="V1369" s="2"/>
      <c r="W1369" s="2"/>
      <c r="X1369" s="2"/>
      <c r="Y1369" s="4"/>
      <c r="Z1369" s="2"/>
      <c r="AA1369" s="2"/>
      <c r="AB1369" s="4"/>
      <c r="AC1369" s="4"/>
      <c r="AD1369" s="4"/>
      <c r="AE1369" s="4"/>
      <c r="AF1369" s="14"/>
    </row>
    <row r="1370" spans="1:32" x14ac:dyDescent="0.25">
      <c r="A1370" s="33" t="str">
        <f>CONCATENATE(D1370,".",F1370,"-",G1370,".",H1370,"")</f>
        <v>2.4-5.1</v>
      </c>
      <c r="C1370" s="39" t="s">
        <v>262</v>
      </c>
      <c r="D1370" s="33">
        <f>IF(C1370="ID",1,(IF(C1370="PR",2,(IF(C1370="DE",3,(IF(C1370="RS",4,(IF(C1370="RC",5,0)))))))))</f>
        <v>2</v>
      </c>
      <c r="E1370" s="33" t="s">
        <v>344</v>
      </c>
      <c r="F1370" s="33">
        <f>IF(E1370="AM",1,(IF(E1370="BE",2,(IF(E1370="GV",3,(IF(E1370="RA",4,(IF(E1370="RM",5,(IF(E1370="AC",1,(IF(E1370="AT",2,(IF(E1370="DS",3,(IF(E1370="IP",4,(IF(E1370="MA",5,(IF(E1370="PT",6,(IF(E1370="AE",1,(IF(E1370="CM",2,(IF(E1370="DP",3,(IF(E1370="AN",1,(IF(E1370="CO",2,(IF(E1370="IM",3,(IF(E1370="MI",4,(IF(E1370="RP",5,(IF(E1370="SC",6,0)))))))))))))))))))))))))))))))))))))))</f>
        <v>4</v>
      </c>
      <c r="G1370" s="170">
        <v>5</v>
      </c>
      <c r="H1370" s="38" t="s">
        <v>511</v>
      </c>
      <c r="I1370" s="3" t="s">
        <v>1449</v>
      </c>
      <c r="J1370" s="157" t="s">
        <v>2381</v>
      </c>
      <c r="K1370" s="34" t="s">
        <v>2382</v>
      </c>
      <c r="L1370" s="5">
        <f>IF(O1370="","",N1370*O1370*M1370)</f>
        <v>99</v>
      </c>
      <c r="M1370" s="8">
        <v>1</v>
      </c>
      <c r="N1370" s="1">
        <v>1</v>
      </c>
      <c r="O1370" s="15">
        <f>IF(SUM(Q1370:AF1370)&lt;1,"",SUM(Q1370:AF1370)/COUNTIF(Q1370:AF1370,"&gt;0"))</f>
        <v>99</v>
      </c>
      <c r="P1370" s="16"/>
      <c r="Q1370" s="13"/>
      <c r="R1370" s="4"/>
      <c r="S1370" s="4"/>
      <c r="T1370" s="4">
        <v>99</v>
      </c>
      <c r="U1370" s="2"/>
      <c r="V1370" s="2"/>
      <c r="W1370" s="2"/>
      <c r="X1370" s="2"/>
      <c r="Y1370" s="4"/>
      <c r="Z1370" s="2"/>
      <c r="AA1370" s="2"/>
      <c r="AB1370" s="4"/>
      <c r="AC1370" s="4"/>
      <c r="AD1370" s="4"/>
      <c r="AE1370" s="4"/>
      <c r="AF1370" s="14"/>
    </row>
    <row r="1371" spans="1:32" x14ac:dyDescent="0.25">
      <c r="A1371" s="33" t="str">
        <f>CONCATENATE(D1371,".",F1371,"-",G1371,".",H1371,"")</f>
        <v>2.4-5.1</v>
      </c>
      <c r="C1371" s="39" t="s">
        <v>262</v>
      </c>
      <c r="D1371" s="33">
        <f>IF(C1371="ID",1,(IF(C1371="PR",2,(IF(C1371="DE",3,(IF(C1371="RS",4,(IF(C1371="RC",5,0)))))))))</f>
        <v>2</v>
      </c>
      <c r="E1371" s="33" t="s">
        <v>344</v>
      </c>
      <c r="F1371" s="33">
        <f>IF(E1371="AM",1,(IF(E1371="BE",2,(IF(E1371="GV",3,(IF(E1371="RA",4,(IF(E1371="RM",5,(IF(E1371="AC",1,(IF(E1371="AT",2,(IF(E1371="DS",3,(IF(E1371="IP",4,(IF(E1371="MA",5,(IF(E1371="PT",6,(IF(E1371="AE",1,(IF(E1371="CM",2,(IF(E1371="DP",3,(IF(E1371="AN",1,(IF(E1371="CO",2,(IF(E1371="IM",3,(IF(E1371="MI",4,(IF(E1371="RP",5,(IF(E1371="SC",6,0)))))))))))))))))))))))))))))))))))))))</f>
        <v>4</v>
      </c>
      <c r="G1371" s="170">
        <v>5</v>
      </c>
      <c r="H1371" s="38" t="s">
        <v>511</v>
      </c>
      <c r="I1371" s="3" t="s">
        <v>1449</v>
      </c>
      <c r="J1371" s="157" t="s">
        <v>2383</v>
      </c>
      <c r="K1371" s="34" t="s">
        <v>2384</v>
      </c>
      <c r="L1371" s="5">
        <f>IF(O1371="","",N1371*O1371*M1371)</f>
        <v>99</v>
      </c>
      <c r="M1371" s="8">
        <v>1</v>
      </c>
      <c r="N1371" s="1">
        <v>1</v>
      </c>
      <c r="O1371" s="15">
        <f>IF(SUM(Q1371:AF1371)&lt;1,"",SUM(Q1371:AF1371)/COUNTIF(Q1371:AF1371,"&gt;0"))</f>
        <v>99</v>
      </c>
      <c r="P1371" s="16"/>
      <c r="Q1371" s="13"/>
      <c r="R1371" s="4"/>
      <c r="S1371" s="4"/>
      <c r="T1371" s="4">
        <v>99</v>
      </c>
      <c r="U1371" s="2"/>
      <c r="V1371" s="2"/>
      <c r="W1371" s="2"/>
      <c r="X1371" s="2"/>
      <c r="Y1371" s="4"/>
      <c r="Z1371" s="2"/>
      <c r="AA1371" s="2"/>
      <c r="AB1371" s="4"/>
      <c r="AC1371" s="4"/>
      <c r="AD1371" s="4"/>
      <c r="AE1371" s="4"/>
      <c r="AF1371" s="14"/>
    </row>
    <row r="1372" spans="1:32" x14ac:dyDescent="0.25">
      <c r="A1372" s="33" t="str">
        <f>CONCATENATE(D1372,".",F1372,"-",G1372,".",H1372,"")</f>
        <v>2.4-5.1</v>
      </c>
      <c r="C1372" s="39" t="s">
        <v>262</v>
      </c>
      <c r="D1372" s="33">
        <f>IF(C1372="ID",1,(IF(C1372="PR",2,(IF(C1372="DE",3,(IF(C1372="RS",4,(IF(C1372="RC",5,0)))))))))</f>
        <v>2</v>
      </c>
      <c r="E1372" s="33" t="s">
        <v>344</v>
      </c>
      <c r="F1372" s="33">
        <f>IF(E1372="AM",1,(IF(E1372="BE",2,(IF(E1372="GV",3,(IF(E1372="RA",4,(IF(E1372="RM",5,(IF(E1372="AC",1,(IF(E1372="AT",2,(IF(E1372="DS",3,(IF(E1372="IP",4,(IF(E1372="MA",5,(IF(E1372="PT",6,(IF(E1372="AE",1,(IF(E1372="CM",2,(IF(E1372="DP",3,(IF(E1372="AN",1,(IF(E1372="CO",2,(IF(E1372="IM",3,(IF(E1372="MI",4,(IF(E1372="RP",5,(IF(E1372="SC",6,0)))))))))))))))))))))))))))))))))))))))</f>
        <v>4</v>
      </c>
      <c r="G1372" s="170">
        <v>5</v>
      </c>
      <c r="H1372" s="38" t="s">
        <v>511</v>
      </c>
      <c r="I1372" s="3" t="s">
        <v>1449</v>
      </c>
      <c r="J1372" s="157" t="s">
        <v>2385</v>
      </c>
      <c r="K1372" s="34" t="s">
        <v>2386</v>
      </c>
      <c r="L1372" s="5">
        <f>IF(O1372="","",N1372*O1372*M1372)</f>
        <v>99</v>
      </c>
      <c r="M1372" s="8">
        <v>1</v>
      </c>
      <c r="N1372" s="1">
        <v>1</v>
      </c>
      <c r="O1372" s="15">
        <f>IF(SUM(Q1372:AF1372)&lt;1,"",SUM(Q1372:AF1372)/COUNTIF(Q1372:AF1372,"&gt;0"))</f>
        <v>99</v>
      </c>
      <c r="P1372" s="16"/>
      <c r="Q1372" s="13"/>
      <c r="R1372" s="4"/>
      <c r="S1372" s="4"/>
      <c r="T1372" s="4">
        <v>99</v>
      </c>
      <c r="U1372" s="2"/>
      <c r="V1372" s="2"/>
      <c r="W1372" s="2"/>
      <c r="X1372" s="2"/>
      <c r="Y1372" s="4"/>
      <c r="Z1372" s="2"/>
      <c r="AA1372" s="2"/>
      <c r="AB1372" s="4"/>
      <c r="AC1372" s="4"/>
      <c r="AD1372" s="4"/>
      <c r="AE1372" s="4"/>
      <c r="AF1372" s="14"/>
    </row>
    <row r="1373" spans="1:32" x14ac:dyDescent="0.25">
      <c r="A1373" s="33" t="str">
        <f>CONCATENATE(D1373,".",F1373,"-",G1373,".",H1373,"")</f>
        <v>2.4-5.1</v>
      </c>
      <c r="C1373" s="39" t="s">
        <v>262</v>
      </c>
      <c r="D1373" s="33">
        <f>IF(C1373="ID",1,(IF(C1373="PR",2,(IF(C1373="DE",3,(IF(C1373="RS",4,(IF(C1373="RC",5,0)))))))))</f>
        <v>2</v>
      </c>
      <c r="E1373" s="33" t="s">
        <v>344</v>
      </c>
      <c r="F1373" s="33">
        <f>IF(E1373="AM",1,(IF(E1373="BE",2,(IF(E1373="GV",3,(IF(E1373="RA",4,(IF(E1373="RM",5,(IF(E1373="AC",1,(IF(E1373="AT",2,(IF(E1373="DS",3,(IF(E1373="IP",4,(IF(E1373="MA",5,(IF(E1373="PT",6,(IF(E1373="AE",1,(IF(E1373="CM",2,(IF(E1373="DP",3,(IF(E1373="AN",1,(IF(E1373="CO",2,(IF(E1373="IM",3,(IF(E1373="MI",4,(IF(E1373="RP",5,(IF(E1373="SC",6,0)))))))))))))))))))))))))))))))))))))))</f>
        <v>4</v>
      </c>
      <c r="G1373" s="170">
        <v>5</v>
      </c>
      <c r="H1373" s="38" t="s">
        <v>511</v>
      </c>
      <c r="I1373" s="3" t="s">
        <v>1449</v>
      </c>
      <c r="J1373" s="157" t="s">
        <v>2387</v>
      </c>
      <c r="K1373" s="34" t="s">
        <v>2388</v>
      </c>
      <c r="L1373" s="5">
        <f>IF(O1373="","",N1373*O1373*M1373)</f>
        <v>99</v>
      </c>
      <c r="M1373" s="8">
        <v>1</v>
      </c>
      <c r="N1373" s="1">
        <v>1</v>
      </c>
      <c r="O1373" s="15">
        <f>IF(SUM(Q1373:AF1373)&lt;1,"",SUM(Q1373:AF1373)/COUNTIF(Q1373:AF1373,"&gt;0"))</f>
        <v>99</v>
      </c>
      <c r="P1373" s="16"/>
      <c r="Q1373" s="13"/>
      <c r="R1373" s="4"/>
      <c r="S1373" s="4"/>
      <c r="T1373" s="4">
        <v>99</v>
      </c>
      <c r="U1373" s="2"/>
      <c r="V1373" s="2"/>
      <c r="W1373" s="2"/>
      <c r="X1373" s="2"/>
      <c r="Y1373" s="4"/>
      <c r="Z1373" s="2"/>
      <c r="AA1373" s="2"/>
      <c r="AB1373" s="4"/>
      <c r="AC1373" s="4"/>
      <c r="AD1373" s="4"/>
      <c r="AE1373" s="4"/>
      <c r="AF1373" s="14"/>
    </row>
    <row r="1374" spans="1:32" x14ac:dyDescent="0.25">
      <c r="A1374" s="33" t="str">
        <f>CONCATENATE(D1374,".",F1374,"-",G1374,".",H1374,"")</f>
        <v>2.4-5.1</v>
      </c>
      <c r="C1374" s="39" t="s">
        <v>262</v>
      </c>
      <c r="D1374" s="33">
        <f>IF(C1374="ID",1,(IF(C1374="PR",2,(IF(C1374="DE",3,(IF(C1374="RS",4,(IF(C1374="RC",5,0)))))))))</f>
        <v>2</v>
      </c>
      <c r="E1374" s="33" t="s">
        <v>344</v>
      </c>
      <c r="F1374" s="33">
        <f>IF(E1374="AM",1,(IF(E1374="BE",2,(IF(E1374="GV",3,(IF(E1374="RA",4,(IF(E1374="RM",5,(IF(E1374="AC",1,(IF(E1374="AT",2,(IF(E1374="DS",3,(IF(E1374="IP",4,(IF(E1374="MA",5,(IF(E1374="PT",6,(IF(E1374="AE",1,(IF(E1374="CM",2,(IF(E1374="DP",3,(IF(E1374="AN",1,(IF(E1374="CO",2,(IF(E1374="IM",3,(IF(E1374="MI",4,(IF(E1374="RP",5,(IF(E1374="SC",6,0)))))))))))))))))))))))))))))))))))))))</f>
        <v>4</v>
      </c>
      <c r="G1374" s="170">
        <v>5</v>
      </c>
      <c r="H1374" s="38" t="s">
        <v>511</v>
      </c>
      <c r="I1374" s="3" t="s">
        <v>1449</v>
      </c>
      <c r="J1374" s="157" t="s">
        <v>2389</v>
      </c>
      <c r="K1374" s="34" t="s">
        <v>2390</v>
      </c>
      <c r="L1374" s="5">
        <f>IF(O1374="","",N1374*O1374*M1374)</f>
        <v>99</v>
      </c>
      <c r="M1374" s="8">
        <v>1</v>
      </c>
      <c r="N1374" s="1">
        <v>1</v>
      </c>
      <c r="O1374" s="15">
        <f>IF(SUM(Q1374:AF1374)&lt;1,"",SUM(Q1374:AF1374)/COUNTIF(Q1374:AF1374,"&gt;0"))</f>
        <v>99</v>
      </c>
      <c r="P1374" s="16"/>
      <c r="Q1374" s="13"/>
      <c r="R1374" s="4"/>
      <c r="S1374" s="4"/>
      <c r="T1374" s="4">
        <v>99</v>
      </c>
      <c r="U1374" s="2"/>
      <c r="V1374" s="2"/>
      <c r="W1374" s="2"/>
      <c r="X1374" s="2"/>
      <c r="Y1374" s="4"/>
      <c r="Z1374" s="2"/>
      <c r="AA1374" s="2"/>
      <c r="AB1374" s="4"/>
      <c r="AC1374" s="4"/>
      <c r="AD1374" s="4"/>
      <c r="AE1374" s="4"/>
      <c r="AF1374" s="14"/>
    </row>
    <row r="1375" spans="1:32" x14ac:dyDescent="0.25">
      <c r="A1375" s="33" t="str">
        <f>CONCATENATE(D1375,".",F1375,"-",G1375,".",H1375,"")</f>
        <v>2.4-5.1</v>
      </c>
      <c r="C1375" s="39" t="s">
        <v>262</v>
      </c>
      <c r="D1375" s="33">
        <f>IF(C1375="ID",1,(IF(C1375="PR",2,(IF(C1375="DE",3,(IF(C1375="RS",4,(IF(C1375="RC",5,0)))))))))</f>
        <v>2</v>
      </c>
      <c r="E1375" s="33" t="s">
        <v>344</v>
      </c>
      <c r="F1375" s="33">
        <f>IF(E1375="AM",1,(IF(E1375="BE",2,(IF(E1375="GV",3,(IF(E1375="RA",4,(IF(E1375="RM",5,(IF(E1375="AC",1,(IF(E1375="AT",2,(IF(E1375="DS",3,(IF(E1375="IP",4,(IF(E1375="MA",5,(IF(E1375="PT",6,(IF(E1375="AE",1,(IF(E1375="CM",2,(IF(E1375="DP",3,(IF(E1375="AN",1,(IF(E1375="CO",2,(IF(E1375="IM",3,(IF(E1375="MI",4,(IF(E1375="RP",5,(IF(E1375="SC",6,0)))))))))))))))))))))))))))))))))))))))</f>
        <v>4</v>
      </c>
      <c r="G1375" s="170">
        <v>5</v>
      </c>
      <c r="H1375" s="38" t="s">
        <v>511</v>
      </c>
      <c r="I1375" s="3" t="s">
        <v>1449</v>
      </c>
      <c r="J1375" s="157" t="s">
        <v>2391</v>
      </c>
      <c r="K1375" s="34" t="s">
        <v>2392</v>
      </c>
      <c r="L1375" s="5">
        <f>IF(O1375="","",N1375*O1375*M1375)</f>
        <v>99</v>
      </c>
      <c r="M1375" s="8">
        <v>1</v>
      </c>
      <c r="N1375" s="1">
        <v>1</v>
      </c>
      <c r="O1375" s="15">
        <f>IF(SUM(Q1375:AF1375)&lt;1,"",SUM(Q1375:AF1375)/COUNTIF(Q1375:AF1375,"&gt;0"))</f>
        <v>99</v>
      </c>
      <c r="P1375" s="16"/>
      <c r="Q1375" s="13"/>
      <c r="R1375" s="4"/>
      <c r="S1375" s="4"/>
      <c r="T1375" s="4">
        <v>99</v>
      </c>
      <c r="U1375" s="2"/>
      <c r="V1375" s="2"/>
      <c r="W1375" s="2"/>
      <c r="X1375" s="2"/>
      <c r="Y1375" s="4"/>
      <c r="Z1375" s="2"/>
      <c r="AA1375" s="2"/>
      <c r="AB1375" s="4"/>
      <c r="AC1375" s="4"/>
      <c r="AD1375" s="4"/>
      <c r="AE1375" s="4"/>
      <c r="AF1375" s="14"/>
    </row>
    <row r="1376" spans="1:32" x14ac:dyDescent="0.25">
      <c r="A1376" s="33" t="str">
        <f>CONCATENATE(D1376,".",F1376,"-",G1376,".",H1376,"")</f>
        <v>2.4-5.1</v>
      </c>
      <c r="C1376" s="39" t="s">
        <v>262</v>
      </c>
      <c r="D1376" s="33">
        <f>IF(C1376="ID",1,(IF(C1376="PR",2,(IF(C1376="DE",3,(IF(C1376="RS",4,(IF(C1376="RC",5,0)))))))))</f>
        <v>2</v>
      </c>
      <c r="E1376" s="33" t="s">
        <v>344</v>
      </c>
      <c r="F1376" s="33">
        <f>IF(E1376="AM",1,(IF(E1376="BE",2,(IF(E1376="GV",3,(IF(E1376="RA",4,(IF(E1376="RM",5,(IF(E1376="AC",1,(IF(E1376="AT",2,(IF(E1376="DS",3,(IF(E1376="IP",4,(IF(E1376="MA",5,(IF(E1376="PT",6,(IF(E1376="AE",1,(IF(E1376="CM",2,(IF(E1376="DP",3,(IF(E1376="AN",1,(IF(E1376="CO",2,(IF(E1376="IM",3,(IF(E1376="MI",4,(IF(E1376="RP",5,(IF(E1376="SC",6,0)))))))))))))))))))))))))))))))))))))))</f>
        <v>4</v>
      </c>
      <c r="G1376" s="170">
        <v>5</v>
      </c>
      <c r="H1376" s="38" t="s">
        <v>511</v>
      </c>
      <c r="I1376" s="3" t="s">
        <v>1449</v>
      </c>
      <c r="J1376" s="157" t="s">
        <v>2393</v>
      </c>
      <c r="K1376" s="34" t="s">
        <v>2394</v>
      </c>
      <c r="L1376" s="5">
        <f>IF(O1376="","",N1376*O1376*M1376)</f>
        <v>99</v>
      </c>
      <c r="M1376" s="8">
        <v>1</v>
      </c>
      <c r="N1376" s="1">
        <v>1</v>
      </c>
      <c r="O1376" s="15">
        <f>IF(SUM(Q1376:AF1376)&lt;1,"",SUM(Q1376:AF1376)/COUNTIF(Q1376:AF1376,"&gt;0"))</f>
        <v>99</v>
      </c>
      <c r="P1376" s="16"/>
      <c r="Q1376" s="13"/>
      <c r="R1376" s="4"/>
      <c r="S1376" s="4"/>
      <c r="T1376" s="4">
        <v>99</v>
      </c>
      <c r="U1376" s="2"/>
      <c r="V1376" s="2"/>
      <c r="W1376" s="2"/>
      <c r="X1376" s="2"/>
      <c r="Y1376" s="4"/>
      <c r="Z1376" s="2"/>
      <c r="AA1376" s="2"/>
      <c r="AB1376" s="4"/>
      <c r="AC1376" s="4"/>
      <c r="AD1376" s="4"/>
      <c r="AE1376" s="4"/>
      <c r="AF1376" s="14"/>
    </row>
    <row r="1377" spans="1:32" x14ac:dyDescent="0.25">
      <c r="A1377" s="33" t="str">
        <f>CONCATENATE(D1377,".",F1377,"-",G1377,".",H1377,"")</f>
        <v>2.4-5.1</v>
      </c>
      <c r="C1377" s="39" t="s">
        <v>262</v>
      </c>
      <c r="D1377" s="33">
        <f>IF(C1377="ID",1,(IF(C1377="PR",2,(IF(C1377="DE",3,(IF(C1377="RS",4,(IF(C1377="RC",5,0)))))))))</f>
        <v>2</v>
      </c>
      <c r="E1377" s="33" t="s">
        <v>344</v>
      </c>
      <c r="F1377" s="33">
        <f>IF(E1377="AM",1,(IF(E1377="BE",2,(IF(E1377="GV",3,(IF(E1377="RA",4,(IF(E1377="RM",5,(IF(E1377="AC",1,(IF(E1377="AT",2,(IF(E1377="DS",3,(IF(E1377="IP",4,(IF(E1377="MA",5,(IF(E1377="PT",6,(IF(E1377="AE",1,(IF(E1377="CM",2,(IF(E1377="DP",3,(IF(E1377="AN",1,(IF(E1377="CO",2,(IF(E1377="IM",3,(IF(E1377="MI",4,(IF(E1377="RP",5,(IF(E1377="SC",6,0)))))))))))))))))))))))))))))))))))))))</f>
        <v>4</v>
      </c>
      <c r="G1377" s="170">
        <v>5</v>
      </c>
      <c r="H1377" s="38" t="s">
        <v>511</v>
      </c>
      <c r="I1377" s="3" t="s">
        <v>1449</v>
      </c>
      <c r="J1377" s="157" t="s">
        <v>2399</v>
      </c>
      <c r="K1377" s="34" t="s">
        <v>2400</v>
      </c>
      <c r="L1377" s="5">
        <f>IF(O1377="","",N1377*O1377*M1377)</f>
        <v>99</v>
      </c>
      <c r="M1377" s="8">
        <v>1</v>
      </c>
      <c r="N1377" s="1">
        <v>1</v>
      </c>
      <c r="O1377" s="15">
        <f>IF(SUM(Q1377:AF1377)&lt;1,"",SUM(Q1377:AF1377)/COUNTIF(Q1377:AF1377,"&gt;0"))</f>
        <v>99</v>
      </c>
      <c r="P1377" s="16"/>
      <c r="Q1377" s="13"/>
      <c r="R1377" s="4"/>
      <c r="S1377" s="4"/>
      <c r="T1377" s="4">
        <v>99</v>
      </c>
      <c r="U1377" s="2"/>
      <c r="V1377" s="2"/>
      <c r="W1377" s="2"/>
      <c r="X1377" s="2"/>
      <c r="Y1377" s="4"/>
      <c r="Z1377" s="2"/>
      <c r="AA1377" s="2"/>
      <c r="AB1377" s="4"/>
      <c r="AC1377" s="4"/>
      <c r="AD1377" s="4"/>
      <c r="AE1377" s="4"/>
      <c r="AF1377" s="14"/>
    </row>
    <row r="1378" spans="1:32" x14ac:dyDescent="0.25">
      <c r="A1378" s="33" t="str">
        <f>CONCATENATE(D1378,".",F1378,"-",G1378,".",H1378,"")</f>
        <v>2.4-5.1</v>
      </c>
      <c r="C1378" s="39" t="s">
        <v>262</v>
      </c>
      <c r="D1378" s="33">
        <f>IF(C1378="ID",1,(IF(C1378="PR",2,(IF(C1378="DE",3,(IF(C1378="RS",4,(IF(C1378="RC",5,0)))))))))</f>
        <v>2</v>
      </c>
      <c r="E1378" s="33" t="s">
        <v>344</v>
      </c>
      <c r="F1378" s="33">
        <f>IF(E1378="AM",1,(IF(E1378="BE",2,(IF(E1378="GV",3,(IF(E1378="RA",4,(IF(E1378="RM",5,(IF(E1378="AC",1,(IF(E1378="AT",2,(IF(E1378="DS",3,(IF(E1378="IP",4,(IF(E1378="MA",5,(IF(E1378="PT",6,(IF(E1378="AE",1,(IF(E1378="CM",2,(IF(E1378="DP",3,(IF(E1378="AN",1,(IF(E1378="CO",2,(IF(E1378="IM",3,(IF(E1378="MI",4,(IF(E1378="RP",5,(IF(E1378="SC",6,0)))))))))))))))))))))))))))))))))))))))</f>
        <v>4</v>
      </c>
      <c r="G1378" s="170">
        <v>5</v>
      </c>
      <c r="H1378" s="38" t="s">
        <v>511</v>
      </c>
      <c r="I1378" s="3" t="s">
        <v>1449</v>
      </c>
      <c r="J1378" s="157" t="s">
        <v>2401</v>
      </c>
      <c r="K1378" s="34" t="s">
        <v>2402</v>
      </c>
      <c r="L1378" s="5">
        <f>IF(O1378="","",N1378*O1378*M1378)</f>
        <v>99</v>
      </c>
      <c r="M1378" s="8">
        <v>1</v>
      </c>
      <c r="N1378" s="1">
        <v>1</v>
      </c>
      <c r="O1378" s="15">
        <f>IF(SUM(Q1378:AF1378)&lt;1,"",SUM(Q1378:AF1378)/COUNTIF(Q1378:AF1378,"&gt;0"))</f>
        <v>99</v>
      </c>
      <c r="P1378" s="16"/>
      <c r="Q1378" s="13"/>
      <c r="R1378" s="4"/>
      <c r="S1378" s="4"/>
      <c r="T1378" s="4">
        <v>99</v>
      </c>
      <c r="U1378" s="2"/>
      <c r="V1378" s="2"/>
      <c r="W1378" s="2"/>
      <c r="X1378" s="2"/>
      <c r="Y1378" s="4"/>
      <c r="Z1378" s="2"/>
      <c r="AA1378" s="2"/>
      <c r="AB1378" s="4"/>
      <c r="AC1378" s="4"/>
      <c r="AD1378" s="4"/>
      <c r="AE1378" s="4"/>
      <c r="AF1378" s="14"/>
    </row>
    <row r="1379" spans="1:32" x14ac:dyDescent="0.25">
      <c r="A1379" s="33" t="str">
        <f>CONCATENATE(D1379,".",F1379,"-",G1379,".",H1379,"")</f>
        <v>2.4-6.0</v>
      </c>
      <c r="B1379" s="33" t="s">
        <v>814</v>
      </c>
      <c r="C1379" s="40" t="s">
        <v>262</v>
      </c>
      <c r="D1379" s="33">
        <f>IF(C1379="ID",1,(IF(C1379="PR",2,(IF(C1379="DE",3,(IF(C1379="RS",4,(IF(C1379="RC",5,0)))))))))</f>
        <v>2</v>
      </c>
      <c r="E1379" s="33" t="s">
        <v>344</v>
      </c>
      <c r="F1379" s="33">
        <f>IF(E1379="AM",1,(IF(E1379="BE",2,(IF(E1379="GV",3,(IF(E1379="RA",4,(IF(E1379="RM",5,(IF(E1379="AC",1,(IF(E1379="AT",2,(IF(E1379="DS",3,(IF(E1379="IP",4,(IF(E1379="MA",5,(IF(E1379="PT",6,(IF(E1379="AE",1,(IF(E1379="CM",2,(IF(E1379="DP",3,(IF(E1379="AN",1,(IF(E1379="CO",2,(IF(E1379="IM",3,(IF(E1379="MI",4,(IF(E1379="RP",5,(IF(E1379="SC",6,0)))))))))))))))))))))))))))))))))))))))</f>
        <v>4</v>
      </c>
      <c r="G1379" s="170">
        <v>6</v>
      </c>
      <c r="H1379" s="38" t="s">
        <v>597</v>
      </c>
      <c r="I1379" s="22" t="s">
        <v>1200</v>
      </c>
      <c r="J1379" s="149" t="s">
        <v>687</v>
      </c>
      <c r="K1379" s="98" t="s">
        <v>389</v>
      </c>
      <c r="L1379" s="5">
        <f>IF(O1379="","",N1379*O1379*M1379)</f>
        <v>75</v>
      </c>
      <c r="M1379" s="8">
        <v>1</v>
      </c>
      <c r="N1379" s="1">
        <v>1</v>
      </c>
      <c r="O1379" s="15">
        <f>IF(SUM(Q1379:AF1379)&lt;1,"",SUM(Q1379:AF1379)/COUNTIF(Q1379:AF1379,"&gt;0"))</f>
        <v>75</v>
      </c>
      <c r="P1379" s="16"/>
      <c r="Q1379" s="13"/>
      <c r="R1379" s="4"/>
      <c r="S1379" s="4"/>
      <c r="T1379" s="4">
        <v>75</v>
      </c>
      <c r="U1379" s="2"/>
      <c r="V1379" s="2"/>
      <c r="W1379" s="2"/>
      <c r="X1379" s="2"/>
      <c r="Y1379" s="4"/>
      <c r="Z1379" s="2"/>
      <c r="AA1379" s="2"/>
      <c r="AB1379" s="4"/>
      <c r="AC1379" s="4"/>
      <c r="AD1379" s="4"/>
      <c r="AE1379" s="4"/>
      <c r="AF1379" s="14"/>
    </row>
    <row r="1380" spans="1:32" x14ac:dyDescent="0.25">
      <c r="A1380" s="33" t="str">
        <f>CONCATENATE(D1380,".",F1380,"-",G1380,".",H1380,"")</f>
        <v>2.4-6.1</v>
      </c>
      <c r="B1380" s="33" t="s">
        <v>814</v>
      </c>
      <c r="C1380" s="40" t="s">
        <v>262</v>
      </c>
      <c r="D1380" s="33">
        <f>IF(C1380="ID",1,(IF(C1380="PR",2,(IF(C1380="DE",3,(IF(C1380="RS",4,(IF(C1380="RC",5,0)))))))))</f>
        <v>2</v>
      </c>
      <c r="E1380" s="33" t="s">
        <v>344</v>
      </c>
      <c r="F1380" s="33">
        <f>IF(E1380="AM",1,(IF(E1380="BE",2,(IF(E1380="GV",3,(IF(E1380="RA",4,(IF(E1380="RM",5,(IF(E1380="AC",1,(IF(E1380="AT",2,(IF(E1380="DS",3,(IF(E1380="IP",4,(IF(E1380="MA",5,(IF(E1380="PT",6,(IF(E1380="AE",1,(IF(E1380="CM",2,(IF(E1380="DP",3,(IF(E1380="AN",1,(IF(E1380="CO",2,(IF(E1380="IM",3,(IF(E1380="MI",4,(IF(E1380="RP",5,(IF(E1380="SC",6,0)))))))))))))))))))))))))))))))))))))))</f>
        <v>4</v>
      </c>
      <c r="G1380" s="171">
        <v>6</v>
      </c>
      <c r="H1380" s="38" t="s">
        <v>511</v>
      </c>
      <c r="I1380" s="22" t="s">
        <v>936</v>
      </c>
      <c r="J1380" s="163" t="s">
        <v>929</v>
      </c>
      <c r="K1380" s="34" t="s">
        <v>997</v>
      </c>
      <c r="L1380" s="66">
        <f>IF(O1380="","",N1380*O1380*M1380)</f>
        <v>75</v>
      </c>
      <c r="M1380" s="8">
        <v>1</v>
      </c>
      <c r="N1380" s="3">
        <v>1</v>
      </c>
      <c r="O1380" s="15">
        <f>IF(SUM(Q1380:AF1380)&lt;1,"",SUM(Q1380:AF1380)/COUNTIF(Q1380:AF1380,"&gt;0"))</f>
        <v>75</v>
      </c>
      <c r="P1380" s="16"/>
      <c r="Q1380" s="13"/>
      <c r="R1380" s="4"/>
      <c r="S1380" s="4"/>
      <c r="T1380" s="4">
        <v>75</v>
      </c>
      <c r="U1380" s="2"/>
      <c r="V1380" s="2"/>
      <c r="W1380" s="2"/>
      <c r="X1380" s="2"/>
      <c r="Y1380" s="4"/>
      <c r="Z1380" s="2"/>
      <c r="AA1380" s="2"/>
      <c r="AB1380" s="4"/>
      <c r="AC1380" s="4"/>
      <c r="AD1380" s="4"/>
      <c r="AE1380" s="4"/>
      <c r="AF1380" s="14"/>
    </row>
    <row r="1381" spans="1:32" x14ac:dyDescent="0.25">
      <c r="A1381" s="33" t="str">
        <f>CONCATENATE(D1381,".",F1381,"-",G1381,".",H1381,"")</f>
        <v>2.4-6.1</v>
      </c>
      <c r="B1381" s="33" t="s">
        <v>814</v>
      </c>
      <c r="C1381" s="40" t="s">
        <v>262</v>
      </c>
      <c r="D1381" s="33">
        <f>IF(C1381="ID",1,(IF(C1381="PR",2,(IF(C1381="DE",3,(IF(C1381="RS",4,(IF(C1381="RC",5,0)))))))))</f>
        <v>2</v>
      </c>
      <c r="E1381" s="33" t="s">
        <v>344</v>
      </c>
      <c r="F1381" s="33">
        <f>IF(E1381="AM",1,(IF(E1381="BE",2,(IF(E1381="GV",3,(IF(E1381="RA",4,(IF(E1381="RM",5,(IF(E1381="AC",1,(IF(E1381="AT",2,(IF(E1381="DS",3,(IF(E1381="IP",4,(IF(E1381="MA",5,(IF(E1381="PT",6,(IF(E1381="AE",1,(IF(E1381="CM",2,(IF(E1381="DP",3,(IF(E1381="AN",1,(IF(E1381="CO",2,(IF(E1381="IM",3,(IF(E1381="MI",4,(IF(E1381="RP",5,(IF(E1381="SC",6,0)))))))))))))))))))))))))))))))))))))))</f>
        <v>4</v>
      </c>
      <c r="G1381" s="171">
        <v>6</v>
      </c>
      <c r="H1381" s="38" t="s">
        <v>511</v>
      </c>
      <c r="I1381" s="22" t="s">
        <v>936</v>
      </c>
      <c r="J1381" s="163" t="s">
        <v>930</v>
      </c>
      <c r="K1381" s="34" t="s">
        <v>998</v>
      </c>
      <c r="L1381" s="66">
        <f>IF(O1381="","",N1381*O1381*M1381)</f>
        <v>75</v>
      </c>
      <c r="M1381" s="8">
        <v>1</v>
      </c>
      <c r="N1381" s="3">
        <v>1</v>
      </c>
      <c r="O1381" s="15">
        <f>IF(SUM(Q1381:AF1381)&lt;1,"",SUM(Q1381:AF1381)/COUNTIF(Q1381:AF1381,"&gt;0"))</f>
        <v>75</v>
      </c>
      <c r="P1381" s="16"/>
      <c r="Q1381" s="13"/>
      <c r="R1381" s="4"/>
      <c r="S1381" s="4"/>
      <c r="T1381" s="4">
        <v>75</v>
      </c>
      <c r="U1381" s="2"/>
      <c r="V1381" s="2"/>
      <c r="W1381" s="2"/>
      <c r="X1381" s="2"/>
      <c r="Y1381" s="4"/>
      <c r="Z1381" s="2"/>
      <c r="AA1381" s="2"/>
      <c r="AB1381" s="4"/>
      <c r="AC1381" s="4"/>
      <c r="AD1381" s="4"/>
      <c r="AE1381" s="4"/>
      <c r="AF1381" s="14"/>
    </row>
    <row r="1382" spans="1:32" x14ac:dyDescent="0.25">
      <c r="A1382" s="33" t="str">
        <f>CONCATENATE(D1382,".",F1382,"-",G1382,".",H1382,"")</f>
        <v>2.4-6.1</v>
      </c>
      <c r="B1382" s="33" t="s">
        <v>814</v>
      </c>
      <c r="C1382" s="41" t="s">
        <v>262</v>
      </c>
      <c r="D1382" s="33">
        <f>IF(C1382="ID",1,(IF(C1382="PR",2,(IF(C1382="DE",3,(IF(C1382="RS",4,(IF(C1382="RC",5,0)))))))))</f>
        <v>2</v>
      </c>
      <c r="E1382" s="33" t="s">
        <v>344</v>
      </c>
      <c r="F1382" s="33">
        <f>IF(E1382="AM",1,(IF(E1382="BE",2,(IF(E1382="GV",3,(IF(E1382="RA",4,(IF(E1382="RM",5,(IF(E1382="AC",1,(IF(E1382="AT",2,(IF(E1382="DS",3,(IF(E1382="IP",4,(IF(E1382="MA",5,(IF(E1382="PT",6,(IF(E1382="AE",1,(IF(E1382="CM",2,(IF(E1382="DP",3,(IF(E1382="AN",1,(IF(E1382="CO",2,(IF(E1382="IM",3,(IF(E1382="MI",4,(IF(E1382="RP",5,(IF(E1382="SC",6,0)))))))))))))))))))))))))))))))))))))))</f>
        <v>4</v>
      </c>
      <c r="G1382" s="170">
        <v>6</v>
      </c>
      <c r="H1382" s="38" t="s">
        <v>511</v>
      </c>
      <c r="I1382" s="22" t="s">
        <v>266</v>
      </c>
      <c r="J1382" s="149" t="s">
        <v>332</v>
      </c>
      <c r="K1382" s="79" t="s">
        <v>1304</v>
      </c>
      <c r="L1382" s="5">
        <f>IF(O1382="","",N1382*O1382*M1382)</f>
        <v>75</v>
      </c>
      <c r="M1382" s="8">
        <v>1</v>
      </c>
      <c r="N1382" s="1">
        <v>1</v>
      </c>
      <c r="O1382" s="15">
        <f>IF(SUM(Q1382:AF1382)&lt;1,"",SUM(Q1382:AF1382)/COUNTIF(Q1382:AF1382,"&gt;0"))</f>
        <v>75</v>
      </c>
      <c r="P1382" s="16"/>
      <c r="Q1382" s="13"/>
      <c r="R1382" s="4"/>
      <c r="S1382" s="4"/>
      <c r="T1382" s="4">
        <v>75</v>
      </c>
      <c r="U1382" s="2"/>
      <c r="V1382" s="2"/>
      <c r="W1382" s="2"/>
      <c r="X1382" s="2"/>
      <c r="Y1382" s="4"/>
      <c r="Z1382" s="2"/>
      <c r="AA1382" s="2"/>
      <c r="AB1382" s="4"/>
      <c r="AC1382" s="4"/>
      <c r="AD1382" s="4"/>
      <c r="AE1382" s="4"/>
      <c r="AF1382" s="14"/>
    </row>
    <row r="1383" spans="1:32" x14ac:dyDescent="0.25">
      <c r="A1383" s="33" t="str">
        <f>CONCATENATE(D1383,".",F1383,"-",G1383,".",H1383,"")</f>
        <v>2.4-6.1</v>
      </c>
      <c r="B1383" s="33" t="s">
        <v>814</v>
      </c>
      <c r="C1383" s="41" t="s">
        <v>262</v>
      </c>
      <c r="D1383" s="33">
        <f>IF(C1383="ID",1,(IF(C1383="PR",2,(IF(C1383="DE",3,(IF(C1383="RS",4,(IF(C1383="RC",5,0)))))))))</f>
        <v>2</v>
      </c>
      <c r="E1383" s="33" t="s">
        <v>344</v>
      </c>
      <c r="F1383" s="33">
        <f>IF(E1383="AM",1,(IF(E1383="BE",2,(IF(E1383="GV",3,(IF(E1383="RA",4,(IF(E1383="RM",5,(IF(E1383="AC",1,(IF(E1383="AT",2,(IF(E1383="DS",3,(IF(E1383="IP",4,(IF(E1383="MA",5,(IF(E1383="PT",6,(IF(E1383="AE",1,(IF(E1383="CM",2,(IF(E1383="DP",3,(IF(E1383="AN",1,(IF(E1383="CO",2,(IF(E1383="IM",3,(IF(E1383="MI",4,(IF(E1383="RP",5,(IF(E1383="SC",6,0)))))))))))))))))))))))))))))))))))))))</f>
        <v>4</v>
      </c>
      <c r="G1383" s="170">
        <v>6</v>
      </c>
      <c r="H1383" s="38" t="s">
        <v>511</v>
      </c>
      <c r="I1383" s="22" t="s">
        <v>266</v>
      </c>
      <c r="J1383" s="149" t="s">
        <v>292</v>
      </c>
      <c r="K1383" s="79" t="s">
        <v>1425</v>
      </c>
      <c r="L1383" s="5">
        <f>IF(O1383="","",N1383*O1383*M1383)</f>
        <v>75</v>
      </c>
      <c r="M1383" s="8">
        <v>1</v>
      </c>
      <c r="N1383" s="1">
        <v>1</v>
      </c>
      <c r="O1383" s="15">
        <f>IF(SUM(Q1383:AF1383)&lt;1,"",SUM(Q1383:AF1383)/COUNTIF(Q1383:AF1383,"&gt;0"))</f>
        <v>75</v>
      </c>
      <c r="P1383" s="16"/>
      <c r="Q1383" s="13"/>
      <c r="R1383" s="4"/>
      <c r="S1383" s="4"/>
      <c r="T1383" s="4">
        <v>75</v>
      </c>
      <c r="U1383" s="2"/>
      <c r="V1383" s="2"/>
      <c r="W1383" s="2"/>
      <c r="X1383" s="2"/>
      <c r="Y1383" s="4"/>
      <c r="Z1383" s="2"/>
      <c r="AA1383" s="2"/>
      <c r="AB1383" s="4"/>
      <c r="AC1383" s="4"/>
      <c r="AD1383" s="4"/>
      <c r="AE1383" s="4"/>
      <c r="AF1383" s="14"/>
    </row>
    <row r="1384" spans="1:32" x14ac:dyDescent="0.25">
      <c r="A1384" s="33" t="str">
        <f>CONCATENATE(D1384,".",F1384,"-",G1384,".",H1384,"")</f>
        <v>2.4-6.1</v>
      </c>
      <c r="B1384" s="33" t="s">
        <v>814</v>
      </c>
      <c r="C1384" s="41" t="s">
        <v>262</v>
      </c>
      <c r="D1384" s="33">
        <f>IF(C1384="ID",1,(IF(C1384="PR",2,(IF(C1384="DE",3,(IF(C1384="RS",4,(IF(C1384="RC",5,0)))))))))</f>
        <v>2</v>
      </c>
      <c r="E1384" s="33" t="s">
        <v>344</v>
      </c>
      <c r="F1384" s="33">
        <f>IF(E1384="AM",1,(IF(E1384="BE",2,(IF(E1384="GV",3,(IF(E1384="RA",4,(IF(E1384="RM",5,(IF(E1384="AC",1,(IF(E1384="AT",2,(IF(E1384="DS",3,(IF(E1384="IP",4,(IF(E1384="MA",5,(IF(E1384="PT",6,(IF(E1384="AE",1,(IF(E1384="CM",2,(IF(E1384="DP",3,(IF(E1384="AN",1,(IF(E1384="CO",2,(IF(E1384="IM",3,(IF(E1384="MI",4,(IF(E1384="RP",5,(IF(E1384="SC",6,0)))))))))))))))))))))))))))))))))))))))</f>
        <v>4</v>
      </c>
      <c r="G1384" s="170">
        <v>6</v>
      </c>
      <c r="H1384" s="38" t="s">
        <v>511</v>
      </c>
      <c r="I1384" s="22" t="s">
        <v>266</v>
      </c>
      <c r="J1384" s="149" t="s">
        <v>310</v>
      </c>
      <c r="K1384" s="79" t="s">
        <v>1427</v>
      </c>
      <c r="L1384" s="5">
        <f>IF(O1384="","",N1384*O1384*M1384)</f>
        <v>75</v>
      </c>
      <c r="M1384" s="8">
        <v>1</v>
      </c>
      <c r="N1384" s="1">
        <v>1</v>
      </c>
      <c r="O1384" s="15">
        <f>IF(SUM(Q1384:AF1384)&lt;1,"",SUM(Q1384:AF1384)/COUNTIF(Q1384:AF1384,"&gt;0"))</f>
        <v>75</v>
      </c>
      <c r="P1384" s="16"/>
      <c r="Q1384" s="13"/>
      <c r="R1384" s="4"/>
      <c r="S1384" s="4"/>
      <c r="T1384" s="4">
        <v>75</v>
      </c>
      <c r="U1384" s="2"/>
      <c r="V1384" s="2"/>
      <c r="W1384" s="2"/>
      <c r="X1384" s="2"/>
      <c r="Y1384" s="4"/>
      <c r="Z1384" s="2"/>
      <c r="AA1384" s="2"/>
      <c r="AB1384" s="4"/>
      <c r="AC1384" s="4"/>
      <c r="AD1384" s="4"/>
      <c r="AE1384" s="4"/>
      <c r="AF1384" s="14"/>
    </row>
    <row r="1385" spans="1:32" x14ac:dyDescent="0.25">
      <c r="A1385" s="33" t="str">
        <f>CONCATENATE(D1385,".",F1385,"-",G1385,".",H1385,"")</f>
        <v>2.4-6.1</v>
      </c>
      <c r="B1385" s="33" t="s">
        <v>814</v>
      </c>
      <c r="C1385" s="41" t="s">
        <v>262</v>
      </c>
      <c r="D1385" s="33">
        <f>IF(C1385="ID",1,(IF(C1385="PR",2,(IF(C1385="DE",3,(IF(C1385="RS",4,(IF(C1385="RC",5,0)))))))))</f>
        <v>2</v>
      </c>
      <c r="E1385" s="33" t="s">
        <v>344</v>
      </c>
      <c r="F1385" s="33">
        <f>IF(E1385="AM",1,(IF(E1385="BE",2,(IF(E1385="GV",3,(IF(E1385="RA",4,(IF(E1385="RM",5,(IF(E1385="AC",1,(IF(E1385="AT",2,(IF(E1385="DS",3,(IF(E1385="IP",4,(IF(E1385="MA",5,(IF(E1385="PT",6,(IF(E1385="AE",1,(IF(E1385="CM",2,(IF(E1385="DP",3,(IF(E1385="AN",1,(IF(E1385="CO",2,(IF(E1385="IM",3,(IF(E1385="MI",4,(IF(E1385="RP",5,(IF(E1385="SC",6,0)))))))))))))))))))))))))))))))))))))))</f>
        <v>4</v>
      </c>
      <c r="G1385" s="170">
        <v>6</v>
      </c>
      <c r="H1385" s="38" t="s">
        <v>511</v>
      </c>
      <c r="I1385" s="22" t="s">
        <v>266</v>
      </c>
      <c r="J1385" s="149" t="s">
        <v>315</v>
      </c>
      <c r="K1385" s="79" t="s">
        <v>1428</v>
      </c>
      <c r="L1385" s="5">
        <f>IF(O1385="","",N1385*O1385*M1385)</f>
        <v>75</v>
      </c>
      <c r="M1385" s="8">
        <v>1</v>
      </c>
      <c r="N1385" s="1">
        <v>1</v>
      </c>
      <c r="O1385" s="15">
        <f>IF(SUM(Q1385:AF1385)&lt;1,"",SUM(Q1385:AF1385)/COUNTIF(Q1385:AF1385,"&gt;0"))</f>
        <v>75</v>
      </c>
      <c r="P1385" s="16"/>
      <c r="Q1385" s="13"/>
      <c r="R1385" s="4"/>
      <c r="S1385" s="4"/>
      <c r="T1385" s="4">
        <v>75</v>
      </c>
      <c r="U1385" s="2"/>
      <c r="V1385" s="2"/>
      <c r="W1385" s="2"/>
      <c r="X1385" s="2"/>
      <c r="Y1385" s="4"/>
      <c r="Z1385" s="2"/>
      <c r="AA1385" s="2"/>
      <c r="AB1385" s="4"/>
      <c r="AC1385" s="4"/>
      <c r="AD1385" s="4"/>
      <c r="AE1385" s="4"/>
      <c r="AF1385" s="14"/>
    </row>
    <row r="1386" spans="1:32" x14ac:dyDescent="0.25">
      <c r="A1386" s="33" t="str">
        <f>CONCATENATE(D1386,".",F1386,"-",G1386,".",H1386,"")</f>
        <v>2.4-6.1</v>
      </c>
      <c r="B1386" s="33" t="s">
        <v>814</v>
      </c>
      <c r="C1386" s="39" t="s">
        <v>262</v>
      </c>
      <c r="D1386" s="33">
        <f>IF(C1386="ID",1,(IF(C1386="PR",2,(IF(C1386="DE",3,(IF(C1386="RS",4,(IF(C1386="RC",5,0)))))))))</f>
        <v>2</v>
      </c>
      <c r="E1386" s="33" t="s">
        <v>344</v>
      </c>
      <c r="F1386" s="33">
        <f>IF(E1386="AM",1,(IF(E1386="BE",2,(IF(E1386="GV",3,(IF(E1386="RA",4,(IF(E1386="RM",5,(IF(E1386="AC",1,(IF(E1386="AT",2,(IF(E1386="DS",3,(IF(E1386="IP",4,(IF(E1386="MA",5,(IF(E1386="PT",6,(IF(E1386="AE",1,(IF(E1386="CM",2,(IF(E1386="DP",3,(IF(E1386="AN",1,(IF(E1386="CO",2,(IF(E1386="IM",3,(IF(E1386="MI",4,(IF(E1386="RP",5,(IF(E1386="SC",6,0)))))))))))))))))))))))))))))))))))))))</f>
        <v>4</v>
      </c>
      <c r="G1386" s="170">
        <v>6</v>
      </c>
      <c r="H1386" s="38" t="s">
        <v>511</v>
      </c>
      <c r="I1386" s="3" t="s">
        <v>1449</v>
      </c>
      <c r="J1386" s="157" t="s">
        <v>1723</v>
      </c>
      <c r="K1386" s="34" t="s">
        <v>1724</v>
      </c>
      <c r="L1386" s="5">
        <f>IF(O1386="","",N1386*O1386*M1386)</f>
        <v>99</v>
      </c>
      <c r="M1386" s="8">
        <v>1</v>
      </c>
      <c r="N1386" s="1">
        <v>1</v>
      </c>
      <c r="O1386" s="15">
        <f>IF(SUM(Q1386:AF1386)&lt;1,"",SUM(Q1386:AF1386)/COUNTIF(Q1386:AF1386,"&gt;0"))</f>
        <v>99</v>
      </c>
      <c r="P1386" s="16"/>
      <c r="Q1386" s="13"/>
      <c r="R1386" s="4"/>
      <c r="S1386" s="4"/>
      <c r="T1386" s="4">
        <v>99</v>
      </c>
      <c r="U1386" s="2"/>
      <c r="V1386" s="2"/>
      <c r="W1386" s="2"/>
      <c r="X1386" s="2"/>
      <c r="Y1386" s="4"/>
      <c r="Z1386" s="2"/>
      <c r="AA1386" s="2"/>
      <c r="AB1386" s="4"/>
      <c r="AC1386" s="4"/>
      <c r="AD1386" s="4"/>
      <c r="AE1386" s="4"/>
      <c r="AF1386" s="14"/>
    </row>
    <row r="1387" spans="1:32" x14ac:dyDescent="0.25">
      <c r="A1387" s="33" t="str">
        <f>CONCATENATE(D1387,".",F1387,"-",G1387,".",H1387,"")</f>
        <v>2.4-6.1</v>
      </c>
      <c r="C1387" s="39" t="s">
        <v>262</v>
      </c>
      <c r="D1387" s="33">
        <f>IF(C1387="ID",1,(IF(C1387="PR",2,(IF(C1387="DE",3,(IF(C1387="RS",4,(IF(C1387="RC",5,0)))))))))</f>
        <v>2</v>
      </c>
      <c r="E1387" s="33" t="s">
        <v>344</v>
      </c>
      <c r="F1387" s="33">
        <f>IF(E1387="AM",1,(IF(E1387="BE",2,(IF(E1387="GV",3,(IF(E1387="RA",4,(IF(E1387="RM",5,(IF(E1387="AC",1,(IF(E1387="AT",2,(IF(E1387="DS",3,(IF(E1387="IP",4,(IF(E1387="MA",5,(IF(E1387="PT",6,(IF(E1387="AE",1,(IF(E1387="CM",2,(IF(E1387="DP",3,(IF(E1387="AN",1,(IF(E1387="CO",2,(IF(E1387="IM",3,(IF(E1387="MI",4,(IF(E1387="RP",5,(IF(E1387="SC",6,0)))))))))))))))))))))))))))))))))))))))</f>
        <v>4</v>
      </c>
      <c r="G1387" s="170">
        <v>6</v>
      </c>
      <c r="H1387" s="38" t="s">
        <v>511</v>
      </c>
      <c r="I1387" s="3" t="s">
        <v>1449</v>
      </c>
      <c r="J1387" s="157" t="s">
        <v>2687</v>
      </c>
      <c r="K1387" s="34" t="s">
        <v>2688</v>
      </c>
      <c r="L1387" s="5">
        <f>IF(O1387="","",N1387*O1387*M1387)</f>
        <v>99</v>
      </c>
      <c r="M1387" s="8">
        <v>1</v>
      </c>
      <c r="N1387" s="1">
        <v>1</v>
      </c>
      <c r="O1387" s="15">
        <f>IF(SUM(Q1387:AF1387)&lt;1,"",SUM(Q1387:AF1387)/COUNTIF(Q1387:AF1387,"&gt;0"))</f>
        <v>99</v>
      </c>
      <c r="P1387" s="16"/>
      <c r="Q1387" s="13"/>
      <c r="R1387" s="4"/>
      <c r="S1387" s="4"/>
      <c r="T1387" s="4">
        <v>99</v>
      </c>
      <c r="U1387" s="2"/>
      <c r="V1387" s="2"/>
      <c r="W1387" s="2"/>
      <c r="X1387" s="2"/>
      <c r="Y1387" s="4"/>
      <c r="Z1387" s="2"/>
      <c r="AA1387" s="2"/>
      <c r="AB1387" s="4"/>
      <c r="AC1387" s="4"/>
      <c r="AD1387" s="4"/>
      <c r="AE1387" s="4"/>
      <c r="AF1387" s="14"/>
    </row>
    <row r="1388" spans="1:32" x14ac:dyDescent="0.25">
      <c r="A1388" s="33" t="str">
        <f>CONCATENATE(D1388,".",F1388,"-",G1388,".",H1388,"")</f>
        <v>2.4-7.0</v>
      </c>
      <c r="B1388" s="33" t="s">
        <v>814</v>
      </c>
      <c r="C1388" s="40" t="s">
        <v>262</v>
      </c>
      <c r="D1388" s="33">
        <f>IF(C1388="ID",1,(IF(C1388="PR",2,(IF(C1388="DE",3,(IF(C1388="RS",4,(IF(C1388="RC",5,0)))))))))</f>
        <v>2</v>
      </c>
      <c r="E1388" s="33" t="s">
        <v>344</v>
      </c>
      <c r="F1388" s="33">
        <f>IF(E1388="AM",1,(IF(E1388="BE",2,(IF(E1388="GV",3,(IF(E1388="RA",4,(IF(E1388="RM",5,(IF(E1388="AC",1,(IF(E1388="AT",2,(IF(E1388="DS",3,(IF(E1388="IP",4,(IF(E1388="MA",5,(IF(E1388="PT",6,(IF(E1388="AE",1,(IF(E1388="CM",2,(IF(E1388="DP",3,(IF(E1388="AN",1,(IF(E1388="CO",2,(IF(E1388="IM",3,(IF(E1388="MI",4,(IF(E1388="RP",5,(IF(E1388="SC",6,0)))))))))))))))))))))))))))))))))))))))</f>
        <v>4</v>
      </c>
      <c r="G1388" s="170">
        <v>7</v>
      </c>
      <c r="H1388" s="38" t="s">
        <v>597</v>
      </c>
      <c r="I1388" s="22" t="s">
        <v>1200</v>
      </c>
      <c r="J1388" s="149" t="s">
        <v>688</v>
      </c>
      <c r="K1388" s="98" t="s">
        <v>390</v>
      </c>
      <c r="L1388" s="5">
        <f>IF(O1388="","",N1388*O1388*M1388)</f>
        <v>75</v>
      </c>
      <c r="M1388" s="8">
        <v>1</v>
      </c>
      <c r="N1388" s="1">
        <v>1</v>
      </c>
      <c r="O1388" s="15">
        <f>IF(SUM(Q1388:AF1388)&lt;1,"",SUM(Q1388:AF1388)/COUNTIF(Q1388:AF1388,"&gt;0"))</f>
        <v>75</v>
      </c>
      <c r="P1388" s="16"/>
      <c r="Q1388" s="13"/>
      <c r="R1388" s="4"/>
      <c r="S1388" s="4"/>
      <c r="T1388" s="4">
        <v>75</v>
      </c>
      <c r="U1388" s="2"/>
      <c r="V1388" s="2"/>
      <c r="W1388" s="2"/>
      <c r="X1388" s="2"/>
      <c r="Y1388" s="4"/>
      <c r="Z1388" s="2"/>
      <c r="AA1388" s="2"/>
      <c r="AB1388" s="4"/>
      <c r="AC1388" s="4"/>
      <c r="AD1388" s="4"/>
      <c r="AE1388" s="4"/>
      <c r="AF1388" s="14"/>
    </row>
    <row r="1389" spans="1:32" x14ac:dyDescent="0.25">
      <c r="A1389" s="33" t="str">
        <f>CONCATENATE(D1389,".",F1389,"-",G1389,".",H1389,"")</f>
        <v>2.4-7.1</v>
      </c>
      <c r="B1389" s="33" t="s">
        <v>814</v>
      </c>
      <c r="C1389" s="40" t="s">
        <v>262</v>
      </c>
      <c r="D1389" s="33">
        <f>IF(C1389="ID",1,(IF(C1389="PR",2,(IF(C1389="DE",3,(IF(C1389="RS",4,(IF(C1389="RC",5,0)))))))))</f>
        <v>2</v>
      </c>
      <c r="E1389" s="33" t="s">
        <v>344</v>
      </c>
      <c r="F1389" s="33">
        <f>IF(E1389="AM",1,(IF(E1389="BE",2,(IF(E1389="GV",3,(IF(E1389="RA",4,(IF(E1389="RM",5,(IF(E1389="AC",1,(IF(E1389="AT",2,(IF(E1389="DS",3,(IF(E1389="IP",4,(IF(E1389="MA",5,(IF(E1389="PT",6,(IF(E1389="AE",1,(IF(E1389="CM",2,(IF(E1389="DP",3,(IF(E1389="AN",1,(IF(E1389="CO",2,(IF(E1389="IM",3,(IF(E1389="MI",4,(IF(E1389="RP",5,(IF(E1389="SC",6,0)))))))))))))))))))))))))))))))))))))))</f>
        <v>4</v>
      </c>
      <c r="G1389" s="171">
        <v>7</v>
      </c>
      <c r="H1389" s="38" t="s">
        <v>511</v>
      </c>
      <c r="I1389" s="3" t="s">
        <v>821</v>
      </c>
      <c r="J1389" s="150">
        <v>6.2</v>
      </c>
      <c r="K1389" s="79" t="s">
        <v>1283</v>
      </c>
      <c r="L1389" s="66">
        <f>IF(O1389="","",N1389*O1389*M1389)</f>
        <v>75</v>
      </c>
      <c r="M1389" s="8">
        <v>1</v>
      </c>
      <c r="N1389" s="3">
        <v>1</v>
      </c>
      <c r="O1389" s="15">
        <f>IF(SUM(Q1389:AF1389)&lt;1,"",SUM(Q1389:AF1389)/COUNTIF(Q1389:AF1389,"&gt;0"))</f>
        <v>75</v>
      </c>
      <c r="P1389" s="16"/>
      <c r="Q1389" s="13"/>
      <c r="R1389" s="4"/>
      <c r="S1389" s="4"/>
      <c r="T1389" s="4">
        <v>75</v>
      </c>
      <c r="U1389" s="2"/>
      <c r="V1389" s="2"/>
      <c r="W1389" s="2"/>
      <c r="X1389" s="2"/>
      <c r="Y1389" s="4"/>
      <c r="Z1389" s="2"/>
      <c r="AA1389" s="2"/>
      <c r="AB1389" s="4"/>
      <c r="AC1389" s="4"/>
      <c r="AD1389" s="4"/>
      <c r="AE1389" s="4"/>
      <c r="AF1389" s="14"/>
    </row>
    <row r="1390" spans="1:32" x14ac:dyDescent="0.25">
      <c r="A1390" s="33" t="str">
        <f>CONCATENATE(D1390,".",F1390,"-",G1390,".",H1390,"")</f>
        <v>2.4-7.1</v>
      </c>
      <c r="B1390" s="33" t="s">
        <v>814</v>
      </c>
      <c r="C1390" s="40" t="s">
        <v>262</v>
      </c>
      <c r="D1390" s="33">
        <f>IF(C1390="ID",1,(IF(C1390="PR",2,(IF(C1390="DE",3,(IF(C1390="RS",4,(IF(C1390="RC",5,0)))))))))</f>
        <v>2</v>
      </c>
      <c r="E1390" s="33" t="s">
        <v>344</v>
      </c>
      <c r="F1390" s="33">
        <f>IF(E1390="AM",1,(IF(E1390="BE",2,(IF(E1390="GV",3,(IF(E1390="RA",4,(IF(E1390="RM",5,(IF(E1390="AC",1,(IF(E1390="AT",2,(IF(E1390="DS",3,(IF(E1390="IP",4,(IF(E1390="MA",5,(IF(E1390="PT",6,(IF(E1390="AE",1,(IF(E1390="CM",2,(IF(E1390="DP",3,(IF(E1390="AN",1,(IF(E1390="CO",2,(IF(E1390="IM",3,(IF(E1390="MI",4,(IF(E1390="RP",5,(IF(E1390="SC",6,0)))))))))))))))))))))))))))))))))))))))</f>
        <v>4</v>
      </c>
      <c r="G1390" s="171">
        <v>7</v>
      </c>
      <c r="H1390" s="38" t="s">
        <v>511</v>
      </c>
      <c r="I1390" s="3" t="s">
        <v>821</v>
      </c>
      <c r="J1390" s="150">
        <v>11</v>
      </c>
      <c r="K1390" s="79" t="s">
        <v>1283</v>
      </c>
      <c r="L1390" s="66">
        <f>IF(O1390="","",N1390*O1390*M1390)</f>
        <v>75</v>
      </c>
      <c r="M1390" s="8">
        <v>1</v>
      </c>
      <c r="N1390" s="3">
        <v>1</v>
      </c>
      <c r="O1390" s="15">
        <f>IF(SUM(Q1390:AF1390)&lt;1,"",SUM(Q1390:AF1390)/COUNTIF(Q1390:AF1390,"&gt;0"))</f>
        <v>75</v>
      </c>
      <c r="P1390" s="16"/>
      <c r="Q1390" s="13"/>
      <c r="R1390" s="4"/>
      <c r="S1390" s="4"/>
      <c r="T1390" s="4">
        <v>75</v>
      </c>
      <c r="U1390" s="2"/>
      <c r="V1390" s="2"/>
      <c r="W1390" s="2"/>
      <c r="X1390" s="2"/>
      <c r="Y1390" s="4"/>
      <c r="Z1390" s="2"/>
      <c r="AA1390" s="2"/>
      <c r="AB1390" s="4"/>
      <c r="AC1390" s="4"/>
      <c r="AD1390" s="4"/>
      <c r="AE1390" s="4"/>
      <c r="AF1390" s="14"/>
    </row>
    <row r="1391" spans="1:32" x14ac:dyDescent="0.25">
      <c r="A1391" s="33" t="str">
        <f>CONCATENATE(D1391,".",F1391,"-",G1391,".",H1391,"")</f>
        <v>2.4-7.1</v>
      </c>
      <c r="B1391" s="33" t="s">
        <v>814</v>
      </c>
      <c r="C1391" s="40" t="s">
        <v>262</v>
      </c>
      <c r="D1391" s="33">
        <f>IF(C1391="ID",1,(IF(C1391="PR",2,(IF(C1391="DE",3,(IF(C1391="RS",4,(IF(C1391="RC",5,0)))))))))</f>
        <v>2</v>
      </c>
      <c r="E1391" s="33" t="s">
        <v>344</v>
      </c>
      <c r="F1391" s="33">
        <f>IF(E1391="AM",1,(IF(E1391="BE",2,(IF(E1391="GV",3,(IF(E1391="RA",4,(IF(E1391="RM",5,(IF(E1391="AC",1,(IF(E1391="AT",2,(IF(E1391="DS",3,(IF(E1391="IP",4,(IF(E1391="MA",5,(IF(E1391="PT",6,(IF(E1391="AE",1,(IF(E1391="CM",2,(IF(E1391="DP",3,(IF(E1391="AN",1,(IF(E1391="CO",2,(IF(E1391="IM",3,(IF(E1391="MI",4,(IF(E1391="RP",5,(IF(E1391="SC",6,0)))))))))))))))))))))))))))))))))))))))</f>
        <v>4</v>
      </c>
      <c r="G1391" s="171">
        <v>7</v>
      </c>
      <c r="H1391" s="38" t="s">
        <v>511</v>
      </c>
      <c r="I1391" s="22" t="s">
        <v>936</v>
      </c>
      <c r="J1391" s="163" t="s">
        <v>931</v>
      </c>
      <c r="K1391" s="34" t="s">
        <v>968</v>
      </c>
      <c r="L1391" s="66">
        <f>IF(O1391="","",N1391*O1391*M1391)</f>
        <v>75</v>
      </c>
      <c r="M1391" s="8">
        <v>1</v>
      </c>
      <c r="N1391" s="3">
        <v>1</v>
      </c>
      <c r="O1391" s="15">
        <f>IF(SUM(Q1391:AF1391)&lt;1,"",SUM(Q1391:AF1391)/COUNTIF(Q1391:AF1391,"&gt;0"))</f>
        <v>75</v>
      </c>
      <c r="P1391" s="16"/>
      <c r="Q1391" s="13"/>
      <c r="R1391" s="4"/>
      <c r="S1391" s="4"/>
      <c r="T1391" s="4">
        <v>75</v>
      </c>
      <c r="U1391" s="2"/>
      <c r="V1391" s="2"/>
      <c r="W1391" s="2"/>
      <c r="X1391" s="2"/>
      <c r="Y1391" s="4"/>
      <c r="Z1391" s="2"/>
      <c r="AA1391" s="2"/>
      <c r="AB1391" s="4"/>
      <c r="AC1391" s="4"/>
      <c r="AD1391" s="4"/>
      <c r="AE1391" s="4"/>
      <c r="AF1391" s="14"/>
    </row>
    <row r="1392" spans="1:32" x14ac:dyDescent="0.25">
      <c r="A1392" s="33" t="str">
        <f>CONCATENATE(D1392,".",F1392,"-",G1392,".",H1392,"")</f>
        <v>2.4-7.1</v>
      </c>
      <c r="B1392" s="33" t="s">
        <v>814</v>
      </c>
      <c r="C1392" s="40" t="s">
        <v>262</v>
      </c>
      <c r="D1392" s="33">
        <f>IF(C1392="ID",1,(IF(C1392="PR",2,(IF(C1392="DE",3,(IF(C1392="RS",4,(IF(C1392="RC",5,0)))))))))</f>
        <v>2</v>
      </c>
      <c r="E1392" s="33" t="s">
        <v>344</v>
      </c>
      <c r="F1392" s="33">
        <f>IF(E1392="AM",1,(IF(E1392="BE",2,(IF(E1392="GV",3,(IF(E1392="RA",4,(IF(E1392="RM",5,(IF(E1392="AC",1,(IF(E1392="AT",2,(IF(E1392="DS",3,(IF(E1392="IP",4,(IF(E1392="MA",5,(IF(E1392="PT",6,(IF(E1392="AE",1,(IF(E1392="CM",2,(IF(E1392="DP",3,(IF(E1392="AN",1,(IF(E1392="CO",2,(IF(E1392="IM",3,(IF(E1392="MI",4,(IF(E1392="RP",5,(IF(E1392="SC",6,0)))))))))))))))))))))))))))))))))))))))</f>
        <v>4</v>
      </c>
      <c r="G1392" s="171">
        <v>7</v>
      </c>
      <c r="H1392" s="38" t="s">
        <v>511</v>
      </c>
      <c r="I1392" s="22" t="s">
        <v>936</v>
      </c>
      <c r="J1392" s="163" t="s">
        <v>886</v>
      </c>
      <c r="K1392" s="34" t="s">
        <v>971</v>
      </c>
      <c r="L1392" s="66">
        <f>IF(O1392="","",N1392*O1392*M1392)</f>
        <v>75</v>
      </c>
      <c r="M1392" s="8">
        <v>1</v>
      </c>
      <c r="N1392" s="3">
        <v>1</v>
      </c>
      <c r="O1392" s="15">
        <f>IF(SUM(Q1392:AF1392)&lt;1,"",SUM(Q1392:AF1392)/COUNTIF(Q1392:AF1392,"&gt;0"))</f>
        <v>75</v>
      </c>
      <c r="P1392" s="16"/>
      <c r="Q1392" s="13"/>
      <c r="R1392" s="4"/>
      <c r="S1392" s="4"/>
      <c r="T1392" s="4">
        <v>75</v>
      </c>
      <c r="U1392" s="2"/>
      <c r="V1392" s="2"/>
      <c r="W1392" s="2"/>
      <c r="X1392" s="2"/>
      <c r="Y1392" s="4"/>
      <c r="Z1392" s="2"/>
      <c r="AA1392" s="2"/>
      <c r="AB1392" s="4"/>
      <c r="AC1392" s="4"/>
      <c r="AD1392" s="4"/>
      <c r="AE1392" s="4"/>
      <c r="AF1392" s="14"/>
    </row>
    <row r="1393" spans="1:32" x14ac:dyDescent="0.25">
      <c r="A1393" s="33" t="str">
        <f>CONCATENATE(D1393,".",F1393,"-",G1393,".",H1393,"")</f>
        <v>2.4-7.1</v>
      </c>
      <c r="B1393" s="33" t="s">
        <v>814</v>
      </c>
      <c r="C1393" s="40" t="s">
        <v>262</v>
      </c>
      <c r="D1393" s="33">
        <f>IF(C1393="ID",1,(IF(C1393="PR",2,(IF(C1393="DE",3,(IF(C1393="RS",4,(IF(C1393="RC",5,0)))))))))</f>
        <v>2</v>
      </c>
      <c r="E1393" s="33" t="s">
        <v>344</v>
      </c>
      <c r="F1393" s="33">
        <f>IF(E1393="AM",1,(IF(E1393="BE",2,(IF(E1393="GV",3,(IF(E1393="RA",4,(IF(E1393="RM",5,(IF(E1393="AC",1,(IF(E1393="AT",2,(IF(E1393="DS",3,(IF(E1393="IP",4,(IF(E1393="MA",5,(IF(E1393="PT",6,(IF(E1393="AE",1,(IF(E1393="CM",2,(IF(E1393="DP",3,(IF(E1393="AN",1,(IF(E1393="CO",2,(IF(E1393="IM",3,(IF(E1393="MI",4,(IF(E1393="RP",5,(IF(E1393="SC",6,0)))))))))))))))))))))))))))))))))))))))</f>
        <v>4</v>
      </c>
      <c r="G1393" s="171">
        <v>7</v>
      </c>
      <c r="H1393" s="38" t="s">
        <v>511</v>
      </c>
      <c r="I1393" s="22" t="s">
        <v>936</v>
      </c>
      <c r="J1393" s="163" t="s">
        <v>916</v>
      </c>
      <c r="K1393" s="34" t="s">
        <v>944</v>
      </c>
      <c r="L1393" s="66">
        <f>IF(O1393="","",N1393*O1393*M1393)</f>
        <v>75</v>
      </c>
      <c r="M1393" s="8">
        <v>1</v>
      </c>
      <c r="N1393" s="3">
        <v>1</v>
      </c>
      <c r="O1393" s="15">
        <f>IF(SUM(Q1393:AF1393)&lt;1,"",SUM(Q1393:AF1393)/COUNTIF(Q1393:AF1393,"&gt;0"))</f>
        <v>75</v>
      </c>
      <c r="P1393" s="16"/>
      <c r="Q1393" s="13"/>
      <c r="R1393" s="4"/>
      <c r="S1393" s="4"/>
      <c r="T1393" s="4">
        <v>75</v>
      </c>
      <c r="U1393" s="2"/>
      <c r="V1393" s="2"/>
      <c r="W1393" s="2"/>
      <c r="X1393" s="2"/>
      <c r="Y1393" s="4"/>
      <c r="Z1393" s="2"/>
      <c r="AA1393" s="2"/>
      <c r="AB1393" s="4"/>
      <c r="AC1393" s="4"/>
      <c r="AD1393" s="4"/>
      <c r="AE1393" s="4"/>
      <c r="AF1393" s="14"/>
    </row>
    <row r="1394" spans="1:32" x14ac:dyDescent="0.25">
      <c r="A1394" s="33" t="str">
        <f>CONCATENATE(D1394,".",F1394,"-",G1394,".",H1394,"")</f>
        <v>2.4-7.1</v>
      </c>
      <c r="B1394" s="33" t="s">
        <v>814</v>
      </c>
      <c r="C1394" s="40" t="s">
        <v>262</v>
      </c>
      <c r="D1394" s="33">
        <f>IF(C1394="ID",1,(IF(C1394="PR",2,(IF(C1394="DE",3,(IF(C1394="RS",4,(IF(C1394="RC",5,0)))))))))</f>
        <v>2</v>
      </c>
      <c r="E1394" s="33" t="s">
        <v>344</v>
      </c>
      <c r="F1394" s="33">
        <f>IF(E1394="AM",1,(IF(E1394="BE",2,(IF(E1394="GV",3,(IF(E1394="RA",4,(IF(E1394="RM",5,(IF(E1394="AC",1,(IF(E1394="AT",2,(IF(E1394="DS",3,(IF(E1394="IP",4,(IF(E1394="MA",5,(IF(E1394="PT",6,(IF(E1394="AE",1,(IF(E1394="CM",2,(IF(E1394="DP",3,(IF(E1394="AN",1,(IF(E1394="CO",2,(IF(E1394="IM",3,(IF(E1394="MI",4,(IF(E1394="RP",5,(IF(E1394="SC",6,0)))))))))))))))))))))))))))))))))))))))</f>
        <v>4</v>
      </c>
      <c r="G1394" s="171">
        <v>7</v>
      </c>
      <c r="H1394" s="38" t="s">
        <v>511</v>
      </c>
      <c r="I1394" s="22" t="s">
        <v>936</v>
      </c>
      <c r="J1394" s="163" t="s">
        <v>880</v>
      </c>
      <c r="K1394" s="34" t="s">
        <v>990</v>
      </c>
      <c r="L1394" s="66">
        <f>IF(O1394="","",N1394*O1394*M1394)</f>
        <v>75</v>
      </c>
      <c r="M1394" s="8">
        <v>1</v>
      </c>
      <c r="N1394" s="3">
        <v>1</v>
      </c>
      <c r="O1394" s="15">
        <f>IF(SUM(Q1394:AF1394)&lt;1,"",SUM(Q1394:AF1394)/COUNTIF(Q1394:AF1394,"&gt;0"))</f>
        <v>75</v>
      </c>
      <c r="P1394" s="16"/>
      <c r="Q1394" s="13"/>
      <c r="R1394" s="4"/>
      <c r="S1394" s="4"/>
      <c r="T1394" s="4">
        <v>75</v>
      </c>
      <c r="U1394" s="2"/>
      <c r="V1394" s="2"/>
      <c r="W1394" s="2"/>
      <c r="X1394" s="2"/>
      <c r="Y1394" s="4"/>
      <c r="Z1394" s="2"/>
      <c r="AA1394" s="2"/>
      <c r="AB1394" s="4"/>
      <c r="AC1394" s="4"/>
      <c r="AD1394" s="4"/>
      <c r="AE1394" s="4"/>
      <c r="AF1394" s="14"/>
    </row>
    <row r="1395" spans="1:32" x14ac:dyDescent="0.25">
      <c r="A1395" s="33" t="str">
        <f>CONCATENATE(D1395,".",F1395,"-",G1395,".",H1395,"")</f>
        <v>2.4-7.1</v>
      </c>
      <c r="B1395" s="33" t="s">
        <v>814</v>
      </c>
      <c r="C1395" s="40" t="s">
        <v>262</v>
      </c>
      <c r="D1395" s="33">
        <f>IF(C1395="ID",1,(IF(C1395="PR",2,(IF(C1395="DE",3,(IF(C1395="RS",4,(IF(C1395="RC",5,0)))))))))</f>
        <v>2</v>
      </c>
      <c r="E1395" s="33" t="s">
        <v>344</v>
      </c>
      <c r="F1395" s="33">
        <f>IF(E1395="AM",1,(IF(E1395="BE",2,(IF(E1395="GV",3,(IF(E1395="RA",4,(IF(E1395="RM",5,(IF(E1395="AC",1,(IF(E1395="AT",2,(IF(E1395="DS",3,(IF(E1395="IP",4,(IF(E1395="MA",5,(IF(E1395="PT",6,(IF(E1395="AE",1,(IF(E1395="CM",2,(IF(E1395="DP",3,(IF(E1395="AN",1,(IF(E1395="CO",2,(IF(E1395="IM",3,(IF(E1395="MI",4,(IF(E1395="RP",5,(IF(E1395="SC",6,0)))))))))))))))))))))))))))))))))))))))</f>
        <v>4</v>
      </c>
      <c r="G1395" s="171">
        <v>7</v>
      </c>
      <c r="H1395" s="38" t="s">
        <v>511</v>
      </c>
      <c r="I1395" s="22" t="s">
        <v>936</v>
      </c>
      <c r="J1395" s="163" t="s">
        <v>869</v>
      </c>
      <c r="K1395" s="34" t="s">
        <v>992</v>
      </c>
      <c r="L1395" s="66">
        <f>IF(O1395="","",N1395*O1395*M1395)</f>
        <v>75</v>
      </c>
      <c r="M1395" s="8">
        <v>1</v>
      </c>
      <c r="N1395" s="3">
        <v>1</v>
      </c>
      <c r="O1395" s="15">
        <f>IF(SUM(Q1395:AF1395)&lt;1,"",SUM(Q1395:AF1395)/COUNTIF(Q1395:AF1395,"&gt;0"))</f>
        <v>75</v>
      </c>
      <c r="P1395" s="16"/>
      <c r="Q1395" s="13"/>
      <c r="R1395" s="4"/>
      <c r="S1395" s="4"/>
      <c r="T1395" s="4">
        <v>75</v>
      </c>
      <c r="U1395" s="2"/>
      <c r="V1395" s="2"/>
      <c r="W1395" s="2"/>
      <c r="X1395" s="2"/>
      <c r="Y1395" s="4"/>
      <c r="Z1395" s="2"/>
      <c r="AA1395" s="2"/>
      <c r="AB1395" s="4"/>
      <c r="AC1395" s="4"/>
      <c r="AD1395" s="4"/>
      <c r="AE1395" s="4"/>
      <c r="AF1395" s="14"/>
    </row>
    <row r="1396" spans="1:32" x14ac:dyDescent="0.25">
      <c r="A1396" s="33" t="str">
        <f>CONCATENATE(D1396,".",F1396,"-",G1396,".",H1396,"")</f>
        <v>2.4-7.1</v>
      </c>
      <c r="B1396" s="33" t="s">
        <v>814</v>
      </c>
      <c r="C1396" s="40" t="s">
        <v>262</v>
      </c>
      <c r="D1396" s="33">
        <f>IF(C1396="ID",1,(IF(C1396="PR",2,(IF(C1396="DE",3,(IF(C1396="RS",4,(IF(C1396="RC",5,0)))))))))</f>
        <v>2</v>
      </c>
      <c r="E1396" s="33" t="s">
        <v>344</v>
      </c>
      <c r="F1396" s="33">
        <f>IF(E1396="AM",1,(IF(E1396="BE",2,(IF(E1396="GV",3,(IF(E1396="RA",4,(IF(E1396="RM",5,(IF(E1396="AC",1,(IF(E1396="AT",2,(IF(E1396="DS",3,(IF(E1396="IP",4,(IF(E1396="MA",5,(IF(E1396="PT",6,(IF(E1396="AE",1,(IF(E1396="CM",2,(IF(E1396="DP",3,(IF(E1396="AN",1,(IF(E1396="CO",2,(IF(E1396="IM",3,(IF(E1396="MI",4,(IF(E1396="RP",5,(IF(E1396="SC",6,0)))))))))))))))))))))))))))))))))))))))</f>
        <v>4</v>
      </c>
      <c r="G1396" s="171">
        <v>7</v>
      </c>
      <c r="H1396" s="38" t="s">
        <v>511</v>
      </c>
      <c r="I1396" s="22" t="s">
        <v>936</v>
      </c>
      <c r="J1396" s="163" t="s">
        <v>889</v>
      </c>
      <c r="K1396" s="34" t="s">
        <v>1033</v>
      </c>
      <c r="L1396" s="66">
        <f>IF(O1396="","",N1396*O1396*M1396)</f>
        <v>75</v>
      </c>
      <c r="M1396" s="8">
        <v>1</v>
      </c>
      <c r="N1396" s="3">
        <v>1</v>
      </c>
      <c r="O1396" s="15">
        <f>IF(SUM(Q1396:AF1396)&lt;1,"",SUM(Q1396:AF1396)/COUNTIF(Q1396:AF1396,"&gt;0"))</f>
        <v>75</v>
      </c>
      <c r="P1396" s="16"/>
      <c r="Q1396" s="13"/>
      <c r="R1396" s="4"/>
      <c r="S1396" s="4"/>
      <c r="T1396" s="4">
        <v>75</v>
      </c>
      <c r="U1396" s="2"/>
      <c r="V1396" s="2"/>
      <c r="W1396" s="2"/>
      <c r="X1396" s="2"/>
      <c r="Y1396" s="4"/>
      <c r="Z1396" s="2"/>
      <c r="AA1396" s="2"/>
      <c r="AB1396" s="4"/>
      <c r="AC1396" s="4"/>
      <c r="AD1396" s="4"/>
      <c r="AE1396" s="4"/>
      <c r="AF1396" s="14"/>
    </row>
    <row r="1397" spans="1:32" x14ac:dyDescent="0.25">
      <c r="A1397" s="33" t="str">
        <f>CONCATENATE(D1397,".",F1397,"-",G1397,".",H1397,"")</f>
        <v>2.4-7.1</v>
      </c>
      <c r="B1397" s="33" t="s">
        <v>814</v>
      </c>
      <c r="C1397" s="39" t="s">
        <v>262</v>
      </c>
      <c r="D1397" s="33">
        <f>IF(C1397="ID",1,(IF(C1397="PR",2,(IF(C1397="DE",3,(IF(C1397="RS",4,(IF(C1397="RC",5,0)))))))))</f>
        <v>2</v>
      </c>
      <c r="E1397" s="33" t="s">
        <v>344</v>
      </c>
      <c r="F1397" s="33">
        <f>IF(E1397="AM",1,(IF(E1397="BE",2,(IF(E1397="GV",3,(IF(E1397="RA",4,(IF(E1397="RM",5,(IF(E1397="AC",1,(IF(E1397="AT",2,(IF(E1397="DS",3,(IF(E1397="IP",4,(IF(E1397="MA",5,(IF(E1397="PT",6,(IF(E1397="AE",1,(IF(E1397="CM",2,(IF(E1397="DP",3,(IF(E1397="AN",1,(IF(E1397="CO",2,(IF(E1397="IM",3,(IF(E1397="MI",4,(IF(E1397="RP",5,(IF(E1397="SC",6,0)))))))))))))))))))))))))))))))))))))))</f>
        <v>4</v>
      </c>
      <c r="G1397" s="170">
        <v>7</v>
      </c>
      <c r="H1397" s="38" t="s">
        <v>511</v>
      </c>
      <c r="I1397" s="3" t="s">
        <v>821</v>
      </c>
      <c r="J1397" s="150" t="s">
        <v>152</v>
      </c>
      <c r="K1397" s="79" t="s">
        <v>1283</v>
      </c>
      <c r="L1397" s="66">
        <f>IF(O1397="","",N1397*O1397*M1397)</f>
        <v>75</v>
      </c>
      <c r="M1397" s="8">
        <v>1</v>
      </c>
      <c r="N1397" s="3">
        <v>1</v>
      </c>
      <c r="O1397" s="15">
        <f>IF(SUM(Q1397:AF1397)&lt;1,"",SUM(Q1397:AF1397)/COUNTIF(Q1397:AF1397,"&gt;0"))</f>
        <v>75</v>
      </c>
      <c r="P1397" s="16"/>
      <c r="Q1397" s="13"/>
      <c r="R1397" s="4"/>
      <c r="S1397" s="4"/>
      <c r="T1397" s="4">
        <v>75</v>
      </c>
      <c r="U1397" s="2"/>
      <c r="V1397" s="2"/>
      <c r="W1397" s="2"/>
      <c r="X1397" s="2"/>
      <c r="Y1397" s="4"/>
      <c r="Z1397" s="2"/>
      <c r="AA1397" s="2"/>
      <c r="AB1397" s="4"/>
      <c r="AC1397" s="4"/>
      <c r="AD1397" s="4"/>
      <c r="AE1397" s="4"/>
      <c r="AF1397" s="14"/>
    </row>
    <row r="1398" spans="1:32" x14ac:dyDescent="0.25">
      <c r="A1398" s="33" t="str">
        <f>CONCATENATE(D1398,".",F1398,"-",G1398,".",H1398,"")</f>
        <v>2.4-7.1</v>
      </c>
      <c r="B1398" s="33" t="s">
        <v>814</v>
      </c>
      <c r="C1398" s="39" t="s">
        <v>262</v>
      </c>
      <c r="D1398" s="33">
        <f>IF(C1398="ID",1,(IF(C1398="PR",2,(IF(C1398="DE",3,(IF(C1398="RS",4,(IF(C1398="RC",5,0)))))))))</f>
        <v>2</v>
      </c>
      <c r="E1398" s="33" t="s">
        <v>344</v>
      </c>
      <c r="F1398" s="33">
        <f>IF(E1398="AM",1,(IF(E1398="BE",2,(IF(E1398="GV",3,(IF(E1398="RA",4,(IF(E1398="RM",5,(IF(E1398="AC",1,(IF(E1398="AT",2,(IF(E1398="DS",3,(IF(E1398="IP",4,(IF(E1398="MA",5,(IF(E1398="PT",6,(IF(E1398="AE",1,(IF(E1398="CM",2,(IF(E1398="DP",3,(IF(E1398="AN",1,(IF(E1398="CO",2,(IF(E1398="IM",3,(IF(E1398="MI",4,(IF(E1398="RP",5,(IF(E1398="SC",6,0)))))))))))))))))))))))))))))))))))))))</f>
        <v>4</v>
      </c>
      <c r="G1398" s="170">
        <v>7</v>
      </c>
      <c r="H1398" s="38" t="s">
        <v>511</v>
      </c>
      <c r="I1398" s="3" t="s">
        <v>821</v>
      </c>
      <c r="J1398" s="150" t="s">
        <v>153</v>
      </c>
      <c r="K1398" s="79" t="s">
        <v>1283</v>
      </c>
      <c r="L1398" s="66">
        <f>IF(O1398="","",N1398*O1398*M1398)</f>
        <v>75</v>
      </c>
      <c r="M1398" s="8">
        <v>1</v>
      </c>
      <c r="N1398" s="3">
        <v>1</v>
      </c>
      <c r="O1398" s="15">
        <f>IF(SUM(Q1398:AF1398)&lt;1,"",SUM(Q1398:AF1398)/COUNTIF(Q1398:AF1398,"&gt;0"))</f>
        <v>75</v>
      </c>
      <c r="P1398" s="16"/>
      <c r="Q1398" s="13"/>
      <c r="R1398" s="4"/>
      <c r="S1398" s="4"/>
      <c r="T1398" s="4">
        <v>75</v>
      </c>
      <c r="U1398" s="2"/>
      <c r="V1398" s="2"/>
      <c r="W1398" s="2"/>
      <c r="X1398" s="2"/>
      <c r="Y1398" s="4"/>
      <c r="Z1398" s="2"/>
      <c r="AA1398" s="2"/>
      <c r="AB1398" s="4"/>
      <c r="AC1398" s="4"/>
      <c r="AD1398" s="4"/>
      <c r="AE1398" s="4"/>
      <c r="AF1398" s="14"/>
    </row>
    <row r="1399" spans="1:32" x14ac:dyDescent="0.25">
      <c r="A1399" s="33" t="str">
        <f>CONCATENATE(D1399,".",F1399,"-",G1399,".",H1399,"")</f>
        <v>2.4-7.1</v>
      </c>
      <c r="B1399" s="33" t="s">
        <v>814</v>
      </c>
      <c r="C1399" s="39" t="s">
        <v>262</v>
      </c>
      <c r="D1399" s="33">
        <f>IF(C1399="ID",1,(IF(C1399="PR",2,(IF(C1399="DE",3,(IF(C1399="RS",4,(IF(C1399="RC",5,0)))))))))</f>
        <v>2</v>
      </c>
      <c r="E1399" s="33" t="s">
        <v>344</v>
      </c>
      <c r="F1399" s="33">
        <f>IF(E1399="AM",1,(IF(E1399="BE",2,(IF(E1399="GV",3,(IF(E1399="RA",4,(IF(E1399="RM",5,(IF(E1399="AC",1,(IF(E1399="AT",2,(IF(E1399="DS",3,(IF(E1399="IP",4,(IF(E1399="MA",5,(IF(E1399="PT",6,(IF(E1399="AE",1,(IF(E1399="CM",2,(IF(E1399="DP",3,(IF(E1399="AN",1,(IF(E1399="CO",2,(IF(E1399="IM",3,(IF(E1399="MI",4,(IF(E1399="RP",5,(IF(E1399="SC",6,0)))))))))))))))))))))))))))))))))))))))</f>
        <v>4</v>
      </c>
      <c r="G1399" s="170">
        <v>7</v>
      </c>
      <c r="H1399" s="38" t="s">
        <v>511</v>
      </c>
      <c r="I1399" s="3" t="s">
        <v>821</v>
      </c>
      <c r="J1399" s="150" t="s">
        <v>154</v>
      </c>
      <c r="K1399" s="79" t="s">
        <v>1283</v>
      </c>
      <c r="L1399" s="66">
        <f>IF(O1399="","",N1399*O1399*M1399)</f>
        <v>75</v>
      </c>
      <c r="M1399" s="8">
        <v>1</v>
      </c>
      <c r="N1399" s="3">
        <v>1</v>
      </c>
      <c r="O1399" s="15">
        <f>IF(SUM(Q1399:AF1399)&lt;1,"",SUM(Q1399:AF1399)/COUNTIF(Q1399:AF1399,"&gt;0"))</f>
        <v>75</v>
      </c>
      <c r="P1399" s="16"/>
      <c r="Q1399" s="13"/>
      <c r="R1399" s="4"/>
      <c r="S1399" s="4"/>
      <c r="T1399" s="4">
        <v>75</v>
      </c>
      <c r="U1399" s="2"/>
      <c r="V1399" s="2"/>
      <c r="W1399" s="2"/>
      <c r="X1399" s="2"/>
      <c r="Y1399" s="4"/>
      <c r="Z1399" s="2"/>
      <c r="AA1399" s="2"/>
      <c r="AB1399" s="4"/>
      <c r="AC1399" s="4"/>
      <c r="AD1399" s="4"/>
      <c r="AE1399" s="4"/>
      <c r="AF1399" s="14"/>
    </row>
    <row r="1400" spans="1:32" x14ac:dyDescent="0.25">
      <c r="A1400" s="33" t="str">
        <f>CONCATENATE(D1400,".",F1400,"-",G1400,".",H1400,"")</f>
        <v>2.4-7.1</v>
      </c>
      <c r="B1400" s="33" t="s">
        <v>814</v>
      </c>
      <c r="C1400" s="39" t="s">
        <v>262</v>
      </c>
      <c r="D1400" s="33">
        <f>IF(C1400="ID",1,(IF(C1400="PR",2,(IF(C1400="DE",3,(IF(C1400="RS",4,(IF(C1400="RC",5,0)))))))))</f>
        <v>2</v>
      </c>
      <c r="E1400" s="33" t="s">
        <v>344</v>
      </c>
      <c r="F1400" s="33">
        <f>IF(E1400="AM",1,(IF(E1400="BE",2,(IF(E1400="GV",3,(IF(E1400="RA",4,(IF(E1400="RM",5,(IF(E1400="AC",1,(IF(E1400="AT",2,(IF(E1400="DS",3,(IF(E1400="IP",4,(IF(E1400="MA",5,(IF(E1400="PT",6,(IF(E1400="AE",1,(IF(E1400="CM",2,(IF(E1400="DP",3,(IF(E1400="AN",1,(IF(E1400="CO",2,(IF(E1400="IM",3,(IF(E1400="MI",4,(IF(E1400="RP",5,(IF(E1400="SC",6,0)))))))))))))))))))))))))))))))))))))))</f>
        <v>4</v>
      </c>
      <c r="G1400" s="170">
        <v>7</v>
      </c>
      <c r="H1400" s="38" t="s">
        <v>511</v>
      </c>
      <c r="I1400" s="3" t="s">
        <v>821</v>
      </c>
      <c r="J1400" s="150" t="s">
        <v>93</v>
      </c>
      <c r="K1400" s="79" t="s">
        <v>1283</v>
      </c>
      <c r="L1400" s="66">
        <f>IF(O1400="","",N1400*O1400*M1400)</f>
        <v>75</v>
      </c>
      <c r="M1400" s="8">
        <v>1</v>
      </c>
      <c r="N1400" s="3">
        <v>1</v>
      </c>
      <c r="O1400" s="15">
        <f>IF(SUM(Q1400:AF1400)&lt;1,"",SUM(Q1400:AF1400)/COUNTIF(Q1400:AF1400,"&gt;0"))</f>
        <v>75</v>
      </c>
      <c r="P1400" s="16"/>
      <c r="Q1400" s="13"/>
      <c r="R1400" s="4"/>
      <c r="S1400" s="4"/>
      <c r="T1400" s="4">
        <v>75</v>
      </c>
      <c r="U1400" s="2"/>
      <c r="V1400" s="2"/>
      <c r="W1400" s="2"/>
      <c r="X1400" s="2"/>
      <c r="Y1400" s="4"/>
      <c r="Z1400" s="2"/>
      <c r="AA1400" s="2"/>
      <c r="AB1400" s="4"/>
      <c r="AC1400" s="4"/>
      <c r="AD1400" s="4"/>
      <c r="AE1400" s="4"/>
      <c r="AF1400" s="14"/>
    </row>
    <row r="1401" spans="1:32" x14ac:dyDescent="0.25">
      <c r="A1401" s="33" t="str">
        <f>CONCATENATE(D1401,".",F1401,"-",G1401,".",H1401,"")</f>
        <v>2.4-7.1</v>
      </c>
      <c r="B1401" s="33" t="s">
        <v>814</v>
      </c>
      <c r="C1401" s="39" t="s">
        <v>262</v>
      </c>
      <c r="D1401" s="33">
        <f>IF(C1401="ID",1,(IF(C1401="PR",2,(IF(C1401="DE",3,(IF(C1401="RS",4,(IF(C1401="RC",5,0)))))))))</f>
        <v>2</v>
      </c>
      <c r="E1401" s="33" t="s">
        <v>344</v>
      </c>
      <c r="F1401" s="33">
        <f>IF(E1401="AM",1,(IF(E1401="BE",2,(IF(E1401="GV",3,(IF(E1401="RA",4,(IF(E1401="RM",5,(IF(E1401="AC",1,(IF(E1401="AT",2,(IF(E1401="DS",3,(IF(E1401="IP",4,(IF(E1401="MA",5,(IF(E1401="PT",6,(IF(E1401="AE",1,(IF(E1401="CM",2,(IF(E1401="DP",3,(IF(E1401="AN",1,(IF(E1401="CO",2,(IF(E1401="IM",3,(IF(E1401="MI",4,(IF(E1401="RP",5,(IF(E1401="SC",6,0)))))))))))))))))))))))))))))))))))))))</f>
        <v>4</v>
      </c>
      <c r="G1401" s="170">
        <v>7</v>
      </c>
      <c r="H1401" s="38" t="s">
        <v>511</v>
      </c>
      <c r="I1401" s="3" t="s">
        <v>821</v>
      </c>
      <c r="J1401" s="150" t="s">
        <v>94</v>
      </c>
      <c r="K1401" s="79" t="s">
        <v>1283</v>
      </c>
      <c r="L1401" s="66">
        <f>IF(O1401="","",N1401*O1401*M1401)</f>
        <v>75</v>
      </c>
      <c r="M1401" s="8">
        <v>1</v>
      </c>
      <c r="N1401" s="3">
        <v>1</v>
      </c>
      <c r="O1401" s="15">
        <f>IF(SUM(Q1401:AF1401)&lt;1,"",SUM(Q1401:AF1401)/COUNTIF(Q1401:AF1401,"&gt;0"))</f>
        <v>75</v>
      </c>
      <c r="P1401" s="16"/>
      <c r="Q1401" s="13"/>
      <c r="R1401" s="4"/>
      <c r="S1401" s="4"/>
      <c r="T1401" s="4">
        <v>75</v>
      </c>
      <c r="U1401" s="2"/>
      <c r="V1401" s="2"/>
      <c r="W1401" s="2"/>
      <c r="X1401" s="2"/>
      <c r="Y1401" s="4"/>
      <c r="Z1401" s="2"/>
      <c r="AA1401" s="2"/>
      <c r="AB1401" s="4"/>
      <c r="AC1401" s="4"/>
      <c r="AD1401" s="4"/>
      <c r="AE1401" s="4"/>
      <c r="AF1401" s="14"/>
    </row>
    <row r="1402" spans="1:32" x14ac:dyDescent="0.25">
      <c r="A1402" s="33" t="str">
        <f>CONCATENATE(D1402,".",F1402,"-",G1402,".",H1402,"")</f>
        <v>2.4-7.1</v>
      </c>
      <c r="B1402" s="33" t="s">
        <v>814</v>
      </c>
      <c r="C1402" s="39" t="s">
        <v>262</v>
      </c>
      <c r="D1402" s="33">
        <f>IF(C1402="ID",1,(IF(C1402="PR",2,(IF(C1402="DE",3,(IF(C1402="RS",4,(IF(C1402="RC",5,0)))))))))</f>
        <v>2</v>
      </c>
      <c r="E1402" s="33" t="s">
        <v>344</v>
      </c>
      <c r="F1402" s="33">
        <f>IF(E1402="AM",1,(IF(E1402="BE",2,(IF(E1402="GV",3,(IF(E1402="RA",4,(IF(E1402="RM",5,(IF(E1402="AC",1,(IF(E1402="AT",2,(IF(E1402="DS",3,(IF(E1402="IP",4,(IF(E1402="MA",5,(IF(E1402="PT",6,(IF(E1402="AE",1,(IF(E1402="CM",2,(IF(E1402="DP",3,(IF(E1402="AN",1,(IF(E1402="CO",2,(IF(E1402="IM",3,(IF(E1402="MI",4,(IF(E1402="RP",5,(IF(E1402="SC",6,0)))))))))))))))))))))))))))))))))))))))</f>
        <v>4</v>
      </c>
      <c r="G1402" s="170">
        <v>7</v>
      </c>
      <c r="H1402" s="38" t="s">
        <v>511</v>
      </c>
      <c r="I1402" s="3" t="s">
        <v>821</v>
      </c>
      <c r="J1402" s="150" t="s">
        <v>155</v>
      </c>
      <c r="K1402" s="79" t="s">
        <v>1283</v>
      </c>
      <c r="L1402" s="66">
        <f>IF(O1402="","",N1402*O1402*M1402)</f>
        <v>75</v>
      </c>
      <c r="M1402" s="8">
        <v>1</v>
      </c>
      <c r="N1402" s="3">
        <v>1</v>
      </c>
      <c r="O1402" s="15">
        <f>IF(SUM(Q1402:AF1402)&lt;1,"",SUM(Q1402:AF1402)/COUNTIF(Q1402:AF1402,"&gt;0"))</f>
        <v>75</v>
      </c>
      <c r="P1402" s="16"/>
      <c r="Q1402" s="13"/>
      <c r="R1402" s="4"/>
      <c r="S1402" s="4"/>
      <c r="T1402" s="4">
        <v>75</v>
      </c>
      <c r="U1402" s="2"/>
      <c r="V1402" s="2"/>
      <c r="W1402" s="2"/>
      <c r="X1402" s="2"/>
      <c r="Y1402" s="4"/>
      <c r="Z1402" s="2"/>
      <c r="AA1402" s="2"/>
      <c r="AB1402" s="4"/>
      <c r="AC1402" s="4"/>
      <c r="AD1402" s="4"/>
      <c r="AE1402" s="4"/>
      <c r="AF1402" s="14"/>
    </row>
    <row r="1403" spans="1:32" x14ac:dyDescent="0.25">
      <c r="A1403" s="33" t="str">
        <f>CONCATENATE(D1403,".",F1403,"-",G1403,".",H1403,"")</f>
        <v>2.4-7.1</v>
      </c>
      <c r="B1403" s="33" t="s">
        <v>814</v>
      </c>
      <c r="C1403" s="39" t="s">
        <v>262</v>
      </c>
      <c r="D1403" s="33">
        <f>IF(C1403="ID",1,(IF(C1403="PR",2,(IF(C1403="DE",3,(IF(C1403="RS",4,(IF(C1403="RC",5,0)))))))))</f>
        <v>2</v>
      </c>
      <c r="E1403" s="33" t="s">
        <v>344</v>
      </c>
      <c r="F1403" s="33">
        <f>IF(E1403="AM",1,(IF(E1403="BE",2,(IF(E1403="GV",3,(IF(E1403="RA",4,(IF(E1403="RM",5,(IF(E1403="AC",1,(IF(E1403="AT",2,(IF(E1403="DS",3,(IF(E1403="IP",4,(IF(E1403="MA",5,(IF(E1403="PT",6,(IF(E1403="AE",1,(IF(E1403="CM",2,(IF(E1403="DP",3,(IF(E1403="AN",1,(IF(E1403="CO",2,(IF(E1403="IM",3,(IF(E1403="MI",4,(IF(E1403="RP",5,(IF(E1403="SC",6,0)))))))))))))))))))))))))))))))))))))))</f>
        <v>4</v>
      </c>
      <c r="G1403" s="170">
        <v>7</v>
      </c>
      <c r="H1403" s="38" t="s">
        <v>511</v>
      </c>
      <c r="I1403" s="3" t="s">
        <v>821</v>
      </c>
      <c r="J1403" s="150" t="s">
        <v>157</v>
      </c>
      <c r="K1403" s="79" t="s">
        <v>1283</v>
      </c>
      <c r="L1403" s="66">
        <f>IF(O1403="","",N1403*O1403*M1403)</f>
        <v>75</v>
      </c>
      <c r="M1403" s="8">
        <v>1</v>
      </c>
      <c r="N1403" s="3">
        <v>1</v>
      </c>
      <c r="O1403" s="15">
        <f>IF(SUM(Q1403:AF1403)&lt;1,"",SUM(Q1403:AF1403)/COUNTIF(Q1403:AF1403,"&gt;0"))</f>
        <v>75</v>
      </c>
      <c r="P1403" s="16"/>
      <c r="Q1403" s="13"/>
      <c r="R1403" s="4"/>
      <c r="S1403" s="4"/>
      <c r="T1403" s="4">
        <v>75</v>
      </c>
      <c r="U1403" s="2"/>
      <c r="V1403" s="2"/>
      <c r="W1403" s="2"/>
      <c r="X1403" s="2"/>
      <c r="Y1403" s="4"/>
      <c r="Z1403" s="2"/>
      <c r="AA1403" s="2"/>
      <c r="AB1403" s="4"/>
      <c r="AC1403" s="4"/>
      <c r="AD1403" s="4"/>
      <c r="AE1403" s="4"/>
      <c r="AF1403" s="14"/>
    </row>
    <row r="1404" spans="1:32" x14ac:dyDescent="0.25">
      <c r="A1404" s="33" t="str">
        <f>CONCATENATE(D1404,".",F1404,"-",G1404,".",H1404,"")</f>
        <v>2.4-7.1</v>
      </c>
      <c r="B1404" s="33" t="s">
        <v>814</v>
      </c>
      <c r="C1404" s="39" t="s">
        <v>262</v>
      </c>
      <c r="D1404" s="33">
        <f>IF(C1404="ID",1,(IF(C1404="PR",2,(IF(C1404="DE",3,(IF(C1404="RS",4,(IF(C1404="RC",5,0)))))))))</f>
        <v>2</v>
      </c>
      <c r="E1404" s="33" t="s">
        <v>344</v>
      </c>
      <c r="F1404" s="33">
        <f>IF(E1404="AM",1,(IF(E1404="BE",2,(IF(E1404="GV",3,(IF(E1404="RA",4,(IF(E1404="RM",5,(IF(E1404="AC",1,(IF(E1404="AT",2,(IF(E1404="DS",3,(IF(E1404="IP",4,(IF(E1404="MA",5,(IF(E1404="PT",6,(IF(E1404="AE",1,(IF(E1404="CM",2,(IF(E1404="DP",3,(IF(E1404="AN",1,(IF(E1404="CO",2,(IF(E1404="IM",3,(IF(E1404="MI",4,(IF(E1404="RP",5,(IF(E1404="SC",6,0)))))))))))))))))))))))))))))))))))))))</f>
        <v>4</v>
      </c>
      <c r="G1404" s="170">
        <v>7</v>
      </c>
      <c r="H1404" s="38" t="s">
        <v>511</v>
      </c>
      <c r="I1404" s="3" t="s">
        <v>821</v>
      </c>
      <c r="J1404" s="150" t="s">
        <v>158</v>
      </c>
      <c r="K1404" s="79" t="s">
        <v>1283</v>
      </c>
      <c r="L1404" s="66">
        <f>IF(O1404="","",N1404*O1404*M1404)</f>
        <v>75</v>
      </c>
      <c r="M1404" s="8">
        <v>1</v>
      </c>
      <c r="N1404" s="3">
        <v>1</v>
      </c>
      <c r="O1404" s="15">
        <f>IF(SUM(Q1404:AF1404)&lt;1,"",SUM(Q1404:AF1404)/COUNTIF(Q1404:AF1404,"&gt;0"))</f>
        <v>75</v>
      </c>
      <c r="P1404" s="16"/>
      <c r="Q1404" s="13"/>
      <c r="R1404" s="4"/>
      <c r="S1404" s="4"/>
      <c r="T1404" s="4">
        <v>75</v>
      </c>
      <c r="U1404" s="2"/>
      <c r="V1404" s="2"/>
      <c r="W1404" s="2"/>
      <c r="X1404" s="2"/>
      <c r="Y1404" s="4"/>
      <c r="Z1404" s="2"/>
      <c r="AA1404" s="2"/>
      <c r="AB1404" s="4"/>
      <c r="AC1404" s="4"/>
      <c r="AD1404" s="4"/>
      <c r="AE1404" s="4"/>
      <c r="AF1404" s="14"/>
    </row>
    <row r="1405" spans="1:32" x14ac:dyDescent="0.25">
      <c r="A1405" s="33" t="str">
        <f>CONCATENATE(D1405,".",F1405,"-",G1405,".",H1405,"")</f>
        <v>2.4-7.1</v>
      </c>
      <c r="B1405" s="33" t="s">
        <v>814</v>
      </c>
      <c r="C1405" s="39" t="s">
        <v>262</v>
      </c>
      <c r="D1405" s="33">
        <f>IF(C1405="ID",1,(IF(C1405="PR",2,(IF(C1405="DE",3,(IF(C1405="RS",4,(IF(C1405="RC",5,0)))))))))</f>
        <v>2</v>
      </c>
      <c r="E1405" s="33" t="s">
        <v>344</v>
      </c>
      <c r="F1405" s="33">
        <f>IF(E1405="AM",1,(IF(E1405="BE",2,(IF(E1405="GV",3,(IF(E1405="RA",4,(IF(E1405="RM",5,(IF(E1405="AC",1,(IF(E1405="AT",2,(IF(E1405="DS",3,(IF(E1405="IP",4,(IF(E1405="MA",5,(IF(E1405="PT",6,(IF(E1405="AE",1,(IF(E1405="CM",2,(IF(E1405="DP",3,(IF(E1405="AN",1,(IF(E1405="CO",2,(IF(E1405="IM",3,(IF(E1405="MI",4,(IF(E1405="RP",5,(IF(E1405="SC",6,0)))))))))))))))))))))))))))))))))))))))</f>
        <v>4</v>
      </c>
      <c r="G1405" s="170">
        <v>7</v>
      </c>
      <c r="H1405" s="38" t="s">
        <v>511</v>
      </c>
      <c r="I1405" s="3" t="s">
        <v>821</v>
      </c>
      <c r="J1405" s="150" t="s">
        <v>159</v>
      </c>
      <c r="K1405" s="79" t="s">
        <v>1283</v>
      </c>
      <c r="L1405" s="66">
        <f>IF(O1405="","",N1405*O1405*M1405)</f>
        <v>75</v>
      </c>
      <c r="M1405" s="8">
        <v>1</v>
      </c>
      <c r="N1405" s="3">
        <v>1</v>
      </c>
      <c r="O1405" s="15">
        <f>IF(SUM(Q1405:AF1405)&lt;1,"",SUM(Q1405:AF1405)/COUNTIF(Q1405:AF1405,"&gt;0"))</f>
        <v>75</v>
      </c>
      <c r="P1405" s="16"/>
      <c r="Q1405" s="13"/>
      <c r="R1405" s="4"/>
      <c r="S1405" s="4"/>
      <c r="T1405" s="4">
        <v>75</v>
      </c>
      <c r="U1405" s="2"/>
      <c r="V1405" s="2"/>
      <c r="W1405" s="2"/>
      <c r="X1405" s="2"/>
      <c r="Y1405" s="4"/>
      <c r="Z1405" s="2"/>
      <c r="AA1405" s="2"/>
      <c r="AB1405" s="4"/>
      <c r="AC1405" s="4"/>
      <c r="AD1405" s="4"/>
      <c r="AE1405" s="4"/>
      <c r="AF1405" s="14"/>
    </row>
    <row r="1406" spans="1:32" x14ac:dyDescent="0.25">
      <c r="A1406" s="33" t="str">
        <f>CONCATENATE(D1406,".",F1406,"-",G1406,".",H1406,"")</f>
        <v>2.4-7.1</v>
      </c>
      <c r="B1406" s="33" t="s">
        <v>814</v>
      </c>
      <c r="C1406" s="39" t="s">
        <v>262</v>
      </c>
      <c r="D1406" s="33">
        <f>IF(C1406="ID",1,(IF(C1406="PR",2,(IF(C1406="DE",3,(IF(C1406="RS",4,(IF(C1406="RC",5,0)))))))))</f>
        <v>2</v>
      </c>
      <c r="E1406" s="33" t="s">
        <v>344</v>
      </c>
      <c r="F1406" s="33">
        <f>IF(E1406="AM",1,(IF(E1406="BE",2,(IF(E1406="GV",3,(IF(E1406="RA",4,(IF(E1406="RM",5,(IF(E1406="AC",1,(IF(E1406="AT",2,(IF(E1406="DS",3,(IF(E1406="IP",4,(IF(E1406="MA",5,(IF(E1406="PT",6,(IF(E1406="AE",1,(IF(E1406="CM",2,(IF(E1406="DP",3,(IF(E1406="AN",1,(IF(E1406="CO",2,(IF(E1406="IM",3,(IF(E1406="MI",4,(IF(E1406="RP",5,(IF(E1406="SC",6,0)))))))))))))))))))))))))))))))))))))))</f>
        <v>4</v>
      </c>
      <c r="G1406" s="170">
        <v>7</v>
      </c>
      <c r="H1406" s="38" t="s">
        <v>511</v>
      </c>
      <c r="I1406" s="22" t="s">
        <v>266</v>
      </c>
      <c r="J1406" s="149" t="s">
        <v>447</v>
      </c>
      <c r="K1406" s="79" t="s">
        <v>1285</v>
      </c>
      <c r="L1406" s="66">
        <f>IF(O1406="","",N1406*O1406*M1406)</f>
        <v>75</v>
      </c>
      <c r="M1406" s="8">
        <v>1</v>
      </c>
      <c r="N1406" s="1">
        <v>1</v>
      </c>
      <c r="O1406" s="15">
        <f>IF(SUM(Q1406:AF1406)&lt;1,"",SUM(Q1406:AF1406)/COUNTIF(Q1406:AF1406,"&gt;0"))</f>
        <v>75</v>
      </c>
      <c r="P1406" s="16"/>
      <c r="Q1406" s="13"/>
      <c r="R1406" s="4"/>
      <c r="S1406" s="4"/>
      <c r="T1406" s="4">
        <v>75</v>
      </c>
      <c r="U1406" s="2"/>
      <c r="V1406" s="2"/>
      <c r="W1406" s="2"/>
      <c r="X1406" s="2"/>
      <c r="Y1406" s="4"/>
      <c r="Z1406" s="2"/>
      <c r="AA1406" s="2"/>
      <c r="AB1406" s="4"/>
      <c r="AC1406" s="4"/>
      <c r="AD1406" s="4"/>
      <c r="AE1406" s="4"/>
      <c r="AF1406" s="14"/>
    </row>
    <row r="1407" spans="1:32" x14ac:dyDescent="0.25">
      <c r="A1407" s="33" t="str">
        <f>CONCATENATE(D1407,".",F1407,"-",G1407,".",H1407,"")</f>
        <v>2.4-7.1</v>
      </c>
      <c r="B1407" s="33" t="s">
        <v>814</v>
      </c>
      <c r="C1407" s="39" t="s">
        <v>262</v>
      </c>
      <c r="D1407" s="33">
        <f>IF(C1407="ID",1,(IF(C1407="PR",2,(IF(C1407="DE",3,(IF(C1407="RS",4,(IF(C1407="RC",5,0)))))))))</f>
        <v>2</v>
      </c>
      <c r="E1407" s="33" t="s">
        <v>344</v>
      </c>
      <c r="F1407" s="33">
        <f>IF(E1407="AM",1,(IF(E1407="BE",2,(IF(E1407="GV",3,(IF(E1407="RA",4,(IF(E1407="RM",5,(IF(E1407="AC",1,(IF(E1407="AT",2,(IF(E1407="DS",3,(IF(E1407="IP",4,(IF(E1407="MA",5,(IF(E1407="PT",6,(IF(E1407="AE",1,(IF(E1407="CM",2,(IF(E1407="DP",3,(IF(E1407="AN",1,(IF(E1407="CO",2,(IF(E1407="IM",3,(IF(E1407="MI",4,(IF(E1407="RP",5,(IF(E1407="SC",6,0)))))))))))))))))))))))))))))))))))))))</f>
        <v>4</v>
      </c>
      <c r="G1407" s="170">
        <v>7</v>
      </c>
      <c r="H1407" s="38" t="s">
        <v>511</v>
      </c>
      <c r="I1407" s="22" t="s">
        <v>266</v>
      </c>
      <c r="J1407" s="149" t="s">
        <v>456</v>
      </c>
      <c r="K1407" s="79" t="s">
        <v>1307</v>
      </c>
      <c r="L1407" s="66">
        <f>IF(O1407="","",N1407*O1407*M1407)</f>
        <v>75</v>
      </c>
      <c r="M1407" s="8">
        <v>1</v>
      </c>
      <c r="N1407" s="1">
        <v>1</v>
      </c>
      <c r="O1407" s="15">
        <f>IF(SUM(Q1407:AF1407)&lt;1,"",SUM(Q1407:AF1407)/COUNTIF(Q1407:AF1407,"&gt;0"))</f>
        <v>75</v>
      </c>
      <c r="P1407" s="16"/>
      <c r="Q1407" s="13"/>
      <c r="R1407" s="4"/>
      <c r="S1407" s="4"/>
      <c r="T1407" s="4">
        <v>75</v>
      </c>
      <c r="U1407" s="2"/>
      <c r="V1407" s="2"/>
      <c r="W1407" s="2"/>
      <c r="X1407" s="2"/>
      <c r="Y1407" s="4"/>
      <c r="Z1407" s="2"/>
      <c r="AA1407" s="2"/>
      <c r="AB1407" s="4"/>
      <c r="AC1407" s="4"/>
      <c r="AD1407" s="4"/>
      <c r="AE1407" s="4"/>
      <c r="AF1407" s="14"/>
    </row>
    <row r="1408" spans="1:32" x14ac:dyDescent="0.25">
      <c r="A1408" s="33" t="str">
        <f>CONCATENATE(D1408,".",F1408,"-",G1408,".",H1408,"")</f>
        <v>2.4-7.1</v>
      </c>
      <c r="B1408" s="33" t="s">
        <v>814</v>
      </c>
      <c r="C1408" s="39" t="s">
        <v>262</v>
      </c>
      <c r="D1408" s="33">
        <f>IF(C1408="ID",1,(IF(C1408="PR",2,(IF(C1408="DE",3,(IF(C1408="RS",4,(IF(C1408="RC",5,0)))))))))</f>
        <v>2</v>
      </c>
      <c r="E1408" s="33" t="s">
        <v>344</v>
      </c>
      <c r="F1408" s="33">
        <f>IF(E1408="AM",1,(IF(E1408="BE",2,(IF(E1408="GV",3,(IF(E1408="RA",4,(IF(E1408="RM",5,(IF(E1408="AC",1,(IF(E1408="AT",2,(IF(E1408="DS",3,(IF(E1408="IP",4,(IF(E1408="MA",5,(IF(E1408="PT",6,(IF(E1408="AE",1,(IF(E1408="CM",2,(IF(E1408="DP",3,(IF(E1408="AN",1,(IF(E1408="CO",2,(IF(E1408="IM",3,(IF(E1408="MI",4,(IF(E1408="RP",5,(IF(E1408="SC",6,0)))))))))))))))))))))))))))))))))))))))</f>
        <v>4</v>
      </c>
      <c r="G1408" s="170">
        <v>7</v>
      </c>
      <c r="H1408" s="38" t="s">
        <v>511</v>
      </c>
      <c r="I1408" s="22" t="s">
        <v>266</v>
      </c>
      <c r="J1408" s="149" t="s">
        <v>323</v>
      </c>
      <c r="K1408" s="79" t="s">
        <v>1349</v>
      </c>
      <c r="L1408" s="66">
        <f>IF(O1408="","",N1408*O1408*M1408)</f>
        <v>75</v>
      </c>
      <c r="M1408" s="8">
        <v>1</v>
      </c>
      <c r="N1408" s="1">
        <v>1</v>
      </c>
      <c r="O1408" s="15">
        <f>IF(SUM(Q1408:AF1408)&lt;1,"",SUM(Q1408:AF1408)/COUNTIF(Q1408:AF1408,"&gt;0"))</f>
        <v>75</v>
      </c>
      <c r="P1408" s="16"/>
      <c r="Q1408" s="13"/>
      <c r="R1408" s="4"/>
      <c r="S1408" s="4"/>
      <c r="T1408" s="4">
        <v>75</v>
      </c>
      <c r="U1408" s="2"/>
      <c r="V1408" s="2"/>
      <c r="W1408" s="2"/>
      <c r="X1408" s="2"/>
      <c r="Y1408" s="4"/>
      <c r="Z1408" s="2"/>
      <c r="AA1408" s="2"/>
      <c r="AB1408" s="4"/>
      <c r="AC1408" s="4"/>
      <c r="AD1408" s="4"/>
      <c r="AE1408" s="4"/>
      <c r="AF1408" s="14"/>
    </row>
    <row r="1409" spans="1:32" x14ac:dyDescent="0.25">
      <c r="A1409" s="33" t="str">
        <f>CONCATENATE(D1409,".",F1409,"-",G1409,".",H1409,"")</f>
        <v>2.4-7.1</v>
      </c>
      <c r="B1409" s="33" t="s">
        <v>814</v>
      </c>
      <c r="C1409" s="41" t="s">
        <v>262</v>
      </c>
      <c r="D1409" s="33">
        <f>IF(C1409="ID",1,(IF(C1409="PR",2,(IF(C1409="DE",3,(IF(C1409="RS",4,(IF(C1409="RC",5,0)))))))))</f>
        <v>2</v>
      </c>
      <c r="E1409" s="33" t="s">
        <v>344</v>
      </c>
      <c r="F1409" s="33">
        <f>IF(E1409="AM",1,(IF(E1409="BE",2,(IF(E1409="GV",3,(IF(E1409="RA",4,(IF(E1409="RM",5,(IF(E1409="AC",1,(IF(E1409="AT",2,(IF(E1409="DS",3,(IF(E1409="IP",4,(IF(E1409="MA",5,(IF(E1409="PT",6,(IF(E1409="AE",1,(IF(E1409="CM",2,(IF(E1409="DP",3,(IF(E1409="AN",1,(IF(E1409="CO",2,(IF(E1409="IM",3,(IF(E1409="MI",4,(IF(E1409="RP",5,(IF(E1409="SC",6,0)))))))))))))))))))))))))))))))))))))))</f>
        <v>4</v>
      </c>
      <c r="G1409" s="170">
        <v>7</v>
      </c>
      <c r="H1409" s="38" t="s">
        <v>511</v>
      </c>
      <c r="I1409" s="22" t="s">
        <v>266</v>
      </c>
      <c r="J1409" s="149" t="s">
        <v>282</v>
      </c>
      <c r="K1409" s="79" t="s">
        <v>1371</v>
      </c>
      <c r="L1409" s="5">
        <f>IF(O1409="","",N1409*O1409*M1409)</f>
        <v>75</v>
      </c>
      <c r="M1409" s="8">
        <v>1</v>
      </c>
      <c r="N1409" s="1">
        <v>1</v>
      </c>
      <c r="O1409" s="15">
        <f>IF(SUM(Q1409:AF1409)&lt;1,"",SUM(Q1409:AF1409)/COUNTIF(Q1409:AF1409,"&gt;0"))</f>
        <v>75</v>
      </c>
      <c r="P1409" s="16"/>
      <c r="Q1409" s="13"/>
      <c r="R1409" s="4"/>
      <c r="S1409" s="4"/>
      <c r="T1409" s="4">
        <v>75</v>
      </c>
      <c r="U1409" s="2"/>
      <c r="V1409" s="2"/>
      <c r="W1409" s="2"/>
      <c r="X1409" s="2"/>
      <c r="Y1409" s="4"/>
      <c r="Z1409" s="2"/>
      <c r="AA1409" s="2"/>
      <c r="AB1409" s="4"/>
      <c r="AC1409" s="4"/>
      <c r="AD1409" s="4"/>
      <c r="AE1409" s="4"/>
      <c r="AF1409" s="14"/>
    </row>
    <row r="1410" spans="1:32" x14ac:dyDescent="0.25">
      <c r="A1410" s="33" t="str">
        <f>CONCATENATE(D1410,".",F1410,"-",G1410,".",H1410,"")</f>
        <v>2.4-7.1</v>
      </c>
      <c r="B1410" s="33" t="s">
        <v>814</v>
      </c>
      <c r="C1410" s="39" t="s">
        <v>262</v>
      </c>
      <c r="D1410" s="33">
        <f>IF(C1410="ID",1,(IF(C1410="PR",2,(IF(C1410="DE",3,(IF(C1410="RS",4,(IF(C1410="RC",5,0)))))))))</f>
        <v>2</v>
      </c>
      <c r="E1410" s="33" t="s">
        <v>344</v>
      </c>
      <c r="F1410" s="33">
        <f>IF(E1410="AM",1,(IF(E1410="BE",2,(IF(E1410="GV",3,(IF(E1410="RA",4,(IF(E1410="RM",5,(IF(E1410="AC",1,(IF(E1410="AT",2,(IF(E1410="DS",3,(IF(E1410="IP",4,(IF(E1410="MA",5,(IF(E1410="PT",6,(IF(E1410="AE",1,(IF(E1410="CM",2,(IF(E1410="DP",3,(IF(E1410="AN",1,(IF(E1410="CO",2,(IF(E1410="IM",3,(IF(E1410="MI",4,(IF(E1410="RP",5,(IF(E1410="SC",6,0)))))))))))))))))))))))))))))))))))))))</f>
        <v>4</v>
      </c>
      <c r="G1410" s="170">
        <v>7</v>
      </c>
      <c r="H1410" s="33">
        <v>1</v>
      </c>
      <c r="I1410" s="22" t="s">
        <v>266</v>
      </c>
      <c r="J1410" s="150" t="s">
        <v>12</v>
      </c>
      <c r="K1410" s="79" t="s">
        <v>1389</v>
      </c>
      <c r="L1410" s="5">
        <f>IF(O1410="","",N1410*O1410*M1410)</f>
        <v>75</v>
      </c>
      <c r="M1410" s="8">
        <v>1</v>
      </c>
      <c r="N1410" s="1">
        <v>1</v>
      </c>
      <c r="O1410" s="15">
        <f>IF(SUM(Q1410:AF1410)&lt;1,"",SUM(Q1410:AF1410)/COUNTIF(Q1410:AF1410,"&gt;0"))</f>
        <v>75</v>
      </c>
      <c r="P1410" s="16"/>
      <c r="Q1410" s="13"/>
      <c r="T1410" s="4">
        <v>75</v>
      </c>
      <c r="AF1410" s="104"/>
    </row>
    <row r="1411" spans="1:32" x14ac:dyDescent="0.25">
      <c r="A1411" s="33" t="str">
        <f>CONCATENATE(D1411,".",F1411,"-",G1411,".",H1411,"")</f>
        <v>2.4-7.1</v>
      </c>
      <c r="B1411" s="33" t="s">
        <v>1232</v>
      </c>
      <c r="C1411" s="40" t="s">
        <v>262</v>
      </c>
      <c r="D1411" s="33">
        <f>IF(C1411="ID",1,(IF(C1411="PR",2,(IF(C1411="DE",3,(IF(C1411="RS",4,(IF(C1411="RC",5,0)))))))))</f>
        <v>2</v>
      </c>
      <c r="E1411" s="33" t="s">
        <v>344</v>
      </c>
      <c r="F1411" s="33">
        <f>IF(E1411="AM",1,(IF(E1411="BE",2,(IF(E1411="GV",3,(IF(E1411="RA",4,(IF(E1411="RM",5,(IF(E1411="AC",1,(IF(E1411="AT",2,(IF(E1411="DS",3,(IF(E1411="IP",4,(IF(E1411="MA",5,(IF(E1411="PT",6,(IF(E1411="AE",1,(IF(E1411="CM",2,(IF(E1411="DP",3,(IF(E1411="AN",1,(IF(E1411="CO",2,(IF(E1411="IM",3,(IF(E1411="MI",4,(IF(E1411="RP",5,(IF(E1411="SC",6,0)))))))))))))))))))))))))))))))))))))))</f>
        <v>4</v>
      </c>
      <c r="G1411" s="170">
        <v>7</v>
      </c>
      <c r="H1411" s="38" t="s">
        <v>511</v>
      </c>
      <c r="I1411" s="3" t="s">
        <v>821</v>
      </c>
      <c r="J1411" s="150" t="s">
        <v>854</v>
      </c>
      <c r="K1411" s="79" t="s">
        <v>1283</v>
      </c>
      <c r="L1411" s="66">
        <f>IF(O1411="","",N1411*O1411*M1411)</f>
        <v>75</v>
      </c>
      <c r="M1411" s="8">
        <v>1</v>
      </c>
      <c r="N1411" s="3">
        <v>1</v>
      </c>
      <c r="O1411" s="15">
        <f>IF(SUM(Q1411:AF1411)&lt;1,"",SUM(Q1411:AF1411)/COUNTIF(Q1411:AF1411,"&gt;0"))</f>
        <v>75</v>
      </c>
      <c r="P1411" s="16"/>
      <c r="Q1411" s="13"/>
      <c r="R1411" s="4"/>
      <c r="S1411" s="4"/>
      <c r="T1411" s="4">
        <v>75</v>
      </c>
      <c r="U1411" s="2"/>
      <c r="V1411" s="2"/>
      <c r="W1411" s="2"/>
      <c r="X1411" s="2"/>
      <c r="Y1411" s="4"/>
      <c r="Z1411" s="2"/>
      <c r="AA1411" s="2"/>
      <c r="AB1411" s="4"/>
      <c r="AC1411" s="4"/>
      <c r="AD1411" s="4"/>
      <c r="AE1411" s="4"/>
      <c r="AF1411" s="14"/>
    </row>
    <row r="1412" spans="1:32" x14ac:dyDescent="0.25">
      <c r="A1412" s="33" t="str">
        <f>CONCATENATE(D1412,".",F1412,"-",G1412,".",H1412,"")</f>
        <v>2.4-7.1</v>
      </c>
      <c r="B1412" s="33" t="s">
        <v>1232</v>
      </c>
      <c r="C1412" s="40" t="s">
        <v>262</v>
      </c>
      <c r="D1412" s="33">
        <f>IF(C1412="ID",1,(IF(C1412="PR",2,(IF(C1412="DE",3,(IF(C1412="RS",4,(IF(C1412="RC",5,0)))))))))</f>
        <v>2</v>
      </c>
      <c r="E1412" s="33" t="s">
        <v>344</v>
      </c>
      <c r="F1412" s="33">
        <f>IF(E1412="AM",1,(IF(E1412="BE",2,(IF(E1412="GV",3,(IF(E1412="RA",4,(IF(E1412="RM",5,(IF(E1412="AC",1,(IF(E1412="AT",2,(IF(E1412="DS",3,(IF(E1412="IP",4,(IF(E1412="MA",5,(IF(E1412="PT",6,(IF(E1412="AE",1,(IF(E1412="CM",2,(IF(E1412="DP",3,(IF(E1412="AN",1,(IF(E1412="CO",2,(IF(E1412="IM",3,(IF(E1412="MI",4,(IF(E1412="RP",5,(IF(E1412="SC",6,0)))))))))))))))))))))))))))))))))))))))</f>
        <v>4</v>
      </c>
      <c r="G1412" s="170">
        <v>7</v>
      </c>
      <c r="H1412" s="38" t="s">
        <v>511</v>
      </c>
      <c r="I1412" s="3" t="s">
        <v>821</v>
      </c>
      <c r="J1412" s="150" t="s">
        <v>857</v>
      </c>
      <c r="K1412" s="79" t="s">
        <v>1283</v>
      </c>
      <c r="L1412" s="66">
        <f>IF(O1412="","",N1412*O1412*M1412)</f>
        <v>75</v>
      </c>
      <c r="M1412" s="8">
        <v>1</v>
      </c>
      <c r="N1412" s="3">
        <v>1</v>
      </c>
      <c r="O1412" s="15">
        <f>IF(SUM(Q1412:AF1412)&lt;1,"",SUM(Q1412:AF1412)/COUNTIF(Q1412:AF1412,"&gt;0"))</f>
        <v>75</v>
      </c>
      <c r="P1412" s="16"/>
      <c r="Q1412" s="13"/>
      <c r="R1412" s="4"/>
      <c r="S1412" s="4"/>
      <c r="T1412" s="4">
        <v>75</v>
      </c>
      <c r="U1412" s="2"/>
      <c r="V1412" s="2"/>
      <c r="W1412" s="2"/>
      <c r="X1412" s="2"/>
      <c r="Y1412" s="4"/>
      <c r="Z1412" s="2"/>
      <c r="AA1412" s="2"/>
      <c r="AB1412" s="4"/>
      <c r="AC1412" s="4"/>
      <c r="AD1412" s="4"/>
      <c r="AE1412" s="4"/>
      <c r="AF1412" s="14"/>
    </row>
    <row r="1413" spans="1:32" x14ac:dyDescent="0.25">
      <c r="A1413" s="33" t="str">
        <f>CONCATENATE(D1413,".",F1413,"-",G1413,".",H1413,"")</f>
        <v>2.4-7.1</v>
      </c>
      <c r="B1413" s="33" t="s">
        <v>1232</v>
      </c>
      <c r="C1413" s="40" t="s">
        <v>262</v>
      </c>
      <c r="D1413" s="33">
        <f>IF(C1413="ID",1,(IF(C1413="PR",2,(IF(C1413="DE",3,(IF(C1413="RS",4,(IF(C1413="RC",5,0)))))))))</f>
        <v>2</v>
      </c>
      <c r="E1413" s="33" t="s">
        <v>344</v>
      </c>
      <c r="F1413" s="33">
        <f>IF(E1413="AM",1,(IF(E1413="BE",2,(IF(E1413="GV",3,(IF(E1413="RA",4,(IF(E1413="RM",5,(IF(E1413="AC",1,(IF(E1413="AT",2,(IF(E1413="DS",3,(IF(E1413="IP",4,(IF(E1413="MA",5,(IF(E1413="PT",6,(IF(E1413="AE",1,(IF(E1413="CM",2,(IF(E1413="DP",3,(IF(E1413="AN",1,(IF(E1413="CO",2,(IF(E1413="IM",3,(IF(E1413="MI",4,(IF(E1413="RP",5,(IF(E1413="SC",6,0)))))))))))))))))))))))))))))))))))))))</f>
        <v>4</v>
      </c>
      <c r="G1413" s="170">
        <v>7</v>
      </c>
      <c r="H1413" s="38" t="s">
        <v>511</v>
      </c>
      <c r="I1413" s="3" t="s">
        <v>821</v>
      </c>
      <c r="J1413" s="150" t="s">
        <v>858</v>
      </c>
      <c r="K1413" s="79" t="s">
        <v>1283</v>
      </c>
      <c r="L1413" s="66">
        <f>IF(O1413="","",N1413*O1413*M1413)</f>
        <v>75</v>
      </c>
      <c r="M1413" s="8">
        <v>1</v>
      </c>
      <c r="N1413" s="3">
        <v>1</v>
      </c>
      <c r="O1413" s="15">
        <f>IF(SUM(Q1413:AF1413)&lt;1,"",SUM(Q1413:AF1413)/COUNTIF(Q1413:AF1413,"&gt;0"))</f>
        <v>75</v>
      </c>
      <c r="P1413" s="16"/>
      <c r="Q1413" s="13"/>
      <c r="R1413" s="4"/>
      <c r="S1413" s="4"/>
      <c r="T1413" s="4">
        <v>75</v>
      </c>
      <c r="U1413" s="2"/>
      <c r="V1413" s="2"/>
      <c r="W1413" s="2"/>
      <c r="X1413" s="2"/>
      <c r="Y1413" s="4"/>
      <c r="Z1413" s="2"/>
      <c r="AA1413" s="2"/>
      <c r="AB1413" s="4"/>
      <c r="AC1413" s="4"/>
      <c r="AD1413" s="4"/>
      <c r="AE1413" s="4"/>
      <c r="AF1413" s="14"/>
    </row>
    <row r="1414" spans="1:32" x14ac:dyDescent="0.25">
      <c r="A1414" s="33" t="str">
        <f>CONCATENATE(D1414,".",F1414,"-",G1414,".",H1414,"")</f>
        <v>2.4-7.1</v>
      </c>
      <c r="B1414" s="33" t="s">
        <v>814</v>
      </c>
      <c r="C1414" s="39" t="s">
        <v>262</v>
      </c>
      <c r="D1414" s="33">
        <f>IF(C1414="ID",1,(IF(C1414="PR",2,(IF(C1414="DE",3,(IF(C1414="RS",4,(IF(C1414="RC",5,0)))))))))</f>
        <v>2</v>
      </c>
      <c r="E1414" s="33" t="s">
        <v>344</v>
      </c>
      <c r="F1414" s="33">
        <f>IF(E1414="AM",1,(IF(E1414="BE",2,(IF(E1414="GV",3,(IF(E1414="RA",4,(IF(E1414="RM",5,(IF(E1414="AC",1,(IF(E1414="AT",2,(IF(E1414="DS",3,(IF(E1414="IP",4,(IF(E1414="MA",5,(IF(E1414="PT",6,(IF(E1414="AE",1,(IF(E1414="CM",2,(IF(E1414="DP",3,(IF(E1414="AN",1,(IF(E1414="CO",2,(IF(E1414="IM",3,(IF(E1414="MI",4,(IF(E1414="RP",5,(IF(E1414="SC",6,0)))))))))))))))))))))))))))))))))))))))</f>
        <v>4</v>
      </c>
      <c r="G1414" s="170">
        <v>7</v>
      </c>
      <c r="H1414" s="38" t="s">
        <v>511</v>
      </c>
      <c r="I1414" s="79" t="s">
        <v>1176</v>
      </c>
      <c r="J1414" s="162">
        <v>4</v>
      </c>
      <c r="K1414" t="s">
        <v>1054</v>
      </c>
      <c r="L1414" s="66">
        <f>IF(O1414="","",N1414*O1414*M1414)</f>
        <v>75</v>
      </c>
      <c r="M1414" s="8">
        <v>1</v>
      </c>
      <c r="N1414" s="3">
        <v>1</v>
      </c>
      <c r="O1414" s="15">
        <f>IF(SUM(Q1414:AF1414)&lt;1,"",SUM(Q1414:AF1414)/COUNTIF(Q1414:AF1414,"&gt;0"))</f>
        <v>75</v>
      </c>
      <c r="P1414" s="16"/>
      <c r="Q1414" s="13"/>
      <c r="R1414" s="4"/>
      <c r="S1414" s="4"/>
      <c r="T1414" s="4">
        <v>75</v>
      </c>
      <c r="U1414" s="2"/>
      <c r="V1414" s="2"/>
      <c r="W1414" s="2"/>
      <c r="X1414" s="2"/>
      <c r="Y1414" s="4"/>
      <c r="Z1414" s="2"/>
      <c r="AA1414" s="2"/>
      <c r="AB1414" s="4"/>
      <c r="AC1414" s="4"/>
      <c r="AD1414" s="4"/>
      <c r="AE1414" s="4"/>
      <c r="AF1414" s="14"/>
    </row>
    <row r="1415" spans="1:32" x14ac:dyDescent="0.25">
      <c r="A1415" s="33" t="str">
        <f>CONCATENATE(D1415,".",F1415,"-",G1415,".",H1415,"")</f>
        <v>2.4-7.1</v>
      </c>
      <c r="B1415" s="33" t="s">
        <v>814</v>
      </c>
      <c r="C1415" s="39" t="s">
        <v>262</v>
      </c>
      <c r="D1415" s="33">
        <f>IF(C1415="ID",1,(IF(C1415="PR",2,(IF(C1415="DE",3,(IF(C1415="RS",4,(IF(C1415="RC",5,0)))))))))</f>
        <v>2</v>
      </c>
      <c r="E1415" s="33" t="s">
        <v>344</v>
      </c>
      <c r="F1415" s="33">
        <f>IF(E1415="AM",1,(IF(E1415="BE",2,(IF(E1415="GV",3,(IF(E1415="RA",4,(IF(E1415="RM",5,(IF(E1415="AC",1,(IF(E1415="AT",2,(IF(E1415="DS",3,(IF(E1415="IP",4,(IF(E1415="MA",5,(IF(E1415="PT",6,(IF(E1415="AE",1,(IF(E1415="CM",2,(IF(E1415="DP",3,(IF(E1415="AN",1,(IF(E1415="CO",2,(IF(E1415="IM",3,(IF(E1415="MI",4,(IF(E1415="RP",5,(IF(E1415="SC",6,0)))))))))))))))))))))))))))))))))))))))</f>
        <v>4</v>
      </c>
      <c r="G1415" s="170">
        <v>7</v>
      </c>
      <c r="H1415" s="38" t="s">
        <v>511</v>
      </c>
      <c r="I1415" s="79" t="s">
        <v>1176</v>
      </c>
      <c r="J1415" s="162">
        <v>4.4000000000000004</v>
      </c>
      <c r="K1415" t="s">
        <v>1057</v>
      </c>
      <c r="L1415" s="66">
        <f>IF(O1415="","",N1415*O1415*M1415)</f>
        <v>75</v>
      </c>
      <c r="M1415" s="8">
        <v>1</v>
      </c>
      <c r="N1415" s="3">
        <v>1</v>
      </c>
      <c r="O1415" s="15">
        <f>IF(SUM(Q1415:AF1415)&lt;1,"",SUM(Q1415:AF1415)/COUNTIF(Q1415:AF1415,"&gt;0"))</f>
        <v>75</v>
      </c>
      <c r="P1415" s="16"/>
      <c r="Q1415" s="13"/>
      <c r="R1415" s="4"/>
      <c r="S1415" s="4"/>
      <c r="T1415" s="4">
        <v>75</v>
      </c>
      <c r="U1415" s="2"/>
      <c r="V1415" s="2"/>
      <c r="W1415" s="2"/>
      <c r="X1415" s="2"/>
      <c r="Y1415" s="4"/>
      <c r="Z1415" s="2"/>
      <c r="AA1415" s="2"/>
      <c r="AB1415" s="4"/>
      <c r="AC1415" s="4"/>
      <c r="AD1415" s="4"/>
      <c r="AE1415" s="4"/>
      <c r="AF1415" s="14"/>
    </row>
    <row r="1416" spans="1:32" x14ac:dyDescent="0.25">
      <c r="A1416" s="33" t="str">
        <f>CONCATENATE(D1416,".",F1416,"-",G1416,".",H1416,"")</f>
        <v>2.4-7.1</v>
      </c>
      <c r="B1416" s="33" t="s">
        <v>814</v>
      </c>
      <c r="C1416" s="39" t="s">
        <v>262</v>
      </c>
      <c r="D1416" s="33">
        <f>IF(C1416="ID",1,(IF(C1416="PR",2,(IF(C1416="DE",3,(IF(C1416="RS",4,(IF(C1416="RC",5,0)))))))))</f>
        <v>2</v>
      </c>
      <c r="E1416" s="33" t="s">
        <v>344</v>
      </c>
      <c r="F1416" s="33">
        <f>IF(E1416="AM",1,(IF(E1416="BE",2,(IF(E1416="GV",3,(IF(E1416="RA",4,(IF(E1416="RM",5,(IF(E1416="AC",1,(IF(E1416="AT",2,(IF(E1416="DS",3,(IF(E1416="IP",4,(IF(E1416="MA",5,(IF(E1416="PT",6,(IF(E1416="AE",1,(IF(E1416="CM",2,(IF(E1416="DP",3,(IF(E1416="AN",1,(IF(E1416="CO",2,(IF(E1416="IM",3,(IF(E1416="MI",4,(IF(E1416="RP",5,(IF(E1416="SC",6,0)))))))))))))))))))))))))))))))))))))))</f>
        <v>4</v>
      </c>
      <c r="G1416" s="170">
        <v>7</v>
      </c>
      <c r="H1416" s="38" t="s">
        <v>511</v>
      </c>
      <c r="I1416" s="79" t="s">
        <v>1176</v>
      </c>
      <c r="J1416" s="162">
        <v>18.100000000000001</v>
      </c>
      <c r="K1416" s="80" t="s">
        <v>1154</v>
      </c>
      <c r="L1416" s="66">
        <f>IF(O1416="","",N1416*O1416*M1416)</f>
        <v>75</v>
      </c>
      <c r="M1416" s="8">
        <v>1</v>
      </c>
      <c r="N1416" s="3">
        <v>1</v>
      </c>
      <c r="O1416" s="15">
        <f>IF(SUM(Q1416:AF1416)&lt;1,"",SUM(Q1416:AF1416)/COUNTIF(Q1416:AF1416,"&gt;0"))</f>
        <v>75</v>
      </c>
      <c r="P1416" s="16"/>
      <c r="Q1416" s="13"/>
      <c r="R1416" s="4"/>
      <c r="S1416" s="4"/>
      <c r="T1416" s="4">
        <v>75</v>
      </c>
      <c r="U1416" s="2"/>
      <c r="V1416" s="2"/>
      <c r="W1416" s="2"/>
      <c r="X1416" s="2"/>
      <c r="Y1416" s="4"/>
      <c r="Z1416" s="2"/>
      <c r="AA1416" s="2"/>
      <c r="AB1416" s="4"/>
      <c r="AC1416" s="4"/>
      <c r="AD1416" s="4"/>
      <c r="AE1416" s="4"/>
      <c r="AF1416" s="14"/>
    </row>
    <row r="1417" spans="1:32" x14ac:dyDescent="0.25">
      <c r="A1417" s="33" t="str">
        <f>CONCATENATE(D1417,".",F1417,"-",G1417,".",H1417,"")</f>
        <v>2.4-7.1</v>
      </c>
      <c r="C1417" s="39" t="s">
        <v>262</v>
      </c>
      <c r="D1417" s="33">
        <f>IF(C1417="ID",1,(IF(C1417="PR",2,(IF(C1417="DE",3,(IF(C1417="RS",4,(IF(C1417="RC",5,0)))))))))</f>
        <v>2</v>
      </c>
      <c r="E1417" s="33" t="s">
        <v>344</v>
      </c>
      <c r="F1417" s="33">
        <f>IF(E1417="AM",1,(IF(E1417="BE",2,(IF(E1417="GV",3,(IF(E1417="RA",4,(IF(E1417="RM",5,(IF(E1417="AC",1,(IF(E1417="AT",2,(IF(E1417="DS",3,(IF(E1417="IP",4,(IF(E1417="MA",5,(IF(E1417="PT",6,(IF(E1417="AE",1,(IF(E1417="CM",2,(IF(E1417="DP",3,(IF(E1417="AN",1,(IF(E1417="CO",2,(IF(E1417="IM",3,(IF(E1417="MI",4,(IF(E1417="RP",5,(IF(E1417="SC",6,0)))))))))))))))))))))))))))))))))))))))</f>
        <v>4</v>
      </c>
      <c r="G1417" s="170">
        <v>7</v>
      </c>
      <c r="H1417" s="38" t="s">
        <v>511</v>
      </c>
      <c r="I1417" s="3" t="s">
        <v>1449</v>
      </c>
      <c r="J1417" s="157" t="s">
        <v>1847</v>
      </c>
      <c r="K1417" s="34" t="s">
        <v>1848</v>
      </c>
      <c r="L1417" s="5">
        <f>IF(O1417="","",N1417*O1417*M1417)</f>
        <v>99</v>
      </c>
      <c r="M1417" s="8">
        <v>1</v>
      </c>
      <c r="N1417" s="1">
        <v>1</v>
      </c>
      <c r="O1417" s="15">
        <f>IF(SUM(Q1417:AF1417)&lt;1,"",SUM(Q1417:AF1417)/COUNTIF(Q1417:AF1417,"&gt;0"))</f>
        <v>99</v>
      </c>
      <c r="P1417" s="16"/>
      <c r="Q1417" s="13"/>
      <c r="R1417" s="4"/>
      <c r="S1417" s="4"/>
      <c r="T1417" s="4">
        <v>99</v>
      </c>
      <c r="U1417" s="2"/>
      <c r="V1417" s="2"/>
      <c r="W1417" s="2"/>
      <c r="X1417" s="2"/>
      <c r="Y1417" s="4"/>
      <c r="Z1417" s="2"/>
      <c r="AA1417" s="2"/>
      <c r="AB1417" s="4"/>
      <c r="AC1417" s="4"/>
      <c r="AD1417" s="4"/>
      <c r="AE1417" s="4"/>
      <c r="AF1417" s="14"/>
    </row>
    <row r="1418" spans="1:32" x14ac:dyDescent="0.25">
      <c r="A1418" s="33" t="str">
        <f>CONCATENATE(D1418,".",F1418,"-",G1418,".",H1418,"")</f>
        <v>2.4-7.1</v>
      </c>
      <c r="C1418" s="39" t="s">
        <v>262</v>
      </c>
      <c r="D1418" s="33">
        <f>IF(C1418="ID",1,(IF(C1418="PR",2,(IF(C1418="DE",3,(IF(C1418="RS",4,(IF(C1418="RC",5,0)))))))))</f>
        <v>2</v>
      </c>
      <c r="E1418" s="33" t="s">
        <v>344</v>
      </c>
      <c r="F1418" s="33">
        <f>IF(E1418="AM",1,(IF(E1418="BE",2,(IF(E1418="GV",3,(IF(E1418="RA",4,(IF(E1418="RM",5,(IF(E1418="AC",1,(IF(E1418="AT",2,(IF(E1418="DS",3,(IF(E1418="IP",4,(IF(E1418="MA",5,(IF(E1418="PT",6,(IF(E1418="AE",1,(IF(E1418="CM",2,(IF(E1418="DP",3,(IF(E1418="AN",1,(IF(E1418="CO",2,(IF(E1418="IM",3,(IF(E1418="MI",4,(IF(E1418="RP",5,(IF(E1418="SC",6,0)))))))))))))))))))))))))))))))))))))))</f>
        <v>4</v>
      </c>
      <c r="G1418" s="170">
        <v>7</v>
      </c>
      <c r="H1418" s="38" t="s">
        <v>511</v>
      </c>
      <c r="I1418" s="3" t="s">
        <v>1449</v>
      </c>
      <c r="J1418" s="157" t="s">
        <v>2463</v>
      </c>
      <c r="K1418" s="34" t="s">
        <v>2464</v>
      </c>
      <c r="L1418" s="5">
        <f>IF(O1418="","",N1418*O1418*M1418)</f>
        <v>99</v>
      </c>
      <c r="M1418" s="8">
        <v>1</v>
      </c>
      <c r="N1418" s="1">
        <v>1</v>
      </c>
      <c r="O1418" s="15">
        <f>IF(SUM(Q1418:AF1418)&lt;1,"",SUM(Q1418:AF1418)/COUNTIF(Q1418:AF1418,"&gt;0"))</f>
        <v>99</v>
      </c>
      <c r="P1418" s="16"/>
      <c r="Q1418" s="13"/>
      <c r="R1418" s="4"/>
      <c r="S1418" s="4"/>
      <c r="T1418" s="4">
        <v>99</v>
      </c>
      <c r="U1418" s="2"/>
      <c r="V1418" s="2"/>
      <c r="W1418" s="2"/>
      <c r="X1418" s="2"/>
      <c r="Y1418" s="4"/>
      <c r="Z1418" s="2"/>
      <c r="AA1418" s="2"/>
      <c r="AB1418" s="4"/>
      <c r="AC1418" s="4"/>
      <c r="AD1418" s="4"/>
      <c r="AE1418" s="4"/>
      <c r="AF1418" s="14"/>
    </row>
    <row r="1419" spans="1:32" x14ac:dyDescent="0.25">
      <c r="A1419" s="33" t="str">
        <f>CONCATENATE(D1419,".",F1419,"-",G1419,".",H1419,"")</f>
        <v>2.4-7.1</v>
      </c>
      <c r="C1419" s="39" t="s">
        <v>262</v>
      </c>
      <c r="D1419" s="33">
        <f>IF(C1419="ID",1,(IF(C1419="PR",2,(IF(C1419="DE",3,(IF(C1419="RS",4,(IF(C1419="RC",5,0)))))))))</f>
        <v>2</v>
      </c>
      <c r="E1419" s="33" t="s">
        <v>344</v>
      </c>
      <c r="F1419" s="33">
        <f>IF(E1419="AM",1,(IF(E1419="BE",2,(IF(E1419="GV",3,(IF(E1419="RA",4,(IF(E1419="RM",5,(IF(E1419="AC",1,(IF(E1419="AT",2,(IF(E1419="DS",3,(IF(E1419="IP",4,(IF(E1419="MA",5,(IF(E1419="PT",6,(IF(E1419="AE",1,(IF(E1419="CM",2,(IF(E1419="DP",3,(IF(E1419="AN",1,(IF(E1419="CO",2,(IF(E1419="IM",3,(IF(E1419="MI",4,(IF(E1419="RP",5,(IF(E1419="SC",6,0)))))))))))))))))))))))))))))))))))))))</f>
        <v>4</v>
      </c>
      <c r="G1419" s="170">
        <v>7</v>
      </c>
      <c r="H1419" s="38" t="s">
        <v>511</v>
      </c>
      <c r="I1419" s="3" t="s">
        <v>1449</v>
      </c>
      <c r="J1419" s="157" t="s">
        <v>2465</v>
      </c>
      <c r="K1419" s="34" t="s">
        <v>2466</v>
      </c>
      <c r="L1419" s="5">
        <f>IF(O1419="","",N1419*O1419*M1419)</f>
        <v>99</v>
      </c>
      <c r="M1419" s="8">
        <v>1</v>
      </c>
      <c r="N1419" s="1">
        <v>1</v>
      </c>
      <c r="O1419" s="15">
        <f>IF(SUM(Q1419:AF1419)&lt;1,"",SUM(Q1419:AF1419)/COUNTIF(Q1419:AF1419,"&gt;0"))</f>
        <v>99</v>
      </c>
      <c r="P1419" s="16"/>
      <c r="Q1419" s="13"/>
      <c r="R1419" s="4"/>
      <c r="S1419" s="4"/>
      <c r="T1419" s="4">
        <v>99</v>
      </c>
      <c r="U1419" s="2"/>
      <c r="V1419" s="2"/>
      <c r="W1419" s="2"/>
      <c r="X1419" s="2"/>
      <c r="Y1419" s="4"/>
      <c r="Z1419" s="2"/>
      <c r="AA1419" s="2"/>
      <c r="AB1419" s="4"/>
      <c r="AC1419" s="4"/>
      <c r="AD1419" s="4"/>
      <c r="AE1419" s="4"/>
      <c r="AF1419" s="14"/>
    </row>
    <row r="1420" spans="1:32" x14ac:dyDescent="0.25">
      <c r="A1420" s="33" t="str">
        <f>CONCATENATE(D1420,".",F1420,"-",G1420,".",H1420,"")</f>
        <v>2.4-7.1</v>
      </c>
      <c r="C1420" s="39" t="s">
        <v>262</v>
      </c>
      <c r="D1420" s="33">
        <f>IF(C1420="ID",1,(IF(C1420="PR",2,(IF(C1420="DE",3,(IF(C1420="RS",4,(IF(C1420="RC",5,0)))))))))</f>
        <v>2</v>
      </c>
      <c r="E1420" s="33" t="s">
        <v>344</v>
      </c>
      <c r="F1420" s="33">
        <f>IF(E1420="AM",1,(IF(E1420="BE",2,(IF(E1420="GV",3,(IF(E1420="RA",4,(IF(E1420="RM",5,(IF(E1420="AC",1,(IF(E1420="AT",2,(IF(E1420="DS",3,(IF(E1420="IP",4,(IF(E1420="MA",5,(IF(E1420="PT",6,(IF(E1420="AE",1,(IF(E1420="CM",2,(IF(E1420="DP",3,(IF(E1420="AN",1,(IF(E1420="CO",2,(IF(E1420="IM",3,(IF(E1420="MI",4,(IF(E1420="RP",5,(IF(E1420="SC",6,0)))))))))))))))))))))))))))))))))))))))</f>
        <v>4</v>
      </c>
      <c r="G1420" s="170">
        <v>7</v>
      </c>
      <c r="H1420" s="38" t="s">
        <v>511</v>
      </c>
      <c r="I1420" s="3" t="s">
        <v>1449</v>
      </c>
      <c r="J1420" s="157" t="s">
        <v>2505</v>
      </c>
      <c r="K1420" s="34" t="s">
        <v>2506</v>
      </c>
      <c r="L1420" s="5">
        <f>IF(O1420="","",N1420*O1420*M1420)</f>
        <v>99</v>
      </c>
      <c r="M1420" s="8">
        <v>1</v>
      </c>
      <c r="N1420" s="1">
        <v>1</v>
      </c>
      <c r="O1420" s="15">
        <f>IF(SUM(Q1420:AF1420)&lt;1,"",SUM(Q1420:AF1420)/COUNTIF(Q1420:AF1420,"&gt;0"))</f>
        <v>99</v>
      </c>
      <c r="P1420" s="16"/>
      <c r="Q1420" s="13"/>
      <c r="R1420" s="4"/>
      <c r="S1420" s="4"/>
      <c r="T1420" s="4">
        <v>99</v>
      </c>
      <c r="U1420" s="2"/>
      <c r="V1420" s="2"/>
      <c r="W1420" s="2"/>
      <c r="X1420" s="2"/>
      <c r="Y1420" s="4"/>
      <c r="Z1420" s="2"/>
      <c r="AA1420" s="2"/>
      <c r="AB1420" s="4"/>
      <c r="AC1420" s="4"/>
      <c r="AD1420" s="4"/>
      <c r="AE1420" s="4"/>
      <c r="AF1420" s="14"/>
    </row>
    <row r="1421" spans="1:32" x14ac:dyDescent="0.25">
      <c r="A1421" s="33" t="str">
        <f>CONCATENATE(D1421,".",F1421,"-",G1421,".",H1421,"")</f>
        <v>2.4-7.1</v>
      </c>
      <c r="C1421" s="39" t="s">
        <v>262</v>
      </c>
      <c r="D1421" s="33">
        <f>IF(C1421="ID",1,(IF(C1421="PR",2,(IF(C1421="DE",3,(IF(C1421="RS",4,(IF(C1421="RC",5,0)))))))))</f>
        <v>2</v>
      </c>
      <c r="E1421" s="33" t="s">
        <v>344</v>
      </c>
      <c r="F1421" s="33">
        <f>IF(E1421="AM",1,(IF(E1421="BE",2,(IF(E1421="GV",3,(IF(E1421="RA",4,(IF(E1421="RM",5,(IF(E1421="AC",1,(IF(E1421="AT",2,(IF(E1421="DS",3,(IF(E1421="IP",4,(IF(E1421="MA",5,(IF(E1421="PT",6,(IF(E1421="AE",1,(IF(E1421="CM",2,(IF(E1421="DP",3,(IF(E1421="AN",1,(IF(E1421="CO",2,(IF(E1421="IM",3,(IF(E1421="MI",4,(IF(E1421="RP",5,(IF(E1421="SC",6,0)))))))))))))))))))))))))))))))))))))))</f>
        <v>4</v>
      </c>
      <c r="G1421" s="170">
        <v>7</v>
      </c>
      <c r="H1421" s="38" t="s">
        <v>511</v>
      </c>
      <c r="I1421" s="3" t="s">
        <v>1449</v>
      </c>
      <c r="J1421" s="157" t="s">
        <v>2693</v>
      </c>
      <c r="K1421" s="34" t="s">
        <v>2694</v>
      </c>
      <c r="L1421" s="5">
        <f>IF(O1421="","",N1421*O1421*M1421)</f>
        <v>99</v>
      </c>
      <c r="M1421" s="8">
        <v>1</v>
      </c>
      <c r="N1421" s="1">
        <v>1</v>
      </c>
      <c r="O1421" s="15">
        <f>IF(SUM(Q1421:AF1421)&lt;1,"",SUM(Q1421:AF1421)/COUNTIF(Q1421:AF1421,"&gt;0"))</f>
        <v>99</v>
      </c>
      <c r="P1421" s="16"/>
      <c r="Q1421" s="13"/>
      <c r="R1421" s="4"/>
      <c r="S1421" s="4"/>
      <c r="T1421" s="4">
        <v>99</v>
      </c>
      <c r="U1421" s="2"/>
      <c r="V1421" s="2"/>
      <c r="W1421" s="2"/>
      <c r="X1421" s="2"/>
      <c r="Y1421" s="4"/>
      <c r="Z1421" s="2"/>
      <c r="AA1421" s="2"/>
      <c r="AB1421" s="4"/>
      <c r="AC1421" s="4"/>
      <c r="AD1421" s="4"/>
      <c r="AE1421" s="4"/>
      <c r="AF1421" s="14"/>
    </row>
    <row r="1422" spans="1:32" x14ac:dyDescent="0.25">
      <c r="A1422" s="33" t="str">
        <f>CONCATENATE(D1422,".",F1422,"-",G1422,".",H1422,"")</f>
        <v>2.4-7.1</v>
      </c>
      <c r="C1422" s="39" t="s">
        <v>262</v>
      </c>
      <c r="D1422" s="33">
        <f>IF(C1422="ID",1,(IF(C1422="PR",2,(IF(C1422="DE",3,(IF(C1422="RS",4,(IF(C1422="RC",5,0)))))))))</f>
        <v>2</v>
      </c>
      <c r="E1422" s="33" t="s">
        <v>344</v>
      </c>
      <c r="F1422" s="33">
        <f>IF(E1422="AM",1,(IF(E1422="BE",2,(IF(E1422="GV",3,(IF(E1422="RA",4,(IF(E1422="RM",5,(IF(E1422="AC",1,(IF(E1422="AT",2,(IF(E1422="DS",3,(IF(E1422="IP",4,(IF(E1422="MA",5,(IF(E1422="PT",6,(IF(E1422="AE",1,(IF(E1422="CM",2,(IF(E1422="DP",3,(IF(E1422="AN",1,(IF(E1422="CO",2,(IF(E1422="IM",3,(IF(E1422="MI",4,(IF(E1422="RP",5,(IF(E1422="SC",6,0)))))))))))))))))))))))))))))))))))))))</f>
        <v>4</v>
      </c>
      <c r="G1422" s="170">
        <v>7</v>
      </c>
      <c r="H1422" s="38" t="s">
        <v>511</v>
      </c>
      <c r="I1422" s="3" t="s">
        <v>1449</v>
      </c>
      <c r="J1422" s="157" t="s">
        <v>2833</v>
      </c>
      <c r="K1422" s="34" t="s">
        <v>2834</v>
      </c>
      <c r="L1422" s="5">
        <f>IF(O1422="","",N1422*O1422*M1422)</f>
        <v>99</v>
      </c>
      <c r="M1422" s="8">
        <v>1</v>
      </c>
      <c r="N1422" s="1">
        <v>1</v>
      </c>
      <c r="O1422" s="15">
        <f>IF(SUM(Q1422:AF1422)&lt;1,"",SUM(Q1422:AF1422)/COUNTIF(Q1422:AF1422,"&gt;0"))</f>
        <v>99</v>
      </c>
      <c r="P1422" s="16"/>
      <c r="Q1422" s="13"/>
      <c r="R1422" s="4"/>
      <c r="S1422" s="4"/>
      <c r="T1422" s="4">
        <v>99</v>
      </c>
      <c r="U1422" s="2"/>
      <c r="V1422" s="2"/>
      <c r="W1422" s="2"/>
      <c r="X1422" s="2"/>
      <c r="Y1422" s="4"/>
      <c r="Z1422" s="2"/>
      <c r="AA1422" s="2"/>
      <c r="AB1422" s="4"/>
      <c r="AC1422" s="4"/>
      <c r="AD1422" s="4"/>
      <c r="AE1422" s="4"/>
      <c r="AF1422" s="14"/>
    </row>
    <row r="1423" spans="1:32" x14ac:dyDescent="0.25">
      <c r="A1423" s="33" t="str">
        <f>CONCATENATE(D1423,".",F1423,"-",G1423,".",H1423,"")</f>
        <v>2.4-7.9</v>
      </c>
      <c r="B1423" s="33" t="s">
        <v>814</v>
      </c>
      <c r="C1423" s="39" t="s">
        <v>262</v>
      </c>
      <c r="D1423" s="33">
        <f>IF(C1423="ID",1,(IF(C1423="PR",2,(IF(C1423="DE",3,(IF(C1423="RS",4,(IF(C1423="RC",5,0)))))))))</f>
        <v>2</v>
      </c>
      <c r="E1423" s="33" t="s">
        <v>344</v>
      </c>
      <c r="F1423" s="33">
        <f>IF(E1423="AM",1,(IF(E1423="BE",2,(IF(E1423="GV",3,(IF(E1423="RA",4,(IF(E1423="RM",5,(IF(E1423="AC",1,(IF(E1423="AT",2,(IF(E1423="DS",3,(IF(E1423="IP",4,(IF(E1423="MA",5,(IF(E1423="PT",6,(IF(E1423="AE",1,(IF(E1423="CM",2,(IF(E1423="DP",3,(IF(E1423="AN",1,(IF(E1423="CO",2,(IF(E1423="IM",3,(IF(E1423="MI",4,(IF(E1423="RP",5,(IF(E1423="SC",6,0)))))))))))))))))))))))))))))))))))))))</f>
        <v>4</v>
      </c>
      <c r="G1423" s="170">
        <v>7</v>
      </c>
      <c r="H1423" s="38" t="s">
        <v>596</v>
      </c>
      <c r="I1423" s="22" t="s">
        <v>266</v>
      </c>
      <c r="J1423" s="149" t="s">
        <v>481</v>
      </c>
      <c r="K1423" s="79" t="s">
        <v>1365</v>
      </c>
      <c r="L1423" s="66">
        <f>IF(O1423="","",N1423*O1423*M1423)</f>
        <v>75</v>
      </c>
      <c r="M1423" s="8">
        <v>1</v>
      </c>
      <c r="N1423" s="1">
        <v>1</v>
      </c>
      <c r="O1423" s="15">
        <f>IF(SUM(Q1423:AF1423)&lt;1,"",SUM(Q1423:AF1423)/COUNTIF(Q1423:AF1423,"&gt;0"))</f>
        <v>75</v>
      </c>
      <c r="P1423" s="16"/>
      <c r="Q1423" s="13"/>
      <c r="R1423" s="4"/>
      <c r="S1423" s="4"/>
      <c r="T1423" s="4">
        <v>75</v>
      </c>
      <c r="U1423" s="2"/>
      <c r="V1423" s="2"/>
      <c r="W1423" s="2"/>
      <c r="X1423" s="2"/>
      <c r="Y1423" s="4"/>
      <c r="Z1423" s="2"/>
      <c r="AA1423" s="2"/>
      <c r="AB1423" s="4"/>
      <c r="AC1423" s="4"/>
      <c r="AD1423" s="4"/>
      <c r="AE1423" s="4"/>
      <c r="AF1423" s="14"/>
    </row>
    <row r="1424" spans="1:32" x14ac:dyDescent="0.25">
      <c r="A1424" s="33" t="str">
        <f>CONCATENATE(D1424,".",F1424,"-",G1424,".",H1424,"")</f>
        <v>2.4-7.9</v>
      </c>
      <c r="C1424" s="39" t="s">
        <v>262</v>
      </c>
      <c r="D1424" s="33">
        <f>IF(C1424="ID",1,(IF(C1424="PR",2,(IF(C1424="DE",3,(IF(C1424="RS",4,(IF(C1424="RC",5,0)))))))))</f>
        <v>2</v>
      </c>
      <c r="E1424" s="33" t="s">
        <v>344</v>
      </c>
      <c r="F1424" s="33">
        <f>IF(E1424="AM",1,(IF(E1424="BE",2,(IF(E1424="GV",3,(IF(E1424="RA",4,(IF(E1424="RM",5,(IF(E1424="AC",1,(IF(E1424="AT",2,(IF(E1424="DS",3,(IF(E1424="IP",4,(IF(E1424="MA",5,(IF(E1424="PT",6,(IF(E1424="AE",1,(IF(E1424="CM",2,(IF(E1424="DP",3,(IF(E1424="AN",1,(IF(E1424="CO",2,(IF(E1424="IM",3,(IF(E1424="MI",4,(IF(E1424="RP",5,(IF(E1424="SC",6,0)))))))))))))))))))))))))))))))))))))))</f>
        <v>4</v>
      </c>
      <c r="G1424" s="170">
        <v>7</v>
      </c>
      <c r="H1424" s="38" t="s">
        <v>596</v>
      </c>
      <c r="I1424" s="3" t="s">
        <v>1449</v>
      </c>
      <c r="J1424" s="157" t="s">
        <v>1849</v>
      </c>
      <c r="K1424" s="34" t="s">
        <v>1850</v>
      </c>
      <c r="L1424" s="5">
        <f>IF(O1424="","",N1424*O1424*M1424)</f>
        <v>99</v>
      </c>
      <c r="M1424" s="8">
        <v>1</v>
      </c>
      <c r="N1424" s="1">
        <v>1</v>
      </c>
      <c r="O1424" s="15">
        <f>IF(SUM(Q1424:AF1424)&lt;1,"",SUM(Q1424:AF1424)/COUNTIF(Q1424:AF1424,"&gt;0"))</f>
        <v>99</v>
      </c>
      <c r="P1424" s="16"/>
      <c r="Q1424" s="13"/>
      <c r="R1424" s="4"/>
      <c r="S1424" s="4"/>
      <c r="T1424" s="4">
        <v>99</v>
      </c>
      <c r="U1424" s="2"/>
      <c r="V1424" s="2"/>
      <c r="W1424" s="2"/>
      <c r="X1424" s="2"/>
      <c r="Y1424" s="4"/>
      <c r="Z1424" s="2"/>
      <c r="AA1424" s="2"/>
      <c r="AB1424" s="4"/>
      <c r="AC1424" s="4"/>
      <c r="AD1424" s="4"/>
      <c r="AE1424" s="4"/>
      <c r="AF1424" s="14"/>
    </row>
    <row r="1425" spans="1:32" x14ac:dyDescent="0.25">
      <c r="A1425" s="33" t="str">
        <f>CONCATENATE(D1425,".",F1425,"-",G1425,".",H1425,"")</f>
        <v>2.4-7.9</v>
      </c>
      <c r="C1425" s="39" t="s">
        <v>262</v>
      </c>
      <c r="D1425" s="33">
        <f>IF(C1425="ID",1,(IF(C1425="PR",2,(IF(C1425="DE",3,(IF(C1425="RS",4,(IF(C1425="RC",5,0)))))))))</f>
        <v>2</v>
      </c>
      <c r="E1425" s="33" t="s">
        <v>344</v>
      </c>
      <c r="F1425" s="33">
        <f>IF(E1425="AM",1,(IF(E1425="BE",2,(IF(E1425="GV",3,(IF(E1425="RA",4,(IF(E1425="RM",5,(IF(E1425="AC",1,(IF(E1425="AT",2,(IF(E1425="DS",3,(IF(E1425="IP",4,(IF(E1425="MA",5,(IF(E1425="PT",6,(IF(E1425="AE",1,(IF(E1425="CM",2,(IF(E1425="DP",3,(IF(E1425="AN",1,(IF(E1425="CO",2,(IF(E1425="IM",3,(IF(E1425="MI",4,(IF(E1425="RP",5,(IF(E1425="SC",6,0)))))))))))))))))))))))))))))))))))))))</f>
        <v>4</v>
      </c>
      <c r="G1425" s="170">
        <v>7</v>
      </c>
      <c r="H1425" s="38" t="s">
        <v>596</v>
      </c>
      <c r="I1425" s="3" t="s">
        <v>1449</v>
      </c>
      <c r="J1425" s="157" t="s">
        <v>2749</v>
      </c>
      <c r="K1425" s="34" t="s">
        <v>2750</v>
      </c>
      <c r="L1425" s="5">
        <f>IF(O1425="","",N1425*O1425*M1425)</f>
        <v>99</v>
      </c>
      <c r="M1425" s="8">
        <v>1</v>
      </c>
      <c r="N1425" s="1">
        <v>1</v>
      </c>
      <c r="O1425" s="15">
        <f>IF(SUM(Q1425:AF1425)&lt;1,"",SUM(Q1425:AF1425)/COUNTIF(Q1425:AF1425,"&gt;0"))</f>
        <v>99</v>
      </c>
      <c r="P1425" s="16"/>
      <c r="Q1425" s="13"/>
      <c r="R1425" s="4"/>
      <c r="S1425" s="4"/>
      <c r="T1425" s="4">
        <v>99</v>
      </c>
      <c r="U1425" s="2"/>
      <c r="V1425" s="2"/>
      <c r="W1425" s="2"/>
      <c r="X1425" s="2"/>
      <c r="Y1425" s="4"/>
      <c r="Z1425" s="2"/>
      <c r="AA1425" s="2"/>
      <c r="AB1425" s="4"/>
      <c r="AC1425" s="4"/>
      <c r="AD1425" s="4"/>
      <c r="AE1425" s="4"/>
      <c r="AF1425" s="14"/>
    </row>
    <row r="1426" spans="1:32" x14ac:dyDescent="0.25">
      <c r="A1426" s="33" t="str">
        <f>CONCATENATE(D1426,".",F1426,"-",G1426,".",H1426,"")</f>
        <v>2.4-7.9</v>
      </c>
      <c r="C1426" s="39" t="s">
        <v>262</v>
      </c>
      <c r="D1426" s="33">
        <f>IF(C1426="ID",1,(IF(C1426="PR",2,(IF(C1426="DE",3,(IF(C1426="RS",4,(IF(C1426="RC",5,0)))))))))</f>
        <v>2</v>
      </c>
      <c r="E1426" s="33" t="s">
        <v>344</v>
      </c>
      <c r="F1426" s="33">
        <f>IF(E1426="AM",1,(IF(E1426="BE",2,(IF(E1426="GV",3,(IF(E1426="RA",4,(IF(E1426="RM",5,(IF(E1426="AC",1,(IF(E1426="AT",2,(IF(E1426="DS",3,(IF(E1426="IP",4,(IF(E1426="MA",5,(IF(E1426="PT",6,(IF(E1426="AE",1,(IF(E1426="CM",2,(IF(E1426="DP",3,(IF(E1426="AN",1,(IF(E1426="CO",2,(IF(E1426="IM",3,(IF(E1426="MI",4,(IF(E1426="RP",5,(IF(E1426="SC",6,0)))))))))))))))))))))))))))))))))))))))</f>
        <v>4</v>
      </c>
      <c r="G1426" s="170">
        <v>7</v>
      </c>
      <c r="H1426" s="38" t="s">
        <v>596</v>
      </c>
      <c r="I1426" s="3" t="s">
        <v>1449</v>
      </c>
      <c r="J1426" s="157" t="s">
        <v>2751</v>
      </c>
      <c r="K1426" s="34" t="s">
        <v>2752</v>
      </c>
      <c r="L1426" s="5">
        <f>IF(O1426="","",N1426*O1426*M1426)</f>
        <v>99</v>
      </c>
      <c r="M1426" s="8">
        <v>1</v>
      </c>
      <c r="N1426" s="1">
        <v>1</v>
      </c>
      <c r="O1426" s="15">
        <f>IF(SUM(Q1426:AF1426)&lt;1,"",SUM(Q1426:AF1426)/COUNTIF(Q1426:AF1426,"&gt;0"))</f>
        <v>99</v>
      </c>
      <c r="P1426" s="16"/>
      <c r="Q1426" s="13"/>
      <c r="R1426" s="4"/>
      <c r="S1426" s="4"/>
      <c r="T1426" s="4">
        <v>99</v>
      </c>
      <c r="U1426" s="2"/>
      <c r="V1426" s="2"/>
      <c r="W1426" s="2"/>
      <c r="X1426" s="2"/>
      <c r="Y1426" s="4"/>
      <c r="Z1426" s="2"/>
      <c r="AA1426" s="2"/>
      <c r="AB1426" s="4"/>
      <c r="AC1426" s="4"/>
      <c r="AD1426" s="4"/>
      <c r="AE1426" s="4"/>
      <c r="AF1426" s="14"/>
    </row>
    <row r="1427" spans="1:32" x14ac:dyDescent="0.25">
      <c r="A1427" s="33" t="str">
        <f>CONCATENATE(D1427,".",F1427,"-",G1427,".",H1427,"")</f>
        <v>2.4-7.9</v>
      </c>
      <c r="C1427" s="39" t="s">
        <v>262</v>
      </c>
      <c r="D1427" s="33">
        <f>IF(C1427="ID",1,(IF(C1427="PR",2,(IF(C1427="DE",3,(IF(C1427="RS",4,(IF(C1427="RC",5,0)))))))))</f>
        <v>2</v>
      </c>
      <c r="E1427" s="33" t="s">
        <v>344</v>
      </c>
      <c r="F1427" s="33">
        <f>IF(E1427="AM",1,(IF(E1427="BE",2,(IF(E1427="GV",3,(IF(E1427="RA",4,(IF(E1427="RM",5,(IF(E1427="AC",1,(IF(E1427="AT",2,(IF(E1427="DS",3,(IF(E1427="IP",4,(IF(E1427="MA",5,(IF(E1427="PT",6,(IF(E1427="AE",1,(IF(E1427="CM",2,(IF(E1427="DP",3,(IF(E1427="AN",1,(IF(E1427="CO",2,(IF(E1427="IM",3,(IF(E1427="MI",4,(IF(E1427="RP",5,(IF(E1427="SC",6,0)))))))))))))))))))))))))))))))))))))))</f>
        <v>4</v>
      </c>
      <c r="G1427" s="170">
        <v>7</v>
      </c>
      <c r="H1427" s="38" t="s">
        <v>596</v>
      </c>
      <c r="I1427" s="3" t="s">
        <v>1449</v>
      </c>
      <c r="J1427" s="157" t="s">
        <v>2837</v>
      </c>
      <c r="K1427" s="34" t="s">
        <v>2838</v>
      </c>
      <c r="L1427" s="5">
        <f>IF(O1427="","",N1427*O1427*M1427)</f>
        <v>99</v>
      </c>
      <c r="M1427" s="8">
        <v>1</v>
      </c>
      <c r="N1427" s="1">
        <v>1</v>
      </c>
      <c r="O1427" s="15">
        <f>IF(SUM(Q1427:AF1427)&lt;1,"",SUM(Q1427:AF1427)/COUNTIF(Q1427:AF1427,"&gt;0"))</f>
        <v>99</v>
      </c>
      <c r="P1427" s="16"/>
      <c r="Q1427" s="13"/>
      <c r="R1427" s="4"/>
      <c r="S1427" s="4"/>
      <c r="T1427" s="4">
        <v>99</v>
      </c>
      <c r="U1427" s="2"/>
      <c r="V1427" s="2"/>
      <c r="W1427" s="2"/>
      <c r="X1427" s="2"/>
      <c r="Y1427" s="4"/>
      <c r="Z1427" s="2"/>
      <c r="AA1427" s="2"/>
      <c r="AB1427" s="4"/>
      <c r="AC1427" s="4"/>
      <c r="AD1427" s="4"/>
      <c r="AE1427" s="4"/>
      <c r="AF1427" s="14"/>
    </row>
    <row r="1428" spans="1:32" x14ac:dyDescent="0.25">
      <c r="A1428" s="33" t="str">
        <f>CONCATENATE(D1428,".",F1428,"-",G1428,".",H1428,"")</f>
        <v>2.4-7.9</v>
      </c>
      <c r="C1428" s="39" t="s">
        <v>262</v>
      </c>
      <c r="D1428" s="33">
        <f>IF(C1428="ID",1,(IF(C1428="PR",2,(IF(C1428="DE",3,(IF(C1428="RS",4,(IF(C1428="RC",5,0)))))))))</f>
        <v>2</v>
      </c>
      <c r="E1428" s="33" t="s">
        <v>344</v>
      </c>
      <c r="F1428" s="33">
        <f>IF(E1428="AM",1,(IF(E1428="BE",2,(IF(E1428="GV",3,(IF(E1428="RA",4,(IF(E1428="RM",5,(IF(E1428="AC",1,(IF(E1428="AT",2,(IF(E1428="DS",3,(IF(E1428="IP",4,(IF(E1428="MA",5,(IF(E1428="PT",6,(IF(E1428="AE",1,(IF(E1428="CM",2,(IF(E1428="DP",3,(IF(E1428="AN",1,(IF(E1428="CO",2,(IF(E1428="IM",3,(IF(E1428="MI",4,(IF(E1428="RP",5,(IF(E1428="SC",6,0)))))))))))))))))))))))))))))))))))))))</f>
        <v>4</v>
      </c>
      <c r="G1428" s="170">
        <v>7</v>
      </c>
      <c r="H1428" s="38" t="s">
        <v>596</v>
      </c>
      <c r="I1428" s="3" t="s">
        <v>1449</v>
      </c>
      <c r="J1428" s="157" t="s">
        <v>2839</v>
      </c>
      <c r="K1428" s="34" t="s">
        <v>2840</v>
      </c>
      <c r="L1428" s="5">
        <f>IF(O1428="","",N1428*O1428*M1428)</f>
        <v>99</v>
      </c>
      <c r="M1428" s="8">
        <v>1</v>
      </c>
      <c r="N1428" s="1">
        <v>1</v>
      </c>
      <c r="O1428" s="15">
        <f>IF(SUM(Q1428:AF1428)&lt;1,"",SUM(Q1428:AF1428)/COUNTIF(Q1428:AF1428,"&gt;0"))</f>
        <v>99</v>
      </c>
      <c r="P1428" s="16"/>
      <c r="Q1428" s="13"/>
      <c r="R1428" s="4"/>
      <c r="S1428" s="4"/>
      <c r="T1428" s="4">
        <v>99</v>
      </c>
      <c r="U1428" s="2"/>
      <c r="V1428" s="2"/>
      <c r="W1428" s="2"/>
      <c r="X1428" s="2"/>
      <c r="Y1428" s="4"/>
      <c r="Z1428" s="2"/>
      <c r="AA1428" s="2"/>
      <c r="AB1428" s="4"/>
      <c r="AC1428" s="4"/>
      <c r="AD1428" s="4"/>
      <c r="AE1428" s="4"/>
      <c r="AF1428" s="14"/>
    </row>
    <row r="1429" spans="1:32" x14ac:dyDescent="0.25">
      <c r="A1429" s="33" t="str">
        <f>CONCATENATE(D1429,".",F1429,"-",G1429,".",H1429,"")</f>
        <v>2.4-7.9</v>
      </c>
      <c r="C1429" s="39" t="s">
        <v>262</v>
      </c>
      <c r="D1429" s="33">
        <f>IF(C1429="ID",1,(IF(C1429="PR",2,(IF(C1429="DE",3,(IF(C1429="RS",4,(IF(C1429="RC",5,0)))))))))</f>
        <v>2</v>
      </c>
      <c r="E1429" s="33" t="s">
        <v>344</v>
      </c>
      <c r="F1429" s="33">
        <f>IF(E1429="AM",1,(IF(E1429="BE",2,(IF(E1429="GV",3,(IF(E1429="RA",4,(IF(E1429="RM",5,(IF(E1429="AC",1,(IF(E1429="AT",2,(IF(E1429="DS",3,(IF(E1429="IP",4,(IF(E1429="MA",5,(IF(E1429="PT",6,(IF(E1429="AE",1,(IF(E1429="CM",2,(IF(E1429="DP",3,(IF(E1429="AN",1,(IF(E1429="CO",2,(IF(E1429="IM",3,(IF(E1429="MI",4,(IF(E1429="RP",5,(IF(E1429="SC",6,0)))))))))))))))))))))))))))))))))))))))</f>
        <v>4</v>
      </c>
      <c r="G1429" s="170">
        <v>7</v>
      </c>
      <c r="H1429" s="38" t="s">
        <v>596</v>
      </c>
      <c r="I1429" s="3" t="s">
        <v>1449</v>
      </c>
      <c r="J1429" s="157" t="s">
        <v>2841</v>
      </c>
      <c r="K1429" s="34" t="s">
        <v>2842</v>
      </c>
      <c r="L1429" s="5">
        <f>IF(O1429="","",N1429*O1429*M1429)</f>
        <v>99</v>
      </c>
      <c r="M1429" s="8">
        <v>1</v>
      </c>
      <c r="N1429" s="1">
        <v>1</v>
      </c>
      <c r="O1429" s="15">
        <f>IF(SUM(Q1429:AF1429)&lt;1,"",SUM(Q1429:AF1429)/COUNTIF(Q1429:AF1429,"&gt;0"))</f>
        <v>99</v>
      </c>
      <c r="P1429" s="16"/>
      <c r="Q1429" s="13"/>
      <c r="R1429" s="4"/>
      <c r="S1429" s="4"/>
      <c r="T1429" s="4">
        <v>99</v>
      </c>
      <c r="U1429" s="2"/>
      <c r="V1429" s="2"/>
      <c r="W1429" s="2"/>
      <c r="X1429" s="2"/>
      <c r="Y1429" s="4"/>
      <c r="Z1429" s="2"/>
      <c r="AA1429" s="2"/>
      <c r="AB1429" s="4"/>
      <c r="AC1429" s="4"/>
      <c r="AD1429" s="4"/>
      <c r="AE1429" s="4"/>
      <c r="AF1429" s="14"/>
    </row>
    <row r="1430" spans="1:32" x14ac:dyDescent="0.25">
      <c r="A1430" s="33" t="str">
        <f>CONCATENATE(D1430,".",F1430,"-",G1430,".",H1430,"")</f>
        <v>2.4-7.9</v>
      </c>
      <c r="C1430" s="39" t="s">
        <v>262</v>
      </c>
      <c r="D1430" s="33">
        <f>IF(C1430="ID",1,(IF(C1430="PR",2,(IF(C1430="DE",3,(IF(C1430="RS",4,(IF(C1430="RC",5,0)))))))))</f>
        <v>2</v>
      </c>
      <c r="E1430" s="33" t="s">
        <v>344</v>
      </c>
      <c r="F1430" s="33">
        <f>IF(E1430="AM",1,(IF(E1430="BE",2,(IF(E1430="GV",3,(IF(E1430="RA",4,(IF(E1430="RM",5,(IF(E1430="AC",1,(IF(E1430="AT",2,(IF(E1430="DS",3,(IF(E1430="IP",4,(IF(E1430="MA",5,(IF(E1430="PT",6,(IF(E1430="AE",1,(IF(E1430="CM",2,(IF(E1430="DP",3,(IF(E1430="AN",1,(IF(E1430="CO",2,(IF(E1430="IM",3,(IF(E1430="MI",4,(IF(E1430="RP",5,(IF(E1430="SC",6,0)))))))))))))))))))))))))))))))))))))))</f>
        <v>4</v>
      </c>
      <c r="G1430" s="170">
        <v>7</v>
      </c>
      <c r="H1430" s="38" t="s">
        <v>596</v>
      </c>
      <c r="I1430" s="3" t="s">
        <v>1449</v>
      </c>
      <c r="J1430" s="157" t="s">
        <v>2843</v>
      </c>
      <c r="K1430" s="34" t="s">
        <v>2844</v>
      </c>
      <c r="L1430" s="5">
        <f>IF(O1430="","",N1430*O1430*M1430)</f>
        <v>99</v>
      </c>
      <c r="M1430" s="8">
        <v>1</v>
      </c>
      <c r="N1430" s="1">
        <v>1</v>
      </c>
      <c r="O1430" s="15">
        <f>IF(SUM(Q1430:AF1430)&lt;1,"",SUM(Q1430:AF1430)/COUNTIF(Q1430:AF1430,"&gt;0"))</f>
        <v>99</v>
      </c>
      <c r="P1430" s="16"/>
      <c r="Q1430" s="13"/>
      <c r="R1430" s="4"/>
      <c r="S1430" s="4"/>
      <c r="T1430" s="4">
        <v>99</v>
      </c>
      <c r="U1430" s="2"/>
      <c r="V1430" s="2"/>
      <c r="W1430" s="2"/>
      <c r="X1430" s="2"/>
      <c r="Y1430" s="4"/>
      <c r="Z1430" s="2"/>
      <c r="AA1430" s="2"/>
      <c r="AB1430" s="4"/>
      <c r="AC1430" s="4"/>
      <c r="AD1430" s="4"/>
      <c r="AE1430" s="4"/>
      <c r="AF1430" s="14"/>
    </row>
    <row r="1431" spans="1:32" x14ac:dyDescent="0.25">
      <c r="A1431" s="33" t="str">
        <f>CONCATENATE(D1431,".",F1431,"-",G1431,".",H1431,"")</f>
        <v>2.4-7.9</v>
      </c>
      <c r="C1431" s="39" t="s">
        <v>262</v>
      </c>
      <c r="D1431" s="33">
        <f>IF(C1431="ID",1,(IF(C1431="PR",2,(IF(C1431="DE",3,(IF(C1431="RS",4,(IF(C1431="RC",5,0)))))))))</f>
        <v>2</v>
      </c>
      <c r="E1431" s="33" t="s">
        <v>344</v>
      </c>
      <c r="F1431" s="33">
        <f>IF(E1431="AM",1,(IF(E1431="BE",2,(IF(E1431="GV",3,(IF(E1431="RA",4,(IF(E1431="RM",5,(IF(E1431="AC",1,(IF(E1431="AT",2,(IF(E1431="DS",3,(IF(E1431="IP",4,(IF(E1431="MA",5,(IF(E1431="PT",6,(IF(E1431="AE",1,(IF(E1431="CM",2,(IF(E1431="DP",3,(IF(E1431="AN",1,(IF(E1431="CO",2,(IF(E1431="IM",3,(IF(E1431="MI",4,(IF(E1431="RP",5,(IF(E1431="SC",6,0)))))))))))))))))))))))))))))))))))))))</f>
        <v>4</v>
      </c>
      <c r="G1431" s="170">
        <v>7</v>
      </c>
      <c r="H1431" s="38" t="s">
        <v>596</v>
      </c>
      <c r="I1431" s="3" t="s">
        <v>1449</v>
      </c>
      <c r="J1431" s="157" t="s">
        <v>2845</v>
      </c>
      <c r="K1431" s="34" t="s">
        <v>2846</v>
      </c>
      <c r="L1431" s="5">
        <f>IF(O1431="","",N1431*O1431*M1431)</f>
        <v>99</v>
      </c>
      <c r="M1431" s="8">
        <v>1</v>
      </c>
      <c r="N1431" s="1">
        <v>1</v>
      </c>
      <c r="O1431" s="15">
        <f>IF(SUM(Q1431:AF1431)&lt;1,"",SUM(Q1431:AF1431)/COUNTIF(Q1431:AF1431,"&gt;0"))</f>
        <v>99</v>
      </c>
      <c r="P1431" s="16"/>
      <c r="Q1431" s="13"/>
      <c r="R1431" s="4"/>
      <c r="S1431" s="4"/>
      <c r="T1431" s="4">
        <v>99</v>
      </c>
      <c r="U1431" s="2"/>
      <c r="V1431" s="2"/>
      <c r="W1431" s="2"/>
      <c r="X1431" s="2"/>
      <c r="Y1431" s="4"/>
      <c r="Z1431" s="2"/>
      <c r="AA1431" s="2"/>
      <c r="AB1431" s="4"/>
      <c r="AC1431" s="4"/>
      <c r="AD1431" s="4"/>
      <c r="AE1431" s="4"/>
      <c r="AF1431" s="14"/>
    </row>
    <row r="1432" spans="1:32" x14ac:dyDescent="0.25">
      <c r="A1432" s="33" t="str">
        <f>CONCATENATE(D1432,".",F1432,"-",G1432,".",H1432,"")</f>
        <v>2.4-7.9</v>
      </c>
      <c r="C1432" s="39" t="s">
        <v>262</v>
      </c>
      <c r="D1432" s="33">
        <f>IF(C1432="ID",1,(IF(C1432="PR",2,(IF(C1432="DE",3,(IF(C1432="RS",4,(IF(C1432="RC",5,0)))))))))</f>
        <v>2</v>
      </c>
      <c r="E1432" s="33" t="s">
        <v>344</v>
      </c>
      <c r="F1432" s="33">
        <f>IF(E1432="AM",1,(IF(E1432="BE",2,(IF(E1432="GV",3,(IF(E1432="RA",4,(IF(E1432="RM",5,(IF(E1432="AC",1,(IF(E1432="AT",2,(IF(E1432="DS",3,(IF(E1432="IP",4,(IF(E1432="MA",5,(IF(E1432="PT",6,(IF(E1432="AE",1,(IF(E1432="CM",2,(IF(E1432="DP",3,(IF(E1432="AN",1,(IF(E1432="CO",2,(IF(E1432="IM",3,(IF(E1432="MI",4,(IF(E1432="RP",5,(IF(E1432="SC",6,0)))))))))))))))))))))))))))))))))))))))</f>
        <v>4</v>
      </c>
      <c r="G1432" s="170">
        <v>7</v>
      </c>
      <c r="H1432" s="38" t="s">
        <v>596</v>
      </c>
      <c r="I1432" s="3" t="s">
        <v>1449</v>
      </c>
      <c r="J1432" s="157" t="s">
        <v>2857</v>
      </c>
      <c r="K1432" s="34" t="s">
        <v>2858</v>
      </c>
      <c r="L1432" s="5">
        <f>IF(O1432="","",N1432*O1432*M1432)</f>
        <v>99</v>
      </c>
      <c r="M1432" s="8">
        <v>1</v>
      </c>
      <c r="N1432" s="1">
        <v>1</v>
      </c>
      <c r="O1432" s="15">
        <f>IF(SUM(Q1432:AF1432)&lt;1,"",SUM(Q1432:AF1432)/COUNTIF(Q1432:AF1432,"&gt;0"))</f>
        <v>99</v>
      </c>
      <c r="P1432" s="16"/>
      <c r="Q1432" s="13"/>
      <c r="R1432" s="4"/>
      <c r="S1432" s="4"/>
      <c r="T1432" s="4">
        <v>99</v>
      </c>
      <c r="U1432" s="2"/>
      <c r="V1432" s="2"/>
      <c r="W1432" s="2"/>
      <c r="X1432" s="2"/>
      <c r="Y1432" s="4"/>
      <c r="Z1432" s="2"/>
      <c r="AA1432" s="2"/>
      <c r="AB1432" s="4"/>
      <c r="AC1432" s="4"/>
      <c r="AD1432" s="4"/>
      <c r="AE1432" s="4"/>
      <c r="AF1432" s="14"/>
    </row>
    <row r="1433" spans="1:32" x14ac:dyDescent="0.25">
      <c r="A1433" s="33" t="str">
        <f>CONCATENATE(D1433,".",F1433,"-",G1433,".",H1433,"")</f>
        <v>2.4-7.9</v>
      </c>
      <c r="C1433" s="39" t="s">
        <v>262</v>
      </c>
      <c r="D1433" s="33">
        <f>IF(C1433="ID",1,(IF(C1433="PR",2,(IF(C1433="DE",3,(IF(C1433="RS",4,(IF(C1433="RC",5,0)))))))))</f>
        <v>2</v>
      </c>
      <c r="E1433" s="33" t="s">
        <v>344</v>
      </c>
      <c r="F1433" s="33">
        <f>IF(E1433="AM",1,(IF(E1433="BE",2,(IF(E1433="GV",3,(IF(E1433="RA",4,(IF(E1433="RM",5,(IF(E1433="AC",1,(IF(E1433="AT",2,(IF(E1433="DS",3,(IF(E1433="IP",4,(IF(E1433="MA",5,(IF(E1433="PT",6,(IF(E1433="AE",1,(IF(E1433="CM",2,(IF(E1433="DP",3,(IF(E1433="AN",1,(IF(E1433="CO",2,(IF(E1433="IM",3,(IF(E1433="MI",4,(IF(E1433="RP",5,(IF(E1433="SC",6,0)))))))))))))))))))))))))))))))))))))))</f>
        <v>4</v>
      </c>
      <c r="G1433" s="170">
        <v>7</v>
      </c>
      <c r="H1433" s="38" t="s">
        <v>596</v>
      </c>
      <c r="I1433" s="3" t="s">
        <v>1449</v>
      </c>
      <c r="J1433" s="157" t="s">
        <v>2859</v>
      </c>
      <c r="K1433" s="34" t="s">
        <v>2860</v>
      </c>
      <c r="L1433" s="5">
        <f>IF(O1433="","",N1433*O1433*M1433)</f>
        <v>99</v>
      </c>
      <c r="M1433" s="8">
        <v>1</v>
      </c>
      <c r="N1433" s="1">
        <v>1</v>
      </c>
      <c r="O1433" s="15">
        <f>IF(SUM(Q1433:AF1433)&lt;1,"",SUM(Q1433:AF1433)/COUNTIF(Q1433:AF1433,"&gt;0"))</f>
        <v>99</v>
      </c>
      <c r="P1433" s="16"/>
      <c r="Q1433" s="13"/>
      <c r="R1433" s="4"/>
      <c r="S1433" s="4"/>
      <c r="T1433" s="4">
        <v>99</v>
      </c>
      <c r="U1433" s="2"/>
      <c r="V1433" s="2"/>
      <c r="W1433" s="2"/>
      <c r="X1433" s="2"/>
      <c r="Y1433" s="4"/>
      <c r="Z1433" s="2"/>
      <c r="AA1433" s="2"/>
      <c r="AB1433" s="4"/>
      <c r="AC1433" s="4"/>
      <c r="AD1433" s="4"/>
      <c r="AE1433" s="4"/>
      <c r="AF1433" s="14"/>
    </row>
    <row r="1434" spans="1:32" x14ac:dyDescent="0.25">
      <c r="A1434" s="33" t="str">
        <f>CONCATENATE(D1434,".",F1434,"-",G1434,".",H1434,"")</f>
        <v>2.4-7.9</v>
      </c>
      <c r="C1434" s="39" t="s">
        <v>262</v>
      </c>
      <c r="D1434" s="33">
        <f>IF(C1434="ID",1,(IF(C1434="PR",2,(IF(C1434="DE",3,(IF(C1434="RS",4,(IF(C1434="RC",5,0)))))))))</f>
        <v>2</v>
      </c>
      <c r="E1434" s="33" t="s">
        <v>344</v>
      </c>
      <c r="F1434" s="33">
        <f>IF(E1434="AM",1,(IF(E1434="BE",2,(IF(E1434="GV",3,(IF(E1434="RA",4,(IF(E1434="RM",5,(IF(E1434="AC",1,(IF(E1434="AT",2,(IF(E1434="DS",3,(IF(E1434="IP",4,(IF(E1434="MA",5,(IF(E1434="PT",6,(IF(E1434="AE",1,(IF(E1434="CM",2,(IF(E1434="DP",3,(IF(E1434="AN",1,(IF(E1434="CO",2,(IF(E1434="IM",3,(IF(E1434="MI",4,(IF(E1434="RP",5,(IF(E1434="SC",6,0)))))))))))))))))))))))))))))))))))))))</f>
        <v>4</v>
      </c>
      <c r="G1434" s="170">
        <v>7</v>
      </c>
      <c r="H1434" s="38" t="s">
        <v>596</v>
      </c>
      <c r="I1434" s="3" t="s">
        <v>1449</v>
      </c>
      <c r="J1434" s="157" t="s">
        <v>2861</v>
      </c>
      <c r="K1434" s="34" t="s">
        <v>2862</v>
      </c>
      <c r="L1434" s="5">
        <f>IF(O1434="","",N1434*O1434*M1434)</f>
        <v>99</v>
      </c>
      <c r="M1434" s="8">
        <v>1</v>
      </c>
      <c r="N1434" s="1">
        <v>1</v>
      </c>
      <c r="O1434" s="15">
        <f>IF(SUM(Q1434:AF1434)&lt;1,"",SUM(Q1434:AF1434)/COUNTIF(Q1434:AF1434,"&gt;0"))</f>
        <v>99</v>
      </c>
      <c r="P1434" s="16"/>
      <c r="Q1434" s="13"/>
      <c r="R1434" s="4"/>
      <c r="S1434" s="4"/>
      <c r="T1434" s="4">
        <v>99</v>
      </c>
      <c r="U1434" s="2"/>
      <c r="V1434" s="2"/>
      <c r="W1434" s="2"/>
      <c r="X1434" s="2"/>
      <c r="Y1434" s="4"/>
      <c r="Z1434" s="2"/>
      <c r="AA1434" s="2"/>
      <c r="AB1434" s="4"/>
      <c r="AC1434" s="4"/>
      <c r="AD1434" s="4"/>
      <c r="AE1434" s="4"/>
      <c r="AF1434" s="14"/>
    </row>
    <row r="1435" spans="1:32" x14ac:dyDescent="0.25">
      <c r="A1435" s="33" t="str">
        <f>CONCATENATE(D1435,".",F1435,"-",G1435,".",H1435,"")</f>
        <v>2.4-7.9</v>
      </c>
      <c r="C1435" s="39" t="s">
        <v>262</v>
      </c>
      <c r="D1435" s="33">
        <f>IF(C1435="ID",1,(IF(C1435="PR",2,(IF(C1435="DE",3,(IF(C1435="RS",4,(IF(C1435="RC",5,0)))))))))</f>
        <v>2</v>
      </c>
      <c r="E1435" s="33" t="s">
        <v>344</v>
      </c>
      <c r="F1435" s="33">
        <f>IF(E1435="AM",1,(IF(E1435="BE",2,(IF(E1435="GV",3,(IF(E1435="RA",4,(IF(E1435="RM",5,(IF(E1435="AC",1,(IF(E1435="AT",2,(IF(E1435="DS",3,(IF(E1435="IP",4,(IF(E1435="MA",5,(IF(E1435="PT",6,(IF(E1435="AE",1,(IF(E1435="CM",2,(IF(E1435="DP",3,(IF(E1435="AN",1,(IF(E1435="CO",2,(IF(E1435="IM",3,(IF(E1435="MI",4,(IF(E1435="RP",5,(IF(E1435="SC",6,0)))))))))))))))))))))))))))))))))))))))</f>
        <v>4</v>
      </c>
      <c r="G1435" s="170">
        <v>7</v>
      </c>
      <c r="H1435" s="38" t="s">
        <v>596</v>
      </c>
      <c r="I1435" s="3" t="s">
        <v>1449</v>
      </c>
      <c r="J1435" s="157" t="s">
        <v>2863</v>
      </c>
      <c r="K1435" s="34" t="s">
        <v>2864</v>
      </c>
      <c r="L1435" s="5">
        <f>IF(O1435="","",N1435*O1435*M1435)</f>
        <v>99</v>
      </c>
      <c r="M1435" s="8">
        <v>1</v>
      </c>
      <c r="N1435" s="1">
        <v>1</v>
      </c>
      <c r="O1435" s="15">
        <f>IF(SUM(Q1435:AF1435)&lt;1,"",SUM(Q1435:AF1435)/COUNTIF(Q1435:AF1435,"&gt;0"))</f>
        <v>99</v>
      </c>
      <c r="P1435" s="16"/>
      <c r="Q1435" s="13"/>
      <c r="R1435" s="4"/>
      <c r="S1435" s="4"/>
      <c r="T1435" s="4">
        <v>99</v>
      </c>
      <c r="U1435" s="2"/>
      <c r="V1435" s="2"/>
      <c r="W1435" s="2"/>
      <c r="X1435" s="2"/>
      <c r="Y1435" s="4"/>
      <c r="Z1435" s="2"/>
      <c r="AA1435" s="2"/>
      <c r="AB1435" s="4"/>
      <c r="AC1435" s="4"/>
      <c r="AD1435" s="4"/>
      <c r="AE1435" s="4"/>
      <c r="AF1435" s="14"/>
    </row>
    <row r="1436" spans="1:32" x14ac:dyDescent="0.25">
      <c r="A1436" s="33" t="str">
        <f>CONCATENATE(D1436,".",F1436,"-",G1436,".",H1436,"")</f>
        <v>2.4-7.9</v>
      </c>
      <c r="C1436" s="39" t="s">
        <v>262</v>
      </c>
      <c r="D1436" s="33">
        <f>IF(C1436="ID",1,(IF(C1436="PR",2,(IF(C1436="DE",3,(IF(C1436="RS",4,(IF(C1436="RC",5,0)))))))))</f>
        <v>2</v>
      </c>
      <c r="E1436" s="33" t="s">
        <v>344</v>
      </c>
      <c r="F1436" s="33">
        <f>IF(E1436="AM",1,(IF(E1436="BE",2,(IF(E1436="GV",3,(IF(E1436="RA",4,(IF(E1436="RM",5,(IF(E1436="AC",1,(IF(E1436="AT",2,(IF(E1436="DS",3,(IF(E1436="IP",4,(IF(E1436="MA",5,(IF(E1436="PT",6,(IF(E1436="AE",1,(IF(E1436="CM",2,(IF(E1436="DP",3,(IF(E1436="AN",1,(IF(E1436="CO",2,(IF(E1436="IM",3,(IF(E1436="MI",4,(IF(E1436="RP",5,(IF(E1436="SC",6,0)))))))))))))))))))))))))))))))))))))))</f>
        <v>4</v>
      </c>
      <c r="G1436" s="170">
        <v>7</v>
      </c>
      <c r="H1436" s="38" t="s">
        <v>596</v>
      </c>
      <c r="I1436" s="3" t="s">
        <v>1449</v>
      </c>
      <c r="J1436" s="157" t="s">
        <v>2875</v>
      </c>
      <c r="K1436" s="34" t="s">
        <v>2876</v>
      </c>
      <c r="L1436" s="5">
        <f>IF(O1436="","",N1436*O1436*M1436)</f>
        <v>99</v>
      </c>
      <c r="M1436" s="8">
        <v>1</v>
      </c>
      <c r="N1436" s="1">
        <v>1</v>
      </c>
      <c r="O1436" s="15">
        <f>IF(SUM(Q1436:AF1436)&lt;1,"",SUM(Q1436:AF1436)/COUNTIF(Q1436:AF1436,"&gt;0"))</f>
        <v>99</v>
      </c>
      <c r="P1436" s="16"/>
      <c r="Q1436" s="13"/>
      <c r="R1436" s="4"/>
      <c r="S1436" s="4"/>
      <c r="T1436" s="4">
        <v>99</v>
      </c>
      <c r="U1436" s="2"/>
      <c r="V1436" s="2"/>
      <c r="W1436" s="2"/>
      <c r="X1436" s="2"/>
      <c r="Y1436" s="4"/>
      <c r="Z1436" s="2"/>
      <c r="AA1436" s="2"/>
      <c r="AB1436" s="4"/>
      <c r="AC1436" s="4"/>
      <c r="AD1436" s="4"/>
      <c r="AE1436" s="4"/>
      <c r="AF1436" s="14"/>
    </row>
    <row r="1437" spans="1:32" x14ac:dyDescent="0.25">
      <c r="A1437" s="33" t="str">
        <f>CONCATENATE(D1437,".",F1437,"-",G1437,".",H1437,"")</f>
        <v>2.4-8.0</v>
      </c>
      <c r="B1437" s="33" t="s">
        <v>814</v>
      </c>
      <c r="C1437" s="40" t="s">
        <v>262</v>
      </c>
      <c r="D1437" s="33">
        <f>IF(C1437="ID",1,(IF(C1437="PR",2,(IF(C1437="DE",3,(IF(C1437="RS",4,(IF(C1437="RC",5,0)))))))))</f>
        <v>2</v>
      </c>
      <c r="E1437" s="33" t="s">
        <v>344</v>
      </c>
      <c r="F1437" s="33">
        <f>IF(E1437="AM",1,(IF(E1437="BE",2,(IF(E1437="GV",3,(IF(E1437="RA",4,(IF(E1437="RM",5,(IF(E1437="AC",1,(IF(E1437="AT",2,(IF(E1437="DS",3,(IF(E1437="IP",4,(IF(E1437="MA",5,(IF(E1437="PT",6,(IF(E1437="AE",1,(IF(E1437="CM",2,(IF(E1437="DP",3,(IF(E1437="AN",1,(IF(E1437="CO",2,(IF(E1437="IM",3,(IF(E1437="MI",4,(IF(E1437="RP",5,(IF(E1437="SC",6,0)))))))))))))))))))))))))))))))))))))))</f>
        <v>4</v>
      </c>
      <c r="G1437" s="170">
        <v>8</v>
      </c>
      <c r="H1437" s="38" t="s">
        <v>597</v>
      </c>
      <c r="I1437" s="22" t="s">
        <v>1200</v>
      </c>
      <c r="J1437" s="149" t="s">
        <v>689</v>
      </c>
      <c r="K1437" s="98" t="s">
        <v>391</v>
      </c>
      <c r="L1437" s="5">
        <f>IF(O1437="","",N1437*O1437*M1437)</f>
        <v>75</v>
      </c>
      <c r="M1437" s="8">
        <v>1</v>
      </c>
      <c r="N1437" s="1">
        <v>1</v>
      </c>
      <c r="O1437" s="15">
        <f>IF(SUM(Q1437:AF1437)&lt;1,"",SUM(Q1437:AF1437)/COUNTIF(Q1437:AF1437,"&gt;0"))</f>
        <v>75</v>
      </c>
      <c r="P1437" s="16"/>
      <c r="Q1437" s="13"/>
      <c r="R1437" s="4"/>
      <c r="S1437" s="4"/>
      <c r="T1437" s="4">
        <v>75</v>
      </c>
      <c r="U1437" s="2"/>
      <c r="V1437" s="2"/>
      <c r="W1437" s="2"/>
      <c r="X1437" s="2"/>
      <c r="Y1437" s="4"/>
      <c r="Z1437" s="2"/>
      <c r="AA1437" s="2"/>
      <c r="AB1437" s="4"/>
      <c r="AC1437" s="4"/>
      <c r="AD1437" s="4"/>
      <c r="AE1437" s="4"/>
      <c r="AF1437" s="14"/>
    </row>
    <row r="1438" spans="1:32" x14ac:dyDescent="0.25">
      <c r="A1438" s="33" t="str">
        <f>CONCATENATE(D1438,".",F1438,"-",G1438,".",H1438,"")</f>
        <v>2.4-8.1</v>
      </c>
      <c r="B1438" s="33" t="s">
        <v>814</v>
      </c>
      <c r="C1438" s="40" t="s">
        <v>262</v>
      </c>
      <c r="D1438" s="33">
        <f>IF(C1438="ID",1,(IF(C1438="PR",2,(IF(C1438="DE",3,(IF(C1438="RS",4,(IF(C1438="RC",5,0)))))))))</f>
        <v>2</v>
      </c>
      <c r="E1438" s="33" t="s">
        <v>344</v>
      </c>
      <c r="F1438" s="33">
        <f>IF(E1438="AM",1,(IF(E1438="BE",2,(IF(E1438="GV",3,(IF(E1438="RA",4,(IF(E1438="RM",5,(IF(E1438="AC",1,(IF(E1438="AT",2,(IF(E1438="DS",3,(IF(E1438="IP",4,(IF(E1438="MA",5,(IF(E1438="PT",6,(IF(E1438="AE",1,(IF(E1438="CM",2,(IF(E1438="DP",3,(IF(E1438="AN",1,(IF(E1438="CO",2,(IF(E1438="IM",3,(IF(E1438="MI",4,(IF(E1438="RP",5,(IF(E1438="SC",6,0)))))))))))))))))))))))))))))))))))))))</f>
        <v>4</v>
      </c>
      <c r="G1438" s="171">
        <v>8</v>
      </c>
      <c r="H1438" s="38" t="s">
        <v>511</v>
      </c>
      <c r="I1438" s="22" t="s">
        <v>936</v>
      </c>
      <c r="J1438" s="163" t="s">
        <v>895</v>
      </c>
      <c r="K1438" s="34" t="s">
        <v>1008</v>
      </c>
      <c r="L1438" s="66">
        <f>IF(O1438="","",N1438*O1438*M1438)</f>
        <v>75</v>
      </c>
      <c r="M1438" s="8">
        <v>1</v>
      </c>
      <c r="N1438" s="3">
        <v>1</v>
      </c>
      <c r="O1438" s="15">
        <f>IF(SUM(Q1438:AF1438)&lt;1,"",SUM(Q1438:AF1438)/COUNTIF(Q1438:AF1438,"&gt;0"))</f>
        <v>75</v>
      </c>
      <c r="P1438" s="16"/>
      <c r="Q1438" s="13"/>
      <c r="R1438" s="4"/>
      <c r="S1438" s="4"/>
      <c r="T1438" s="4">
        <v>75</v>
      </c>
      <c r="U1438" s="2"/>
      <c r="V1438" s="2"/>
      <c r="W1438" s="2"/>
      <c r="X1438" s="2"/>
      <c r="Y1438" s="4"/>
      <c r="Z1438" s="2"/>
      <c r="AA1438" s="2"/>
      <c r="AB1438" s="4"/>
      <c r="AC1438" s="4"/>
      <c r="AD1438" s="4"/>
      <c r="AE1438" s="4"/>
      <c r="AF1438" s="14"/>
    </row>
    <row r="1439" spans="1:32" x14ac:dyDescent="0.25">
      <c r="A1439" s="33" t="str">
        <f>CONCATENATE(D1439,".",F1439,"-",G1439,".",H1439,"")</f>
        <v>2.4-8.1</v>
      </c>
      <c r="B1439" s="33" t="s">
        <v>814</v>
      </c>
      <c r="C1439" s="41" t="s">
        <v>262</v>
      </c>
      <c r="D1439" s="33">
        <f>IF(C1439="ID",1,(IF(C1439="PR",2,(IF(C1439="DE",3,(IF(C1439="RS",4,(IF(C1439="RC",5,0)))))))))</f>
        <v>2</v>
      </c>
      <c r="E1439" s="33" t="s">
        <v>344</v>
      </c>
      <c r="F1439" s="33">
        <f>IF(E1439="AM",1,(IF(E1439="BE",2,(IF(E1439="GV",3,(IF(E1439="RA",4,(IF(E1439="RM",5,(IF(E1439="AC",1,(IF(E1439="AT",2,(IF(E1439="DS",3,(IF(E1439="IP",4,(IF(E1439="MA",5,(IF(E1439="PT",6,(IF(E1439="AE",1,(IF(E1439="CM",2,(IF(E1439="DP",3,(IF(E1439="AN",1,(IF(E1439="CO",2,(IF(E1439="IM",3,(IF(E1439="MI",4,(IF(E1439="RP",5,(IF(E1439="SC",6,0)))))))))))))))))))))))))))))))))))))))</f>
        <v>4</v>
      </c>
      <c r="G1439" s="170">
        <v>8</v>
      </c>
      <c r="H1439" s="38" t="s">
        <v>511</v>
      </c>
      <c r="I1439" s="22" t="s">
        <v>266</v>
      </c>
      <c r="J1439" s="149" t="s">
        <v>282</v>
      </c>
      <c r="K1439" s="79" t="s">
        <v>1371</v>
      </c>
      <c r="L1439" s="5">
        <f>IF(O1439="","",N1439*O1439*M1439)</f>
        <v>75</v>
      </c>
      <c r="M1439" s="8">
        <v>1</v>
      </c>
      <c r="N1439" s="1">
        <v>1</v>
      </c>
      <c r="O1439" s="15">
        <f>IF(SUM(Q1439:AF1439)&lt;1,"",SUM(Q1439:AF1439)/COUNTIF(Q1439:AF1439,"&gt;0"))</f>
        <v>75</v>
      </c>
      <c r="P1439" s="16"/>
      <c r="Q1439" s="13"/>
      <c r="R1439" s="4"/>
      <c r="S1439" s="4"/>
      <c r="T1439" s="4">
        <v>75</v>
      </c>
      <c r="U1439" s="2"/>
      <c r="V1439" s="2"/>
      <c r="W1439" s="2"/>
      <c r="X1439" s="2"/>
      <c r="Y1439" s="4"/>
      <c r="Z1439" s="2"/>
      <c r="AA1439" s="2"/>
      <c r="AB1439" s="4"/>
      <c r="AC1439" s="4"/>
      <c r="AD1439" s="4"/>
      <c r="AE1439" s="4"/>
      <c r="AF1439" s="14"/>
    </row>
    <row r="1440" spans="1:32" x14ac:dyDescent="0.25">
      <c r="A1440" s="33" t="str">
        <f>CONCATENATE(D1440,".",F1440,"-",G1440,".",H1440,"")</f>
        <v>2.4-8.1</v>
      </c>
      <c r="C1440" s="39" t="s">
        <v>262</v>
      </c>
      <c r="D1440" s="33">
        <f>IF(C1440="ID",1,(IF(C1440="PR",2,(IF(C1440="DE",3,(IF(C1440="RS",4,(IF(C1440="RC",5,0)))))))))</f>
        <v>2</v>
      </c>
      <c r="E1440" s="33" t="s">
        <v>344</v>
      </c>
      <c r="F1440" s="33">
        <f>IF(E1440="AM",1,(IF(E1440="BE",2,(IF(E1440="GV",3,(IF(E1440="RA",4,(IF(E1440="RM",5,(IF(E1440="AC",1,(IF(E1440="AT",2,(IF(E1440="DS",3,(IF(E1440="IP",4,(IF(E1440="MA",5,(IF(E1440="PT",6,(IF(E1440="AE",1,(IF(E1440="CM",2,(IF(E1440="DP",3,(IF(E1440="AN",1,(IF(E1440="CO",2,(IF(E1440="IM",3,(IF(E1440="MI",4,(IF(E1440="RP",5,(IF(E1440="SC",6,0)))))))))))))))))))))))))))))))))))))))</f>
        <v>4</v>
      </c>
      <c r="G1440" s="170">
        <v>8</v>
      </c>
      <c r="H1440" s="38" t="s">
        <v>511</v>
      </c>
      <c r="I1440" s="3" t="s">
        <v>1449</v>
      </c>
      <c r="J1440" s="157" t="s">
        <v>3083</v>
      </c>
      <c r="K1440" s="34" t="s">
        <v>3084</v>
      </c>
      <c r="L1440" s="5">
        <f>IF(O1440="","",N1440*O1440*M1440)</f>
        <v>99</v>
      </c>
      <c r="M1440" s="8">
        <v>1</v>
      </c>
      <c r="N1440" s="1">
        <v>1</v>
      </c>
      <c r="O1440" s="15">
        <f>IF(SUM(Q1440:AF1440)&lt;1,"",SUM(Q1440:AF1440)/COUNTIF(Q1440:AF1440,"&gt;0"))</f>
        <v>99</v>
      </c>
      <c r="P1440" s="16"/>
      <c r="Q1440" s="13"/>
      <c r="R1440" s="4"/>
      <c r="S1440" s="4"/>
      <c r="T1440" s="4">
        <v>99</v>
      </c>
      <c r="U1440" s="2"/>
      <c r="V1440" s="2"/>
      <c r="W1440" s="2"/>
      <c r="X1440" s="2"/>
      <c r="Y1440" s="4"/>
      <c r="Z1440" s="2"/>
      <c r="AA1440" s="2"/>
      <c r="AB1440" s="4"/>
      <c r="AC1440" s="4"/>
      <c r="AD1440" s="4"/>
      <c r="AE1440" s="4"/>
      <c r="AF1440" s="14"/>
    </row>
    <row r="1441" spans="1:32" x14ac:dyDescent="0.25">
      <c r="A1441" s="33" t="str">
        <f>CONCATENATE(D1441,".",F1441,"-",G1441,".",H1441,"")</f>
        <v>2.4-9.0</v>
      </c>
      <c r="B1441" s="33" t="s">
        <v>814</v>
      </c>
      <c r="C1441" s="40" t="s">
        <v>262</v>
      </c>
      <c r="D1441" s="33">
        <f>IF(C1441="ID",1,(IF(C1441="PR",2,(IF(C1441="DE",3,(IF(C1441="RS",4,(IF(C1441="RC",5,0)))))))))</f>
        <v>2</v>
      </c>
      <c r="E1441" s="33" t="s">
        <v>344</v>
      </c>
      <c r="F1441" s="33">
        <f>IF(E1441="AM",1,(IF(E1441="BE",2,(IF(E1441="GV",3,(IF(E1441="RA",4,(IF(E1441="RM",5,(IF(E1441="AC",1,(IF(E1441="AT",2,(IF(E1441="DS",3,(IF(E1441="IP",4,(IF(E1441="MA",5,(IF(E1441="PT",6,(IF(E1441="AE",1,(IF(E1441="CM",2,(IF(E1441="DP",3,(IF(E1441="AN",1,(IF(E1441="CO",2,(IF(E1441="IM",3,(IF(E1441="MI",4,(IF(E1441="RP",5,(IF(E1441="SC",6,0)))))))))))))))))))))))))))))))))))))))</f>
        <v>4</v>
      </c>
      <c r="G1441" s="170">
        <v>9</v>
      </c>
      <c r="H1441" s="38" t="s">
        <v>597</v>
      </c>
      <c r="I1441" s="22" t="s">
        <v>1200</v>
      </c>
      <c r="J1441" s="149" t="s">
        <v>690</v>
      </c>
      <c r="K1441" s="98" t="s">
        <v>392</v>
      </c>
      <c r="L1441" s="5">
        <f>IF(O1441="","",N1441*O1441*M1441)</f>
        <v>75</v>
      </c>
      <c r="M1441" s="8">
        <v>1</v>
      </c>
      <c r="N1441" s="1">
        <v>1</v>
      </c>
      <c r="O1441" s="15">
        <f>IF(SUM(Q1441:AF1441)&lt;1,"",SUM(Q1441:AF1441)/COUNTIF(Q1441:AF1441,"&gt;0"))</f>
        <v>75</v>
      </c>
      <c r="P1441" s="16"/>
      <c r="Q1441" s="13"/>
      <c r="R1441" s="4"/>
      <c r="S1441" s="4"/>
      <c r="T1441" s="4">
        <v>75</v>
      </c>
      <c r="U1441" s="2"/>
      <c r="V1441" s="2"/>
      <c r="W1441" s="2"/>
      <c r="X1441" s="2"/>
      <c r="Y1441" s="4"/>
      <c r="Z1441" s="2"/>
      <c r="AA1441" s="2"/>
      <c r="AB1441" s="4"/>
      <c r="AC1441" s="4"/>
      <c r="AD1441" s="4"/>
      <c r="AE1441" s="4"/>
      <c r="AF1441" s="14"/>
    </row>
    <row r="1442" spans="1:32" x14ac:dyDescent="0.25">
      <c r="A1442" s="33" t="str">
        <f>CONCATENATE(D1442,".",F1442,"-",G1442,".",H1442,"")</f>
        <v>2.4-9.1</v>
      </c>
      <c r="B1442" s="33" t="s">
        <v>814</v>
      </c>
      <c r="C1442" s="40" t="s">
        <v>262</v>
      </c>
      <c r="D1442" s="33">
        <f>IF(C1442="ID",1,(IF(C1442="PR",2,(IF(C1442="DE",3,(IF(C1442="RS",4,(IF(C1442="RC",5,0)))))))))</f>
        <v>2</v>
      </c>
      <c r="E1442" s="33" t="s">
        <v>344</v>
      </c>
      <c r="F1442" s="33">
        <f>IF(E1442="AM",1,(IF(E1442="BE",2,(IF(E1442="GV",3,(IF(E1442="RA",4,(IF(E1442="RM",5,(IF(E1442="AC",1,(IF(E1442="AT",2,(IF(E1442="DS",3,(IF(E1442="IP",4,(IF(E1442="MA",5,(IF(E1442="PT",6,(IF(E1442="AE",1,(IF(E1442="CM",2,(IF(E1442="DP",3,(IF(E1442="AN",1,(IF(E1442="CO",2,(IF(E1442="IM",3,(IF(E1442="MI",4,(IF(E1442="RP",5,(IF(E1442="SC",6,0)))))))))))))))))))))))))))))))))))))))</f>
        <v>4</v>
      </c>
      <c r="G1442" s="171">
        <v>9</v>
      </c>
      <c r="H1442" s="38" t="s">
        <v>511</v>
      </c>
      <c r="I1442" s="3" t="s">
        <v>821</v>
      </c>
      <c r="J1442" s="150" t="s">
        <v>1240</v>
      </c>
      <c r="K1442" s="79" t="s">
        <v>1283</v>
      </c>
      <c r="L1442" s="66">
        <f>IF(O1442="","",N1442*O1442*M1442)</f>
        <v>75</v>
      </c>
      <c r="M1442" s="8">
        <v>1</v>
      </c>
      <c r="N1442" s="3">
        <v>1</v>
      </c>
      <c r="O1442" s="15">
        <f>IF(SUM(Q1442:AF1442)&lt;1,"",SUM(Q1442:AF1442)/COUNTIF(Q1442:AF1442,"&gt;0"))</f>
        <v>75</v>
      </c>
      <c r="P1442" s="16"/>
      <c r="Q1442" s="13"/>
      <c r="R1442" s="4"/>
      <c r="S1442" s="4"/>
      <c r="T1442" s="4">
        <v>75</v>
      </c>
      <c r="U1442" s="2"/>
      <c r="V1442" s="2"/>
      <c r="W1442" s="2"/>
      <c r="X1442" s="2"/>
      <c r="Y1442" s="4"/>
      <c r="Z1442" s="2"/>
      <c r="AA1442" s="2"/>
      <c r="AB1442" s="4"/>
      <c r="AC1442" s="4"/>
      <c r="AD1442" s="4"/>
      <c r="AE1442" s="4"/>
      <c r="AF1442" s="14"/>
    </row>
    <row r="1443" spans="1:32" x14ac:dyDescent="0.25">
      <c r="A1443" s="33" t="str">
        <f>CONCATENATE(D1443,".",F1443,"-",G1443,".",H1443,"")</f>
        <v>2.4-9.1</v>
      </c>
      <c r="B1443" s="33" t="s">
        <v>814</v>
      </c>
      <c r="C1443" s="40" t="s">
        <v>262</v>
      </c>
      <c r="D1443" s="33">
        <f>IF(C1443="ID",1,(IF(C1443="PR",2,(IF(C1443="DE",3,(IF(C1443="RS",4,(IF(C1443="RC",5,0)))))))))</f>
        <v>2</v>
      </c>
      <c r="E1443" s="33" t="s">
        <v>344</v>
      </c>
      <c r="F1443" s="33">
        <f>IF(E1443="AM",1,(IF(E1443="BE",2,(IF(E1443="GV",3,(IF(E1443="RA",4,(IF(E1443="RM",5,(IF(E1443="AC",1,(IF(E1443="AT",2,(IF(E1443="DS",3,(IF(E1443="IP",4,(IF(E1443="MA",5,(IF(E1443="PT",6,(IF(E1443="AE",1,(IF(E1443="CM",2,(IF(E1443="DP",3,(IF(E1443="AN",1,(IF(E1443="CO",2,(IF(E1443="IM",3,(IF(E1443="MI",4,(IF(E1443="RP",5,(IF(E1443="SC",6,0)))))))))))))))))))))))))))))))))))))))</f>
        <v>4</v>
      </c>
      <c r="G1443" s="171">
        <v>9</v>
      </c>
      <c r="H1443" s="38" t="s">
        <v>511</v>
      </c>
      <c r="I1443" s="3" t="s">
        <v>821</v>
      </c>
      <c r="J1443" s="149" t="s">
        <v>223</v>
      </c>
      <c r="K1443" s="79" t="s">
        <v>1283</v>
      </c>
      <c r="L1443" s="66">
        <f>IF(O1443="","",N1443*O1443*M1443)</f>
        <v>75</v>
      </c>
      <c r="M1443" s="8">
        <v>1</v>
      </c>
      <c r="N1443" s="1">
        <v>1</v>
      </c>
      <c r="O1443" s="15">
        <f>IF(SUM(Q1443:AF1443)&lt;1,"",SUM(Q1443:AF1443)/COUNTIF(Q1443:AF1443,"&gt;0"))</f>
        <v>75</v>
      </c>
      <c r="P1443" s="16"/>
      <c r="Q1443" s="13"/>
      <c r="R1443" s="4"/>
      <c r="S1443" s="4"/>
      <c r="T1443" s="4">
        <v>75</v>
      </c>
      <c r="U1443" s="2"/>
      <c r="V1443" s="2"/>
      <c r="W1443" s="2"/>
      <c r="X1443" s="2"/>
      <c r="Y1443" s="4"/>
      <c r="Z1443" s="2"/>
      <c r="AA1443" s="2"/>
      <c r="AB1443" s="4"/>
      <c r="AC1443" s="4"/>
      <c r="AD1443" s="4"/>
      <c r="AE1443" s="4"/>
      <c r="AF1443" s="14"/>
    </row>
    <row r="1444" spans="1:32" x14ac:dyDescent="0.25">
      <c r="A1444" s="33" t="str">
        <f>CONCATENATE(D1444,".",F1444,"-",G1444,".",H1444,"")</f>
        <v>2.4-9.1</v>
      </c>
      <c r="B1444" s="33" t="s">
        <v>814</v>
      </c>
      <c r="C1444" s="40" t="s">
        <v>262</v>
      </c>
      <c r="D1444" s="33">
        <f>IF(C1444="ID",1,(IF(C1444="PR",2,(IF(C1444="DE",3,(IF(C1444="RS",4,(IF(C1444="RC",5,0)))))))))</f>
        <v>2</v>
      </c>
      <c r="E1444" s="33" t="s">
        <v>344</v>
      </c>
      <c r="F1444" s="33">
        <f>IF(E1444="AM",1,(IF(E1444="BE",2,(IF(E1444="GV",3,(IF(E1444="RA",4,(IF(E1444="RM",5,(IF(E1444="AC",1,(IF(E1444="AT",2,(IF(E1444="DS",3,(IF(E1444="IP",4,(IF(E1444="MA",5,(IF(E1444="PT",6,(IF(E1444="AE",1,(IF(E1444="CM",2,(IF(E1444="DP",3,(IF(E1444="AN",1,(IF(E1444="CO",2,(IF(E1444="IM",3,(IF(E1444="MI",4,(IF(E1444="RP",5,(IF(E1444="SC",6,0)))))))))))))))))))))))))))))))))))))))</f>
        <v>4</v>
      </c>
      <c r="G1444" s="171">
        <v>9</v>
      </c>
      <c r="H1444" s="38" t="s">
        <v>511</v>
      </c>
      <c r="I1444" s="22" t="s">
        <v>936</v>
      </c>
      <c r="J1444" s="163" t="s">
        <v>934</v>
      </c>
      <c r="K1444" s="34" t="s">
        <v>970</v>
      </c>
      <c r="L1444" s="66">
        <f>IF(O1444="","",N1444*O1444*M1444)</f>
        <v>75</v>
      </c>
      <c r="M1444" s="8">
        <v>1</v>
      </c>
      <c r="N1444" s="3">
        <v>1</v>
      </c>
      <c r="O1444" s="15">
        <f>IF(SUM(Q1444:AF1444)&lt;1,"",SUM(Q1444:AF1444)/COUNTIF(Q1444:AF1444,"&gt;0"))</f>
        <v>75</v>
      </c>
      <c r="P1444" s="16"/>
      <c r="Q1444" s="13"/>
      <c r="R1444" s="4"/>
      <c r="S1444" s="4"/>
      <c r="T1444" s="4">
        <v>75</v>
      </c>
      <c r="U1444" s="2"/>
      <c r="V1444" s="2"/>
      <c r="W1444" s="2"/>
      <c r="X1444" s="2"/>
      <c r="Y1444" s="4"/>
      <c r="Z1444" s="2"/>
      <c r="AA1444" s="2"/>
      <c r="AB1444" s="4"/>
      <c r="AC1444" s="4"/>
      <c r="AD1444" s="4"/>
      <c r="AE1444" s="4"/>
      <c r="AF1444" s="14"/>
    </row>
    <row r="1445" spans="1:32" x14ac:dyDescent="0.25">
      <c r="A1445" s="33" t="str">
        <f>CONCATENATE(D1445,".",F1445,"-",G1445,".",H1445,"")</f>
        <v>2.4-9.1</v>
      </c>
      <c r="B1445" s="33" t="s">
        <v>814</v>
      </c>
      <c r="C1445" s="40" t="s">
        <v>262</v>
      </c>
      <c r="D1445" s="33">
        <f>IF(C1445="ID",1,(IF(C1445="PR",2,(IF(C1445="DE",3,(IF(C1445="RS",4,(IF(C1445="RC",5,0)))))))))</f>
        <v>2</v>
      </c>
      <c r="E1445" s="33" t="s">
        <v>344</v>
      </c>
      <c r="F1445" s="33">
        <f>IF(E1445="AM",1,(IF(E1445="BE",2,(IF(E1445="GV",3,(IF(E1445="RA",4,(IF(E1445="RM",5,(IF(E1445="AC",1,(IF(E1445="AT",2,(IF(E1445="DS",3,(IF(E1445="IP",4,(IF(E1445="MA",5,(IF(E1445="PT",6,(IF(E1445="AE",1,(IF(E1445="CM",2,(IF(E1445="DP",3,(IF(E1445="AN",1,(IF(E1445="CO",2,(IF(E1445="IM",3,(IF(E1445="MI",4,(IF(E1445="RP",5,(IF(E1445="SC",6,0)))))))))))))))))))))))))))))))))))))))</f>
        <v>4</v>
      </c>
      <c r="G1445" s="171">
        <v>9</v>
      </c>
      <c r="H1445" s="38" t="s">
        <v>511</v>
      </c>
      <c r="I1445" s="22" t="s">
        <v>936</v>
      </c>
      <c r="J1445" s="163" t="s">
        <v>881</v>
      </c>
      <c r="K1445" s="34" t="s">
        <v>986</v>
      </c>
      <c r="L1445" s="66">
        <f>IF(O1445="","",N1445*O1445*M1445)</f>
        <v>75</v>
      </c>
      <c r="M1445" s="8">
        <v>1</v>
      </c>
      <c r="N1445" s="3">
        <v>1</v>
      </c>
      <c r="O1445" s="15">
        <f>IF(SUM(Q1445:AF1445)&lt;1,"",SUM(Q1445:AF1445)/COUNTIF(Q1445:AF1445,"&gt;0"))</f>
        <v>75</v>
      </c>
      <c r="P1445" s="16"/>
      <c r="Q1445" s="13"/>
      <c r="R1445" s="4"/>
      <c r="S1445" s="4"/>
      <c r="T1445" s="4">
        <v>75</v>
      </c>
      <c r="U1445" s="2"/>
      <c r="V1445" s="2"/>
      <c r="W1445" s="2"/>
      <c r="X1445" s="2"/>
      <c r="Y1445" s="4"/>
      <c r="Z1445" s="2"/>
      <c r="AA1445" s="2"/>
      <c r="AB1445" s="4"/>
      <c r="AC1445" s="4"/>
      <c r="AD1445" s="4"/>
      <c r="AE1445" s="4"/>
      <c r="AF1445" s="14"/>
    </row>
    <row r="1446" spans="1:32" x14ac:dyDescent="0.25">
      <c r="A1446" s="33" t="str">
        <f>CONCATENATE(D1446,".",F1446,"-",G1446,".",H1446,"")</f>
        <v>2.4-9.1</v>
      </c>
      <c r="B1446" s="33" t="s">
        <v>814</v>
      </c>
      <c r="C1446" s="40" t="s">
        <v>262</v>
      </c>
      <c r="D1446" s="33">
        <f>IF(C1446="ID",1,(IF(C1446="PR",2,(IF(C1446="DE",3,(IF(C1446="RS",4,(IF(C1446="RC",5,0)))))))))</f>
        <v>2</v>
      </c>
      <c r="E1446" s="33" t="s">
        <v>344</v>
      </c>
      <c r="F1446" s="33">
        <f>IF(E1446="AM",1,(IF(E1446="BE",2,(IF(E1446="GV",3,(IF(E1446="RA",4,(IF(E1446="RM",5,(IF(E1446="AC",1,(IF(E1446="AT",2,(IF(E1446="DS",3,(IF(E1446="IP",4,(IF(E1446="MA",5,(IF(E1446="PT",6,(IF(E1446="AE",1,(IF(E1446="CM",2,(IF(E1446="DP",3,(IF(E1446="AN",1,(IF(E1446="CO",2,(IF(E1446="IM",3,(IF(E1446="MI",4,(IF(E1446="RP",5,(IF(E1446="SC",6,0)))))))))))))))))))))))))))))))))))))))</f>
        <v>4</v>
      </c>
      <c r="G1446" s="171">
        <v>9</v>
      </c>
      <c r="H1446" s="38" t="s">
        <v>511</v>
      </c>
      <c r="I1446" s="22" t="s">
        <v>936</v>
      </c>
      <c r="J1446" s="163" t="s">
        <v>879</v>
      </c>
      <c r="K1446" s="34" t="s">
        <v>988</v>
      </c>
      <c r="L1446" s="66">
        <f>IF(O1446="","",N1446*O1446*M1446)</f>
        <v>75</v>
      </c>
      <c r="M1446" s="8">
        <v>1</v>
      </c>
      <c r="N1446" s="3">
        <v>1</v>
      </c>
      <c r="O1446" s="15">
        <f>IF(SUM(Q1446:AF1446)&lt;1,"",SUM(Q1446:AF1446)/COUNTIF(Q1446:AF1446,"&gt;0"))</f>
        <v>75</v>
      </c>
      <c r="P1446" s="16"/>
      <c r="Q1446" s="13"/>
      <c r="R1446" s="4"/>
      <c r="S1446" s="4"/>
      <c r="T1446" s="4">
        <v>75</v>
      </c>
      <c r="U1446" s="2"/>
      <c r="V1446" s="2"/>
      <c r="W1446" s="2"/>
      <c r="X1446" s="2"/>
      <c r="Y1446" s="4"/>
      <c r="Z1446" s="2"/>
      <c r="AA1446" s="2"/>
      <c r="AB1446" s="4"/>
      <c r="AC1446" s="4"/>
      <c r="AD1446" s="4"/>
      <c r="AE1446" s="4"/>
      <c r="AF1446" s="14"/>
    </row>
    <row r="1447" spans="1:32" x14ac:dyDescent="0.25">
      <c r="A1447" s="33" t="str">
        <f>CONCATENATE(D1447,".",F1447,"-",G1447,".",H1447,"")</f>
        <v>2.4-9.1</v>
      </c>
      <c r="B1447" s="33" t="s">
        <v>814</v>
      </c>
      <c r="C1447" s="40" t="s">
        <v>262</v>
      </c>
      <c r="D1447" s="33">
        <f>IF(C1447="ID",1,(IF(C1447="PR",2,(IF(C1447="DE",3,(IF(C1447="RS",4,(IF(C1447="RC",5,0)))))))))</f>
        <v>2</v>
      </c>
      <c r="E1447" s="33" t="s">
        <v>344</v>
      </c>
      <c r="F1447" s="33">
        <f>IF(E1447="AM",1,(IF(E1447="BE",2,(IF(E1447="GV",3,(IF(E1447="RA",4,(IF(E1447="RM",5,(IF(E1447="AC",1,(IF(E1447="AT",2,(IF(E1447="DS",3,(IF(E1447="IP",4,(IF(E1447="MA",5,(IF(E1447="PT",6,(IF(E1447="AE",1,(IF(E1447="CM",2,(IF(E1447="DP",3,(IF(E1447="AN",1,(IF(E1447="CO",2,(IF(E1447="IM",3,(IF(E1447="MI",4,(IF(E1447="RP",5,(IF(E1447="SC",6,0)))))))))))))))))))))))))))))))))))))))</f>
        <v>4</v>
      </c>
      <c r="G1447" s="171">
        <v>9</v>
      </c>
      <c r="H1447" s="38" t="s">
        <v>511</v>
      </c>
      <c r="I1447" s="22" t="s">
        <v>936</v>
      </c>
      <c r="J1447" s="163" t="s">
        <v>877</v>
      </c>
      <c r="K1447" s="34" t="s">
        <v>989</v>
      </c>
      <c r="L1447" s="66">
        <f>IF(O1447="","",N1447*O1447*M1447)</f>
        <v>75</v>
      </c>
      <c r="M1447" s="8">
        <v>1</v>
      </c>
      <c r="N1447" s="3">
        <v>1</v>
      </c>
      <c r="O1447" s="15">
        <f>IF(SUM(Q1447:AF1447)&lt;1,"",SUM(Q1447:AF1447)/COUNTIF(Q1447:AF1447,"&gt;0"))</f>
        <v>75</v>
      </c>
      <c r="P1447" s="16"/>
      <c r="Q1447" s="13"/>
      <c r="R1447" s="4"/>
      <c r="S1447" s="4"/>
      <c r="T1447" s="4">
        <v>75</v>
      </c>
      <c r="U1447" s="2"/>
      <c r="V1447" s="2"/>
      <c r="W1447" s="2"/>
      <c r="X1447" s="2"/>
      <c r="Y1447" s="4"/>
      <c r="Z1447" s="2"/>
      <c r="AA1447" s="2"/>
      <c r="AB1447" s="4"/>
      <c r="AC1447" s="4"/>
      <c r="AD1447" s="4"/>
      <c r="AE1447" s="4"/>
      <c r="AF1447" s="14"/>
    </row>
    <row r="1448" spans="1:32" x14ac:dyDescent="0.25">
      <c r="A1448" s="33" t="str">
        <f>CONCATENATE(D1448,".",F1448,"-",G1448,".",H1448,"")</f>
        <v>2.4-9.1</v>
      </c>
      <c r="B1448" s="33" t="s">
        <v>814</v>
      </c>
      <c r="C1448" s="40" t="s">
        <v>262</v>
      </c>
      <c r="D1448" s="33">
        <f>IF(C1448="ID",1,(IF(C1448="PR",2,(IF(C1448="DE",3,(IF(C1448="RS",4,(IF(C1448="RC",5,0)))))))))</f>
        <v>2</v>
      </c>
      <c r="E1448" s="33" t="s">
        <v>344</v>
      </c>
      <c r="F1448" s="33">
        <f>IF(E1448="AM",1,(IF(E1448="BE",2,(IF(E1448="GV",3,(IF(E1448="RA",4,(IF(E1448="RM",5,(IF(E1448="AC",1,(IF(E1448="AT",2,(IF(E1448="DS",3,(IF(E1448="IP",4,(IF(E1448="MA",5,(IF(E1448="PT",6,(IF(E1448="AE",1,(IF(E1448="CM",2,(IF(E1448="DP",3,(IF(E1448="AN",1,(IF(E1448="CO",2,(IF(E1448="IM",3,(IF(E1448="MI",4,(IF(E1448="RP",5,(IF(E1448="SC",6,0)))))))))))))))))))))))))))))))))))))))</f>
        <v>4</v>
      </c>
      <c r="G1448" s="171">
        <v>9</v>
      </c>
      <c r="H1448" s="38" t="s">
        <v>511</v>
      </c>
      <c r="I1448" s="22" t="s">
        <v>936</v>
      </c>
      <c r="J1448" s="163" t="s">
        <v>878</v>
      </c>
      <c r="K1448" s="34" t="s">
        <v>938</v>
      </c>
      <c r="L1448" s="66">
        <f>IF(O1448="","",N1448*O1448*M1448)</f>
        <v>75</v>
      </c>
      <c r="M1448" s="8">
        <v>1</v>
      </c>
      <c r="N1448" s="3">
        <v>1</v>
      </c>
      <c r="O1448" s="15">
        <f>IF(SUM(Q1448:AF1448)&lt;1,"",SUM(Q1448:AF1448)/COUNTIF(Q1448:AF1448,"&gt;0"))</f>
        <v>75</v>
      </c>
      <c r="P1448" s="16"/>
      <c r="Q1448" s="13"/>
      <c r="R1448" s="4"/>
      <c r="S1448" s="4"/>
      <c r="T1448" s="4">
        <v>75</v>
      </c>
      <c r="U1448" s="2"/>
      <c r="V1448" s="2"/>
      <c r="W1448" s="2"/>
      <c r="X1448" s="2"/>
      <c r="Y1448" s="4"/>
      <c r="Z1448" s="2"/>
      <c r="AA1448" s="2"/>
      <c r="AB1448" s="4"/>
      <c r="AC1448" s="4"/>
      <c r="AD1448" s="4"/>
      <c r="AE1448" s="4"/>
      <c r="AF1448" s="14"/>
    </row>
    <row r="1449" spans="1:32" x14ac:dyDescent="0.25">
      <c r="A1449" s="33" t="str">
        <f>CONCATENATE(D1449,".",F1449,"-",G1449,".",H1449,"")</f>
        <v>2.4-9.1</v>
      </c>
      <c r="B1449" s="33" t="s">
        <v>814</v>
      </c>
      <c r="C1449" s="40" t="s">
        <v>262</v>
      </c>
      <c r="D1449" s="33">
        <f>IF(C1449="ID",1,(IF(C1449="PR",2,(IF(C1449="DE",3,(IF(C1449="RS",4,(IF(C1449="RC",5,0)))))))))</f>
        <v>2</v>
      </c>
      <c r="E1449" s="33" t="s">
        <v>344</v>
      </c>
      <c r="F1449" s="33">
        <f>IF(E1449="AM",1,(IF(E1449="BE",2,(IF(E1449="GV",3,(IF(E1449="RA",4,(IF(E1449="RM",5,(IF(E1449="AC",1,(IF(E1449="AT",2,(IF(E1449="DS",3,(IF(E1449="IP",4,(IF(E1449="MA",5,(IF(E1449="PT",6,(IF(E1449="AE",1,(IF(E1449="CM",2,(IF(E1449="DP",3,(IF(E1449="AN",1,(IF(E1449="CO",2,(IF(E1449="IM",3,(IF(E1449="MI",4,(IF(E1449="RP",5,(IF(E1449="SC",6,0)))))))))))))))))))))))))))))))))))))))</f>
        <v>4</v>
      </c>
      <c r="G1449" s="171">
        <v>9</v>
      </c>
      <c r="H1449" s="38" t="s">
        <v>511</v>
      </c>
      <c r="I1449" s="22" t="s">
        <v>936</v>
      </c>
      <c r="J1449" s="163" t="s">
        <v>882</v>
      </c>
      <c r="K1449" s="34" t="s">
        <v>951</v>
      </c>
      <c r="L1449" s="66">
        <f>IF(O1449="","",N1449*O1449*M1449)</f>
        <v>75</v>
      </c>
      <c r="M1449" s="8">
        <v>1</v>
      </c>
      <c r="N1449" s="3">
        <v>1</v>
      </c>
      <c r="O1449" s="15">
        <f>IF(SUM(Q1449:AF1449)&lt;1,"",SUM(Q1449:AF1449)/COUNTIF(Q1449:AF1449,"&gt;0"))</f>
        <v>75</v>
      </c>
      <c r="P1449" s="16"/>
      <c r="Q1449" s="13"/>
      <c r="R1449" s="4"/>
      <c r="S1449" s="4"/>
      <c r="T1449" s="4">
        <v>75</v>
      </c>
      <c r="U1449" s="2"/>
      <c r="V1449" s="2"/>
      <c r="W1449" s="2"/>
      <c r="X1449" s="2"/>
      <c r="Y1449" s="4"/>
      <c r="Z1449" s="2"/>
      <c r="AA1449" s="2"/>
      <c r="AB1449" s="4"/>
      <c r="AC1449" s="4"/>
      <c r="AD1449" s="4"/>
      <c r="AE1449" s="4"/>
      <c r="AF1449" s="14"/>
    </row>
    <row r="1450" spans="1:32" x14ac:dyDescent="0.25">
      <c r="A1450" s="33" t="str">
        <f>CONCATENATE(D1450,".",F1450,"-",G1450,".",H1450,"")</f>
        <v>2.4-9.1</v>
      </c>
      <c r="B1450" s="33" t="s">
        <v>814</v>
      </c>
      <c r="C1450" s="39" t="s">
        <v>262</v>
      </c>
      <c r="D1450" s="33">
        <f>IF(C1450="ID",1,(IF(C1450="PR",2,(IF(C1450="DE",3,(IF(C1450="RS",4,(IF(C1450="RC",5,0)))))))))</f>
        <v>2</v>
      </c>
      <c r="E1450" s="33" t="s">
        <v>344</v>
      </c>
      <c r="F1450" s="33">
        <f>IF(E1450="AM",1,(IF(E1450="BE",2,(IF(E1450="GV",3,(IF(E1450="RA",4,(IF(E1450="RM",5,(IF(E1450="AC",1,(IF(E1450="AT",2,(IF(E1450="DS",3,(IF(E1450="IP",4,(IF(E1450="MA",5,(IF(E1450="PT",6,(IF(E1450="AE",1,(IF(E1450="CM",2,(IF(E1450="DP",3,(IF(E1450="AN",1,(IF(E1450="CO",2,(IF(E1450="IM",3,(IF(E1450="MI",4,(IF(E1450="RP",5,(IF(E1450="SC",6,0)))))))))))))))))))))))))))))))))))))))</f>
        <v>4</v>
      </c>
      <c r="G1450" s="171">
        <v>9</v>
      </c>
      <c r="H1450" s="38" t="s">
        <v>511</v>
      </c>
      <c r="I1450" s="22" t="s">
        <v>266</v>
      </c>
      <c r="J1450" s="149" t="s">
        <v>484</v>
      </c>
      <c r="K1450" s="79" t="s">
        <v>1374</v>
      </c>
      <c r="L1450" s="5">
        <f>IF(O1450="","",N1450*O1450*M1450)</f>
        <v>75</v>
      </c>
      <c r="M1450" s="8">
        <v>1</v>
      </c>
      <c r="N1450" s="1">
        <v>1</v>
      </c>
      <c r="O1450" s="15">
        <f>IF(SUM(Q1450:AF1450)&lt;1,"",SUM(Q1450:AF1450)/COUNTIF(Q1450:AF1450,"&gt;0"))</f>
        <v>75</v>
      </c>
      <c r="P1450" s="16"/>
      <c r="Q1450" s="13"/>
      <c r="R1450" s="4"/>
      <c r="S1450" s="4"/>
      <c r="T1450" s="4">
        <v>75</v>
      </c>
      <c r="U1450" s="2"/>
      <c r="V1450" s="2"/>
      <c r="W1450" s="2"/>
      <c r="X1450" s="2"/>
      <c r="Y1450" s="4"/>
      <c r="Z1450" s="2"/>
      <c r="AA1450" s="2"/>
      <c r="AB1450" s="4"/>
      <c r="AC1450" s="4"/>
      <c r="AD1450" s="4"/>
      <c r="AE1450" s="4"/>
      <c r="AF1450" s="14"/>
    </row>
    <row r="1451" spans="1:32" x14ac:dyDescent="0.25">
      <c r="A1451" s="33" t="str">
        <f>CONCATENATE(D1451,".",F1451,"-",G1451,".",H1451,"")</f>
        <v>2.4-9.1</v>
      </c>
      <c r="B1451" s="33" t="s">
        <v>814</v>
      </c>
      <c r="C1451" s="41" t="s">
        <v>262</v>
      </c>
      <c r="D1451" s="33">
        <f>IF(C1451="ID",1,(IF(C1451="PR",2,(IF(C1451="DE",3,(IF(C1451="RS",4,(IF(C1451="RC",5,0)))))))))</f>
        <v>2</v>
      </c>
      <c r="E1451" s="33" t="s">
        <v>344</v>
      </c>
      <c r="F1451" s="33">
        <f>IF(E1451="AM",1,(IF(E1451="BE",2,(IF(E1451="GV",3,(IF(E1451="RA",4,(IF(E1451="RM",5,(IF(E1451="AC",1,(IF(E1451="AT",2,(IF(E1451="DS",3,(IF(E1451="IP",4,(IF(E1451="MA",5,(IF(E1451="PT",6,(IF(E1451="AE",1,(IF(E1451="CM",2,(IF(E1451="DP",3,(IF(E1451="AN",1,(IF(E1451="CO",2,(IF(E1451="IM",3,(IF(E1451="MI",4,(IF(E1451="RP",5,(IF(E1451="SC",6,0)))))))))))))))))))))))))))))))))))))))</f>
        <v>4</v>
      </c>
      <c r="G1451" s="171">
        <v>9</v>
      </c>
      <c r="H1451" s="38" t="s">
        <v>511</v>
      </c>
      <c r="I1451" s="22" t="s">
        <v>266</v>
      </c>
      <c r="J1451" s="149" t="s">
        <v>294</v>
      </c>
      <c r="K1451" s="79" t="s">
        <v>1375</v>
      </c>
      <c r="L1451" s="5">
        <f>IF(O1451="","",N1451*O1451*M1451)</f>
        <v>75</v>
      </c>
      <c r="M1451" s="8">
        <v>1</v>
      </c>
      <c r="N1451" s="1">
        <v>1</v>
      </c>
      <c r="O1451" s="15">
        <f>IF(SUM(Q1451:AF1451)&lt;1,"",SUM(Q1451:AF1451)/COUNTIF(Q1451:AF1451,"&gt;0"))</f>
        <v>75</v>
      </c>
      <c r="P1451" s="16"/>
      <c r="Q1451" s="13"/>
      <c r="R1451" s="4"/>
      <c r="S1451" s="4"/>
      <c r="T1451" s="4">
        <v>75</v>
      </c>
      <c r="U1451" s="2"/>
      <c r="V1451" s="2"/>
      <c r="W1451" s="2"/>
      <c r="X1451" s="2"/>
      <c r="Y1451" s="4"/>
      <c r="Z1451" s="2"/>
      <c r="AA1451" s="2"/>
      <c r="AB1451" s="4"/>
      <c r="AC1451" s="4"/>
      <c r="AD1451" s="4"/>
      <c r="AE1451" s="4"/>
      <c r="AF1451" s="14"/>
    </row>
    <row r="1452" spans="1:32" x14ac:dyDescent="0.25">
      <c r="A1452" s="33" t="str">
        <f>CONCATENATE(D1452,".",F1452,"-",G1452,".",H1452,"")</f>
        <v>2.4-9.1</v>
      </c>
      <c r="B1452" s="33" t="s">
        <v>814</v>
      </c>
      <c r="C1452" s="41" t="s">
        <v>262</v>
      </c>
      <c r="D1452" s="33">
        <f>IF(C1452="ID",1,(IF(C1452="PR",2,(IF(C1452="DE",3,(IF(C1452="RS",4,(IF(C1452="RC",5,0)))))))))</f>
        <v>2</v>
      </c>
      <c r="E1452" s="33" t="s">
        <v>344</v>
      </c>
      <c r="F1452" s="33">
        <f>IF(E1452="AM",1,(IF(E1452="BE",2,(IF(E1452="GV",3,(IF(E1452="RA",4,(IF(E1452="RM",5,(IF(E1452="AC",1,(IF(E1452="AT",2,(IF(E1452="DS",3,(IF(E1452="IP",4,(IF(E1452="MA",5,(IF(E1452="PT",6,(IF(E1452="AE",1,(IF(E1452="CM",2,(IF(E1452="DP",3,(IF(E1452="AN",1,(IF(E1452="CO",2,(IF(E1452="IM",3,(IF(E1452="MI",4,(IF(E1452="RP",5,(IF(E1452="SC",6,0)))))))))))))))))))))))))))))))))))))))</f>
        <v>4</v>
      </c>
      <c r="G1452" s="171">
        <v>9</v>
      </c>
      <c r="H1452" s="38" t="s">
        <v>511</v>
      </c>
      <c r="I1452" s="22" t="s">
        <v>266</v>
      </c>
      <c r="J1452" s="149" t="s">
        <v>300</v>
      </c>
      <c r="K1452" s="79" t="s">
        <v>1376</v>
      </c>
      <c r="L1452" s="5">
        <f>IF(O1452="","",N1452*O1452*M1452)</f>
        <v>75</v>
      </c>
      <c r="M1452" s="8">
        <v>1</v>
      </c>
      <c r="N1452" s="1">
        <v>1</v>
      </c>
      <c r="O1452" s="15">
        <f>IF(SUM(Q1452:AF1452)&lt;1,"",SUM(Q1452:AF1452)/COUNTIF(Q1452:AF1452,"&gt;0"))</f>
        <v>75</v>
      </c>
      <c r="P1452" s="16"/>
      <c r="Q1452" s="13"/>
      <c r="R1452" s="4"/>
      <c r="S1452" s="4"/>
      <c r="T1452" s="4">
        <v>75</v>
      </c>
      <c r="U1452" s="2"/>
      <c r="V1452" s="2"/>
      <c r="W1452" s="2"/>
      <c r="X1452" s="2"/>
      <c r="Y1452" s="4"/>
      <c r="Z1452" s="2"/>
      <c r="AA1452" s="2"/>
      <c r="AB1452" s="4"/>
      <c r="AC1452" s="4"/>
      <c r="AD1452" s="4"/>
      <c r="AE1452" s="4"/>
      <c r="AF1452" s="14"/>
    </row>
    <row r="1453" spans="1:32" x14ac:dyDescent="0.25">
      <c r="A1453" s="33" t="str">
        <f>CONCATENATE(D1453,".",F1453,"-",G1453,".",H1453,"")</f>
        <v>2.4-9.1</v>
      </c>
      <c r="B1453" s="33" t="s">
        <v>814</v>
      </c>
      <c r="C1453" s="41" t="s">
        <v>262</v>
      </c>
      <c r="D1453" s="33">
        <f>IF(C1453="ID",1,(IF(C1453="PR",2,(IF(C1453="DE",3,(IF(C1453="RS",4,(IF(C1453="RC",5,0)))))))))</f>
        <v>2</v>
      </c>
      <c r="E1453" s="33" t="s">
        <v>344</v>
      </c>
      <c r="F1453" s="33">
        <f>IF(E1453="AM",1,(IF(E1453="BE",2,(IF(E1453="GV",3,(IF(E1453="RA",4,(IF(E1453="RM",5,(IF(E1453="AC",1,(IF(E1453="AT",2,(IF(E1453="DS",3,(IF(E1453="IP",4,(IF(E1453="MA",5,(IF(E1453="PT",6,(IF(E1453="AE",1,(IF(E1453="CM",2,(IF(E1453="DP",3,(IF(E1453="AN",1,(IF(E1453="CO",2,(IF(E1453="IM",3,(IF(E1453="MI",4,(IF(E1453="RP",5,(IF(E1453="SC",6,0)))))))))))))))))))))))))))))))))))))))</f>
        <v>4</v>
      </c>
      <c r="G1453" s="170">
        <v>9</v>
      </c>
      <c r="H1453" s="38" t="s">
        <v>511</v>
      </c>
      <c r="I1453" s="22" t="s">
        <v>266</v>
      </c>
      <c r="J1453" s="149" t="s">
        <v>299</v>
      </c>
      <c r="K1453" s="79" t="s">
        <v>1377</v>
      </c>
      <c r="L1453" s="5">
        <f>IF(O1453="","",N1453*O1453*M1453)</f>
        <v>75</v>
      </c>
      <c r="M1453" s="8">
        <v>1</v>
      </c>
      <c r="N1453" s="1">
        <v>1</v>
      </c>
      <c r="O1453" s="15">
        <f>IF(SUM(Q1453:AF1453)&lt;1,"",SUM(Q1453:AF1453)/COUNTIF(Q1453:AF1453,"&gt;0"))</f>
        <v>75</v>
      </c>
      <c r="P1453" s="16"/>
      <c r="Q1453" s="13"/>
      <c r="R1453" s="4"/>
      <c r="S1453" s="4"/>
      <c r="T1453" s="4">
        <v>75</v>
      </c>
      <c r="U1453" s="2"/>
      <c r="V1453" s="2"/>
      <c r="W1453" s="2"/>
      <c r="X1453" s="2"/>
      <c r="Y1453" s="4"/>
      <c r="Z1453" s="2"/>
      <c r="AA1453" s="2"/>
      <c r="AB1453" s="4"/>
      <c r="AC1453" s="4"/>
      <c r="AD1453" s="4"/>
      <c r="AE1453" s="4"/>
      <c r="AF1453" s="14"/>
    </row>
    <row r="1454" spans="1:32" x14ac:dyDescent="0.25">
      <c r="A1454" s="33" t="str">
        <f>CONCATENATE(D1454,".",F1454,"-",G1454,".",H1454,"")</f>
        <v>2.4-9.1</v>
      </c>
      <c r="B1454" s="33" t="s">
        <v>814</v>
      </c>
      <c r="C1454" s="39" t="s">
        <v>262</v>
      </c>
      <c r="D1454" s="33">
        <f>IF(C1454="ID",1,(IF(C1454="PR",2,(IF(C1454="DE",3,(IF(C1454="RS",4,(IF(C1454="RC",5,0)))))))))</f>
        <v>2</v>
      </c>
      <c r="E1454" s="33" t="s">
        <v>344</v>
      </c>
      <c r="F1454" s="33">
        <f>IF(E1454="AM",1,(IF(E1454="BE",2,(IF(E1454="GV",3,(IF(E1454="RA",4,(IF(E1454="RM",5,(IF(E1454="AC",1,(IF(E1454="AT",2,(IF(E1454="DS",3,(IF(E1454="IP",4,(IF(E1454="MA",5,(IF(E1454="PT",6,(IF(E1454="AE",1,(IF(E1454="CM",2,(IF(E1454="DP",3,(IF(E1454="AN",1,(IF(E1454="CO",2,(IF(E1454="IM",3,(IF(E1454="MI",4,(IF(E1454="RP",5,(IF(E1454="SC",6,0)))))))))))))))))))))))))))))))))))))))</f>
        <v>4</v>
      </c>
      <c r="G1454" s="170">
        <v>9</v>
      </c>
      <c r="H1454" s="33">
        <v>1</v>
      </c>
      <c r="I1454" s="22" t="s">
        <v>266</v>
      </c>
      <c r="J1454" s="150" t="s">
        <v>79</v>
      </c>
      <c r="K1454" s="79" t="s">
        <v>1394</v>
      </c>
      <c r="L1454" s="5">
        <f>IF(O1454="","",N1454*O1454*M1454)</f>
        <v>75</v>
      </c>
      <c r="M1454" s="8">
        <v>1</v>
      </c>
      <c r="N1454" s="1">
        <v>1</v>
      </c>
      <c r="O1454" s="15">
        <f>IF(SUM(Q1454:AF1454)&lt;1,"",SUM(Q1454:AF1454)/COUNTIF(Q1454:AF1454,"&gt;0"))</f>
        <v>75</v>
      </c>
      <c r="P1454" s="16"/>
      <c r="Q1454" s="13"/>
      <c r="T1454" s="4">
        <v>75</v>
      </c>
      <c r="AF1454" s="104"/>
    </row>
    <row r="1455" spans="1:32" x14ac:dyDescent="0.25">
      <c r="A1455" s="33" t="str">
        <f>CONCATENATE(D1455,".",F1455,"-",G1455,".",H1455,"")</f>
        <v>2.4-9.1</v>
      </c>
      <c r="B1455" s="33" t="s">
        <v>1232</v>
      </c>
      <c r="C1455" s="40" t="s">
        <v>262</v>
      </c>
      <c r="D1455" s="33">
        <f>IF(C1455="ID",1,(IF(C1455="PR",2,(IF(C1455="DE",3,(IF(C1455="RS",4,(IF(C1455="RC",5,0)))))))))</f>
        <v>2</v>
      </c>
      <c r="E1455" s="33" t="s">
        <v>344</v>
      </c>
      <c r="F1455" s="33">
        <f>IF(E1455="AM",1,(IF(E1455="BE",2,(IF(E1455="GV",3,(IF(E1455="RA",4,(IF(E1455="RM",5,(IF(E1455="AC",1,(IF(E1455="AT",2,(IF(E1455="DS",3,(IF(E1455="IP",4,(IF(E1455="MA",5,(IF(E1455="PT",6,(IF(E1455="AE",1,(IF(E1455="CM",2,(IF(E1455="DP",3,(IF(E1455="AN",1,(IF(E1455="CO",2,(IF(E1455="IM",3,(IF(E1455="MI",4,(IF(E1455="RP",5,(IF(E1455="SC",6,0)))))))))))))))))))))))))))))))))))))))</f>
        <v>4</v>
      </c>
      <c r="G1455" s="170">
        <v>9</v>
      </c>
      <c r="H1455" s="38" t="s">
        <v>511</v>
      </c>
      <c r="I1455" s="3" t="s">
        <v>821</v>
      </c>
      <c r="J1455" s="150" t="s">
        <v>852</v>
      </c>
      <c r="K1455" s="79" t="s">
        <v>1283</v>
      </c>
      <c r="L1455" s="66">
        <f>IF(O1455="","",N1455*O1455*M1455)</f>
        <v>75</v>
      </c>
      <c r="M1455" s="8">
        <v>1</v>
      </c>
      <c r="N1455" s="3">
        <v>1</v>
      </c>
      <c r="O1455" s="15">
        <f>IF(SUM(Q1455:AF1455)&lt;1,"",SUM(Q1455:AF1455)/COUNTIF(Q1455:AF1455,"&gt;0"))</f>
        <v>75</v>
      </c>
      <c r="P1455" s="16"/>
      <c r="Q1455" s="13"/>
      <c r="R1455" s="4"/>
      <c r="S1455" s="4"/>
      <c r="T1455" s="4">
        <v>75</v>
      </c>
      <c r="U1455" s="2"/>
      <c r="V1455" s="2"/>
      <c r="W1455" s="2"/>
      <c r="X1455" s="2"/>
      <c r="Y1455" s="4"/>
      <c r="Z1455" s="2"/>
      <c r="AA1455" s="2"/>
      <c r="AB1455" s="4"/>
      <c r="AC1455" s="4"/>
      <c r="AD1455" s="4"/>
      <c r="AE1455" s="4"/>
      <c r="AF1455" s="14"/>
    </row>
    <row r="1456" spans="1:32" x14ac:dyDescent="0.25">
      <c r="A1456" s="33" t="str">
        <f>CONCATENATE(D1456,".",F1456,"-",G1456,".",H1456,"")</f>
        <v>2.4-9.1</v>
      </c>
      <c r="B1456" s="33" t="s">
        <v>814</v>
      </c>
      <c r="C1456" s="39" t="s">
        <v>262</v>
      </c>
      <c r="D1456" s="33">
        <f>IF(C1456="ID",1,(IF(C1456="PR",2,(IF(C1456="DE",3,(IF(C1456="RS",4,(IF(C1456="RC",5,0)))))))))</f>
        <v>2</v>
      </c>
      <c r="E1456" s="33" t="s">
        <v>344</v>
      </c>
      <c r="F1456" s="33">
        <f>IF(E1456="AM",1,(IF(E1456="BE",2,(IF(E1456="GV",3,(IF(E1456="RA",4,(IF(E1456="RM",5,(IF(E1456="AC",1,(IF(E1456="AT",2,(IF(E1456="DS",3,(IF(E1456="IP",4,(IF(E1456="MA",5,(IF(E1456="PT",6,(IF(E1456="AE",1,(IF(E1456="CM",2,(IF(E1456="DP",3,(IF(E1456="AN",1,(IF(E1456="CO",2,(IF(E1456="IM",3,(IF(E1456="MI",4,(IF(E1456="RP",5,(IF(E1456="SC",6,0)))))))))))))))))))))))))))))))))))))))</f>
        <v>4</v>
      </c>
      <c r="G1456" s="170">
        <v>9</v>
      </c>
      <c r="H1456" s="38" t="s">
        <v>511</v>
      </c>
      <c r="I1456" s="79" t="s">
        <v>1176</v>
      </c>
      <c r="J1456" s="162">
        <v>19</v>
      </c>
      <c r="K1456" s="80" t="s">
        <v>1161</v>
      </c>
      <c r="L1456" s="66">
        <f>IF(O1456="","",N1456*O1456*M1456)</f>
        <v>75</v>
      </c>
      <c r="M1456" s="8">
        <v>1</v>
      </c>
      <c r="N1456" s="3">
        <v>1</v>
      </c>
      <c r="O1456" s="15">
        <f>IF(SUM(Q1456:AF1456)&lt;1,"",SUM(Q1456:AF1456)/COUNTIF(Q1456:AF1456,"&gt;0"))</f>
        <v>75</v>
      </c>
      <c r="P1456" s="16"/>
      <c r="Q1456" s="13"/>
      <c r="R1456" s="4"/>
      <c r="S1456" s="4"/>
      <c r="T1456" s="4">
        <v>75</v>
      </c>
      <c r="U1456" s="2"/>
      <c r="V1456" s="2"/>
      <c r="W1456" s="2"/>
      <c r="X1456" s="2"/>
      <c r="Y1456" s="4"/>
      <c r="Z1456" s="2"/>
      <c r="AA1456" s="2"/>
      <c r="AB1456" s="4"/>
      <c r="AC1456" s="4"/>
      <c r="AD1456" s="4"/>
      <c r="AE1456" s="4"/>
      <c r="AF1456" s="14"/>
    </row>
    <row r="1457" spans="1:32" x14ac:dyDescent="0.25">
      <c r="A1457" s="33" t="str">
        <f>CONCATENATE(D1457,".",F1457,"-",G1457,".",H1457,"")</f>
        <v>2.4-9.1</v>
      </c>
      <c r="B1457" s="33" t="s">
        <v>814</v>
      </c>
      <c r="C1457" s="39" t="s">
        <v>262</v>
      </c>
      <c r="D1457" s="33">
        <f>IF(C1457="ID",1,(IF(C1457="PR",2,(IF(C1457="DE",3,(IF(C1457="RS",4,(IF(C1457="RC",5,0)))))))))</f>
        <v>2</v>
      </c>
      <c r="E1457" s="33" t="s">
        <v>344</v>
      </c>
      <c r="F1457" s="33">
        <f>IF(E1457="AM",1,(IF(E1457="BE",2,(IF(E1457="GV",3,(IF(E1457="RA",4,(IF(E1457="RM",5,(IF(E1457="AC",1,(IF(E1457="AT",2,(IF(E1457="DS",3,(IF(E1457="IP",4,(IF(E1457="MA",5,(IF(E1457="PT",6,(IF(E1457="AE",1,(IF(E1457="CM",2,(IF(E1457="DP",3,(IF(E1457="AN",1,(IF(E1457="CO",2,(IF(E1457="IM",3,(IF(E1457="MI",4,(IF(E1457="RP",5,(IF(E1457="SC",6,0)))))))))))))))))))))))))))))))))))))))</f>
        <v>4</v>
      </c>
      <c r="G1457" s="170">
        <v>9</v>
      </c>
      <c r="H1457" s="38" t="s">
        <v>511</v>
      </c>
      <c r="I1457" s="3" t="s">
        <v>1449</v>
      </c>
      <c r="J1457" s="157" t="s">
        <v>1969</v>
      </c>
      <c r="K1457" s="34" t="s">
        <v>1970</v>
      </c>
      <c r="L1457" s="5">
        <f>IF(O1457="","",N1457*O1457*M1457)</f>
        <v>99</v>
      </c>
      <c r="M1457" s="8">
        <v>1</v>
      </c>
      <c r="N1457" s="1">
        <v>1</v>
      </c>
      <c r="O1457" s="15">
        <f>IF(SUM(Q1457:AF1457)&lt;1,"",SUM(Q1457:AF1457)/COUNTIF(Q1457:AF1457,"&gt;0"))</f>
        <v>99</v>
      </c>
      <c r="P1457" s="16"/>
      <c r="Q1457" s="13"/>
      <c r="R1457" s="4"/>
      <c r="S1457" s="4"/>
      <c r="T1457" s="4">
        <v>99</v>
      </c>
      <c r="U1457" s="2"/>
      <c r="V1457" s="2"/>
      <c r="W1457" s="2"/>
      <c r="X1457" s="2"/>
      <c r="Y1457" s="4"/>
      <c r="Z1457" s="2"/>
      <c r="AA1457" s="2"/>
      <c r="AB1457" s="4"/>
      <c r="AC1457" s="4"/>
      <c r="AD1457" s="4"/>
      <c r="AE1457" s="4"/>
      <c r="AF1457" s="14"/>
    </row>
    <row r="1458" spans="1:32" x14ac:dyDescent="0.25">
      <c r="A1458" s="33" t="str">
        <f>CONCATENATE(D1458,".",F1458,"-",G1458,".",H1458,"")</f>
        <v>2.4-9.1</v>
      </c>
      <c r="B1458" s="33" t="s">
        <v>814</v>
      </c>
      <c r="C1458" s="39" t="s">
        <v>262</v>
      </c>
      <c r="D1458" s="33">
        <f>IF(C1458="ID",1,(IF(C1458="PR",2,(IF(C1458="DE",3,(IF(C1458="RS",4,(IF(C1458="RC",5,0)))))))))</f>
        <v>2</v>
      </c>
      <c r="E1458" s="33" t="s">
        <v>344</v>
      </c>
      <c r="F1458" s="33">
        <f>IF(E1458="AM",1,(IF(E1458="BE",2,(IF(E1458="GV",3,(IF(E1458="RA",4,(IF(E1458="RM",5,(IF(E1458="AC",1,(IF(E1458="AT",2,(IF(E1458="DS",3,(IF(E1458="IP",4,(IF(E1458="MA",5,(IF(E1458="PT",6,(IF(E1458="AE",1,(IF(E1458="CM",2,(IF(E1458="DP",3,(IF(E1458="AN",1,(IF(E1458="CO",2,(IF(E1458="IM",3,(IF(E1458="MI",4,(IF(E1458="RP",5,(IF(E1458="SC",6,0)))))))))))))))))))))))))))))))))))))))</f>
        <v>4</v>
      </c>
      <c r="G1458" s="170">
        <v>9</v>
      </c>
      <c r="H1458" s="38" t="s">
        <v>511</v>
      </c>
      <c r="I1458" s="3" t="s">
        <v>1449</v>
      </c>
      <c r="J1458" s="157" t="s">
        <v>2199</v>
      </c>
      <c r="K1458" s="34" t="s">
        <v>2200</v>
      </c>
      <c r="L1458" s="5">
        <f>IF(O1458="","",N1458*O1458*M1458)</f>
        <v>99</v>
      </c>
      <c r="M1458" s="8">
        <v>1</v>
      </c>
      <c r="N1458" s="1">
        <v>1</v>
      </c>
      <c r="O1458" s="15">
        <f>IF(SUM(Q1458:AF1458)&lt;1,"",SUM(Q1458:AF1458)/COUNTIF(Q1458:AF1458,"&gt;0"))</f>
        <v>99</v>
      </c>
      <c r="P1458" s="16"/>
      <c r="Q1458" s="13"/>
      <c r="R1458" s="4"/>
      <c r="S1458" s="4"/>
      <c r="T1458" s="4">
        <v>99</v>
      </c>
      <c r="U1458" s="2"/>
      <c r="V1458" s="2"/>
      <c r="W1458" s="2"/>
      <c r="X1458" s="2"/>
      <c r="Y1458" s="4"/>
      <c r="Z1458" s="2"/>
      <c r="AA1458" s="2"/>
      <c r="AB1458" s="4"/>
      <c r="AC1458" s="4"/>
      <c r="AD1458" s="4"/>
      <c r="AE1458" s="4"/>
      <c r="AF1458" s="14"/>
    </row>
    <row r="1459" spans="1:32" x14ac:dyDescent="0.25">
      <c r="A1459" s="33" t="str">
        <f>CONCATENATE(D1459,".",F1459,"-",G1459,".",H1459,"")</f>
        <v>2.5-0.0</v>
      </c>
      <c r="B1459" s="33" t="s">
        <v>1229</v>
      </c>
      <c r="C1459" s="40" t="s">
        <v>262</v>
      </c>
      <c r="D1459" s="33">
        <f>IF(C1459="ID",1,(IF(C1459="PR",2,(IF(C1459="DE",3,(IF(C1459="RS",4,(IF(C1459="RC",5,0)))))))))</f>
        <v>2</v>
      </c>
      <c r="E1459" s="33" t="s">
        <v>260</v>
      </c>
      <c r="F1459" s="33">
        <f>IF(E1459="AM",1,(IF(E1459="BE",2,(IF(E1459="GV",3,(IF(E1459="RA",4,(IF(E1459="RM",5,(IF(E1459="AC",1,(IF(E1459="AT",2,(IF(E1459="DS",3,(IF(E1459="IP",4,(IF(E1459="MA",5,(IF(E1459="PT",6,(IF(E1459="AE",1,(IF(E1459="CM",2,(IF(E1459="DP",3,(IF(E1459="AN",1,(IF(E1459="CO",2,(IF(E1459="IM",3,(IF(E1459="MI",4,(IF(E1459="RP",5,(IF(E1459="SC",6,0)))))))))))))))))))))))))))))))))))))))</f>
        <v>5</v>
      </c>
      <c r="G1459" s="170">
        <v>0</v>
      </c>
      <c r="H1459" s="38" t="s">
        <v>597</v>
      </c>
      <c r="I1459" s="22" t="s">
        <v>1200</v>
      </c>
      <c r="J1459" s="165" t="s">
        <v>691</v>
      </c>
      <c r="K1459" s="98" t="s">
        <v>736</v>
      </c>
      <c r="L1459" s="5" t="str">
        <f>IF(O1459="","",N1459*O1459*M1459)</f>
        <v/>
      </c>
      <c r="M1459" s="8">
        <v>1</v>
      </c>
      <c r="N1459" s="1">
        <v>1</v>
      </c>
      <c r="O1459" s="15" t="str">
        <f>IF(SUM(Q1459:AF1459)&lt;1,"",SUM(Q1459:AF1459)/COUNTIF(Q1459:AF1459,"&gt;0"))</f>
        <v/>
      </c>
      <c r="P1459" s="16"/>
      <c r="Q1459" s="13"/>
      <c r="R1459" s="4"/>
      <c r="S1459" s="4"/>
      <c r="T1459" s="2"/>
      <c r="U1459" s="2"/>
      <c r="V1459" s="2"/>
      <c r="W1459" s="2"/>
      <c r="X1459" s="2"/>
      <c r="Y1459" s="4"/>
      <c r="Z1459" s="2"/>
      <c r="AA1459" s="2"/>
      <c r="AB1459" s="4"/>
      <c r="AC1459" s="4"/>
      <c r="AD1459" s="4"/>
      <c r="AE1459" s="4"/>
      <c r="AF1459" s="14"/>
    </row>
    <row r="1460" spans="1:32" x14ac:dyDescent="0.25">
      <c r="A1460" s="33" t="str">
        <f>CONCATENATE(D1460,".",F1460,"-",G1460,".",H1460,"")</f>
        <v>2.5-0.1</v>
      </c>
      <c r="B1460" s="33" t="s">
        <v>1229</v>
      </c>
      <c r="C1460" s="40" t="s">
        <v>262</v>
      </c>
      <c r="D1460" s="33">
        <f>IF(C1460="ID",1,(IF(C1460="PR",2,(IF(C1460="DE",3,(IF(C1460="RS",4,(IF(C1460="RC",5,0)))))))))</f>
        <v>2</v>
      </c>
      <c r="E1460" s="33" t="s">
        <v>260</v>
      </c>
      <c r="F1460" s="33">
        <f>IF(E1460="AM",1,(IF(E1460="BE",2,(IF(E1460="GV",3,(IF(E1460="RA",4,(IF(E1460="RM",5,(IF(E1460="AC",1,(IF(E1460="AT",2,(IF(E1460="DS",3,(IF(E1460="IP",4,(IF(E1460="MA",5,(IF(E1460="PT",6,(IF(E1460="AE",1,(IF(E1460="CM",2,(IF(E1460="DP",3,(IF(E1460="AN",1,(IF(E1460="CO",2,(IF(E1460="IM",3,(IF(E1460="MI",4,(IF(E1460="RP",5,(IF(E1460="SC",6,0)))))))))))))))))))))))))))))))))))))))</f>
        <v>5</v>
      </c>
      <c r="G1460" s="170">
        <v>0</v>
      </c>
      <c r="H1460" s="38" t="s">
        <v>511</v>
      </c>
      <c r="I1460" s="22" t="s">
        <v>1200</v>
      </c>
      <c r="J1460" s="165" t="s">
        <v>691</v>
      </c>
      <c r="K1460" s="98" t="s">
        <v>753</v>
      </c>
      <c r="L1460" s="5" t="str">
        <f>IF(O1460="","",N1460*O1460*M1460)</f>
        <v/>
      </c>
      <c r="M1460" s="8">
        <v>1</v>
      </c>
      <c r="N1460" s="1">
        <v>1</v>
      </c>
      <c r="O1460" s="15" t="str">
        <f>IF(SUM(Q1460:AF1460)&lt;1,"",SUM(Q1460:AF1460)/COUNTIF(Q1460:AF1460,"&gt;0"))</f>
        <v/>
      </c>
      <c r="P1460" s="16"/>
      <c r="Q1460" s="13"/>
      <c r="R1460" s="4"/>
      <c r="S1460" s="4"/>
      <c r="T1460" s="2"/>
      <c r="U1460" s="2"/>
      <c r="V1460" s="2"/>
      <c r="W1460" s="2"/>
      <c r="X1460" s="2"/>
      <c r="Y1460" s="4"/>
      <c r="Z1460" s="2"/>
      <c r="AA1460" s="2"/>
      <c r="AB1460" s="4"/>
      <c r="AC1460" s="4"/>
      <c r="AD1460" s="4"/>
      <c r="AE1460" s="4"/>
      <c r="AF1460" s="14"/>
    </row>
    <row r="1461" spans="1:32" x14ac:dyDescent="0.25">
      <c r="A1461" s="33" t="str">
        <f>CONCATENATE(D1461,".",F1461,"-",G1461,".",H1461,"")</f>
        <v>2.5-1.0</v>
      </c>
      <c r="B1461" s="33" t="s">
        <v>814</v>
      </c>
      <c r="C1461" s="40" t="s">
        <v>262</v>
      </c>
      <c r="D1461" s="33">
        <f>IF(C1461="ID",1,(IF(C1461="PR",2,(IF(C1461="DE",3,(IF(C1461="RS",4,(IF(C1461="RC",5,0)))))))))</f>
        <v>2</v>
      </c>
      <c r="E1461" s="33" t="s">
        <v>260</v>
      </c>
      <c r="F1461" s="33">
        <f>IF(E1461="AM",1,(IF(E1461="BE",2,(IF(E1461="GV",3,(IF(E1461="RA",4,(IF(E1461="RM",5,(IF(E1461="AC",1,(IF(E1461="AT",2,(IF(E1461="DS",3,(IF(E1461="IP",4,(IF(E1461="MA",5,(IF(E1461="PT",6,(IF(E1461="AE",1,(IF(E1461="CM",2,(IF(E1461="DP",3,(IF(E1461="AN",1,(IF(E1461="CO",2,(IF(E1461="IM",3,(IF(E1461="MI",4,(IF(E1461="RP",5,(IF(E1461="SC",6,0)))))))))))))))))))))))))))))))))))))))</f>
        <v>5</v>
      </c>
      <c r="G1461" s="170">
        <v>1</v>
      </c>
      <c r="H1461" s="38" t="s">
        <v>597</v>
      </c>
      <c r="I1461" s="22" t="s">
        <v>1200</v>
      </c>
      <c r="J1461" s="149" t="s">
        <v>692</v>
      </c>
      <c r="K1461" s="98" t="s">
        <v>396</v>
      </c>
      <c r="L1461" s="5">
        <f>IF(O1461="","",N1461*O1461*M1461)</f>
        <v>75</v>
      </c>
      <c r="M1461" s="8">
        <v>1</v>
      </c>
      <c r="N1461" s="1">
        <v>1</v>
      </c>
      <c r="O1461" s="15">
        <f>IF(SUM(Q1461:AF1461)&lt;1,"",SUM(Q1461:AF1461)/COUNTIF(Q1461:AF1461,"&gt;0"))</f>
        <v>75</v>
      </c>
      <c r="P1461" s="16"/>
      <c r="Q1461" s="13"/>
      <c r="R1461" s="4"/>
      <c r="S1461" s="4"/>
      <c r="T1461" s="4">
        <v>75</v>
      </c>
      <c r="U1461" s="2"/>
      <c r="V1461" s="2"/>
      <c r="W1461" s="2"/>
      <c r="X1461" s="2"/>
      <c r="Y1461" s="4"/>
      <c r="Z1461" s="2"/>
      <c r="AA1461" s="2"/>
      <c r="AB1461" s="4"/>
      <c r="AC1461" s="4"/>
      <c r="AD1461" s="4"/>
      <c r="AE1461" s="4"/>
      <c r="AF1461" s="14"/>
    </row>
    <row r="1462" spans="1:32" x14ac:dyDescent="0.25">
      <c r="A1462" s="33" t="str">
        <f>CONCATENATE(D1462,".",F1462,"-",G1462,".",H1462,"")</f>
        <v>2.5-1.1</v>
      </c>
      <c r="B1462" s="33" t="s">
        <v>814</v>
      </c>
      <c r="C1462" s="40" t="s">
        <v>262</v>
      </c>
      <c r="D1462" s="33">
        <f>IF(C1462="ID",1,(IF(C1462="PR",2,(IF(C1462="DE",3,(IF(C1462="RS",4,(IF(C1462="RC",5,0)))))))))</f>
        <v>2</v>
      </c>
      <c r="E1462" s="33" t="s">
        <v>260</v>
      </c>
      <c r="F1462" s="33">
        <f>IF(E1462="AM",1,(IF(E1462="BE",2,(IF(E1462="GV",3,(IF(E1462="RA",4,(IF(E1462="RM",5,(IF(E1462="AC",1,(IF(E1462="AT",2,(IF(E1462="DS",3,(IF(E1462="IP",4,(IF(E1462="MA",5,(IF(E1462="PT",6,(IF(E1462="AE",1,(IF(E1462="CM",2,(IF(E1462="DP",3,(IF(E1462="AN",1,(IF(E1462="CO",2,(IF(E1462="IM",3,(IF(E1462="MI",4,(IF(E1462="RP",5,(IF(E1462="SC",6,0)))))))))))))))))))))))))))))))))))))))</f>
        <v>5</v>
      </c>
      <c r="G1462" s="171">
        <v>1</v>
      </c>
      <c r="H1462" s="38" t="s">
        <v>511</v>
      </c>
      <c r="I1462" s="22" t="s">
        <v>936</v>
      </c>
      <c r="J1462" s="163" t="s">
        <v>924</v>
      </c>
      <c r="K1462" s="34" t="s">
        <v>940</v>
      </c>
      <c r="L1462" s="66">
        <f>IF(O1462="","",N1462*O1462*M1462)</f>
        <v>75</v>
      </c>
      <c r="M1462" s="8">
        <v>1</v>
      </c>
      <c r="N1462" s="3">
        <v>1</v>
      </c>
      <c r="O1462" s="15">
        <f>IF(SUM(Q1462:AF1462)&lt;1,"",SUM(Q1462:AF1462)/COUNTIF(Q1462:AF1462,"&gt;0"))</f>
        <v>75</v>
      </c>
      <c r="P1462" s="16"/>
      <c r="Q1462" s="13"/>
      <c r="R1462" s="4"/>
      <c r="S1462" s="4"/>
      <c r="T1462" s="4">
        <v>75</v>
      </c>
      <c r="U1462" s="2"/>
      <c r="V1462" s="2"/>
      <c r="W1462" s="2"/>
      <c r="X1462" s="2"/>
      <c r="Y1462" s="4"/>
      <c r="Z1462" s="2"/>
      <c r="AA1462" s="2"/>
      <c r="AB1462" s="4"/>
      <c r="AC1462" s="4"/>
      <c r="AD1462" s="4"/>
      <c r="AE1462" s="4"/>
      <c r="AF1462" s="14"/>
    </row>
    <row r="1463" spans="1:32" x14ac:dyDescent="0.25">
      <c r="A1463" s="33" t="str">
        <f>CONCATENATE(D1463,".",F1463,"-",G1463,".",H1463,"")</f>
        <v>2.5-1.1</v>
      </c>
      <c r="B1463" s="33" t="s">
        <v>814</v>
      </c>
      <c r="C1463" s="40" t="s">
        <v>262</v>
      </c>
      <c r="D1463" s="33">
        <f>IF(C1463="ID",1,(IF(C1463="PR",2,(IF(C1463="DE",3,(IF(C1463="RS",4,(IF(C1463="RC",5,0)))))))))</f>
        <v>2</v>
      </c>
      <c r="E1463" s="33" t="s">
        <v>260</v>
      </c>
      <c r="F1463" s="33">
        <f>IF(E1463="AM",1,(IF(E1463="BE",2,(IF(E1463="GV",3,(IF(E1463="RA",4,(IF(E1463="RM",5,(IF(E1463="AC",1,(IF(E1463="AT",2,(IF(E1463="DS",3,(IF(E1463="IP",4,(IF(E1463="MA",5,(IF(E1463="PT",6,(IF(E1463="AE",1,(IF(E1463="CM",2,(IF(E1463="DP",3,(IF(E1463="AN",1,(IF(E1463="CO",2,(IF(E1463="IM",3,(IF(E1463="MI",4,(IF(E1463="RP",5,(IF(E1463="SC",6,0)))))))))))))))))))))))))))))))))))))))</f>
        <v>5</v>
      </c>
      <c r="G1463" s="171">
        <v>1</v>
      </c>
      <c r="H1463" s="38" t="s">
        <v>511</v>
      </c>
      <c r="I1463" s="3" t="s">
        <v>821</v>
      </c>
      <c r="J1463" s="150" t="s">
        <v>181</v>
      </c>
      <c r="K1463" s="79" t="s">
        <v>1283</v>
      </c>
      <c r="L1463" s="66">
        <f>IF(O1463="","",N1463*O1463*M1463)</f>
        <v>75</v>
      </c>
      <c r="M1463" s="8">
        <v>1</v>
      </c>
      <c r="N1463" s="3">
        <v>1</v>
      </c>
      <c r="O1463" s="15">
        <f>IF(SUM(Q1463:AF1463)&lt;1,"",SUM(Q1463:AF1463)/COUNTIF(Q1463:AF1463,"&gt;0"))</f>
        <v>75</v>
      </c>
      <c r="P1463" s="16"/>
      <c r="Q1463" s="13"/>
      <c r="R1463" s="4"/>
      <c r="S1463" s="4"/>
      <c r="T1463" s="4">
        <v>75</v>
      </c>
      <c r="U1463" s="2"/>
      <c r="V1463" s="2"/>
      <c r="W1463" s="2"/>
      <c r="X1463" s="2"/>
      <c r="Y1463" s="4"/>
      <c r="Z1463" s="2"/>
      <c r="AA1463" s="2"/>
      <c r="AB1463" s="4"/>
      <c r="AC1463" s="4"/>
      <c r="AD1463" s="4"/>
      <c r="AE1463" s="4"/>
      <c r="AF1463" s="14"/>
    </row>
    <row r="1464" spans="1:32" x14ac:dyDescent="0.25">
      <c r="A1464" s="33" t="str">
        <f>CONCATENATE(D1464,".",F1464,"-",G1464,".",H1464,"")</f>
        <v>2.5-1.1</v>
      </c>
      <c r="B1464" s="33" t="s">
        <v>814</v>
      </c>
      <c r="C1464" s="41" t="s">
        <v>262</v>
      </c>
      <c r="D1464" s="33">
        <f>IF(C1464="ID",1,(IF(C1464="PR",2,(IF(C1464="DE",3,(IF(C1464="RS",4,(IF(C1464="RC",5,0)))))))))</f>
        <v>2</v>
      </c>
      <c r="E1464" s="33" t="s">
        <v>260</v>
      </c>
      <c r="F1464" s="33">
        <f>IF(E1464="AM",1,(IF(E1464="BE",2,(IF(E1464="GV",3,(IF(E1464="RA",4,(IF(E1464="RM",5,(IF(E1464="AC",1,(IF(E1464="AT",2,(IF(E1464="DS",3,(IF(E1464="IP",4,(IF(E1464="MA",5,(IF(E1464="PT",6,(IF(E1464="AE",1,(IF(E1464="CM",2,(IF(E1464="DP",3,(IF(E1464="AN",1,(IF(E1464="CO",2,(IF(E1464="IM",3,(IF(E1464="MI",4,(IF(E1464="RP",5,(IF(E1464="SC",6,0)))))))))))))))))))))))))))))))))))))))</f>
        <v>5</v>
      </c>
      <c r="G1464" s="170">
        <v>1</v>
      </c>
      <c r="H1464" s="38" t="s">
        <v>511</v>
      </c>
      <c r="I1464" s="22" t="s">
        <v>266</v>
      </c>
      <c r="J1464" s="149" t="s">
        <v>307</v>
      </c>
      <c r="K1464" s="79" t="s">
        <v>1301</v>
      </c>
      <c r="L1464" s="5">
        <f>IF(O1464="","",N1464*O1464*M1464)</f>
        <v>75</v>
      </c>
      <c r="M1464" s="8">
        <v>1</v>
      </c>
      <c r="N1464" s="1">
        <v>1</v>
      </c>
      <c r="O1464" s="15">
        <f>IF(SUM(Q1464:AF1464)&lt;1,"",SUM(Q1464:AF1464)/COUNTIF(Q1464:AF1464,"&gt;0"))</f>
        <v>75</v>
      </c>
      <c r="P1464" s="16"/>
      <c r="Q1464" s="13"/>
      <c r="R1464" s="4"/>
      <c r="S1464" s="4"/>
      <c r="T1464" s="4">
        <v>75</v>
      </c>
      <c r="U1464" s="2"/>
      <c r="V1464" s="2"/>
      <c r="W1464" s="2"/>
      <c r="X1464" s="2"/>
      <c r="Y1464" s="4"/>
      <c r="Z1464" s="2"/>
      <c r="AA1464" s="2"/>
      <c r="AB1464" s="4"/>
      <c r="AC1464" s="4"/>
      <c r="AD1464" s="4"/>
      <c r="AE1464" s="4"/>
      <c r="AF1464" s="14"/>
    </row>
    <row r="1465" spans="1:32" x14ac:dyDescent="0.25">
      <c r="A1465" s="33" t="str">
        <f>CONCATENATE(D1465,".",F1465,"-",G1465,".",H1465,"")</f>
        <v>2.5-1.1</v>
      </c>
      <c r="B1465" s="33" t="s">
        <v>814</v>
      </c>
      <c r="C1465" s="39" t="s">
        <v>262</v>
      </c>
      <c r="D1465" s="33">
        <f>IF(C1465="ID",1,(IF(C1465="PR",2,(IF(C1465="DE",3,(IF(C1465="RS",4,(IF(C1465="RC",5,0)))))))))</f>
        <v>2</v>
      </c>
      <c r="E1465" s="33" t="s">
        <v>260</v>
      </c>
      <c r="F1465" s="33">
        <f>IF(E1465="AM",1,(IF(E1465="BE",2,(IF(E1465="GV",3,(IF(E1465="RA",4,(IF(E1465="RM",5,(IF(E1465="AC",1,(IF(E1465="AT",2,(IF(E1465="DS",3,(IF(E1465="IP",4,(IF(E1465="MA",5,(IF(E1465="PT",6,(IF(E1465="AE",1,(IF(E1465="CM",2,(IF(E1465="DP",3,(IF(E1465="AN",1,(IF(E1465="CO",2,(IF(E1465="IM",3,(IF(E1465="MI",4,(IF(E1465="RP",5,(IF(E1465="SC",6,0)))))))))))))))))))))))))))))))))))))))</f>
        <v>5</v>
      </c>
      <c r="G1465" s="170">
        <v>1</v>
      </c>
      <c r="H1465" s="33">
        <v>1</v>
      </c>
      <c r="I1465" s="22" t="s">
        <v>266</v>
      </c>
      <c r="J1465" s="150" t="s">
        <v>308</v>
      </c>
      <c r="K1465" s="79" t="s">
        <v>1302</v>
      </c>
      <c r="L1465" s="5">
        <f>IF(O1465="","",N1465*O1465*M1465)</f>
        <v>75</v>
      </c>
      <c r="M1465" s="8">
        <v>1</v>
      </c>
      <c r="N1465" s="1">
        <v>1</v>
      </c>
      <c r="O1465" s="15">
        <f>IF(SUM(Q1465:AF1465)&lt;1,"",SUM(Q1465:AF1465)/COUNTIF(Q1465:AF1465,"&gt;0"))</f>
        <v>75</v>
      </c>
      <c r="P1465" s="16"/>
      <c r="Q1465" s="13"/>
      <c r="T1465" s="4">
        <v>75</v>
      </c>
      <c r="AF1465" s="104"/>
    </row>
    <row r="1466" spans="1:32" x14ac:dyDescent="0.25">
      <c r="A1466" s="33" t="str">
        <f>CONCATENATE(D1466,".",F1466,"-",G1466,".",H1466,"")</f>
        <v>2.5-1.1</v>
      </c>
      <c r="B1466" s="33" t="s">
        <v>814</v>
      </c>
      <c r="C1466" s="39" t="s">
        <v>262</v>
      </c>
      <c r="D1466" s="33">
        <f>IF(C1466="ID",1,(IF(C1466="PR",2,(IF(C1466="DE",3,(IF(C1466="RS",4,(IF(C1466="RC",5,0)))))))))</f>
        <v>2</v>
      </c>
      <c r="E1466" s="33" t="s">
        <v>260</v>
      </c>
      <c r="F1466" s="33">
        <f>IF(E1466="AM",1,(IF(E1466="BE",2,(IF(E1466="GV",3,(IF(E1466="RA",4,(IF(E1466="RM",5,(IF(E1466="AC",1,(IF(E1466="AT",2,(IF(E1466="DS",3,(IF(E1466="IP",4,(IF(E1466="MA",5,(IF(E1466="PT",6,(IF(E1466="AE",1,(IF(E1466="CM",2,(IF(E1466="DP",3,(IF(E1466="AN",1,(IF(E1466="CO",2,(IF(E1466="IM",3,(IF(E1466="MI",4,(IF(E1466="RP",5,(IF(E1466="SC",6,0)))))))))))))))))))))))))))))))))))))))</f>
        <v>5</v>
      </c>
      <c r="G1466" s="170">
        <v>1</v>
      </c>
      <c r="H1466" s="33">
        <v>1</v>
      </c>
      <c r="I1466" s="22" t="s">
        <v>266</v>
      </c>
      <c r="J1466" s="150" t="s">
        <v>78</v>
      </c>
      <c r="K1466" s="79" t="s">
        <v>1309</v>
      </c>
      <c r="L1466" s="5">
        <f>IF(O1466="","",N1466*O1466*M1466)</f>
        <v>75</v>
      </c>
      <c r="M1466" s="8">
        <v>1</v>
      </c>
      <c r="N1466" s="1">
        <v>1</v>
      </c>
      <c r="O1466" s="15">
        <f>IF(SUM(Q1466:AF1466)&lt;1,"",SUM(Q1466:AF1466)/COUNTIF(Q1466:AF1466,"&gt;0"))</f>
        <v>75</v>
      </c>
      <c r="P1466" s="16"/>
      <c r="Q1466" s="13"/>
      <c r="T1466" s="4">
        <v>75</v>
      </c>
      <c r="AF1466" s="104"/>
    </row>
    <row r="1467" spans="1:32" x14ac:dyDescent="0.25">
      <c r="A1467" s="33" t="str">
        <f>CONCATENATE(D1467,".",F1467,"-",G1467,".",H1467,"")</f>
        <v>2.5-1.1</v>
      </c>
      <c r="B1467" s="33" t="s">
        <v>814</v>
      </c>
      <c r="C1467" s="39" t="s">
        <v>262</v>
      </c>
      <c r="D1467" s="33">
        <f>IF(C1467="ID",1,(IF(C1467="PR",2,(IF(C1467="DE",3,(IF(C1467="RS",4,(IF(C1467="RC",5,0)))))))))</f>
        <v>2</v>
      </c>
      <c r="E1467" s="33" t="s">
        <v>260</v>
      </c>
      <c r="F1467" s="33">
        <f>IF(E1467="AM",1,(IF(E1467="BE",2,(IF(E1467="GV",3,(IF(E1467="RA",4,(IF(E1467="RM",5,(IF(E1467="AC",1,(IF(E1467="AT",2,(IF(E1467="DS",3,(IF(E1467="IP",4,(IF(E1467="MA",5,(IF(E1467="PT",6,(IF(E1467="AE",1,(IF(E1467="CM",2,(IF(E1467="DP",3,(IF(E1467="AN",1,(IF(E1467="CO",2,(IF(E1467="IM",3,(IF(E1467="MI",4,(IF(E1467="RP",5,(IF(E1467="SC",6,0)))))))))))))))))))))))))))))))))))))))</f>
        <v>5</v>
      </c>
      <c r="G1467" s="170">
        <v>1</v>
      </c>
      <c r="H1467" s="33">
        <v>1</v>
      </c>
      <c r="I1467" s="22" t="s">
        <v>266</v>
      </c>
      <c r="J1467" s="150" t="s">
        <v>77</v>
      </c>
      <c r="K1467" s="79" t="s">
        <v>1382</v>
      </c>
      <c r="L1467" s="5">
        <f>IF(O1467="","",N1467*O1467*M1467)</f>
        <v>75</v>
      </c>
      <c r="M1467" s="8">
        <v>1</v>
      </c>
      <c r="N1467" s="1">
        <v>1</v>
      </c>
      <c r="O1467" s="15">
        <f>IF(SUM(Q1467:AF1467)&lt;1,"",SUM(Q1467:AF1467)/COUNTIF(Q1467:AF1467,"&gt;0"))</f>
        <v>75</v>
      </c>
      <c r="P1467" s="16"/>
      <c r="Q1467" s="13"/>
      <c r="T1467" s="4">
        <v>75</v>
      </c>
      <c r="AF1467" s="104"/>
    </row>
    <row r="1468" spans="1:32" x14ac:dyDescent="0.25">
      <c r="A1468" s="33" t="str">
        <f>CONCATENATE(D1468,".",F1468,"-",G1468,".",H1468,"")</f>
        <v>2.5-1.1</v>
      </c>
      <c r="B1468" s="33" t="s">
        <v>814</v>
      </c>
      <c r="C1468" s="39" t="s">
        <v>262</v>
      </c>
      <c r="D1468" s="33">
        <f>IF(C1468="ID",1,(IF(C1468="PR",2,(IF(C1468="DE",3,(IF(C1468="RS",4,(IF(C1468="RC",5,0)))))))))</f>
        <v>2</v>
      </c>
      <c r="E1468" s="33" t="s">
        <v>260</v>
      </c>
      <c r="F1468" s="33">
        <f>IF(E1468="AM",1,(IF(E1468="BE",2,(IF(E1468="GV",3,(IF(E1468="RA",4,(IF(E1468="RM",5,(IF(E1468="AC",1,(IF(E1468="AT",2,(IF(E1468="DS",3,(IF(E1468="IP",4,(IF(E1468="MA",5,(IF(E1468="PT",6,(IF(E1468="AE",1,(IF(E1468="CM",2,(IF(E1468="DP",3,(IF(E1468="AN",1,(IF(E1468="CO",2,(IF(E1468="IM",3,(IF(E1468="MI",4,(IF(E1468="RP",5,(IF(E1468="SC",6,0)))))))))))))))))))))))))))))))))))))))</f>
        <v>5</v>
      </c>
      <c r="G1468" s="170">
        <v>1</v>
      </c>
      <c r="H1468" s="33">
        <v>1</v>
      </c>
      <c r="I1468" s="22" t="s">
        <v>266</v>
      </c>
      <c r="J1468" s="150" t="s">
        <v>12</v>
      </c>
      <c r="K1468" s="79" t="s">
        <v>1389</v>
      </c>
      <c r="L1468" s="5">
        <f>IF(O1468="","",N1468*O1468*M1468)</f>
        <v>75</v>
      </c>
      <c r="M1468" s="8">
        <v>1</v>
      </c>
      <c r="N1468" s="1">
        <v>1</v>
      </c>
      <c r="O1468" s="15">
        <f>IF(SUM(Q1468:AF1468)&lt;1,"",SUM(Q1468:AF1468)/COUNTIF(Q1468:AF1468,"&gt;0"))</f>
        <v>75</v>
      </c>
      <c r="P1468" s="16"/>
      <c r="Q1468" s="13"/>
      <c r="T1468" s="4">
        <v>75</v>
      </c>
      <c r="AF1468" s="104"/>
    </row>
    <row r="1469" spans="1:32" x14ac:dyDescent="0.25">
      <c r="A1469" s="33" t="str">
        <f>CONCATENATE(D1469,".",F1469,"-",G1469,".",H1469,"")</f>
        <v>2.5-1.1</v>
      </c>
      <c r="C1469" s="39" t="s">
        <v>262</v>
      </c>
      <c r="D1469" s="33">
        <f>IF(C1469="ID",1,(IF(C1469="PR",2,(IF(C1469="DE",3,(IF(C1469="RS",4,(IF(C1469="RC",5,0)))))))))</f>
        <v>2</v>
      </c>
      <c r="E1469" s="33" t="s">
        <v>260</v>
      </c>
      <c r="F1469" s="33">
        <f>IF(E1469="AM",1,(IF(E1469="BE",2,(IF(E1469="GV",3,(IF(E1469="RA",4,(IF(E1469="RM",5,(IF(E1469="AC",1,(IF(E1469="AT",2,(IF(E1469="DS",3,(IF(E1469="IP",4,(IF(E1469="MA",5,(IF(E1469="PT",6,(IF(E1469="AE",1,(IF(E1469="CM",2,(IF(E1469="DP",3,(IF(E1469="AN",1,(IF(E1469="CO",2,(IF(E1469="IM",3,(IF(E1469="MI",4,(IF(E1469="RP",5,(IF(E1469="SC",6,0)))))))))))))))))))))))))))))))))))))))</f>
        <v>5</v>
      </c>
      <c r="G1469" s="170">
        <v>1</v>
      </c>
      <c r="H1469" s="38" t="s">
        <v>511</v>
      </c>
      <c r="I1469" s="3" t="s">
        <v>1449</v>
      </c>
      <c r="J1469" s="157" t="s">
        <v>2267</v>
      </c>
      <c r="K1469" s="34" t="s">
        <v>2268</v>
      </c>
      <c r="L1469" s="5">
        <f>IF(O1469="","",N1469*O1469*M1469)</f>
        <v>99</v>
      </c>
      <c r="M1469" s="8">
        <v>1</v>
      </c>
      <c r="N1469" s="1">
        <v>1</v>
      </c>
      <c r="O1469" s="15">
        <f>IF(SUM(Q1469:AF1469)&lt;1,"",SUM(Q1469:AF1469)/COUNTIF(Q1469:AF1469,"&gt;0"))</f>
        <v>99</v>
      </c>
      <c r="P1469" s="16"/>
      <c r="Q1469" s="13"/>
      <c r="R1469" s="4"/>
      <c r="S1469" s="4"/>
      <c r="T1469" s="4">
        <v>99</v>
      </c>
      <c r="U1469" s="2"/>
      <c r="V1469" s="2"/>
      <c r="W1469" s="2"/>
      <c r="X1469" s="2"/>
      <c r="Y1469" s="4"/>
      <c r="Z1469" s="2"/>
      <c r="AA1469" s="2"/>
      <c r="AB1469" s="4"/>
      <c r="AC1469" s="4"/>
      <c r="AD1469" s="4"/>
      <c r="AE1469" s="4"/>
      <c r="AF1469" s="14"/>
    </row>
    <row r="1470" spans="1:32" x14ac:dyDescent="0.25">
      <c r="A1470" s="33" t="str">
        <f>CONCATENATE(D1470,".",F1470,"-",G1470,".",H1470,"")</f>
        <v>2.5-1.1</v>
      </c>
      <c r="C1470" s="39" t="s">
        <v>262</v>
      </c>
      <c r="D1470" s="33">
        <f>IF(C1470="ID",1,(IF(C1470="PR",2,(IF(C1470="DE",3,(IF(C1470="RS",4,(IF(C1470="RC",5,0)))))))))</f>
        <v>2</v>
      </c>
      <c r="E1470" s="33" t="s">
        <v>260</v>
      </c>
      <c r="F1470" s="33">
        <f>IF(E1470="AM",1,(IF(E1470="BE",2,(IF(E1470="GV",3,(IF(E1470="RA",4,(IF(E1470="RM",5,(IF(E1470="AC",1,(IF(E1470="AT",2,(IF(E1470="DS",3,(IF(E1470="IP",4,(IF(E1470="MA",5,(IF(E1470="PT",6,(IF(E1470="AE",1,(IF(E1470="CM",2,(IF(E1470="DP",3,(IF(E1470="AN",1,(IF(E1470="CO",2,(IF(E1470="IM",3,(IF(E1470="MI",4,(IF(E1470="RP",5,(IF(E1470="SC",6,0)))))))))))))))))))))))))))))))))))))))</f>
        <v>5</v>
      </c>
      <c r="G1470" s="170">
        <v>1</v>
      </c>
      <c r="H1470" s="38" t="s">
        <v>511</v>
      </c>
      <c r="I1470" s="3" t="s">
        <v>1449</v>
      </c>
      <c r="J1470" s="157" t="s">
        <v>2269</v>
      </c>
      <c r="K1470" s="34" t="s">
        <v>2270</v>
      </c>
      <c r="L1470" s="5">
        <f>IF(O1470="","",N1470*O1470*M1470)</f>
        <v>99</v>
      </c>
      <c r="M1470" s="8">
        <v>1</v>
      </c>
      <c r="N1470" s="1">
        <v>1</v>
      </c>
      <c r="O1470" s="15">
        <f>IF(SUM(Q1470:AF1470)&lt;1,"",SUM(Q1470:AF1470)/COUNTIF(Q1470:AF1470,"&gt;0"))</f>
        <v>99</v>
      </c>
      <c r="P1470" s="16"/>
      <c r="Q1470" s="13"/>
      <c r="R1470" s="4"/>
      <c r="S1470" s="4"/>
      <c r="T1470" s="4">
        <v>99</v>
      </c>
      <c r="U1470" s="2"/>
      <c r="V1470" s="2"/>
      <c r="W1470" s="2"/>
      <c r="X1470" s="2"/>
      <c r="Y1470" s="4"/>
      <c r="Z1470" s="2"/>
      <c r="AA1470" s="2"/>
      <c r="AB1470" s="4"/>
      <c r="AC1470" s="4"/>
      <c r="AD1470" s="4"/>
      <c r="AE1470" s="4"/>
      <c r="AF1470" s="14"/>
    </row>
    <row r="1471" spans="1:32" x14ac:dyDescent="0.25">
      <c r="A1471" s="33" t="str">
        <f>CONCATENATE(D1471,".",F1471,"-",G1471,".",H1471,"")</f>
        <v>2.5-1.1</v>
      </c>
      <c r="C1471" s="39" t="s">
        <v>262</v>
      </c>
      <c r="D1471" s="33">
        <f>IF(C1471="ID",1,(IF(C1471="PR",2,(IF(C1471="DE",3,(IF(C1471="RS",4,(IF(C1471="RC",5,0)))))))))</f>
        <v>2</v>
      </c>
      <c r="E1471" s="33" t="s">
        <v>260</v>
      </c>
      <c r="F1471" s="33">
        <f>IF(E1471="AM",1,(IF(E1471="BE",2,(IF(E1471="GV",3,(IF(E1471="RA",4,(IF(E1471="RM",5,(IF(E1471="AC",1,(IF(E1471="AT",2,(IF(E1471="DS",3,(IF(E1471="IP",4,(IF(E1471="MA",5,(IF(E1471="PT",6,(IF(E1471="AE",1,(IF(E1471="CM",2,(IF(E1471="DP",3,(IF(E1471="AN",1,(IF(E1471="CO",2,(IF(E1471="IM",3,(IF(E1471="MI",4,(IF(E1471="RP",5,(IF(E1471="SC",6,0)))))))))))))))))))))))))))))))))))))))</f>
        <v>5</v>
      </c>
      <c r="G1471" s="170">
        <v>1</v>
      </c>
      <c r="H1471" s="38" t="s">
        <v>511</v>
      </c>
      <c r="I1471" s="3" t="s">
        <v>1449</v>
      </c>
      <c r="J1471" s="157" t="s">
        <v>2271</v>
      </c>
      <c r="K1471" s="34" t="s">
        <v>2272</v>
      </c>
      <c r="L1471" s="5">
        <f>IF(O1471="","",N1471*O1471*M1471)</f>
        <v>99</v>
      </c>
      <c r="M1471" s="8">
        <v>1</v>
      </c>
      <c r="N1471" s="1">
        <v>1</v>
      </c>
      <c r="O1471" s="15">
        <f>IF(SUM(Q1471:AF1471)&lt;1,"",SUM(Q1471:AF1471)/COUNTIF(Q1471:AF1471,"&gt;0"))</f>
        <v>99</v>
      </c>
      <c r="P1471" s="16"/>
      <c r="Q1471" s="13"/>
      <c r="R1471" s="4"/>
      <c r="S1471" s="4"/>
      <c r="T1471" s="4">
        <v>99</v>
      </c>
      <c r="U1471" s="2"/>
      <c r="V1471" s="2"/>
      <c r="W1471" s="2"/>
      <c r="X1471" s="2"/>
      <c r="Y1471" s="4"/>
      <c r="Z1471" s="2"/>
      <c r="AA1471" s="2"/>
      <c r="AB1471" s="4"/>
      <c r="AC1471" s="4"/>
      <c r="AD1471" s="4"/>
      <c r="AE1471" s="4"/>
      <c r="AF1471" s="14"/>
    </row>
    <row r="1472" spans="1:32" x14ac:dyDescent="0.25">
      <c r="A1472" s="33" t="str">
        <f>CONCATENATE(D1472,".",F1472,"-",G1472,".",H1472,"")</f>
        <v>2.5-1.1</v>
      </c>
      <c r="C1472" s="39" t="s">
        <v>262</v>
      </c>
      <c r="D1472" s="33">
        <f>IF(C1472="ID",1,(IF(C1472="PR",2,(IF(C1472="DE",3,(IF(C1472="RS",4,(IF(C1472="RC",5,0)))))))))</f>
        <v>2</v>
      </c>
      <c r="E1472" s="33" t="s">
        <v>260</v>
      </c>
      <c r="F1472" s="33">
        <f>IF(E1472="AM",1,(IF(E1472="BE",2,(IF(E1472="GV",3,(IF(E1472="RA",4,(IF(E1472="RM",5,(IF(E1472="AC",1,(IF(E1472="AT",2,(IF(E1472="DS",3,(IF(E1472="IP",4,(IF(E1472="MA",5,(IF(E1472="PT",6,(IF(E1472="AE",1,(IF(E1472="CM",2,(IF(E1472="DP",3,(IF(E1472="AN",1,(IF(E1472="CO",2,(IF(E1472="IM",3,(IF(E1472="MI",4,(IF(E1472="RP",5,(IF(E1472="SC",6,0)))))))))))))))))))))))))))))))))))))))</f>
        <v>5</v>
      </c>
      <c r="G1472" s="170">
        <v>1</v>
      </c>
      <c r="H1472" s="38" t="s">
        <v>511</v>
      </c>
      <c r="I1472" s="3" t="s">
        <v>1449</v>
      </c>
      <c r="J1472" s="157" t="s">
        <v>2273</v>
      </c>
      <c r="K1472" s="34" t="s">
        <v>2274</v>
      </c>
      <c r="L1472" s="5">
        <f>IF(O1472="","",N1472*O1472*M1472)</f>
        <v>99</v>
      </c>
      <c r="M1472" s="8">
        <v>1</v>
      </c>
      <c r="N1472" s="1">
        <v>1</v>
      </c>
      <c r="O1472" s="15">
        <f>IF(SUM(Q1472:AF1472)&lt;1,"",SUM(Q1472:AF1472)/COUNTIF(Q1472:AF1472,"&gt;0"))</f>
        <v>99</v>
      </c>
      <c r="P1472" s="16"/>
      <c r="Q1472" s="13"/>
      <c r="R1472" s="4"/>
      <c r="S1472" s="4"/>
      <c r="T1472" s="4">
        <v>99</v>
      </c>
      <c r="U1472" s="2"/>
      <c r="V1472" s="2"/>
      <c r="W1472" s="2"/>
      <c r="X1472" s="2"/>
      <c r="Y1472" s="4"/>
      <c r="Z1472" s="2"/>
      <c r="AA1472" s="2"/>
      <c r="AB1472" s="4"/>
      <c r="AC1472" s="4"/>
      <c r="AD1472" s="4"/>
      <c r="AE1472" s="4"/>
      <c r="AF1472" s="14"/>
    </row>
    <row r="1473" spans="1:32" x14ac:dyDescent="0.25">
      <c r="A1473" s="33" t="str">
        <f>CONCATENATE(D1473,".",F1473,"-",G1473,".",H1473,"")</f>
        <v>2.5-1.1</v>
      </c>
      <c r="C1473" s="39" t="s">
        <v>262</v>
      </c>
      <c r="D1473" s="33">
        <f>IF(C1473="ID",1,(IF(C1473="PR",2,(IF(C1473="DE",3,(IF(C1473="RS",4,(IF(C1473="RC",5,0)))))))))</f>
        <v>2</v>
      </c>
      <c r="E1473" s="33" t="s">
        <v>260</v>
      </c>
      <c r="F1473" s="33">
        <f>IF(E1473="AM",1,(IF(E1473="BE",2,(IF(E1473="GV",3,(IF(E1473="RA",4,(IF(E1473="RM",5,(IF(E1473="AC",1,(IF(E1473="AT",2,(IF(E1473="DS",3,(IF(E1473="IP",4,(IF(E1473="MA",5,(IF(E1473="PT",6,(IF(E1473="AE",1,(IF(E1473="CM",2,(IF(E1473="DP",3,(IF(E1473="AN",1,(IF(E1473="CO",2,(IF(E1473="IM",3,(IF(E1473="MI",4,(IF(E1473="RP",5,(IF(E1473="SC",6,0)))))))))))))))))))))))))))))))))))))))</f>
        <v>5</v>
      </c>
      <c r="G1473" s="170">
        <v>1</v>
      </c>
      <c r="H1473" s="38" t="s">
        <v>511</v>
      </c>
      <c r="I1473" s="3" t="s">
        <v>1449</v>
      </c>
      <c r="J1473" s="157" t="s">
        <v>2275</v>
      </c>
      <c r="K1473" s="34" t="s">
        <v>2276</v>
      </c>
      <c r="L1473" s="5">
        <f>IF(O1473="","",N1473*O1473*M1473)</f>
        <v>99</v>
      </c>
      <c r="M1473" s="8">
        <v>1</v>
      </c>
      <c r="N1473" s="1">
        <v>1</v>
      </c>
      <c r="O1473" s="15">
        <f>IF(SUM(Q1473:AF1473)&lt;1,"",SUM(Q1473:AF1473)/COUNTIF(Q1473:AF1473,"&gt;0"))</f>
        <v>99</v>
      </c>
      <c r="P1473" s="16"/>
      <c r="Q1473" s="13"/>
      <c r="R1473" s="4"/>
      <c r="S1473" s="4"/>
      <c r="T1473" s="4">
        <v>99</v>
      </c>
      <c r="U1473" s="2"/>
      <c r="V1473" s="2"/>
      <c r="W1473" s="2"/>
      <c r="X1473" s="2"/>
      <c r="Y1473" s="4"/>
      <c r="Z1473" s="2"/>
      <c r="AA1473" s="2"/>
      <c r="AB1473" s="4"/>
      <c r="AC1473" s="4"/>
      <c r="AD1473" s="4"/>
      <c r="AE1473" s="4"/>
      <c r="AF1473" s="14"/>
    </row>
    <row r="1474" spans="1:32" x14ac:dyDescent="0.25">
      <c r="A1474" s="33" t="str">
        <f>CONCATENATE(D1474,".",F1474,"-",G1474,".",H1474,"")</f>
        <v>2.5-1.1</v>
      </c>
      <c r="C1474" s="39" t="s">
        <v>262</v>
      </c>
      <c r="D1474" s="33">
        <f>IF(C1474="ID",1,(IF(C1474="PR",2,(IF(C1474="DE",3,(IF(C1474="RS",4,(IF(C1474="RC",5,0)))))))))</f>
        <v>2</v>
      </c>
      <c r="E1474" s="33" t="s">
        <v>260</v>
      </c>
      <c r="F1474" s="33">
        <f>IF(E1474="AM",1,(IF(E1474="BE",2,(IF(E1474="GV",3,(IF(E1474="RA",4,(IF(E1474="RM",5,(IF(E1474="AC",1,(IF(E1474="AT",2,(IF(E1474="DS",3,(IF(E1474="IP",4,(IF(E1474="MA",5,(IF(E1474="PT",6,(IF(E1474="AE",1,(IF(E1474="CM",2,(IF(E1474="DP",3,(IF(E1474="AN",1,(IF(E1474="CO",2,(IF(E1474="IM",3,(IF(E1474="MI",4,(IF(E1474="RP",5,(IF(E1474="SC",6,0)))))))))))))))))))))))))))))))))))))))</f>
        <v>5</v>
      </c>
      <c r="G1474" s="170">
        <v>1</v>
      </c>
      <c r="H1474" s="38" t="s">
        <v>511</v>
      </c>
      <c r="I1474" s="3" t="s">
        <v>1449</v>
      </c>
      <c r="J1474" s="157" t="s">
        <v>2277</v>
      </c>
      <c r="K1474" s="34" t="s">
        <v>2278</v>
      </c>
      <c r="L1474" s="5">
        <f>IF(O1474="","",N1474*O1474*M1474)</f>
        <v>99</v>
      </c>
      <c r="M1474" s="8">
        <v>1</v>
      </c>
      <c r="N1474" s="1">
        <v>1</v>
      </c>
      <c r="O1474" s="15">
        <f>IF(SUM(Q1474:AF1474)&lt;1,"",SUM(Q1474:AF1474)/COUNTIF(Q1474:AF1474,"&gt;0"))</f>
        <v>99</v>
      </c>
      <c r="P1474" s="16"/>
      <c r="Q1474" s="13"/>
      <c r="R1474" s="4"/>
      <c r="S1474" s="4"/>
      <c r="T1474" s="4">
        <v>99</v>
      </c>
      <c r="U1474" s="2"/>
      <c r="V1474" s="2"/>
      <c r="W1474" s="2"/>
      <c r="X1474" s="2"/>
      <c r="Y1474" s="4"/>
      <c r="Z1474" s="2"/>
      <c r="AA1474" s="2"/>
      <c r="AB1474" s="4"/>
      <c r="AC1474" s="4"/>
      <c r="AD1474" s="4"/>
      <c r="AE1474" s="4"/>
      <c r="AF1474" s="14"/>
    </row>
    <row r="1475" spans="1:32" x14ac:dyDescent="0.25">
      <c r="A1475" s="33" t="str">
        <f>CONCATENATE(D1475,".",F1475,"-",G1475,".",H1475,"")</f>
        <v>2.5-1.1</v>
      </c>
      <c r="C1475" s="39" t="s">
        <v>262</v>
      </c>
      <c r="D1475" s="33">
        <f>IF(C1475="ID",1,(IF(C1475="PR",2,(IF(C1475="DE",3,(IF(C1475="RS",4,(IF(C1475="RC",5,0)))))))))</f>
        <v>2</v>
      </c>
      <c r="E1475" s="33" t="s">
        <v>260</v>
      </c>
      <c r="F1475" s="33">
        <f>IF(E1475="AM",1,(IF(E1475="BE",2,(IF(E1475="GV",3,(IF(E1475="RA",4,(IF(E1475="RM",5,(IF(E1475="AC",1,(IF(E1475="AT",2,(IF(E1475="DS",3,(IF(E1475="IP",4,(IF(E1475="MA",5,(IF(E1475="PT",6,(IF(E1475="AE",1,(IF(E1475="CM",2,(IF(E1475="DP",3,(IF(E1475="AN",1,(IF(E1475="CO",2,(IF(E1475="IM",3,(IF(E1475="MI",4,(IF(E1475="RP",5,(IF(E1475="SC",6,0)))))))))))))))))))))))))))))))))))))))</f>
        <v>5</v>
      </c>
      <c r="G1475" s="170">
        <v>1</v>
      </c>
      <c r="H1475" s="38" t="s">
        <v>511</v>
      </c>
      <c r="I1475" s="3" t="s">
        <v>1449</v>
      </c>
      <c r="J1475" s="157" t="s">
        <v>2279</v>
      </c>
      <c r="K1475" s="34" t="s">
        <v>2280</v>
      </c>
      <c r="L1475" s="5">
        <f>IF(O1475="","",N1475*O1475*M1475)</f>
        <v>99</v>
      </c>
      <c r="M1475" s="8">
        <v>1</v>
      </c>
      <c r="N1475" s="1">
        <v>1</v>
      </c>
      <c r="O1475" s="15">
        <f>IF(SUM(Q1475:AF1475)&lt;1,"",SUM(Q1475:AF1475)/COUNTIF(Q1475:AF1475,"&gt;0"))</f>
        <v>99</v>
      </c>
      <c r="P1475" s="16"/>
      <c r="Q1475" s="13"/>
      <c r="R1475" s="4"/>
      <c r="S1475" s="4"/>
      <c r="T1475" s="4">
        <v>99</v>
      </c>
      <c r="U1475" s="2"/>
      <c r="V1475" s="2"/>
      <c r="W1475" s="2"/>
      <c r="X1475" s="2"/>
      <c r="Y1475" s="4"/>
      <c r="Z1475" s="2"/>
      <c r="AA1475" s="2"/>
      <c r="AB1475" s="4"/>
      <c r="AC1475" s="4"/>
      <c r="AD1475" s="4"/>
      <c r="AE1475" s="4"/>
      <c r="AF1475" s="14"/>
    </row>
    <row r="1476" spans="1:32" x14ac:dyDescent="0.25">
      <c r="A1476" s="33" t="str">
        <f>CONCATENATE(D1476,".",F1476,"-",G1476,".",H1476,"")</f>
        <v>2.5-1.1</v>
      </c>
      <c r="C1476" s="39" t="s">
        <v>262</v>
      </c>
      <c r="D1476" s="33">
        <f>IF(C1476="ID",1,(IF(C1476="PR",2,(IF(C1476="DE",3,(IF(C1476="RS",4,(IF(C1476="RC",5,0)))))))))</f>
        <v>2</v>
      </c>
      <c r="E1476" s="33" t="s">
        <v>260</v>
      </c>
      <c r="F1476" s="33">
        <f>IF(E1476="AM",1,(IF(E1476="BE",2,(IF(E1476="GV",3,(IF(E1476="RA",4,(IF(E1476="RM",5,(IF(E1476="AC",1,(IF(E1476="AT",2,(IF(E1476="DS",3,(IF(E1476="IP",4,(IF(E1476="MA",5,(IF(E1476="PT",6,(IF(E1476="AE",1,(IF(E1476="CM",2,(IF(E1476="DP",3,(IF(E1476="AN",1,(IF(E1476="CO",2,(IF(E1476="IM",3,(IF(E1476="MI",4,(IF(E1476="RP",5,(IF(E1476="SC",6,0)))))))))))))))))))))))))))))))))))))))</f>
        <v>5</v>
      </c>
      <c r="G1476" s="170">
        <v>1</v>
      </c>
      <c r="H1476" s="38" t="s">
        <v>511</v>
      </c>
      <c r="I1476" s="3" t="s">
        <v>1449</v>
      </c>
      <c r="J1476" s="157" t="s">
        <v>2297</v>
      </c>
      <c r="K1476" s="34" t="s">
        <v>2298</v>
      </c>
      <c r="L1476" s="5">
        <f>IF(O1476="","",N1476*O1476*M1476)</f>
        <v>99</v>
      </c>
      <c r="M1476" s="8">
        <v>1</v>
      </c>
      <c r="N1476" s="1">
        <v>1</v>
      </c>
      <c r="O1476" s="15">
        <f>IF(SUM(Q1476:AF1476)&lt;1,"",SUM(Q1476:AF1476)/COUNTIF(Q1476:AF1476,"&gt;0"))</f>
        <v>99</v>
      </c>
      <c r="P1476" s="16"/>
      <c r="Q1476" s="13"/>
      <c r="R1476" s="4"/>
      <c r="S1476" s="4"/>
      <c r="T1476" s="4">
        <v>99</v>
      </c>
      <c r="U1476" s="2"/>
      <c r="V1476" s="2"/>
      <c r="W1476" s="2"/>
      <c r="X1476" s="2"/>
      <c r="Y1476" s="4"/>
      <c r="Z1476" s="2"/>
      <c r="AA1476" s="2"/>
      <c r="AB1476" s="4"/>
      <c r="AC1476" s="4"/>
      <c r="AD1476" s="4"/>
      <c r="AE1476" s="4"/>
      <c r="AF1476" s="14"/>
    </row>
    <row r="1477" spans="1:32" x14ac:dyDescent="0.25">
      <c r="A1477" s="33" t="str">
        <f>CONCATENATE(D1477,".",F1477,"-",G1477,".",H1477,"")</f>
        <v>2.5-1.1</v>
      </c>
      <c r="C1477" s="39" t="s">
        <v>262</v>
      </c>
      <c r="D1477" s="33">
        <f>IF(C1477="ID",1,(IF(C1477="PR",2,(IF(C1477="DE",3,(IF(C1477="RS",4,(IF(C1477="RC",5,0)))))))))</f>
        <v>2</v>
      </c>
      <c r="E1477" s="33" t="s">
        <v>260</v>
      </c>
      <c r="F1477" s="33">
        <f>IF(E1477="AM",1,(IF(E1477="BE",2,(IF(E1477="GV",3,(IF(E1477="RA",4,(IF(E1477="RM",5,(IF(E1477="AC",1,(IF(E1477="AT",2,(IF(E1477="DS",3,(IF(E1477="IP",4,(IF(E1477="MA",5,(IF(E1477="PT",6,(IF(E1477="AE",1,(IF(E1477="CM",2,(IF(E1477="DP",3,(IF(E1477="AN",1,(IF(E1477="CO",2,(IF(E1477="IM",3,(IF(E1477="MI",4,(IF(E1477="RP",5,(IF(E1477="SC",6,0)))))))))))))))))))))))))))))))))))))))</f>
        <v>5</v>
      </c>
      <c r="G1477" s="170">
        <v>1</v>
      </c>
      <c r="H1477" s="38" t="s">
        <v>511</v>
      </c>
      <c r="I1477" s="3" t="s">
        <v>1449</v>
      </c>
      <c r="J1477" s="157" t="s">
        <v>2299</v>
      </c>
      <c r="K1477" s="34" t="s">
        <v>2300</v>
      </c>
      <c r="L1477" s="5">
        <f>IF(O1477="","",N1477*O1477*M1477)</f>
        <v>99</v>
      </c>
      <c r="M1477" s="8">
        <v>1</v>
      </c>
      <c r="N1477" s="1">
        <v>1</v>
      </c>
      <c r="O1477" s="15">
        <f>IF(SUM(Q1477:AF1477)&lt;1,"",SUM(Q1477:AF1477)/COUNTIF(Q1477:AF1477,"&gt;0"))</f>
        <v>99</v>
      </c>
      <c r="P1477" s="16"/>
      <c r="Q1477" s="13"/>
      <c r="R1477" s="4"/>
      <c r="S1477" s="4"/>
      <c r="T1477" s="4">
        <v>99</v>
      </c>
      <c r="U1477" s="2"/>
      <c r="V1477" s="2"/>
      <c r="W1477" s="2"/>
      <c r="X1477" s="2"/>
      <c r="Y1477" s="4"/>
      <c r="Z1477" s="2"/>
      <c r="AA1477" s="2"/>
      <c r="AB1477" s="4"/>
      <c r="AC1477" s="4"/>
      <c r="AD1477" s="4"/>
      <c r="AE1477" s="4"/>
      <c r="AF1477" s="14"/>
    </row>
    <row r="1478" spans="1:32" x14ac:dyDescent="0.25">
      <c r="A1478" s="33" t="str">
        <f>CONCATENATE(D1478,".",F1478,"-",G1478,".",H1478,"")</f>
        <v>2.5-1.1</v>
      </c>
      <c r="C1478" s="39" t="s">
        <v>262</v>
      </c>
      <c r="D1478" s="33">
        <f>IF(C1478="ID",1,(IF(C1478="PR",2,(IF(C1478="DE",3,(IF(C1478="RS",4,(IF(C1478="RC",5,0)))))))))</f>
        <v>2</v>
      </c>
      <c r="E1478" s="33" t="s">
        <v>260</v>
      </c>
      <c r="F1478" s="33">
        <f>IF(E1478="AM",1,(IF(E1478="BE",2,(IF(E1478="GV",3,(IF(E1478="RA",4,(IF(E1478="RM",5,(IF(E1478="AC",1,(IF(E1478="AT",2,(IF(E1478="DS",3,(IF(E1478="IP",4,(IF(E1478="MA",5,(IF(E1478="PT",6,(IF(E1478="AE",1,(IF(E1478="CM",2,(IF(E1478="DP",3,(IF(E1478="AN",1,(IF(E1478="CO",2,(IF(E1478="IM",3,(IF(E1478="MI",4,(IF(E1478="RP",5,(IF(E1478="SC",6,0)))))))))))))))))))))))))))))))))))))))</f>
        <v>5</v>
      </c>
      <c r="G1478" s="170">
        <v>1</v>
      </c>
      <c r="H1478" s="38" t="s">
        <v>511</v>
      </c>
      <c r="I1478" s="3" t="s">
        <v>1449</v>
      </c>
      <c r="J1478" s="157" t="s">
        <v>2303</v>
      </c>
      <c r="K1478" s="34" t="s">
        <v>2304</v>
      </c>
      <c r="L1478" s="5">
        <f>IF(O1478="","",N1478*O1478*M1478)</f>
        <v>99</v>
      </c>
      <c r="M1478" s="8">
        <v>1</v>
      </c>
      <c r="N1478" s="1">
        <v>1</v>
      </c>
      <c r="O1478" s="15">
        <f>IF(SUM(Q1478:AF1478)&lt;1,"",SUM(Q1478:AF1478)/COUNTIF(Q1478:AF1478,"&gt;0"))</f>
        <v>99</v>
      </c>
      <c r="P1478" s="16"/>
      <c r="Q1478" s="13"/>
      <c r="R1478" s="4"/>
      <c r="S1478" s="4"/>
      <c r="T1478" s="4">
        <v>99</v>
      </c>
      <c r="U1478" s="2"/>
      <c r="V1478" s="2"/>
      <c r="W1478" s="2"/>
      <c r="X1478" s="2"/>
      <c r="Y1478" s="4"/>
      <c r="Z1478" s="2"/>
      <c r="AA1478" s="2"/>
      <c r="AB1478" s="4"/>
      <c r="AC1478" s="4"/>
      <c r="AD1478" s="4"/>
      <c r="AE1478" s="4"/>
      <c r="AF1478" s="14"/>
    </row>
    <row r="1479" spans="1:32" x14ac:dyDescent="0.25">
      <c r="A1479" s="33" t="str">
        <f>CONCATENATE(D1479,".",F1479,"-",G1479,".",H1479,"")</f>
        <v>2.5-1.1</v>
      </c>
      <c r="C1479" s="39" t="s">
        <v>262</v>
      </c>
      <c r="D1479" s="33">
        <f>IF(C1479="ID",1,(IF(C1479="PR",2,(IF(C1479="DE",3,(IF(C1479="RS",4,(IF(C1479="RC",5,0)))))))))</f>
        <v>2</v>
      </c>
      <c r="E1479" s="33" t="s">
        <v>260</v>
      </c>
      <c r="F1479" s="33">
        <f>IF(E1479="AM",1,(IF(E1479="BE",2,(IF(E1479="GV",3,(IF(E1479="RA",4,(IF(E1479="RM",5,(IF(E1479="AC",1,(IF(E1479="AT",2,(IF(E1479="DS",3,(IF(E1479="IP",4,(IF(E1479="MA",5,(IF(E1479="PT",6,(IF(E1479="AE",1,(IF(E1479="CM",2,(IF(E1479="DP",3,(IF(E1479="AN",1,(IF(E1479="CO",2,(IF(E1479="IM",3,(IF(E1479="MI",4,(IF(E1479="RP",5,(IF(E1479="SC",6,0)))))))))))))))))))))))))))))))))))))))</f>
        <v>5</v>
      </c>
      <c r="G1479" s="170">
        <v>1</v>
      </c>
      <c r="H1479" s="38" t="s">
        <v>511</v>
      </c>
      <c r="I1479" s="3" t="s">
        <v>1449</v>
      </c>
      <c r="J1479" s="157" t="s">
        <v>2305</v>
      </c>
      <c r="K1479" s="34" t="s">
        <v>2306</v>
      </c>
      <c r="L1479" s="5">
        <f>IF(O1479="","",N1479*O1479*M1479)</f>
        <v>99</v>
      </c>
      <c r="M1479" s="8">
        <v>1</v>
      </c>
      <c r="N1479" s="1">
        <v>1</v>
      </c>
      <c r="O1479" s="15">
        <f>IF(SUM(Q1479:AF1479)&lt;1,"",SUM(Q1479:AF1479)/COUNTIF(Q1479:AF1479,"&gt;0"))</f>
        <v>99</v>
      </c>
      <c r="P1479" s="16"/>
      <c r="Q1479" s="13"/>
      <c r="R1479" s="4"/>
      <c r="S1479" s="4"/>
      <c r="T1479" s="4">
        <v>99</v>
      </c>
      <c r="U1479" s="2"/>
      <c r="V1479" s="2"/>
      <c r="W1479" s="2"/>
      <c r="X1479" s="2"/>
      <c r="Y1479" s="4"/>
      <c r="Z1479" s="2"/>
      <c r="AA1479" s="2"/>
      <c r="AB1479" s="4"/>
      <c r="AC1479" s="4"/>
      <c r="AD1479" s="4"/>
      <c r="AE1479" s="4"/>
      <c r="AF1479" s="14"/>
    </row>
    <row r="1480" spans="1:32" x14ac:dyDescent="0.25">
      <c r="A1480" s="33" t="str">
        <f>CONCATENATE(D1480,".",F1480,"-",G1480,".",H1480,"")</f>
        <v>2.5-1.1</v>
      </c>
      <c r="C1480" s="39" t="s">
        <v>262</v>
      </c>
      <c r="D1480" s="33">
        <f>IF(C1480="ID",1,(IF(C1480="PR",2,(IF(C1480="DE",3,(IF(C1480="RS",4,(IF(C1480="RC",5,0)))))))))</f>
        <v>2</v>
      </c>
      <c r="E1480" s="33" t="s">
        <v>260</v>
      </c>
      <c r="F1480" s="33">
        <f>IF(E1480="AM",1,(IF(E1480="BE",2,(IF(E1480="GV",3,(IF(E1480="RA",4,(IF(E1480="RM",5,(IF(E1480="AC",1,(IF(E1480="AT",2,(IF(E1480="DS",3,(IF(E1480="IP",4,(IF(E1480="MA",5,(IF(E1480="PT",6,(IF(E1480="AE",1,(IF(E1480="CM",2,(IF(E1480="DP",3,(IF(E1480="AN",1,(IF(E1480="CO",2,(IF(E1480="IM",3,(IF(E1480="MI",4,(IF(E1480="RP",5,(IF(E1480="SC",6,0)))))))))))))))))))))))))))))))))))))))</f>
        <v>5</v>
      </c>
      <c r="G1480" s="170">
        <v>1</v>
      </c>
      <c r="H1480" s="38" t="s">
        <v>511</v>
      </c>
      <c r="I1480" s="3" t="s">
        <v>1449</v>
      </c>
      <c r="J1480" s="157" t="s">
        <v>2307</v>
      </c>
      <c r="K1480" s="34" t="s">
        <v>2308</v>
      </c>
      <c r="L1480" s="5">
        <f>IF(O1480="","",N1480*O1480*M1480)</f>
        <v>99</v>
      </c>
      <c r="M1480" s="8">
        <v>1</v>
      </c>
      <c r="N1480" s="1">
        <v>1</v>
      </c>
      <c r="O1480" s="15">
        <f>IF(SUM(Q1480:AF1480)&lt;1,"",SUM(Q1480:AF1480)/COUNTIF(Q1480:AF1480,"&gt;0"))</f>
        <v>99</v>
      </c>
      <c r="P1480" s="16"/>
      <c r="Q1480" s="13"/>
      <c r="R1480" s="4"/>
      <c r="S1480" s="4"/>
      <c r="T1480" s="4">
        <v>99</v>
      </c>
      <c r="U1480" s="2"/>
      <c r="V1480" s="2"/>
      <c r="W1480" s="2"/>
      <c r="X1480" s="2"/>
      <c r="Y1480" s="4"/>
      <c r="Z1480" s="2"/>
      <c r="AA1480" s="2"/>
      <c r="AB1480" s="4"/>
      <c r="AC1480" s="4"/>
      <c r="AD1480" s="4"/>
      <c r="AE1480" s="4"/>
      <c r="AF1480" s="14"/>
    </row>
    <row r="1481" spans="1:32" x14ac:dyDescent="0.25">
      <c r="A1481" s="33" t="str">
        <f>CONCATENATE(D1481,".",F1481,"-",G1481,".",H1481,"")</f>
        <v>2.5-1.1</v>
      </c>
      <c r="C1481" s="39" t="s">
        <v>262</v>
      </c>
      <c r="D1481" s="33">
        <f>IF(C1481="ID",1,(IF(C1481="PR",2,(IF(C1481="DE",3,(IF(C1481="RS",4,(IF(C1481="RC",5,0)))))))))</f>
        <v>2</v>
      </c>
      <c r="E1481" s="33" t="s">
        <v>260</v>
      </c>
      <c r="F1481" s="33">
        <f>IF(E1481="AM",1,(IF(E1481="BE",2,(IF(E1481="GV",3,(IF(E1481="RA",4,(IF(E1481="RM",5,(IF(E1481="AC",1,(IF(E1481="AT",2,(IF(E1481="DS",3,(IF(E1481="IP",4,(IF(E1481="MA",5,(IF(E1481="PT",6,(IF(E1481="AE",1,(IF(E1481="CM",2,(IF(E1481="DP",3,(IF(E1481="AN",1,(IF(E1481="CO",2,(IF(E1481="IM",3,(IF(E1481="MI",4,(IF(E1481="RP",5,(IF(E1481="SC",6,0)))))))))))))))))))))))))))))))))))))))</f>
        <v>5</v>
      </c>
      <c r="G1481" s="170">
        <v>1</v>
      </c>
      <c r="H1481" s="38" t="s">
        <v>511</v>
      </c>
      <c r="I1481" s="3" t="s">
        <v>1449</v>
      </c>
      <c r="J1481" s="157" t="s">
        <v>2309</v>
      </c>
      <c r="K1481" s="34" t="s">
        <v>2310</v>
      </c>
      <c r="L1481" s="5">
        <f>IF(O1481="","",N1481*O1481*M1481)</f>
        <v>99</v>
      </c>
      <c r="M1481" s="8">
        <v>1</v>
      </c>
      <c r="N1481" s="1">
        <v>1</v>
      </c>
      <c r="O1481" s="15">
        <f>IF(SUM(Q1481:AF1481)&lt;1,"",SUM(Q1481:AF1481)/COUNTIF(Q1481:AF1481,"&gt;0"))</f>
        <v>99</v>
      </c>
      <c r="P1481" s="16"/>
      <c r="Q1481" s="13"/>
      <c r="R1481" s="4"/>
      <c r="S1481" s="4"/>
      <c r="T1481" s="4">
        <v>99</v>
      </c>
      <c r="U1481" s="2"/>
      <c r="V1481" s="2"/>
      <c r="W1481" s="2"/>
      <c r="X1481" s="2"/>
      <c r="Y1481" s="4"/>
      <c r="Z1481" s="2"/>
      <c r="AA1481" s="2"/>
      <c r="AB1481" s="4"/>
      <c r="AC1481" s="4"/>
      <c r="AD1481" s="4"/>
      <c r="AE1481" s="4"/>
      <c r="AF1481" s="14"/>
    </row>
    <row r="1482" spans="1:32" x14ac:dyDescent="0.25">
      <c r="A1482" s="33" t="str">
        <f>CONCATENATE(D1482,".",F1482,"-",G1482,".",H1482,"")</f>
        <v>2.5-1.1</v>
      </c>
      <c r="C1482" s="39" t="s">
        <v>262</v>
      </c>
      <c r="D1482" s="33">
        <f>IF(C1482="ID",1,(IF(C1482="PR",2,(IF(C1482="DE",3,(IF(C1482="RS",4,(IF(C1482="RC",5,0)))))))))</f>
        <v>2</v>
      </c>
      <c r="E1482" s="33" t="s">
        <v>260</v>
      </c>
      <c r="F1482" s="33">
        <f>IF(E1482="AM",1,(IF(E1482="BE",2,(IF(E1482="GV",3,(IF(E1482="RA",4,(IF(E1482="RM",5,(IF(E1482="AC",1,(IF(E1482="AT",2,(IF(E1482="DS",3,(IF(E1482="IP",4,(IF(E1482="MA",5,(IF(E1482="PT",6,(IF(E1482="AE",1,(IF(E1482="CM",2,(IF(E1482="DP",3,(IF(E1482="AN",1,(IF(E1482="CO",2,(IF(E1482="IM",3,(IF(E1482="MI",4,(IF(E1482="RP",5,(IF(E1482="SC",6,0)))))))))))))))))))))))))))))))))))))))</f>
        <v>5</v>
      </c>
      <c r="G1482" s="170">
        <v>1</v>
      </c>
      <c r="H1482" s="38" t="s">
        <v>511</v>
      </c>
      <c r="I1482" s="3" t="s">
        <v>1449</v>
      </c>
      <c r="J1482" s="157" t="s">
        <v>2311</v>
      </c>
      <c r="K1482" s="34" t="s">
        <v>2312</v>
      </c>
      <c r="L1482" s="5">
        <f>IF(O1482="","",N1482*O1482*M1482)</f>
        <v>99</v>
      </c>
      <c r="M1482" s="8">
        <v>1</v>
      </c>
      <c r="N1482" s="1">
        <v>1</v>
      </c>
      <c r="O1482" s="15">
        <f>IF(SUM(Q1482:AF1482)&lt;1,"",SUM(Q1482:AF1482)/COUNTIF(Q1482:AF1482,"&gt;0"))</f>
        <v>99</v>
      </c>
      <c r="P1482" s="16"/>
      <c r="Q1482" s="13"/>
      <c r="R1482" s="4"/>
      <c r="S1482" s="4"/>
      <c r="T1482" s="4">
        <v>99</v>
      </c>
      <c r="U1482" s="2"/>
      <c r="V1482" s="2"/>
      <c r="W1482" s="2"/>
      <c r="X1482" s="2"/>
      <c r="Y1482" s="4"/>
      <c r="Z1482" s="2"/>
      <c r="AA1482" s="2"/>
      <c r="AB1482" s="4"/>
      <c r="AC1482" s="4"/>
      <c r="AD1482" s="4"/>
      <c r="AE1482" s="4"/>
      <c r="AF1482" s="14"/>
    </row>
    <row r="1483" spans="1:32" x14ac:dyDescent="0.25">
      <c r="A1483" s="33" t="str">
        <f>CONCATENATE(D1483,".",F1483,"-",G1483,".",H1483,"")</f>
        <v>2.5-1.1</v>
      </c>
      <c r="C1483" s="39" t="s">
        <v>262</v>
      </c>
      <c r="D1483" s="33">
        <f>IF(C1483="ID",1,(IF(C1483="PR",2,(IF(C1483="DE",3,(IF(C1483="RS",4,(IF(C1483="RC",5,0)))))))))</f>
        <v>2</v>
      </c>
      <c r="E1483" s="33" t="s">
        <v>260</v>
      </c>
      <c r="F1483" s="33">
        <f>IF(E1483="AM",1,(IF(E1483="BE",2,(IF(E1483="GV",3,(IF(E1483="RA",4,(IF(E1483="RM",5,(IF(E1483="AC",1,(IF(E1483="AT",2,(IF(E1483="DS",3,(IF(E1483="IP",4,(IF(E1483="MA",5,(IF(E1483="PT",6,(IF(E1483="AE",1,(IF(E1483="CM",2,(IF(E1483="DP",3,(IF(E1483="AN",1,(IF(E1483="CO",2,(IF(E1483="IM",3,(IF(E1483="MI",4,(IF(E1483="RP",5,(IF(E1483="SC",6,0)))))))))))))))))))))))))))))))))))))))</f>
        <v>5</v>
      </c>
      <c r="G1483" s="170">
        <v>1</v>
      </c>
      <c r="H1483" s="38" t="s">
        <v>511</v>
      </c>
      <c r="I1483" s="3" t="s">
        <v>1449</v>
      </c>
      <c r="J1483" s="157" t="s">
        <v>2313</v>
      </c>
      <c r="K1483" s="34" t="s">
        <v>2314</v>
      </c>
      <c r="L1483" s="5">
        <f>IF(O1483="","",N1483*O1483*M1483)</f>
        <v>99</v>
      </c>
      <c r="M1483" s="8">
        <v>1</v>
      </c>
      <c r="N1483" s="1">
        <v>1</v>
      </c>
      <c r="O1483" s="15">
        <f>IF(SUM(Q1483:AF1483)&lt;1,"",SUM(Q1483:AF1483)/COUNTIF(Q1483:AF1483,"&gt;0"))</f>
        <v>99</v>
      </c>
      <c r="P1483" s="16"/>
      <c r="Q1483" s="13"/>
      <c r="R1483" s="4"/>
      <c r="S1483" s="4"/>
      <c r="T1483" s="4">
        <v>99</v>
      </c>
      <c r="U1483" s="2"/>
      <c r="V1483" s="2"/>
      <c r="W1483" s="2"/>
      <c r="X1483" s="2"/>
      <c r="Y1483" s="4"/>
      <c r="Z1483" s="2"/>
      <c r="AA1483" s="2"/>
      <c r="AB1483" s="4"/>
      <c r="AC1483" s="4"/>
      <c r="AD1483" s="4"/>
      <c r="AE1483" s="4"/>
      <c r="AF1483" s="14"/>
    </row>
    <row r="1484" spans="1:32" x14ac:dyDescent="0.25">
      <c r="A1484" s="33" t="str">
        <f>CONCATENATE(D1484,".",F1484,"-",G1484,".",H1484,"")</f>
        <v>2.5-1.1</v>
      </c>
      <c r="C1484" s="39" t="s">
        <v>262</v>
      </c>
      <c r="D1484" s="33">
        <f>IF(C1484="ID",1,(IF(C1484="PR",2,(IF(C1484="DE",3,(IF(C1484="RS",4,(IF(C1484="RC",5,0)))))))))</f>
        <v>2</v>
      </c>
      <c r="E1484" s="33" t="s">
        <v>260</v>
      </c>
      <c r="F1484" s="33">
        <f>IF(E1484="AM",1,(IF(E1484="BE",2,(IF(E1484="GV",3,(IF(E1484="RA",4,(IF(E1484="RM",5,(IF(E1484="AC",1,(IF(E1484="AT",2,(IF(E1484="DS",3,(IF(E1484="IP",4,(IF(E1484="MA",5,(IF(E1484="PT",6,(IF(E1484="AE",1,(IF(E1484="CM",2,(IF(E1484="DP",3,(IF(E1484="AN",1,(IF(E1484="CO",2,(IF(E1484="IM",3,(IF(E1484="MI",4,(IF(E1484="RP",5,(IF(E1484="SC",6,0)))))))))))))))))))))))))))))))))))))))</f>
        <v>5</v>
      </c>
      <c r="G1484" s="170">
        <v>1</v>
      </c>
      <c r="H1484" s="38" t="s">
        <v>511</v>
      </c>
      <c r="I1484" s="3" t="s">
        <v>1449</v>
      </c>
      <c r="J1484" s="157" t="s">
        <v>2315</v>
      </c>
      <c r="K1484" s="34" t="s">
        <v>2316</v>
      </c>
      <c r="L1484" s="5">
        <f>IF(O1484="","",N1484*O1484*M1484)</f>
        <v>99</v>
      </c>
      <c r="M1484" s="8">
        <v>1</v>
      </c>
      <c r="N1484" s="1">
        <v>1</v>
      </c>
      <c r="O1484" s="15">
        <f>IF(SUM(Q1484:AF1484)&lt;1,"",SUM(Q1484:AF1484)/COUNTIF(Q1484:AF1484,"&gt;0"))</f>
        <v>99</v>
      </c>
      <c r="P1484" s="16"/>
      <c r="Q1484" s="13"/>
      <c r="R1484" s="4"/>
      <c r="S1484" s="4"/>
      <c r="T1484" s="4">
        <v>99</v>
      </c>
      <c r="U1484" s="2"/>
      <c r="V1484" s="2"/>
      <c r="W1484" s="2"/>
      <c r="X1484" s="2"/>
      <c r="Y1484" s="4"/>
      <c r="Z1484" s="2"/>
      <c r="AA1484" s="2"/>
      <c r="AB1484" s="4"/>
      <c r="AC1484" s="4"/>
      <c r="AD1484" s="4"/>
      <c r="AE1484" s="4"/>
      <c r="AF1484" s="14"/>
    </row>
    <row r="1485" spans="1:32" x14ac:dyDescent="0.25">
      <c r="A1485" s="33" t="str">
        <f>CONCATENATE(D1485,".",F1485,"-",G1485,".",H1485,"")</f>
        <v>2.5-1.1</v>
      </c>
      <c r="C1485" s="39" t="s">
        <v>262</v>
      </c>
      <c r="D1485" s="33">
        <f>IF(C1485="ID",1,(IF(C1485="PR",2,(IF(C1485="DE",3,(IF(C1485="RS",4,(IF(C1485="RC",5,0)))))))))</f>
        <v>2</v>
      </c>
      <c r="E1485" s="33" t="s">
        <v>260</v>
      </c>
      <c r="F1485" s="33">
        <f>IF(E1485="AM",1,(IF(E1485="BE",2,(IF(E1485="GV",3,(IF(E1485="RA",4,(IF(E1485="RM",5,(IF(E1485="AC",1,(IF(E1485="AT",2,(IF(E1485="DS",3,(IF(E1485="IP",4,(IF(E1485="MA",5,(IF(E1485="PT",6,(IF(E1485="AE",1,(IF(E1485="CM",2,(IF(E1485="DP",3,(IF(E1485="AN",1,(IF(E1485="CO",2,(IF(E1485="IM",3,(IF(E1485="MI",4,(IF(E1485="RP",5,(IF(E1485="SC",6,0)))))))))))))))))))))))))))))))))))))))</f>
        <v>5</v>
      </c>
      <c r="G1485" s="170">
        <v>1</v>
      </c>
      <c r="H1485" s="38" t="s">
        <v>511</v>
      </c>
      <c r="I1485" s="3" t="s">
        <v>1449</v>
      </c>
      <c r="J1485" s="157" t="s">
        <v>2685</v>
      </c>
      <c r="K1485" s="34" t="s">
        <v>2686</v>
      </c>
      <c r="L1485" s="5">
        <f>IF(O1485="","",N1485*O1485*M1485)</f>
        <v>99</v>
      </c>
      <c r="M1485" s="8">
        <v>1</v>
      </c>
      <c r="N1485" s="1">
        <v>1</v>
      </c>
      <c r="O1485" s="15">
        <f>IF(SUM(Q1485:AF1485)&lt;1,"",SUM(Q1485:AF1485)/COUNTIF(Q1485:AF1485,"&gt;0"))</f>
        <v>99</v>
      </c>
      <c r="P1485" s="16"/>
      <c r="Q1485" s="13"/>
      <c r="R1485" s="4"/>
      <c r="S1485" s="4"/>
      <c r="T1485" s="4">
        <v>99</v>
      </c>
      <c r="U1485" s="2"/>
      <c r="V1485" s="2"/>
      <c r="W1485" s="2"/>
      <c r="X1485" s="2"/>
      <c r="Y1485" s="4"/>
      <c r="Z1485" s="2"/>
      <c r="AA1485" s="2"/>
      <c r="AB1485" s="4"/>
      <c r="AC1485" s="4"/>
      <c r="AD1485" s="4"/>
      <c r="AE1485" s="4"/>
      <c r="AF1485" s="14"/>
    </row>
    <row r="1486" spans="1:32" x14ac:dyDescent="0.25">
      <c r="A1486" s="33" t="str">
        <f>CONCATENATE(D1486,".",F1486,"-",G1486,".",H1486,"")</f>
        <v>2.5-1.2</v>
      </c>
      <c r="C1486" s="39" t="s">
        <v>262</v>
      </c>
      <c r="D1486" s="33">
        <f>IF(C1486="ID",1,(IF(C1486="PR",2,(IF(C1486="DE",3,(IF(C1486="RS",4,(IF(C1486="RC",5,0)))))))))</f>
        <v>2</v>
      </c>
      <c r="E1486" s="33" t="s">
        <v>260</v>
      </c>
      <c r="F1486" s="33">
        <f>IF(E1486="AM",1,(IF(E1486="BE",2,(IF(E1486="GV",3,(IF(E1486="RA",4,(IF(E1486="RM",5,(IF(E1486="AC",1,(IF(E1486="AT",2,(IF(E1486="DS",3,(IF(E1486="IP",4,(IF(E1486="MA",5,(IF(E1486="PT",6,(IF(E1486="AE",1,(IF(E1486="CM",2,(IF(E1486="DP",3,(IF(E1486="AN",1,(IF(E1486="CO",2,(IF(E1486="IM",3,(IF(E1486="MI",4,(IF(E1486="RP",5,(IF(E1486="SC",6,0)))))))))))))))))))))))))))))))))))))))</f>
        <v>5</v>
      </c>
      <c r="G1486" s="170">
        <v>1</v>
      </c>
      <c r="H1486" s="38" t="s">
        <v>512</v>
      </c>
      <c r="I1486" s="3" t="s">
        <v>1449</v>
      </c>
      <c r="J1486" s="157" t="s">
        <v>2301</v>
      </c>
      <c r="K1486" s="34" t="s">
        <v>2302</v>
      </c>
      <c r="L1486" s="5">
        <f>IF(O1486="","",N1486*O1486*M1486)</f>
        <v>99</v>
      </c>
      <c r="M1486" s="8">
        <v>1</v>
      </c>
      <c r="N1486" s="1">
        <v>1</v>
      </c>
      <c r="O1486" s="15">
        <f>IF(SUM(Q1486:AF1486)&lt;1,"",SUM(Q1486:AF1486)/COUNTIF(Q1486:AF1486,"&gt;0"))</f>
        <v>99</v>
      </c>
      <c r="P1486" s="16"/>
      <c r="Q1486" s="13"/>
      <c r="R1486" s="4"/>
      <c r="S1486" s="4"/>
      <c r="T1486" s="4">
        <v>99</v>
      </c>
      <c r="U1486" s="2"/>
      <c r="V1486" s="2"/>
      <c r="W1486" s="2"/>
      <c r="X1486" s="2"/>
      <c r="Y1486" s="4"/>
      <c r="Z1486" s="2"/>
      <c r="AA1486" s="2"/>
      <c r="AB1486" s="4"/>
      <c r="AC1486" s="4"/>
      <c r="AD1486" s="4"/>
      <c r="AE1486" s="4"/>
      <c r="AF1486" s="14"/>
    </row>
    <row r="1487" spans="1:32" x14ac:dyDescent="0.25">
      <c r="A1487" s="33" t="str">
        <f>CONCATENATE(D1487,".",F1487,"-",G1487,".",H1487,"")</f>
        <v>2.5-2.0</v>
      </c>
      <c r="B1487" s="33" t="s">
        <v>814</v>
      </c>
      <c r="C1487" s="40" t="s">
        <v>262</v>
      </c>
      <c r="D1487" s="33">
        <f>IF(C1487="ID",1,(IF(C1487="PR",2,(IF(C1487="DE",3,(IF(C1487="RS",4,(IF(C1487="RC",5,0)))))))))</f>
        <v>2</v>
      </c>
      <c r="E1487" s="33" t="s">
        <v>260</v>
      </c>
      <c r="F1487" s="33">
        <f>IF(E1487="AM",1,(IF(E1487="BE",2,(IF(E1487="GV",3,(IF(E1487="RA",4,(IF(E1487="RM",5,(IF(E1487="AC",1,(IF(E1487="AT",2,(IF(E1487="DS",3,(IF(E1487="IP",4,(IF(E1487="MA",5,(IF(E1487="PT",6,(IF(E1487="AE",1,(IF(E1487="CM",2,(IF(E1487="DP",3,(IF(E1487="AN",1,(IF(E1487="CO",2,(IF(E1487="IM",3,(IF(E1487="MI",4,(IF(E1487="RP",5,(IF(E1487="SC",6,0)))))))))))))))))))))))))))))))))))))))</f>
        <v>5</v>
      </c>
      <c r="G1487" s="170">
        <v>2</v>
      </c>
      <c r="H1487" s="38" t="s">
        <v>597</v>
      </c>
      <c r="I1487" s="22" t="s">
        <v>1200</v>
      </c>
      <c r="J1487" s="149" t="s">
        <v>693</v>
      </c>
      <c r="K1487" s="98" t="s">
        <v>397</v>
      </c>
      <c r="L1487" s="5">
        <f>IF(O1487="","",N1487*O1487*M1487)</f>
        <v>75</v>
      </c>
      <c r="M1487" s="8">
        <v>1</v>
      </c>
      <c r="N1487" s="1">
        <v>1</v>
      </c>
      <c r="O1487" s="15">
        <f>IF(SUM(Q1487:AF1487)&lt;1,"",SUM(Q1487:AF1487)/COUNTIF(Q1487:AF1487,"&gt;0"))</f>
        <v>75</v>
      </c>
      <c r="P1487" s="16"/>
      <c r="Q1487" s="13"/>
      <c r="R1487" s="4"/>
      <c r="S1487" s="4"/>
      <c r="T1487" s="4">
        <v>75</v>
      </c>
      <c r="U1487" s="2"/>
      <c r="V1487" s="2"/>
      <c r="W1487" s="2"/>
      <c r="X1487" s="2"/>
      <c r="Y1487" s="4"/>
      <c r="Z1487" s="2"/>
      <c r="AA1487" s="2"/>
      <c r="AB1487" s="4"/>
      <c r="AC1487" s="4"/>
      <c r="AD1487" s="4"/>
      <c r="AE1487" s="4"/>
      <c r="AF1487" s="14"/>
    </row>
    <row r="1488" spans="1:32" x14ac:dyDescent="0.25">
      <c r="A1488" s="33" t="str">
        <f>CONCATENATE(D1488,".",F1488,"-",G1488,".",H1488,"")</f>
        <v>2.5-2.1</v>
      </c>
      <c r="B1488" s="33" t="s">
        <v>814</v>
      </c>
      <c r="C1488" s="40" t="s">
        <v>262</v>
      </c>
      <c r="D1488" s="33">
        <f>IF(C1488="ID",1,(IF(C1488="PR",2,(IF(C1488="DE",3,(IF(C1488="RS",4,(IF(C1488="RC",5,0)))))))))</f>
        <v>2</v>
      </c>
      <c r="E1488" s="33" t="s">
        <v>260</v>
      </c>
      <c r="F1488" s="33">
        <f>IF(E1488="AM",1,(IF(E1488="BE",2,(IF(E1488="GV",3,(IF(E1488="RA",4,(IF(E1488="RM",5,(IF(E1488="AC",1,(IF(E1488="AT",2,(IF(E1488="DS",3,(IF(E1488="IP",4,(IF(E1488="MA",5,(IF(E1488="PT",6,(IF(E1488="AE",1,(IF(E1488="CM",2,(IF(E1488="DP",3,(IF(E1488="AN",1,(IF(E1488="CO",2,(IF(E1488="IM",3,(IF(E1488="MI",4,(IF(E1488="RP",5,(IF(E1488="SC",6,0)))))))))))))))))))))))))))))))))))))))</f>
        <v>5</v>
      </c>
      <c r="G1488" s="171">
        <v>2</v>
      </c>
      <c r="H1488" s="38" t="s">
        <v>511</v>
      </c>
      <c r="I1488" s="22" t="s">
        <v>936</v>
      </c>
      <c r="J1488" s="163" t="s">
        <v>868</v>
      </c>
      <c r="K1488" s="34" t="s">
        <v>978</v>
      </c>
      <c r="L1488" s="66">
        <f>IF(O1488="","",N1488*O1488*M1488)</f>
        <v>75</v>
      </c>
      <c r="M1488" s="8">
        <v>1</v>
      </c>
      <c r="N1488" s="3">
        <v>1</v>
      </c>
      <c r="O1488" s="15">
        <f>IF(SUM(Q1488:AF1488)&lt;1,"",SUM(Q1488:AF1488)/COUNTIF(Q1488:AF1488,"&gt;0"))</f>
        <v>75</v>
      </c>
      <c r="P1488" s="16"/>
      <c r="Q1488" s="13"/>
      <c r="R1488" s="4"/>
      <c r="S1488" s="4"/>
      <c r="T1488" s="4">
        <v>75</v>
      </c>
      <c r="U1488" s="2"/>
      <c r="V1488" s="2"/>
      <c r="W1488" s="2"/>
      <c r="X1488" s="2"/>
      <c r="Y1488" s="4"/>
      <c r="Z1488" s="2"/>
      <c r="AA1488" s="2"/>
      <c r="AB1488" s="4"/>
      <c r="AC1488" s="4"/>
      <c r="AD1488" s="4"/>
      <c r="AE1488" s="4"/>
      <c r="AF1488" s="14"/>
    </row>
    <row r="1489" spans="1:32" x14ac:dyDescent="0.25">
      <c r="A1489" s="33" t="str">
        <f>CONCATENATE(D1489,".",F1489,"-",G1489,".",H1489,"")</f>
        <v>2.5-2.1</v>
      </c>
      <c r="B1489" s="33" t="s">
        <v>814</v>
      </c>
      <c r="C1489" s="40" t="s">
        <v>262</v>
      </c>
      <c r="D1489" s="33">
        <f>IF(C1489="ID",1,(IF(C1489="PR",2,(IF(C1489="DE",3,(IF(C1489="RS",4,(IF(C1489="RC",5,0)))))))))</f>
        <v>2</v>
      </c>
      <c r="E1489" s="33" t="s">
        <v>260</v>
      </c>
      <c r="F1489" s="33">
        <f>IF(E1489="AM",1,(IF(E1489="BE",2,(IF(E1489="GV",3,(IF(E1489="RA",4,(IF(E1489="RM",5,(IF(E1489="AC",1,(IF(E1489="AT",2,(IF(E1489="DS",3,(IF(E1489="IP",4,(IF(E1489="MA",5,(IF(E1489="PT",6,(IF(E1489="AE",1,(IF(E1489="CM",2,(IF(E1489="DP",3,(IF(E1489="AN",1,(IF(E1489="CO",2,(IF(E1489="IM",3,(IF(E1489="MI",4,(IF(E1489="RP",5,(IF(E1489="SC",6,0)))))))))))))))))))))))))))))))))))))))</f>
        <v>5</v>
      </c>
      <c r="G1489" s="171">
        <v>2</v>
      </c>
      <c r="H1489" s="38" t="s">
        <v>511</v>
      </c>
      <c r="I1489" s="22" t="s">
        <v>936</v>
      </c>
      <c r="J1489" s="163" t="s">
        <v>908</v>
      </c>
      <c r="K1489" s="34" t="s">
        <v>943</v>
      </c>
      <c r="L1489" s="66">
        <f>IF(O1489="","",N1489*O1489*M1489)</f>
        <v>75</v>
      </c>
      <c r="M1489" s="8">
        <v>1</v>
      </c>
      <c r="N1489" s="3">
        <v>1</v>
      </c>
      <c r="O1489" s="15">
        <f>IF(SUM(Q1489:AF1489)&lt;1,"",SUM(Q1489:AF1489)/COUNTIF(Q1489:AF1489,"&gt;0"))</f>
        <v>75</v>
      </c>
      <c r="P1489" s="16"/>
      <c r="Q1489" s="13"/>
      <c r="R1489" s="4"/>
      <c r="S1489" s="4"/>
      <c r="T1489" s="4">
        <v>75</v>
      </c>
      <c r="U1489" s="2"/>
      <c r="V1489" s="2"/>
      <c r="W1489" s="2"/>
      <c r="X1489" s="2"/>
      <c r="Y1489" s="4"/>
      <c r="Z1489" s="2"/>
      <c r="AA1489" s="2"/>
      <c r="AB1489" s="4"/>
      <c r="AC1489" s="4"/>
      <c r="AD1489" s="4"/>
      <c r="AE1489" s="4"/>
      <c r="AF1489" s="14"/>
    </row>
    <row r="1490" spans="1:32" x14ac:dyDescent="0.25">
      <c r="A1490" s="33" t="str">
        <f>CONCATENATE(D1490,".",F1490,"-",G1490,".",H1490,"")</f>
        <v>2.5-2.1</v>
      </c>
      <c r="B1490" s="33" t="s">
        <v>814</v>
      </c>
      <c r="C1490" s="40" t="s">
        <v>262</v>
      </c>
      <c r="D1490" s="33">
        <f>IF(C1490="ID",1,(IF(C1490="PR",2,(IF(C1490="DE",3,(IF(C1490="RS",4,(IF(C1490="RC",5,0)))))))))</f>
        <v>2</v>
      </c>
      <c r="E1490" s="33" t="s">
        <v>260</v>
      </c>
      <c r="F1490" s="33">
        <f>IF(E1490="AM",1,(IF(E1490="BE",2,(IF(E1490="GV",3,(IF(E1490="RA",4,(IF(E1490="RM",5,(IF(E1490="AC",1,(IF(E1490="AT",2,(IF(E1490="DS",3,(IF(E1490="IP",4,(IF(E1490="MA",5,(IF(E1490="PT",6,(IF(E1490="AE",1,(IF(E1490="CM",2,(IF(E1490="DP",3,(IF(E1490="AN",1,(IF(E1490="CO",2,(IF(E1490="IM",3,(IF(E1490="MI",4,(IF(E1490="RP",5,(IF(E1490="SC",6,0)))))))))))))))))))))))))))))))))))))))</f>
        <v>5</v>
      </c>
      <c r="G1490" s="171">
        <v>2</v>
      </c>
      <c r="H1490" s="38" t="s">
        <v>511</v>
      </c>
      <c r="I1490" s="22" t="s">
        <v>936</v>
      </c>
      <c r="J1490" s="163" t="s">
        <v>930</v>
      </c>
      <c r="K1490" s="34" t="s">
        <v>998</v>
      </c>
      <c r="L1490" s="66">
        <f>IF(O1490="","",N1490*O1490*M1490)</f>
        <v>75</v>
      </c>
      <c r="M1490" s="8">
        <v>1</v>
      </c>
      <c r="N1490" s="3">
        <v>1</v>
      </c>
      <c r="O1490" s="15">
        <f>IF(SUM(Q1490:AF1490)&lt;1,"",SUM(Q1490:AF1490)/COUNTIF(Q1490:AF1490,"&gt;0"))</f>
        <v>75</v>
      </c>
      <c r="P1490" s="16"/>
      <c r="Q1490" s="13"/>
      <c r="R1490" s="4"/>
      <c r="S1490" s="4"/>
      <c r="T1490" s="4">
        <v>75</v>
      </c>
      <c r="U1490" s="2"/>
      <c r="V1490" s="2"/>
      <c r="W1490" s="2"/>
      <c r="X1490" s="2"/>
      <c r="Y1490" s="4"/>
      <c r="Z1490" s="2"/>
      <c r="AA1490" s="2"/>
      <c r="AB1490" s="4"/>
      <c r="AC1490" s="4"/>
      <c r="AD1490" s="4"/>
      <c r="AE1490" s="4"/>
      <c r="AF1490" s="14"/>
    </row>
    <row r="1491" spans="1:32" x14ac:dyDescent="0.25">
      <c r="A1491" s="33" t="str">
        <f>CONCATENATE(D1491,".",F1491,"-",G1491,".",H1491,"")</f>
        <v>2.5-2.1</v>
      </c>
      <c r="B1491" s="33" t="s">
        <v>814</v>
      </c>
      <c r="C1491" s="40" t="s">
        <v>262</v>
      </c>
      <c r="D1491" s="33">
        <f>IF(C1491="ID",1,(IF(C1491="PR",2,(IF(C1491="DE",3,(IF(C1491="RS",4,(IF(C1491="RC",5,0)))))))))</f>
        <v>2</v>
      </c>
      <c r="E1491" s="33" t="s">
        <v>260</v>
      </c>
      <c r="F1491" s="33">
        <f>IF(E1491="AM",1,(IF(E1491="BE",2,(IF(E1491="GV",3,(IF(E1491="RA",4,(IF(E1491="RM",5,(IF(E1491="AC",1,(IF(E1491="AT",2,(IF(E1491="DS",3,(IF(E1491="IP",4,(IF(E1491="MA",5,(IF(E1491="PT",6,(IF(E1491="AE",1,(IF(E1491="CM",2,(IF(E1491="DP",3,(IF(E1491="AN",1,(IF(E1491="CO",2,(IF(E1491="IM",3,(IF(E1491="MI",4,(IF(E1491="RP",5,(IF(E1491="SC",6,0)))))))))))))))))))))))))))))))))))))))</f>
        <v>5</v>
      </c>
      <c r="G1491" s="171">
        <v>2</v>
      </c>
      <c r="H1491" s="38" t="s">
        <v>511</v>
      </c>
      <c r="I1491" s="22" t="s">
        <v>936</v>
      </c>
      <c r="J1491" s="163" t="s">
        <v>909</v>
      </c>
      <c r="K1491" s="34" t="s">
        <v>999</v>
      </c>
      <c r="L1491" s="66">
        <f>IF(O1491="","",N1491*O1491*M1491)</f>
        <v>75</v>
      </c>
      <c r="M1491" s="8">
        <v>1</v>
      </c>
      <c r="N1491" s="3">
        <v>1</v>
      </c>
      <c r="O1491" s="15">
        <f>IF(SUM(Q1491:AF1491)&lt;1,"",SUM(Q1491:AF1491)/COUNTIF(Q1491:AF1491,"&gt;0"))</f>
        <v>75</v>
      </c>
      <c r="P1491" s="16"/>
      <c r="Q1491" s="13"/>
      <c r="R1491" s="4"/>
      <c r="S1491" s="4"/>
      <c r="T1491" s="4">
        <v>75</v>
      </c>
      <c r="U1491" s="2"/>
      <c r="V1491" s="2"/>
      <c r="W1491" s="2"/>
      <c r="X1491" s="2"/>
      <c r="Y1491" s="4"/>
      <c r="Z1491" s="2"/>
      <c r="AA1491" s="2"/>
      <c r="AB1491" s="4"/>
      <c r="AC1491" s="4"/>
      <c r="AD1491" s="4"/>
      <c r="AE1491" s="4"/>
      <c r="AF1491" s="14"/>
    </row>
    <row r="1492" spans="1:32" x14ac:dyDescent="0.25">
      <c r="A1492" s="33" t="str">
        <f>CONCATENATE(D1492,".",F1492,"-",G1492,".",H1492,"")</f>
        <v>2.5-2.1</v>
      </c>
      <c r="B1492" s="33" t="s">
        <v>814</v>
      </c>
      <c r="C1492" s="40" t="s">
        <v>262</v>
      </c>
      <c r="D1492" s="33">
        <f>IF(C1492="ID",1,(IF(C1492="PR",2,(IF(C1492="DE",3,(IF(C1492="RS",4,(IF(C1492="RC",5,0)))))))))</f>
        <v>2</v>
      </c>
      <c r="E1492" s="33" t="s">
        <v>260</v>
      </c>
      <c r="F1492" s="33">
        <f>IF(E1492="AM",1,(IF(E1492="BE",2,(IF(E1492="GV",3,(IF(E1492="RA",4,(IF(E1492="RM",5,(IF(E1492="AC",1,(IF(E1492="AT",2,(IF(E1492="DS",3,(IF(E1492="IP",4,(IF(E1492="MA",5,(IF(E1492="PT",6,(IF(E1492="AE",1,(IF(E1492="CM",2,(IF(E1492="DP",3,(IF(E1492="AN",1,(IF(E1492="CO",2,(IF(E1492="IM",3,(IF(E1492="MI",4,(IF(E1492="RP",5,(IF(E1492="SC",6,0)))))))))))))))))))))))))))))))))))))))</f>
        <v>5</v>
      </c>
      <c r="G1492" s="171">
        <v>2</v>
      </c>
      <c r="H1492" s="38" t="s">
        <v>511</v>
      </c>
      <c r="I1492" s="22" t="s">
        <v>936</v>
      </c>
      <c r="J1492" s="163" t="s">
        <v>882</v>
      </c>
      <c r="K1492" s="34" t="s">
        <v>951</v>
      </c>
      <c r="L1492" s="66">
        <f>IF(O1492="","",N1492*O1492*M1492)</f>
        <v>75</v>
      </c>
      <c r="M1492" s="8">
        <v>1</v>
      </c>
      <c r="N1492" s="3">
        <v>1</v>
      </c>
      <c r="O1492" s="15">
        <f>IF(SUM(Q1492:AF1492)&lt;1,"",SUM(Q1492:AF1492)/COUNTIF(Q1492:AF1492,"&gt;0"))</f>
        <v>75</v>
      </c>
      <c r="P1492" s="16"/>
      <c r="Q1492" s="13"/>
      <c r="R1492" s="4"/>
      <c r="S1492" s="4"/>
      <c r="T1492" s="4">
        <v>75</v>
      </c>
      <c r="U1492" s="2"/>
      <c r="V1492" s="2"/>
      <c r="W1492" s="2"/>
      <c r="X1492" s="2"/>
      <c r="Y1492" s="4"/>
      <c r="Z1492" s="2"/>
      <c r="AA1492" s="2"/>
      <c r="AB1492" s="4"/>
      <c r="AC1492" s="4"/>
      <c r="AD1492" s="4"/>
      <c r="AE1492" s="4"/>
      <c r="AF1492" s="14"/>
    </row>
    <row r="1493" spans="1:32" x14ac:dyDescent="0.25">
      <c r="A1493" s="33" t="str">
        <f>CONCATENATE(D1493,".",F1493,"-",G1493,".",H1493,"")</f>
        <v>2.5-2.1</v>
      </c>
      <c r="B1493" s="33" t="s">
        <v>814</v>
      </c>
      <c r="C1493" s="40" t="s">
        <v>262</v>
      </c>
      <c r="D1493" s="33">
        <f>IF(C1493="ID",1,(IF(C1493="PR",2,(IF(C1493="DE",3,(IF(C1493="RS",4,(IF(C1493="RC",5,0)))))))))</f>
        <v>2</v>
      </c>
      <c r="E1493" s="33" t="s">
        <v>260</v>
      </c>
      <c r="F1493" s="33">
        <f>IF(E1493="AM",1,(IF(E1493="BE",2,(IF(E1493="GV",3,(IF(E1493="RA",4,(IF(E1493="RM",5,(IF(E1493="AC",1,(IF(E1493="AT",2,(IF(E1493="DS",3,(IF(E1493="IP",4,(IF(E1493="MA",5,(IF(E1493="PT",6,(IF(E1493="AE",1,(IF(E1493="CM",2,(IF(E1493="DP",3,(IF(E1493="AN",1,(IF(E1493="CO",2,(IF(E1493="IM",3,(IF(E1493="MI",4,(IF(E1493="RP",5,(IF(E1493="SC",6,0)))))))))))))))))))))))))))))))))))))))</f>
        <v>5</v>
      </c>
      <c r="G1493" s="171">
        <v>2</v>
      </c>
      <c r="H1493" s="38" t="s">
        <v>511</v>
      </c>
      <c r="I1493" s="22" t="s">
        <v>936</v>
      </c>
      <c r="J1493" s="163" t="s">
        <v>913</v>
      </c>
      <c r="K1493" s="34" t="s">
        <v>954</v>
      </c>
      <c r="L1493" s="66">
        <f>IF(O1493="","",N1493*O1493*M1493)</f>
        <v>75</v>
      </c>
      <c r="M1493" s="8">
        <v>1</v>
      </c>
      <c r="N1493" s="3">
        <v>1</v>
      </c>
      <c r="O1493" s="15">
        <f>IF(SUM(Q1493:AF1493)&lt;1,"",SUM(Q1493:AF1493)/COUNTIF(Q1493:AF1493,"&gt;0"))</f>
        <v>75</v>
      </c>
      <c r="P1493" s="16"/>
      <c r="Q1493" s="13"/>
      <c r="R1493" s="4"/>
      <c r="S1493" s="4"/>
      <c r="T1493" s="4">
        <v>75</v>
      </c>
      <c r="U1493" s="2"/>
      <c r="V1493" s="2"/>
      <c r="W1493" s="2"/>
      <c r="X1493" s="2"/>
      <c r="Y1493" s="4"/>
      <c r="Z1493" s="2"/>
      <c r="AA1493" s="2"/>
      <c r="AB1493" s="4"/>
      <c r="AC1493" s="4"/>
      <c r="AD1493" s="4"/>
      <c r="AE1493" s="4"/>
      <c r="AF1493" s="14"/>
    </row>
    <row r="1494" spans="1:32" x14ac:dyDescent="0.25">
      <c r="A1494" s="33" t="str">
        <f>CONCATENATE(D1494,".",F1494,"-",G1494,".",H1494,"")</f>
        <v>2.5-2.1</v>
      </c>
      <c r="B1494" s="33" t="s">
        <v>814</v>
      </c>
      <c r="C1494" s="40" t="s">
        <v>262</v>
      </c>
      <c r="D1494" s="33">
        <f>IF(C1494="ID",1,(IF(C1494="PR",2,(IF(C1494="DE",3,(IF(C1494="RS",4,(IF(C1494="RC",5,0)))))))))</f>
        <v>2</v>
      </c>
      <c r="E1494" s="33" t="s">
        <v>260</v>
      </c>
      <c r="F1494" s="33">
        <f>IF(E1494="AM",1,(IF(E1494="BE",2,(IF(E1494="GV",3,(IF(E1494="RA",4,(IF(E1494="RM",5,(IF(E1494="AC",1,(IF(E1494="AT",2,(IF(E1494="DS",3,(IF(E1494="IP",4,(IF(E1494="MA",5,(IF(E1494="PT",6,(IF(E1494="AE",1,(IF(E1494="CM",2,(IF(E1494="DP",3,(IF(E1494="AN",1,(IF(E1494="CO",2,(IF(E1494="IM",3,(IF(E1494="MI",4,(IF(E1494="RP",5,(IF(E1494="SC",6,0)))))))))))))))))))))))))))))))))))))))</f>
        <v>5</v>
      </c>
      <c r="G1494" s="171">
        <v>2</v>
      </c>
      <c r="H1494" s="38" t="s">
        <v>511</v>
      </c>
      <c r="I1494" s="3" t="s">
        <v>821</v>
      </c>
      <c r="J1494" s="150" t="s">
        <v>103</v>
      </c>
      <c r="K1494" s="79" t="s">
        <v>1283</v>
      </c>
      <c r="L1494" s="66">
        <f>IF(O1494="","",N1494*O1494*M1494)</f>
        <v>75</v>
      </c>
      <c r="M1494" s="8">
        <v>1</v>
      </c>
      <c r="N1494" s="3">
        <v>1</v>
      </c>
      <c r="O1494" s="15">
        <f>IF(SUM(Q1494:AF1494)&lt;1,"",SUM(Q1494:AF1494)/COUNTIF(Q1494:AF1494,"&gt;0"))</f>
        <v>75</v>
      </c>
      <c r="P1494" s="16"/>
      <c r="Q1494" s="13"/>
      <c r="R1494" s="4"/>
      <c r="S1494" s="4"/>
      <c r="T1494" s="4">
        <v>75</v>
      </c>
      <c r="U1494" s="2"/>
      <c r="V1494" s="2"/>
      <c r="W1494" s="2"/>
      <c r="X1494" s="2"/>
      <c r="Y1494" s="4"/>
      <c r="Z1494" s="2"/>
      <c r="AA1494" s="2"/>
      <c r="AB1494" s="4"/>
      <c r="AC1494" s="4"/>
      <c r="AD1494" s="4"/>
      <c r="AE1494" s="4"/>
      <c r="AF1494" s="14"/>
    </row>
    <row r="1495" spans="1:32" x14ac:dyDescent="0.25">
      <c r="A1495" s="33" t="str">
        <f>CONCATENATE(D1495,".",F1495,"-",G1495,".",H1495,"")</f>
        <v>2.5-2.1</v>
      </c>
      <c r="B1495" s="33" t="s">
        <v>814</v>
      </c>
      <c r="C1495" s="41" t="s">
        <v>262</v>
      </c>
      <c r="D1495" s="33">
        <f>IF(C1495="ID",1,(IF(C1495="PR",2,(IF(C1495="DE",3,(IF(C1495="RS",4,(IF(C1495="RC",5,0)))))))))</f>
        <v>2</v>
      </c>
      <c r="E1495" s="33" t="s">
        <v>260</v>
      </c>
      <c r="F1495" s="33">
        <f>IF(E1495="AM",1,(IF(E1495="BE",2,(IF(E1495="GV",3,(IF(E1495="RA",4,(IF(E1495="RM",5,(IF(E1495="AC",1,(IF(E1495="AT",2,(IF(E1495="DS",3,(IF(E1495="IP",4,(IF(E1495="MA",5,(IF(E1495="PT",6,(IF(E1495="AE",1,(IF(E1495="CM",2,(IF(E1495="DP",3,(IF(E1495="AN",1,(IF(E1495="CO",2,(IF(E1495="IM",3,(IF(E1495="MI",4,(IF(E1495="RP",5,(IF(E1495="SC",6,0)))))))))))))))))))))))))))))))))))))))</f>
        <v>5</v>
      </c>
      <c r="G1495" s="170">
        <v>2</v>
      </c>
      <c r="H1495" s="38" t="s">
        <v>511</v>
      </c>
      <c r="I1495" s="22" t="s">
        <v>266</v>
      </c>
      <c r="J1495" s="149" t="s">
        <v>334</v>
      </c>
      <c r="K1495" s="79" t="s">
        <v>1358</v>
      </c>
      <c r="L1495" s="5">
        <f>IF(O1495="","",N1495*O1495*M1495)</f>
        <v>75</v>
      </c>
      <c r="M1495" s="8">
        <v>1</v>
      </c>
      <c r="N1495" s="1">
        <v>1</v>
      </c>
      <c r="O1495" s="15">
        <f>IF(SUM(Q1495:AF1495)&lt;1,"",SUM(Q1495:AF1495)/COUNTIF(Q1495:AF1495,"&gt;0"))</f>
        <v>75</v>
      </c>
      <c r="P1495" s="16"/>
      <c r="Q1495" s="13"/>
      <c r="R1495" s="4"/>
      <c r="S1495" s="4"/>
      <c r="T1495" s="4">
        <v>75</v>
      </c>
      <c r="U1495" s="2"/>
      <c r="V1495" s="2"/>
      <c r="W1495" s="2"/>
      <c r="X1495" s="2"/>
      <c r="Y1495" s="4"/>
      <c r="Z1495" s="2"/>
      <c r="AA1495" s="2"/>
      <c r="AB1495" s="4"/>
      <c r="AC1495" s="4"/>
      <c r="AD1495" s="4"/>
      <c r="AE1495" s="4"/>
      <c r="AF1495" s="14"/>
    </row>
    <row r="1496" spans="1:32" x14ac:dyDescent="0.25">
      <c r="A1496" s="33" t="str">
        <f>CONCATENATE(D1496,".",F1496,"-",G1496,".",H1496,"")</f>
        <v>2.5-2.1</v>
      </c>
      <c r="B1496" s="33" t="s">
        <v>814</v>
      </c>
      <c r="C1496" s="41" t="s">
        <v>262</v>
      </c>
      <c r="D1496" s="33">
        <f>IF(C1496="ID",1,(IF(C1496="PR",2,(IF(C1496="DE",3,(IF(C1496="RS",4,(IF(C1496="RC",5,0)))))))))</f>
        <v>2</v>
      </c>
      <c r="E1496" s="33" t="s">
        <v>260</v>
      </c>
      <c r="F1496" s="33">
        <f>IF(E1496="AM",1,(IF(E1496="BE",2,(IF(E1496="GV",3,(IF(E1496="RA",4,(IF(E1496="RM",5,(IF(E1496="AC",1,(IF(E1496="AT",2,(IF(E1496="DS",3,(IF(E1496="IP",4,(IF(E1496="MA",5,(IF(E1496="PT",6,(IF(E1496="AE",1,(IF(E1496="CM",2,(IF(E1496="DP",3,(IF(E1496="AN",1,(IF(E1496="CO",2,(IF(E1496="IM",3,(IF(E1496="MI",4,(IF(E1496="RP",5,(IF(E1496="SC",6,0)))))))))))))))))))))))))))))))))))))))</f>
        <v>5</v>
      </c>
      <c r="G1496" s="170">
        <v>2</v>
      </c>
      <c r="H1496" s="38" t="s">
        <v>511</v>
      </c>
      <c r="I1496" s="22" t="s">
        <v>266</v>
      </c>
      <c r="J1496" s="149" t="s">
        <v>321</v>
      </c>
      <c r="K1496" s="79" t="s">
        <v>1362</v>
      </c>
      <c r="L1496" s="5">
        <f>IF(O1496="","",N1496*O1496*M1496)</f>
        <v>75</v>
      </c>
      <c r="M1496" s="8">
        <v>1</v>
      </c>
      <c r="N1496" s="1">
        <v>1</v>
      </c>
      <c r="O1496" s="15">
        <f>IF(SUM(Q1496:AF1496)&lt;1,"",SUM(Q1496:AF1496)/COUNTIF(Q1496:AF1496,"&gt;0"))</f>
        <v>75</v>
      </c>
      <c r="P1496" s="16"/>
      <c r="Q1496" s="13"/>
      <c r="R1496" s="4"/>
      <c r="S1496" s="4"/>
      <c r="T1496" s="4">
        <v>75</v>
      </c>
      <c r="U1496" s="2"/>
      <c r="V1496" s="2"/>
      <c r="W1496" s="2"/>
      <c r="X1496" s="2"/>
      <c r="Y1496" s="4"/>
      <c r="Z1496" s="2"/>
      <c r="AA1496" s="2"/>
      <c r="AB1496" s="4"/>
      <c r="AC1496" s="4"/>
      <c r="AD1496" s="4"/>
      <c r="AE1496" s="4"/>
      <c r="AF1496" s="14"/>
    </row>
    <row r="1497" spans="1:32" x14ac:dyDescent="0.25">
      <c r="A1497" s="33" t="str">
        <f>CONCATENATE(D1497,".",F1497,"-",G1497,".",H1497,"")</f>
        <v>2.5-2.1</v>
      </c>
      <c r="B1497" s="33" t="s">
        <v>814</v>
      </c>
      <c r="C1497" s="39" t="s">
        <v>262</v>
      </c>
      <c r="D1497" s="33">
        <f>IF(C1497="ID",1,(IF(C1497="PR",2,(IF(C1497="DE",3,(IF(C1497="RS",4,(IF(C1497="RC",5,0)))))))))</f>
        <v>2</v>
      </c>
      <c r="E1497" s="33" t="s">
        <v>260</v>
      </c>
      <c r="F1497" s="33">
        <f>IF(E1497="AM",1,(IF(E1497="BE",2,(IF(E1497="GV",3,(IF(E1497="RA",4,(IF(E1497="RM",5,(IF(E1497="AC",1,(IF(E1497="AT",2,(IF(E1497="DS",3,(IF(E1497="IP",4,(IF(E1497="MA",5,(IF(E1497="PT",6,(IF(E1497="AE",1,(IF(E1497="CM",2,(IF(E1497="DP",3,(IF(E1497="AN",1,(IF(E1497="CO",2,(IF(E1497="IM",3,(IF(E1497="MI",4,(IF(E1497="RP",5,(IF(E1497="SC",6,0)))))))))))))))))))))))))))))))))))))))</f>
        <v>5</v>
      </c>
      <c r="G1497" s="170">
        <v>2</v>
      </c>
      <c r="H1497" s="33">
        <v>1</v>
      </c>
      <c r="I1497" s="22" t="s">
        <v>266</v>
      </c>
      <c r="J1497" s="150" t="s">
        <v>5</v>
      </c>
      <c r="K1497" s="79" t="s">
        <v>1393</v>
      </c>
      <c r="L1497" s="5">
        <f>IF(O1497="","",N1497*O1497*M1497)</f>
        <v>75</v>
      </c>
      <c r="M1497" s="8">
        <v>1</v>
      </c>
      <c r="N1497" s="1">
        <v>1</v>
      </c>
      <c r="O1497" s="15">
        <f>IF(SUM(Q1497:AF1497)&lt;1,"",SUM(Q1497:AF1497)/COUNTIF(Q1497:AF1497,"&gt;0"))</f>
        <v>75</v>
      </c>
      <c r="P1497" s="16"/>
      <c r="Q1497" s="13"/>
      <c r="T1497" s="4">
        <v>75</v>
      </c>
      <c r="AF1497" s="104"/>
    </row>
    <row r="1498" spans="1:32" x14ac:dyDescent="0.25">
      <c r="A1498" s="33" t="str">
        <f>CONCATENATE(D1498,".",F1498,"-",G1498,".",H1498,"")</f>
        <v>2.5-2.1</v>
      </c>
      <c r="C1498" s="39" t="s">
        <v>262</v>
      </c>
      <c r="D1498" s="33">
        <f>IF(C1498="ID",1,(IF(C1498="PR",2,(IF(C1498="DE",3,(IF(C1498="RS",4,(IF(C1498="RC",5,0)))))))))</f>
        <v>2</v>
      </c>
      <c r="E1498" s="33" t="s">
        <v>260</v>
      </c>
      <c r="F1498" s="33">
        <f>IF(E1498="AM",1,(IF(E1498="BE",2,(IF(E1498="GV",3,(IF(E1498="RA",4,(IF(E1498="RM",5,(IF(E1498="AC",1,(IF(E1498="AT",2,(IF(E1498="DS",3,(IF(E1498="IP",4,(IF(E1498="MA",5,(IF(E1498="PT",6,(IF(E1498="AE",1,(IF(E1498="CM",2,(IF(E1498="DP",3,(IF(E1498="AN",1,(IF(E1498="CO",2,(IF(E1498="IM",3,(IF(E1498="MI",4,(IF(E1498="RP",5,(IF(E1498="SC",6,0)))))))))))))))))))))))))))))))))))))))</f>
        <v>5</v>
      </c>
      <c r="G1498" s="170">
        <v>2</v>
      </c>
      <c r="H1498" s="38" t="s">
        <v>511</v>
      </c>
      <c r="I1498" s="3" t="s">
        <v>1449</v>
      </c>
      <c r="J1498" s="157" t="s">
        <v>2281</v>
      </c>
      <c r="K1498" s="34" t="s">
        <v>2282</v>
      </c>
      <c r="L1498" s="5">
        <f>IF(O1498="","",N1498*O1498*M1498)</f>
        <v>99</v>
      </c>
      <c r="M1498" s="8">
        <v>1</v>
      </c>
      <c r="N1498" s="1">
        <v>1</v>
      </c>
      <c r="O1498" s="15">
        <f>IF(SUM(Q1498:AF1498)&lt;1,"",SUM(Q1498:AF1498)/COUNTIF(Q1498:AF1498,"&gt;0"))</f>
        <v>99</v>
      </c>
      <c r="P1498" s="16"/>
      <c r="Q1498" s="13"/>
      <c r="R1498" s="4"/>
      <c r="S1498" s="4"/>
      <c r="T1498" s="4">
        <v>99</v>
      </c>
      <c r="U1498" s="2"/>
      <c r="V1498" s="2"/>
      <c r="W1498" s="2"/>
      <c r="X1498" s="2"/>
      <c r="Y1498" s="4"/>
      <c r="Z1498" s="2"/>
      <c r="AA1498" s="2"/>
      <c r="AB1498" s="4"/>
      <c r="AC1498" s="4"/>
      <c r="AD1498" s="4"/>
      <c r="AE1498" s="4"/>
      <c r="AF1498" s="14"/>
    </row>
    <row r="1499" spans="1:32" x14ac:dyDescent="0.25">
      <c r="A1499" s="33" t="str">
        <f>CONCATENATE(D1499,".",F1499,"-",G1499,".",H1499,"")</f>
        <v>2.5-2.1</v>
      </c>
      <c r="C1499" s="39" t="s">
        <v>262</v>
      </c>
      <c r="D1499" s="33">
        <f>IF(C1499="ID",1,(IF(C1499="PR",2,(IF(C1499="DE",3,(IF(C1499="RS",4,(IF(C1499="RC",5,0)))))))))</f>
        <v>2</v>
      </c>
      <c r="E1499" s="33" t="s">
        <v>260</v>
      </c>
      <c r="F1499" s="33">
        <f>IF(E1499="AM",1,(IF(E1499="BE",2,(IF(E1499="GV",3,(IF(E1499="RA",4,(IF(E1499="RM",5,(IF(E1499="AC",1,(IF(E1499="AT",2,(IF(E1499="DS",3,(IF(E1499="IP",4,(IF(E1499="MA",5,(IF(E1499="PT",6,(IF(E1499="AE",1,(IF(E1499="CM",2,(IF(E1499="DP",3,(IF(E1499="AN",1,(IF(E1499="CO",2,(IF(E1499="IM",3,(IF(E1499="MI",4,(IF(E1499="RP",5,(IF(E1499="SC",6,0)))))))))))))))))))))))))))))))))))))))</f>
        <v>5</v>
      </c>
      <c r="G1499" s="170">
        <v>2</v>
      </c>
      <c r="H1499" s="38" t="s">
        <v>511</v>
      </c>
      <c r="I1499" s="3" t="s">
        <v>1449</v>
      </c>
      <c r="J1499" s="157" t="s">
        <v>2283</v>
      </c>
      <c r="K1499" s="34" t="s">
        <v>2284</v>
      </c>
      <c r="L1499" s="5">
        <f>IF(O1499="","",N1499*O1499*M1499)</f>
        <v>99</v>
      </c>
      <c r="M1499" s="8">
        <v>1</v>
      </c>
      <c r="N1499" s="1">
        <v>1</v>
      </c>
      <c r="O1499" s="15">
        <f>IF(SUM(Q1499:AF1499)&lt;1,"",SUM(Q1499:AF1499)/COUNTIF(Q1499:AF1499,"&gt;0"))</f>
        <v>99</v>
      </c>
      <c r="P1499" s="16"/>
      <c r="Q1499" s="13"/>
      <c r="R1499" s="4"/>
      <c r="S1499" s="4"/>
      <c r="T1499" s="4">
        <v>99</v>
      </c>
      <c r="U1499" s="2"/>
      <c r="V1499" s="2"/>
      <c r="W1499" s="2"/>
      <c r="X1499" s="2"/>
      <c r="Y1499" s="4"/>
      <c r="Z1499" s="2"/>
      <c r="AA1499" s="2"/>
      <c r="AB1499" s="4"/>
      <c r="AC1499" s="4"/>
      <c r="AD1499" s="4"/>
      <c r="AE1499" s="4"/>
      <c r="AF1499" s="14"/>
    </row>
    <row r="1500" spans="1:32" x14ac:dyDescent="0.25">
      <c r="A1500" s="33" t="str">
        <f>CONCATENATE(D1500,".",F1500,"-",G1500,".",H1500,"")</f>
        <v>2.5-2.1</v>
      </c>
      <c r="C1500" s="39" t="s">
        <v>262</v>
      </c>
      <c r="D1500" s="33">
        <f>IF(C1500="ID",1,(IF(C1500="PR",2,(IF(C1500="DE",3,(IF(C1500="RS",4,(IF(C1500="RC",5,0)))))))))</f>
        <v>2</v>
      </c>
      <c r="E1500" s="33" t="s">
        <v>260</v>
      </c>
      <c r="F1500" s="33">
        <f>IF(E1500="AM",1,(IF(E1500="BE",2,(IF(E1500="GV",3,(IF(E1500="RA",4,(IF(E1500="RM",5,(IF(E1500="AC",1,(IF(E1500="AT",2,(IF(E1500="DS",3,(IF(E1500="IP",4,(IF(E1500="MA",5,(IF(E1500="PT",6,(IF(E1500="AE",1,(IF(E1500="CM",2,(IF(E1500="DP",3,(IF(E1500="AN",1,(IF(E1500="CO",2,(IF(E1500="IM",3,(IF(E1500="MI",4,(IF(E1500="RP",5,(IF(E1500="SC",6,0)))))))))))))))))))))))))))))))))))))))</f>
        <v>5</v>
      </c>
      <c r="G1500" s="170">
        <v>2</v>
      </c>
      <c r="H1500" s="38" t="s">
        <v>511</v>
      </c>
      <c r="I1500" s="3" t="s">
        <v>1449</v>
      </c>
      <c r="J1500" s="157" t="s">
        <v>2285</v>
      </c>
      <c r="K1500" s="34" t="s">
        <v>2286</v>
      </c>
      <c r="L1500" s="5">
        <f>IF(O1500="","",N1500*O1500*M1500)</f>
        <v>99</v>
      </c>
      <c r="M1500" s="8">
        <v>1</v>
      </c>
      <c r="N1500" s="1">
        <v>1</v>
      </c>
      <c r="O1500" s="15">
        <f>IF(SUM(Q1500:AF1500)&lt;1,"",SUM(Q1500:AF1500)/COUNTIF(Q1500:AF1500,"&gt;0"))</f>
        <v>99</v>
      </c>
      <c r="P1500" s="16"/>
      <c r="Q1500" s="13"/>
      <c r="R1500" s="4"/>
      <c r="S1500" s="4"/>
      <c r="T1500" s="4">
        <v>99</v>
      </c>
      <c r="U1500" s="2"/>
      <c r="V1500" s="2"/>
      <c r="W1500" s="2"/>
      <c r="X1500" s="2"/>
      <c r="Y1500" s="4"/>
      <c r="Z1500" s="2"/>
      <c r="AA1500" s="2"/>
      <c r="AB1500" s="4"/>
      <c r="AC1500" s="4"/>
      <c r="AD1500" s="4"/>
      <c r="AE1500" s="4"/>
      <c r="AF1500" s="14"/>
    </row>
    <row r="1501" spans="1:32" x14ac:dyDescent="0.25">
      <c r="A1501" s="33" t="str">
        <f>CONCATENATE(D1501,".",F1501,"-",G1501,".",H1501,"")</f>
        <v>2.5-2.1</v>
      </c>
      <c r="C1501" s="39" t="s">
        <v>262</v>
      </c>
      <c r="D1501" s="33">
        <f>IF(C1501="ID",1,(IF(C1501="PR",2,(IF(C1501="DE",3,(IF(C1501="RS",4,(IF(C1501="RC",5,0)))))))))</f>
        <v>2</v>
      </c>
      <c r="E1501" s="33" t="s">
        <v>260</v>
      </c>
      <c r="F1501" s="33">
        <f>IF(E1501="AM",1,(IF(E1501="BE",2,(IF(E1501="GV",3,(IF(E1501="RA",4,(IF(E1501="RM",5,(IF(E1501="AC",1,(IF(E1501="AT",2,(IF(E1501="DS",3,(IF(E1501="IP",4,(IF(E1501="MA",5,(IF(E1501="PT",6,(IF(E1501="AE",1,(IF(E1501="CM",2,(IF(E1501="DP",3,(IF(E1501="AN",1,(IF(E1501="CO",2,(IF(E1501="IM",3,(IF(E1501="MI",4,(IF(E1501="RP",5,(IF(E1501="SC",6,0)))))))))))))))))))))))))))))))))))))))</f>
        <v>5</v>
      </c>
      <c r="G1501" s="170">
        <v>2</v>
      </c>
      <c r="H1501" s="38" t="s">
        <v>511</v>
      </c>
      <c r="I1501" s="3" t="s">
        <v>1449</v>
      </c>
      <c r="J1501" s="157" t="s">
        <v>2287</v>
      </c>
      <c r="K1501" s="34" t="s">
        <v>2288</v>
      </c>
      <c r="L1501" s="5">
        <f>IF(O1501="","",N1501*O1501*M1501)</f>
        <v>99</v>
      </c>
      <c r="M1501" s="8">
        <v>1</v>
      </c>
      <c r="N1501" s="1">
        <v>1</v>
      </c>
      <c r="O1501" s="15">
        <f>IF(SUM(Q1501:AF1501)&lt;1,"",SUM(Q1501:AF1501)/COUNTIF(Q1501:AF1501,"&gt;0"))</f>
        <v>99</v>
      </c>
      <c r="P1501" s="16"/>
      <c r="Q1501" s="13"/>
      <c r="R1501" s="4"/>
      <c r="S1501" s="4"/>
      <c r="T1501" s="4">
        <v>99</v>
      </c>
      <c r="U1501" s="2"/>
      <c r="V1501" s="2"/>
      <c r="W1501" s="2"/>
      <c r="X1501" s="2"/>
      <c r="Y1501" s="4"/>
      <c r="Z1501" s="2"/>
      <c r="AA1501" s="2"/>
      <c r="AB1501" s="4"/>
      <c r="AC1501" s="4"/>
      <c r="AD1501" s="4"/>
      <c r="AE1501" s="4"/>
      <c r="AF1501" s="14"/>
    </row>
    <row r="1502" spans="1:32" x14ac:dyDescent="0.25">
      <c r="A1502" s="33" t="str">
        <f>CONCATENATE(D1502,".",F1502,"-",G1502,".",H1502,"")</f>
        <v>2.5-2.1</v>
      </c>
      <c r="C1502" s="39" t="s">
        <v>262</v>
      </c>
      <c r="D1502" s="33">
        <f>IF(C1502="ID",1,(IF(C1502="PR",2,(IF(C1502="DE",3,(IF(C1502="RS",4,(IF(C1502="RC",5,0)))))))))</f>
        <v>2</v>
      </c>
      <c r="E1502" s="33" t="s">
        <v>260</v>
      </c>
      <c r="F1502" s="33">
        <f>IF(E1502="AM",1,(IF(E1502="BE",2,(IF(E1502="GV",3,(IF(E1502="RA",4,(IF(E1502="RM",5,(IF(E1502="AC",1,(IF(E1502="AT",2,(IF(E1502="DS",3,(IF(E1502="IP",4,(IF(E1502="MA",5,(IF(E1502="PT",6,(IF(E1502="AE",1,(IF(E1502="CM",2,(IF(E1502="DP",3,(IF(E1502="AN",1,(IF(E1502="CO",2,(IF(E1502="IM",3,(IF(E1502="MI",4,(IF(E1502="RP",5,(IF(E1502="SC",6,0)))))))))))))))))))))))))))))))))))))))</f>
        <v>5</v>
      </c>
      <c r="G1502" s="170">
        <v>2</v>
      </c>
      <c r="H1502" s="38" t="s">
        <v>511</v>
      </c>
      <c r="I1502" s="3" t="s">
        <v>1449</v>
      </c>
      <c r="J1502" s="157" t="s">
        <v>2289</v>
      </c>
      <c r="K1502" s="34" t="s">
        <v>2290</v>
      </c>
      <c r="L1502" s="5">
        <f>IF(O1502="","",N1502*O1502*M1502)</f>
        <v>99</v>
      </c>
      <c r="M1502" s="8">
        <v>1</v>
      </c>
      <c r="N1502" s="1">
        <v>1</v>
      </c>
      <c r="O1502" s="15">
        <f>IF(SUM(Q1502:AF1502)&lt;1,"",SUM(Q1502:AF1502)/COUNTIF(Q1502:AF1502,"&gt;0"))</f>
        <v>99</v>
      </c>
      <c r="P1502" s="16"/>
      <c r="Q1502" s="13"/>
      <c r="R1502" s="4"/>
      <c r="S1502" s="4"/>
      <c r="T1502" s="4">
        <v>99</v>
      </c>
      <c r="U1502" s="2"/>
      <c r="V1502" s="2"/>
      <c r="W1502" s="2"/>
      <c r="X1502" s="2"/>
      <c r="Y1502" s="4"/>
      <c r="Z1502" s="2"/>
      <c r="AA1502" s="2"/>
      <c r="AB1502" s="4"/>
      <c r="AC1502" s="4"/>
      <c r="AD1502" s="4"/>
      <c r="AE1502" s="4"/>
      <c r="AF1502" s="14"/>
    </row>
    <row r="1503" spans="1:32" x14ac:dyDescent="0.25">
      <c r="A1503" s="33" t="str">
        <f>CONCATENATE(D1503,".",F1503,"-",G1503,".",H1503,"")</f>
        <v>2.5-2.1</v>
      </c>
      <c r="C1503" s="39" t="s">
        <v>262</v>
      </c>
      <c r="D1503" s="33">
        <f>IF(C1503="ID",1,(IF(C1503="PR",2,(IF(C1503="DE",3,(IF(C1503="RS",4,(IF(C1503="RC",5,0)))))))))</f>
        <v>2</v>
      </c>
      <c r="E1503" s="33" t="s">
        <v>260</v>
      </c>
      <c r="F1503" s="33">
        <f>IF(E1503="AM",1,(IF(E1503="BE",2,(IF(E1503="GV",3,(IF(E1503="RA",4,(IF(E1503="RM",5,(IF(E1503="AC",1,(IF(E1503="AT",2,(IF(E1503="DS",3,(IF(E1503="IP",4,(IF(E1503="MA",5,(IF(E1503="PT",6,(IF(E1503="AE",1,(IF(E1503="CM",2,(IF(E1503="DP",3,(IF(E1503="AN",1,(IF(E1503="CO",2,(IF(E1503="IM",3,(IF(E1503="MI",4,(IF(E1503="RP",5,(IF(E1503="SC",6,0)))))))))))))))))))))))))))))))))))))))</f>
        <v>5</v>
      </c>
      <c r="G1503" s="170">
        <v>2</v>
      </c>
      <c r="H1503" s="38" t="s">
        <v>511</v>
      </c>
      <c r="I1503" s="3" t="s">
        <v>1449</v>
      </c>
      <c r="J1503" s="157" t="s">
        <v>2291</v>
      </c>
      <c r="K1503" s="34" t="s">
        <v>2292</v>
      </c>
      <c r="L1503" s="5">
        <f>IF(O1503="","",N1503*O1503*M1503)</f>
        <v>99</v>
      </c>
      <c r="M1503" s="8">
        <v>1</v>
      </c>
      <c r="N1503" s="1">
        <v>1</v>
      </c>
      <c r="O1503" s="15">
        <f>IF(SUM(Q1503:AF1503)&lt;1,"",SUM(Q1503:AF1503)/COUNTIF(Q1503:AF1503,"&gt;0"))</f>
        <v>99</v>
      </c>
      <c r="P1503" s="16"/>
      <c r="Q1503" s="13"/>
      <c r="R1503" s="4"/>
      <c r="S1503" s="4"/>
      <c r="T1503" s="4">
        <v>99</v>
      </c>
      <c r="U1503" s="2"/>
      <c r="V1503" s="2"/>
      <c r="W1503" s="2"/>
      <c r="X1503" s="2"/>
      <c r="Y1503" s="4"/>
      <c r="Z1503" s="2"/>
      <c r="AA1503" s="2"/>
      <c r="AB1503" s="4"/>
      <c r="AC1503" s="4"/>
      <c r="AD1503" s="4"/>
      <c r="AE1503" s="4"/>
      <c r="AF1503" s="14"/>
    </row>
    <row r="1504" spans="1:32" x14ac:dyDescent="0.25">
      <c r="A1504" s="33" t="str">
        <f>CONCATENATE(D1504,".",F1504,"-",G1504,".",H1504,"")</f>
        <v>2.5-2.1</v>
      </c>
      <c r="C1504" s="39" t="s">
        <v>262</v>
      </c>
      <c r="D1504" s="33">
        <f>IF(C1504="ID",1,(IF(C1504="PR",2,(IF(C1504="DE",3,(IF(C1504="RS",4,(IF(C1504="RC",5,0)))))))))</f>
        <v>2</v>
      </c>
      <c r="E1504" s="33" t="s">
        <v>260</v>
      </c>
      <c r="F1504" s="33">
        <f>IF(E1504="AM",1,(IF(E1504="BE",2,(IF(E1504="GV",3,(IF(E1504="RA",4,(IF(E1504="RM",5,(IF(E1504="AC",1,(IF(E1504="AT",2,(IF(E1504="DS",3,(IF(E1504="IP",4,(IF(E1504="MA",5,(IF(E1504="PT",6,(IF(E1504="AE",1,(IF(E1504="CM",2,(IF(E1504="DP",3,(IF(E1504="AN",1,(IF(E1504="CO",2,(IF(E1504="IM",3,(IF(E1504="MI",4,(IF(E1504="RP",5,(IF(E1504="SC",6,0)))))))))))))))))))))))))))))))))))))))</f>
        <v>5</v>
      </c>
      <c r="G1504" s="170">
        <v>2</v>
      </c>
      <c r="H1504" s="38" t="s">
        <v>511</v>
      </c>
      <c r="I1504" s="3" t="s">
        <v>1449</v>
      </c>
      <c r="J1504" s="157" t="s">
        <v>2293</v>
      </c>
      <c r="K1504" s="34" t="s">
        <v>2294</v>
      </c>
      <c r="L1504" s="5">
        <f>IF(O1504="","",N1504*O1504*M1504)</f>
        <v>99</v>
      </c>
      <c r="M1504" s="8">
        <v>1</v>
      </c>
      <c r="N1504" s="1">
        <v>1</v>
      </c>
      <c r="O1504" s="15">
        <f>IF(SUM(Q1504:AF1504)&lt;1,"",SUM(Q1504:AF1504)/COUNTIF(Q1504:AF1504,"&gt;0"))</f>
        <v>99</v>
      </c>
      <c r="P1504" s="16"/>
      <c r="Q1504" s="13"/>
      <c r="R1504" s="4"/>
      <c r="S1504" s="4"/>
      <c r="T1504" s="4">
        <v>99</v>
      </c>
      <c r="U1504" s="2"/>
      <c r="V1504" s="2"/>
      <c r="W1504" s="2"/>
      <c r="X1504" s="2"/>
      <c r="Y1504" s="4"/>
      <c r="Z1504" s="2"/>
      <c r="AA1504" s="2"/>
      <c r="AB1504" s="4"/>
      <c r="AC1504" s="4"/>
      <c r="AD1504" s="4"/>
      <c r="AE1504" s="4"/>
      <c r="AF1504" s="14"/>
    </row>
    <row r="1505" spans="1:32" x14ac:dyDescent="0.25">
      <c r="A1505" s="33" t="str">
        <f>CONCATENATE(D1505,".",F1505,"-",G1505,".",H1505,"")</f>
        <v>2.5-2.1</v>
      </c>
      <c r="C1505" s="39" t="s">
        <v>262</v>
      </c>
      <c r="D1505" s="33">
        <f>IF(C1505="ID",1,(IF(C1505="PR",2,(IF(C1505="DE",3,(IF(C1505="RS",4,(IF(C1505="RC",5,0)))))))))</f>
        <v>2</v>
      </c>
      <c r="E1505" s="33" t="s">
        <v>260</v>
      </c>
      <c r="F1505" s="33">
        <f>IF(E1505="AM",1,(IF(E1505="BE",2,(IF(E1505="GV",3,(IF(E1505="RA",4,(IF(E1505="RM",5,(IF(E1505="AC",1,(IF(E1505="AT",2,(IF(E1505="DS",3,(IF(E1505="IP",4,(IF(E1505="MA",5,(IF(E1505="PT",6,(IF(E1505="AE",1,(IF(E1505="CM",2,(IF(E1505="DP",3,(IF(E1505="AN",1,(IF(E1505="CO",2,(IF(E1505="IM",3,(IF(E1505="MI",4,(IF(E1505="RP",5,(IF(E1505="SC",6,0)))))))))))))))))))))))))))))))))))))))</f>
        <v>5</v>
      </c>
      <c r="G1505" s="170">
        <v>2</v>
      </c>
      <c r="H1505" s="38" t="s">
        <v>511</v>
      </c>
      <c r="I1505" s="3" t="s">
        <v>1449</v>
      </c>
      <c r="J1505" s="157" t="s">
        <v>2295</v>
      </c>
      <c r="K1505" s="34" t="s">
        <v>2296</v>
      </c>
      <c r="L1505" s="5">
        <f>IF(O1505="","",N1505*O1505*M1505)</f>
        <v>99</v>
      </c>
      <c r="M1505" s="8">
        <v>1</v>
      </c>
      <c r="N1505" s="1">
        <v>1</v>
      </c>
      <c r="O1505" s="15">
        <f>IF(SUM(Q1505:AF1505)&lt;1,"",SUM(Q1505:AF1505)/COUNTIF(Q1505:AF1505,"&gt;0"))</f>
        <v>99</v>
      </c>
      <c r="P1505" s="16"/>
      <c r="Q1505" s="13"/>
      <c r="R1505" s="4"/>
      <c r="S1505" s="4"/>
      <c r="T1505" s="4">
        <v>99</v>
      </c>
      <c r="U1505" s="2"/>
      <c r="V1505" s="2"/>
      <c r="W1505" s="2"/>
      <c r="X1505" s="2"/>
      <c r="Y1505" s="4"/>
      <c r="Z1505" s="2"/>
      <c r="AA1505" s="2"/>
      <c r="AB1505" s="4"/>
      <c r="AC1505" s="4"/>
      <c r="AD1505" s="4"/>
      <c r="AE1505" s="4"/>
      <c r="AF1505" s="14"/>
    </row>
    <row r="1506" spans="1:32" x14ac:dyDescent="0.25">
      <c r="A1506" s="33" t="str">
        <f>CONCATENATE(D1506,".",F1506,"-",G1506,".",H1506,"")</f>
        <v>2.6-0.0</v>
      </c>
      <c r="B1506" s="33" t="s">
        <v>1229</v>
      </c>
      <c r="C1506" s="40" t="s">
        <v>262</v>
      </c>
      <c r="D1506" s="33">
        <f>IF(C1506="ID",1,(IF(C1506="PR",2,(IF(C1506="DE",3,(IF(C1506="RS",4,(IF(C1506="RC",5,0)))))))))</f>
        <v>2</v>
      </c>
      <c r="E1506" s="33" t="s">
        <v>345</v>
      </c>
      <c r="F1506" s="33">
        <f>IF(E1506="AM",1,(IF(E1506="BE",2,(IF(E1506="GV",3,(IF(E1506="RA",4,(IF(E1506="RM",5,(IF(E1506="AC",1,(IF(E1506="AT",2,(IF(E1506="DS",3,(IF(E1506="IP",4,(IF(E1506="MA",5,(IF(E1506="PT",6,(IF(E1506="AE",1,(IF(E1506="CM",2,(IF(E1506="DP",3,(IF(E1506="AN",1,(IF(E1506="CO",2,(IF(E1506="IM",3,(IF(E1506="MI",4,(IF(E1506="RP",5,(IF(E1506="SC",6,0)))))))))))))))))))))))))))))))))))))))</f>
        <v>6</v>
      </c>
      <c r="G1506" s="170">
        <v>0</v>
      </c>
      <c r="H1506" s="38" t="s">
        <v>597</v>
      </c>
      <c r="I1506" s="22" t="s">
        <v>1200</v>
      </c>
      <c r="J1506" s="165" t="s">
        <v>694</v>
      </c>
      <c r="K1506" s="98" t="s">
        <v>737</v>
      </c>
      <c r="L1506" s="5" t="str">
        <f>IF(O1506="","",N1506*O1506*M1506)</f>
        <v/>
      </c>
      <c r="M1506" s="8">
        <v>1</v>
      </c>
      <c r="N1506" s="1">
        <v>1</v>
      </c>
      <c r="O1506" s="15" t="str">
        <f>IF(SUM(Q1506:AF1506)&lt;1,"",SUM(Q1506:AF1506)/COUNTIF(Q1506:AF1506,"&gt;0"))</f>
        <v/>
      </c>
      <c r="P1506" s="16"/>
      <c r="Q1506" s="13"/>
      <c r="R1506" s="4"/>
      <c r="S1506" s="4"/>
      <c r="T1506" s="2"/>
      <c r="U1506" s="2"/>
      <c r="V1506" s="2"/>
      <c r="W1506" s="2"/>
      <c r="X1506" s="2"/>
      <c r="Y1506" s="4"/>
      <c r="Z1506" s="2"/>
      <c r="AA1506" s="2"/>
      <c r="AB1506" s="4"/>
      <c r="AC1506" s="4"/>
      <c r="AD1506" s="4"/>
      <c r="AE1506" s="4"/>
      <c r="AF1506" s="14"/>
    </row>
    <row r="1507" spans="1:32" x14ac:dyDescent="0.25">
      <c r="A1507" s="33" t="str">
        <f>CONCATENATE(D1507,".",F1507,"-",G1507,".",H1507,"")</f>
        <v>2.6-0.1</v>
      </c>
      <c r="B1507" s="33" t="s">
        <v>1229</v>
      </c>
      <c r="C1507" s="40" t="s">
        <v>262</v>
      </c>
      <c r="D1507" s="33">
        <f>IF(C1507="ID",1,(IF(C1507="PR",2,(IF(C1507="DE",3,(IF(C1507="RS",4,(IF(C1507="RC",5,0)))))))))</f>
        <v>2</v>
      </c>
      <c r="E1507" s="33" t="s">
        <v>345</v>
      </c>
      <c r="F1507" s="33">
        <f>IF(E1507="AM",1,(IF(E1507="BE",2,(IF(E1507="GV",3,(IF(E1507="RA",4,(IF(E1507="RM",5,(IF(E1507="AC",1,(IF(E1507="AT",2,(IF(E1507="DS",3,(IF(E1507="IP",4,(IF(E1507="MA",5,(IF(E1507="PT",6,(IF(E1507="AE",1,(IF(E1507="CM",2,(IF(E1507="DP",3,(IF(E1507="AN",1,(IF(E1507="CO",2,(IF(E1507="IM",3,(IF(E1507="MI",4,(IF(E1507="RP",5,(IF(E1507="SC",6,0)))))))))))))))))))))))))))))))))))))))</f>
        <v>6</v>
      </c>
      <c r="G1507" s="170">
        <v>0</v>
      </c>
      <c r="H1507" s="38" t="s">
        <v>511</v>
      </c>
      <c r="I1507" s="22" t="s">
        <v>1200</v>
      </c>
      <c r="J1507" s="165" t="s">
        <v>694</v>
      </c>
      <c r="K1507" s="98" t="s">
        <v>754</v>
      </c>
      <c r="L1507" s="5" t="str">
        <f>IF(O1507="","",N1507*O1507*M1507)</f>
        <v/>
      </c>
      <c r="M1507" s="8">
        <v>1</v>
      </c>
      <c r="N1507" s="1">
        <v>1</v>
      </c>
      <c r="O1507" s="15" t="str">
        <f>IF(SUM(Q1507:AF1507)&lt;1,"",SUM(Q1507:AF1507)/COUNTIF(Q1507:AF1507,"&gt;0"))</f>
        <v/>
      </c>
      <c r="P1507" s="16"/>
      <c r="Q1507" s="13"/>
      <c r="R1507" s="4"/>
      <c r="S1507" s="4"/>
      <c r="T1507" s="2"/>
      <c r="U1507" s="2"/>
      <c r="V1507" s="2"/>
      <c r="W1507" s="2"/>
      <c r="X1507" s="2"/>
      <c r="Y1507" s="4"/>
      <c r="Z1507" s="2"/>
      <c r="AA1507" s="2"/>
      <c r="AB1507" s="4"/>
      <c r="AC1507" s="4"/>
      <c r="AD1507" s="4"/>
      <c r="AE1507" s="4"/>
      <c r="AF1507" s="14"/>
    </row>
    <row r="1508" spans="1:32" x14ac:dyDescent="0.25">
      <c r="A1508" s="33" t="str">
        <f>CONCATENATE(D1508,".",F1508,"-",G1508,".",H1508,"")</f>
        <v>2.6-1.0</v>
      </c>
      <c r="B1508" s="33" t="s">
        <v>814</v>
      </c>
      <c r="C1508" s="40" t="s">
        <v>262</v>
      </c>
      <c r="D1508" s="33">
        <f>IF(C1508="ID",1,(IF(C1508="PR",2,(IF(C1508="DE",3,(IF(C1508="RS",4,(IF(C1508="RC",5,0)))))))))</f>
        <v>2</v>
      </c>
      <c r="E1508" s="33" t="s">
        <v>345</v>
      </c>
      <c r="F1508" s="33">
        <f>IF(E1508="AM",1,(IF(E1508="BE",2,(IF(E1508="GV",3,(IF(E1508="RA",4,(IF(E1508="RM",5,(IF(E1508="AC",1,(IF(E1508="AT",2,(IF(E1508="DS",3,(IF(E1508="IP",4,(IF(E1508="MA",5,(IF(E1508="PT",6,(IF(E1508="AE",1,(IF(E1508="CM",2,(IF(E1508="DP",3,(IF(E1508="AN",1,(IF(E1508="CO",2,(IF(E1508="IM",3,(IF(E1508="MI",4,(IF(E1508="RP",5,(IF(E1508="SC",6,0)))))))))))))))))))))))))))))))))))))))</f>
        <v>6</v>
      </c>
      <c r="G1508" s="170">
        <v>1</v>
      </c>
      <c r="H1508" s="38" t="s">
        <v>597</v>
      </c>
      <c r="I1508" s="22" t="s">
        <v>1200</v>
      </c>
      <c r="J1508" s="149" t="s">
        <v>695</v>
      </c>
      <c r="K1508" s="98" t="s">
        <v>398</v>
      </c>
      <c r="L1508" s="5">
        <f>IF(O1508="","",N1508*O1508*M1508)</f>
        <v>75</v>
      </c>
      <c r="M1508" s="8">
        <v>1</v>
      </c>
      <c r="N1508" s="1">
        <v>1</v>
      </c>
      <c r="O1508" s="15">
        <f>IF(SUM(Q1508:AF1508)&lt;1,"",SUM(Q1508:AF1508)/COUNTIF(Q1508:AF1508,"&gt;0"))</f>
        <v>75</v>
      </c>
      <c r="P1508" s="16"/>
      <c r="Q1508" s="13"/>
      <c r="R1508" s="4"/>
      <c r="S1508" s="4"/>
      <c r="T1508" s="4">
        <v>75</v>
      </c>
      <c r="U1508" s="2"/>
      <c r="V1508" s="2"/>
      <c r="W1508" s="2"/>
      <c r="X1508" s="2"/>
      <c r="Y1508" s="4"/>
      <c r="Z1508" s="2"/>
      <c r="AA1508" s="2"/>
      <c r="AB1508" s="4"/>
      <c r="AC1508" s="4"/>
      <c r="AD1508" s="4"/>
      <c r="AE1508" s="4"/>
      <c r="AF1508" s="14"/>
    </row>
    <row r="1509" spans="1:32" x14ac:dyDescent="0.25">
      <c r="A1509" s="33" t="str">
        <f>CONCATENATE(D1509,".",F1509,"-",G1509,".",H1509,"")</f>
        <v>2.6-1.1</v>
      </c>
      <c r="B1509" s="33" t="s">
        <v>814</v>
      </c>
      <c r="C1509" s="39" t="s">
        <v>262</v>
      </c>
      <c r="D1509" s="33">
        <f>IF(C1509="ID",1,(IF(C1509="PR",2,(IF(C1509="DE",3,(IF(C1509="RS",4,(IF(C1509="RC",5,0)))))))))</f>
        <v>2</v>
      </c>
      <c r="E1509" s="33" t="s">
        <v>345</v>
      </c>
      <c r="F1509" s="33">
        <f>IF(E1509="AM",1,(IF(E1509="BE",2,(IF(E1509="GV",3,(IF(E1509="RA",4,(IF(E1509="RM",5,(IF(E1509="AC",1,(IF(E1509="AT",2,(IF(E1509="DS",3,(IF(E1509="IP",4,(IF(E1509="MA",5,(IF(E1509="PT",6,(IF(E1509="AE",1,(IF(E1509="CM",2,(IF(E1509="DP",3,(IF(E1509="AN",1,(IF(E1509="CO",2,(IF(E1509="IM",3,(IF(E1509="MI",4,(IF(E1509="RP",5,(IF(E1509="SC",6,0)))))))))))))))))))))))))))))))))))))))</f>
        <v>6</v>
      </c>
      <c r="G1509" s="170">
        <v>1</v>
      </c>
      <c r="H1509" s="38" t="s">
        <v>511</v>
      </c>
      <c r="I1509" s="3" t="s">
        <v>821</v>
      </c>
      <c r="J1509" s="150">
        <v>10.199999999999999</v>
      </c>
      <c r="K1509" s="79" t="s">
        <v>1283</v>
      </c>
      <c r="L1509" s="66">
        <f>IF(O1509="","",N1509*O1509*M1509)</f>
        <v>75</v>
      </c>
      <c r="M1509" s="8">
        <v>1</v>
      </c>
      <c r="N1509" s="3">
        <v>1</v>
      </c>
      <c r="O1509" s="15">
        <f>IF(SUM(Q1509:AF1509)&lt;1,"",SUM(Q1509:AF1509)/COUNTIF(Q1509:AF1509,"&gt;0"))</f>
        <v>75</v>
      </c>
      <c r="P1509" s="16"/>
      <c r="Q1509" s="13"/>
      <c r="R1509" s="4"/>
      <c r="S1509" s="4"/>
      <c r="T1509" s="4">
        <v>75</v>
      </c>
      <c r="U1509" s="2"/>
      <c r="V1509" s="2"/>
      <c r="W1509" s="2"/>
      <c r="X1509" s="2"/>
      <c r="Y1509" s="4"/>
      <c r="Z1509" s="2"/>
      <c r="AA1509" s="2"/>
      <c r="AB1509" s="4"/>
      <c r="AC1509" s="4"/>
      <c r="AD1509" s="4"/>
      <c r="AE1509" s="4"/>
      <c r="AF1509" s="14"/>
    </row>
    <row r="1510" spans="1:32" x14ac:dyDescent="0.25">
      <c r="A1510" s="33" t="str">
        <f>CONCATENATE(D1510,".",F1510,"-",G1510,".",H1510,"")</f>
        <v>2.6-1.1</v>
      </c>
      <c r="B1510" s="33" t="s">
        <v>814</v>
      </c>
      <c r="C1510" s="39" t="s">
        <v>262</v>
      </c>
      <c r="D1510" s="33">
        <f>IF(C1510="ID",1,(IF(C1510="PR",2,(IF(C1510="DE",3,(IF(C1510="RS",4,(IF(C1510="RC",5,0)))))))))</f>
        <v>2</v>
      </c>
      <c r="E1510" s="33" t="s">
        <v>345</v>
      </c>
      <c r="F1510" s="33">
        <f>IF(E1510="AM",1,(IF(E1510="BE",2,(IF(E1510="GV",3,(IF(E1510="RA",4,(IF(E1510="RM",5,(IF(E1510="AC",1,(IF(E1510="AT",2,(IF(E1510="DS",3,(IF(E1510="IP",4,(IF(E1510="MA",5,(IF(E1510="PT",6,(IF(E1510="AE",1,(IF(E1510="CM",2,(IF(E1510="DP",3,(IF(E1510="AN",1,(IF(E1510="CO",2,(IF(E1510="IM",3,(IF(E1510="MI",4,(IF(E1510="RP",5,(IF(E1510="SC",6,0)))))))))))))))))))))))))))))))))))))))</f>
        <v>6</v>
      </c>
      <c r="G1510" s="170">
        <v>1</v>
      </c>
      <c r="H1510" s="38" t="s">
        <v>511</v>
      </c>
      <c r="I1510" s="3" t="s">
        <v>821</v>
      </c>
      <c r="J1510" s="150">
        <v>10.6</v>
      </c>
      <c r="K1510" s="79" t="s">
        <v>1283</v>
      </c>
      <c r="L1510" s="66">
        <f>IF(O1510="","",N1510*O1510*M1510)</f>
        <v>75</v>
      </c>
      <c r="M1510" s="8">
        <v>1</v>
      </c>
      <c r="N1510" s="3">
        <v>1</v>
      </c>
      <c r="O1510" s="15">
        <f>IF(SUM(Q1510:AF1510)&lt;1,"",SUM(Q1510:AF1510)/COUNTIF(Q1510:AF1510,"&gt;0"))</f>
        <v>75</v>
      </c>
      <c r="P1510" s="16"/>
      <c r="Q1510" s="13"/>
      <c r="R1510" s="4"/>
      <c r="S1510" s="4"/>
      <c r="T1510" s="4">
        <v>75</v>
      </c>
      <c r="U1510" s="2"/>
      <c r="V1510" s="2"/>
      <c r="W1510" s="2"/>
      <c r="X1510" s="2"/>
      <c r="Y1510" s="4"/>
      <c r="Z1510" s="2"/>
      <c r="AA1510" s="2"/>
      <c r="AB1510" s="4"/>
      <c r="AC1510" s="4"/>
      <c r="AD1510" s="4"/>
      <c r="AE1510" s="4"/>
      <c r="AF1510" s="14"/>
    </row>
    <row r="1511" spans="1:32" x14ac:dyDescent="0.25">
      <c r="A1511" s="33" t="str">
        <f>CONCATENATE(D1511,".",F1511,"-",G1511,".",H1511,"")</f>
        <v>2.6-1.1</v>
      </c>
      <c r="B1511" s="33" t="s">
        <v>814</v>
      </c>
      <c r="C1511" s="39" t="s">
        <v>262</v>
      </c>
      <c r="D1511" s="33">
        <f>IF(C1511="ID",1,(IF(C1511="PR",2,(IF(C1511="DE",3,(IF(C1511="RS",4,(IF(C1511="RC",5,0)))))))))</f>
        <v>2</v>
      </c>
      <c r="E1511" s="33" t="s">
        <v>345</v>
      </c>
      <c r="F1511" s="33">
        <f>IF(E1511="AM",1,(IF(E1511="BE",2,(IF(E1511="GV",3,(IF(E1511="RA",4,(IF(E1511="RM",5,(IF(E1511="AC",1,(IF(E1511="AT",2,(IF(E1511="DS",3,(IF(E1511="IP",4,(IF(E1511="MA",5,(IF(E1511="PT",6,(IF(E1511="AE",1,(IF(E1511="CM",2,(IF(E1511="DP",3,(IF(E1511="AN",1,(IF(E1511="CO",2,(IF(E1511="IM",3,(IF(E1511="MI",4,(IF(E1511="RP",5,(IF(E1511="SC",6,0)))))))))))))))))))))))))))))))))))))))</f>
        <v>6</v>
      </c>
      <c r="G1511" s="170">
        <v>1</v>
      </c>
      <c r="H1511" s="38" t="s">
        <v>511</v>
      </c>
      <c r="I1511" s="3" t="s">
        <v>821</v>
      </c>
      <c r="J1511" s="150" t="s">
        <v>188</v>
      </c>
      <c r="K1511" s="79" t="s">
        <v>1283</v>
      </c>
      <c r="L1511" s="66">
        <f>IF(O1511="","",N1511*O1511*M1511)</f>
        <v>75</v>
      </c>
      <c r="M1511" s="8">
        <v>1</v>
      </c>
      <c r="N1511" s="3">
        <v>1</v>
      </c>
      <c r="O1511" s="15">
        <f>IF(SUM(Q1511:AF1511)&lt;1,"",SUM(Q1511:AF1511)/COUNTIF(Q1511:AF1511,"&gt;0"))</f>
        <v>75</v>
      </c>
      <c r="P1511" s="16"/>
      <c r="Q1511" s="13"/>
      <c r="R1511" s="4"/>
      <c r="S1511" s="4"/>
      <c r="T1511" s="4">
        <v>75</v>
      </c>
      <c r="U1511" s="2"/>
      <c r="V1511" s="2"/>
      <c r="W1511" s="2"/>
      <c r="X1511" s="2"/>
      <c r="Y1511" s="4"/>
      <c r="Z1511" s="2"/>
      <c r="AA1511" s="2"/>
      <c r="AB1511" s="4"/>
      <c r="AC1511" s="4"/>
      <c r="AD1511" s="4"/>
      <c r="AE1511" s="4"/>
      <c r="AF1511" s="14"/>
    </row>
    <row r="1512" spans="1:32" x14ac:dyDescent="0.25">
      <c r="A1512" s="33" t="str">
        <f>CONCATENATE(D1512,".",F1512,"-",G1512,".",H1512,"")</f>
        <v>2.6-1.1</v>
      </c>
      <c r="B1512" s="33" t="s">
        <v>814</v>
      </c>
      <c r="C1512" s="39" t="s">
        <v>262</v>
      </c>
      <c r="D1512" s="33">
        <f>IF(C1512="ID",1,(IF(C1512="PR",2,(IF(C1512="DE",3,(IF(C1512="RS",4,(IF(C1512="RC",5,0)))))))))</f>
        <v>2</v>
      </c>
      <c r="E1512" s="33" t="s">
        <v>345</v>
      </c>
      <c r="F1512" s="33">
        <f>IF(E1512="AM",1,(IF(E1512="BE",2,(IF(E1512="GV",3,(IF(E1512="RA",4,(IF(E1512="RM",5,(IF(E1512="AC",1,(IF(E1512="AT",2,(IF(E1512="DS",3,(IF(E1512="IP",4,(IF(E1512="MA",5,(IF(E1512="PT",6,(IF(E1512="AE",1,(IF(E1512="CM",2,(IF(E1512="DP",3,(IF(E1512="AN",1,(IF(E1512="CO",2,(IF(E1512="IM",3,(IF(E1512="MI",4,(IF(E1512="RP",5,(IF(E1512="SC",6,0)))))))))))))))))))))))))))))))))))))))</f>
        <v>6</v>
      </c>
      <c r="G1512" s="170">
        <v>1</v>
      </c>
      <c r="H1512" s="38" t="s">
        <v>511</v>
      </c>
      <c r="I1512" s="3" t="s">
        <v>821</v>
      </c>
      <c r="J1512" s="150" t="s">
        <v>189</v>
      </c>
      <c r="K1512" s="79" t="s">
        <v>1283</v>
      </c>
      <c r="L1512" s="66">
        <f>IF(O1512="","",N1512*O1512*M1512)</f>
        <v>75</v>
      </c>
      <c r="M1512" s="8">
        <v>1</v>
      </c>
      <c r="N1512" s="3">
        <v>1</v>
      </c>
      <c r="O1512" s="15">
        <f>IF(SUM(Q1512:AF1512)&lt;1,"",SUM(Q1512:AF1512)/COUNTIF(Q1512:AF1512,"&gt;0"))</f>
        <v>75</v>
      </c>
      <c r="P1512" s="16"/>
      <c r="Q1512" s="13"/>
      <c r="R1512" s="4"/>
      <c r="S1512" s="4"/>
      <c r="T1512" s="4">
        <v>75</v>
      </c>
      <c r="U1512" s="2"/>
      <c r="V1512" s="2"/>
      <c r="W1512" s="2"/>
      <c r="X1512" s="2"/>
      <c r="Y1512" s="4"/>
      <c r="Z1512" s="2"/>
      <c r="AA1512" s="2"/>
      <c r="AB1512" s="4"/>
      <c r="AC1512" s="4"/>
      <c r="AD1512" s="4"/>
      <c r="AE1512" s="4"/>
      <c r="AF1512" s="14"/>
    </row>
    <row r="1513" spans="1:32" x14ac:dyDescent="0.25">
      <c r="A1513" s="33" t="str">
        <f>CONCATENATE(D1513,".",F1513,"-",G1513,".",H1513,"")</f>
        <v>2.6-1.1</v>
      </c>
      <c r="B1513" s="33" t="s">
        <v>814</v>
      </c>
      <c r="C1513" s="39" t="s">
        <v>262</v>
      </c>
      <c r="D1513" s="33">
        <f>IF(C1513="ID",1,(IF(C1513="PR",2,(IF(C1513="DE",3,(IF(C1513="RS",4,(IF(C1513="RC",5,0)))))))))</f>
        <v>2</v>
      </c>
      <c r="E1513" s="33" t="s">
        <v>345</v>
      </c>
      <c r="F1513" s="33">
        <f>IF(E1513="AM",1,(IF(E1513="BE",2,(IF(E1513="GV",3,(IF(E1513="RA",4,(IF(E1513="RM",5,(IF(E1513="AC",1,(IF(E1513="AT",2,(IF(E1513="DS",3,(IF(E1513="IP",4,(IF(E1513="MA",5,(IF(E1513="PT",6,(IF(E1513="AE",1,(IF(E1513="CM",2,(IF(E1513="DP",3,(IF(E1513="AN",1,(IF(E1513="CO",2,(IF(E1513="IM",3,(IF(E1513="MI",4,(IF(E1513="RP",5,(IF(E1513="SC",6,0)))))))))))))))))))))))))))))))))))))))</f>
        <v>6</v>
      </c>
      <c r="G1513" s="170">
        <v>1</v>
      </c>
      <c r="H1513" s="38" t="s">
        <v>511</v>
      </c>
      <c r="I1513" s="3" t="s">
        <v>821</v>
      </c>
      <c r="J1513" s="150" t="s">
        <v>190</v>
      </c>
      <c r="K1513" s="79" t="s">
        <v>1283</v>
      </c>
      <c r="L1513" s="66">
        <f>IF(O1513="","",N1513*O1513*M1513)</f>
        <v>75</v>
      </c>
      <c r="M1513" s="8">
        <v>1</v>
      </c>
      <c r="N1513" s="3">
        <v>1</v>
      </c>
      <c r="O1513" s="15">
        <f>IF(SUM(Q1513:AF1513)&lt;1,"",SUM(Q1513:AF1513)/COUNTIF(Q1513:AF1513,"&gt;0"))</f>
        <v>75</v>
      </c>
      <c r="P1513" s="16"/>
      <c r="Q1513" s="13"/>
      <c r="R1513" s="4"/>
      <c r="S1513" s="4"/>
      <c r="T1513" s="4">
        <v>75</v>
      </c>
      <c r="U1513" s="2"/>
      <c r="V1513" s="2"/>
      <c r="W1513" s="2"/>
      <c r="X1513" s="2"/>
      <c r="Y1513" s="4"/>
      <c r="Z1513" s="2"/>
      <c r="AA1513" s="2"/>
      <c r="AB1513" s="4"/>
      <c r="AC1513" s="4"/>
      <c r="AD1513" s="4"/>
      <c r="AE1513" s="4"/>
      <c r="AF1513" s="14"/>
    </row>
    <row r="1514" spans="1:32" x14ac:dyDescent="0.25">
      <c r="A1514" s="33" t="str">
        <f>CONCATENATE(D1514,".",F1514,"-",G1514,".",H1514,"")</f>
        <v>2.6-1.1</v>
      </c>
      <c r="B1514" s="33" t="s">
        <v>814</v>
      </c>
      <c r="C1514" s="39" t="s">
        <v>262</v>
      </c>
      <c r="D1514" s="33">
        <f>IF(C1514="ID",1,(IF(C1514="PR",2,(IF(C1514="DE",3,(IF(C1514="RS",4,(IF(C1514="RC",5,0)))))))))</f>
        <v>2</v>
      </c>
      <c r="E1514" s="33" t="s">
        <v>345</v>
      </c>
      <c r="F1514" s="33">
        <f>IF(E1514="AM",1,(IF(E1514="BE",2,(IF(E1514="GV",3,(IF(E1514="RA",4,(IF(E1514="RM",5,(IF(E1514="AC",1,(IF(E1514="AT",2,(IF(E1514="DS",3,(IF(E1514="IP",4,(IF(E1514="MA",5,(IF(E1514="PT",6,(IF(E1514="AE",1,(IF(E1514="CM",2,(IF(E1514="DP",3,(IF(E1514="AN",1,(IF(E1514="CO",2,(IF(E1514="IM",3,(IF(E1514="MI",4,(IF(E1514="RP",5,(IF(E1514="SC",6,0)))))))))))))))))))))))))))))))))))))))</f>
        <v>6</v>
      </c>
      <c r="G1514" s="170">
        <v>1</v>
      </c>
      <c r="H1514" s="38" t="s">
        <v>511</v>
      </c>
      <c r="I1514" s="3" t="s">
        <v>821</v>
      </c>
      <c r="J1514" s="150" t="s">
        <v>191</v>
      </c>
      <c r="K1514" s="79" t="s">
        <v>1283</v>
      </c>
      <c r="L1514" s="66">
        <f>IF(O1514="","",N1514*O1514*M1514)</f>
        <v>75</v>
      </c>
      <c r="M1514" s="8">
        <v>1</v>
      </c>
      <c r="N1514" s="3">
        <v>1</v>
      </c>
      <c r="O1514" s="15">
        <f>IF(SUM(Q1514:AF1514)&lt;1,"",SUM(Q1514:AF1514)/COUNTIF(Q1514:AF1514,"&gt;0"))</f>
        <v>75</v>
      </c>
      <c r="P1514" s="16"/>
      <c r="Q1514" s="13"/>
      <c r="R1514" s="4"/>
      <c r="S1514" s="4"/>
      <c r="T1514" s="4">
        <v>75</v>
      </c>
      <c r="U1514" s="2"/>
      <c r="V1514" s="2"/>
      <c r="W1514" s="2"/>
      <c r="X1514" s="2"/>
      <c r="Y1514" s="4"/>
      <c r="Z1514" s="2"/>
      <c r="AA1514" s="2"/>
      <c r="AB1514" s="4"/>
      <c r="AC1514" s="4"/>
      <c r="AD1514" s="4"/>
      <c r="AE1514" s="4"/>
      <c r="AF1514" s="14"/>
    </row>
    <row r="1515" spans="1:32" x14ac:dyDescent="0.25">
      <c r="A1515" s="33" t="str">
        <f>CONCATENATE(D1515,".",F1515,"-",G1515,".",H1515,"")</f>
        <v>2.6-1.1</v>
      </c>
      <c r="B1515" s="33" t="s">
        <v>814</v>
      </c>
      <c r="C1515" s="39" t="s">
        <v>262</v>
      </c>
      <c r="D1515" s="33">
        <f>IF(C1515="ID",1,(IF(C1515="PR",2,(IF(C1515="DE",3,(IF(C1515="RS",4,(IF(C1515="RC",5,0)))))))))</f>
        <v>2</v>
      </c>
      <c r="E1515" s="33" t="s">
        <v>345</v>
      </c>
      <c r="F1515" s="33">
        <f>IF(E1515="AM",1,(IF(E1515="BE",2,(IF(E1515="GV",3,(IF(E1515="RA",4,(IF(E1515="RM",5,(IF(E1515="AC",1,(IF(E1515="AT",2,(IF(E1515="DS",3,(IF(E1515="IP",4,(IF(E1515="MA",5,(IF(E1515="PT",6,(IF(E1515="AE",1,(IF(E1515="CM",2,(IF(E1515="DP",3,(IF(E1515="AN",1,(IF(E1515="CO",2,(IF(E1515="IM",3,(IF(E1515="MI",4,(IF(E1515="RP",5,(IF(E1515="SC",6,0)))))))))))))))))))))))))))))))))))))))</f>
        <v>6</v>
      </c>
      <c r="G1515" s="170">
        <v>1</v>
      </c>
      <c r="H1515" s="38" t="s">
        <v>511</v>
      </c>
      <c r="I1515" s="3" t="s">
        <v>821</v>
      </c>
      <c r="J1515" s="150" t="s">
        <v>192</v>
      </c>
      <c r="K1515" s="79" t="s">
        <v>1283</v>
      </c>
      <c r="L1515" s="66">
        <f>IF(O1515="","",N1515*O1515*M1515)</f>
        <v>75</v>
      </c>
      <c r="M1515" s="8">
        <v>1</v>
      </c>
      <c r="N1515" s="3">
        <v>1</v>
      </c>
      <c r="O1515" s="15">
        <f>IF(SUM(Q1515:AF1515)&lt;1,"",SUM(Q1515:AF1515)/COUNTIF(Q1515:AF1515,"&gt;0"))</f>
        <v>75</v>
      </c>
      <c r="P1515" s="16"/>
      <c r="Q1515" s="13"/>
      <c r="R1515" s="4"/>
      <c r="S1515" s="4"/>
      <c r="T1515" s="4">
        <v>75</v>
      </c>
      <c r="U1515" s="2"/>
      <c r="V1515" s="2"/>
      <c r="W1515" s="2"/>
      <c r="X1515" s="2"/>
      <c r="Y1515" s="4"/>
      <c r="Z1515" s="2"/>
      <c r="AA1515" s="2"/>
      <c r="AB1515" s="4"/>
      <c r="AC1515" s="4"/>
      <c r="AD1515" s="4"/>
      <c r="AE1515" s="4"/>
      <c r="AF1515" s="14"/>
    </row>
    <row r="1516" spans="1:32" x14ac:dyDescent="0.25">
      <c r="A1516" s="33" t="str">
        <f>CONCATENATE(D1516,".",F1516,"-",G1516,".",H1516,"")</f>
        <v>2.6-1.1</v>
      </c>
      <c r="B1516" s="33" t="s">
        <v>814</v>
      </c>
      <c r="C1516" s="39" t="s">
        <v>262</v>
      </c>
      <c r="D1516" s="33">
        <f>IF(C1516="ID",1,(IF(C1516="PR",2,(IF(C1516="DE",3,(IF(C1516="RS",4,(IF(C1516="RC",5,0)))))))))</f>
        <v>2</v>
      </c>
      <c r="E1516" s="33" t="s">
        <v>345</v>
      </c>
      <c r="F1516" s="33">
        <f>IF(E1516="AM",1,(IF(E1516="BE",2,(IF(E1516="GV",3,(IF(E1516="RA",4,(IF(E1516="RM",5,(IF(E1516="AC",1,(IF(E1516="AT",2,(IF(E1516="DS",3,(IF(E1516="IP",4,(IF(E1516="MA",5,(IF(E1516="PT",6,(IF(E1516="AE",1,(IF(E1516="CM",2,(IF(E1516="DP",3,(IF(E1516="AN",1,(IF(E1516="CO",2,(IF(E1516="IM",3,(IF(E1516="MI",4,(IF(E1516="RP",5,(IF(E1516="SC",6,0)))))))))))))))))))))))))))))))))))))))</f>
        <v>6</v>
      </c>
      <c r="G1516" s="170">
        <v>1</v>
      </c>
      <c r="H1516" s="38" t="s">
        <v>511</v>
      </c>
      <c r="I1516" s="3" t="s">
        <v>821</v>
      </c>
      <c r="J1516" s="150" t="s">
        <v>193</v>
      </c>
      <c r="K1516" s="79" t="s">
        <v>1283</v>
      </c>
      <c r="L1516" s="66">
        <f>IF(O1516="","",N1516*O1516*M1516)</f>
        <v>75</v>
      </c>
      <c r="M1516" s="8">
        <v>1</v>
      </c>
      <c r="N1516" s="3">
        <v>1</v>
      </c>
      <c r="O1516" s="15">
        <f>IF(SUM(Q1516:AF1516)&lt;1,"",SUM(Q1516:AF1516)/COUNTIF(Q1516:AF1516,"&gt;0"))</f>
        <v>75</v>
      </c>
      <c r="P1516" s="16"/>
      <c r="Q1516" s="13"/>
      <c r="R1516" s="4"/>
      <c r="S1516" s="4"/>
      <c r="T1516" s="4">
        <v>75</v>
      </c>
      <c r="U1516" s="2"/>
      <c r="V1516" s="2"/>
      <c r="W1516" s="2"/>
      <c r="X1516" s="2"/>
      <c r="Y1516" s="4"/>
      <c r="Z1516" s="2"/>
      <c r="AA1516" s="2"/>
      <c r="AB1516" s="4"/>
      <c r="AC1516" s="4"/>
      <c r="AD1516" s="4"/>
      <c r="AE1516" s="4"/>
      <c r="AF1516" s="14"/>
    </row>
    <row r="1517" spans="1:32" x14ac:dyDescent="0.25">
      <c r="A1517" s="33" t="str">
        <f>CONCATENATE(D1517,".",F1517,"-",G1517,".",H1517,"")</f>
        <v>2.6-1.1</v>
      </c>
      <c r="B1517" s="33" t="s">
        <v>814</v>
      </c>
      <c r="C1517" s="39" t="s">
        <v>262</v>
      </c>
      <c r="D1517" s="33">
        <f>IF(C1517="ID",1,(IF(C1517="PR",2,(IF(C1517="DE",3,(IF(C1517="RS",4,(IF(C1517="RC",5,0)))))))))</f>
        <v>2</v>
      </c>
      <c r="E1517" s="33" t="s">
        <v>345</v>
      </c>
      <c r="F1517" s="33">
        <f>IF(E1517="AM",1,(IF(E1517="BE",2,(IF(E1517="GV",3,(IF(E1517="RA",4,(IF(E1517="RM",5,(IF(E1517="AC",1,(IF(E1517="AT",2,(IF(E1517="DS",3,(IF(E1517="IP",4,(IF(E1517="MA",5,(IF(E1517="PT",6,(IF(E1517="AE",1,(IF(E1517="CM",2,(IF(E1517="DP",3,(IF(E1517="AN",1,(IF(E1517="CO",2,(IF(E1517="IM",3,(IF(E1517="MI",4,(IF(E1517="RP",5,(IF(E1517="SC",6,0)))))))))))))))))))))))))))))))))))))))</f>
        <v>6</v>
      </c>
      <c r="G1517" s="170">
        <v>1</v>
      </c>
      <c r="H1517" s="38" t="s">
        <v>511</v>
      </c>
      <c r="I1517" s="3" t="s">
        <v>821</v>
      </c>
      <c r="J1517" s="150" t="s">
        <v>194</v>
      </c>
      <c r="K1517" s="79" t="s">
        <v>1283</v>
      </c>
      <c r="L1517" s="66">
        <f>IF(O1517="","",N1517*O1517*M1517)</f>
        <v>75</v>
      </c>
      <c r="M1517" s="8">
        <v>1</v>
      </c>
      <c r="N1517" s="3">
        <v>1</v>
      </c>
      <c r="O1517" s="15">
        <f>IF(SUM(Q1517:AF1517)&lt;1,"",SUM(Q1517:AF1517)/COUNTIF(Q1517:AF1517,"&gt;0"))</f>
        <v>75</v>
      </c>
      <c r="P1517" s="16"/>
      <c r="Q1517" s="13"/>
      <c r="R1517" s="4"/>
      <c r="S1517" s="4"/>
      <c r="T1517" s="4">
        <v>75</v>
      </c>
      <c r="U1517" s="2"/>
      <c r="V1517" s="2"/>
      <c r="W1517" s="2"/>
      <c r="X1517" s="2"/>
      <c r="Y1517" s="4"/>
      <c r="Z1517" s="2"/>
      <c r="AA1517" s="2"/>
      <c r="AB1517" s="4"/>
      <c r="AC1517" s="4"/>
      <c r="AD1517" s="4"/>
      <c r="AE1517" s="4"/>
      <c r="AF1517" s="14"/>
    </row>
    <row r="1518" spans="1:32" x14ac:dyDescent="0.25">
      <c r="A1518" s="33" t="str">
        <f>CONCATENATE(D1518,".",F1518,"-",G1518,".",H1518,"")</f>
        <v>2.6-1.1</v>
      </c>
      <c r="B1518" s="33" t="s">
        <v>814</v>
      </c>
      <c r="C1518" s="40" t="s">
        <v>262</v>
      </c>
      <c r="D1518" s="33">
        <f>IF(C1518="ID",1,(IF(C1518="PR",2,(IF(C1518="DE",3,(IF(C1518="RS",4,(IF(C1518="RC",5,0)))))))))</f>
        <v>2</v>
      </c>
      <c r="E1518" s="33" t="s">
        <v>345</v>
      </c>
      <c r="F1518" s="33">
        <f>IF(E1518="AM",1,(IF(E1518="BE",2,(IF(E1518="GV",3,(IF(E1518="RA",4,(IF(E1518="RM",5,(IF(E1518="AC",1,(IF(E1518="AT",2,(IF(E1518="DS",3,(IF(E1518="IP",4,(IF(E1518="MA",5,(IF(E1518="PT",6,(IF(E1518="AE",1,(IF(E1518="CM",2,(IF(E1518="DP",3,(IF(E1518="AN",1,(IF(E1518="CO",2,(IF(E1518="IM",3,(IF(E1518="MI",4,(IF(E1518="RP",5,(IF(E1518="SC",6,0)))))))))))))))))))))))))))))))))))))))</f>
        <v>6</v>
      </c>
      <c r="G1518" s="171">
        <v>1</v>
      </c>
      <c r="H1518" s="38" t="s">
        <v>511</v>
      </c>
      <c r="I1518" s="22" t="s">
        <v>936</v>
      </c>
      <c r="J1518" s="163" t="s">
        <v>917</v>
      </c>
      <c r="K1518" s="34" t="s">
        <v>947</v>
      </c>
      <c r="L1518" s="66">
        <f>IF(O1518="","",N1518*O1518*M1518)</f>
        <v>75</v>
      </c>
      <c r="M1518" s="8">
        <v>1</v>
      </c>
      <c r="N1518" s="3">
        <v>1</v>
      </c>
      <c r="O1518" s="15">
        <f>IF(SUM(Q1518:AF1518)&lt;1,"",SUM(Q1518:AF1518)/COUNTIF(Q1518:AF1518,"&gt;0"))</f>
        <v>75</v>
      </c>
      <c r="P1518" s="16"/>
      <c r="Q1518" s="13"/>
      <c r="R1518" s="4"/>
      <c r="S1518" s="4"/>
      <c r="T1518" s="4">
        <v>75</v>
      </c>
      <c r="U1518" s="2"/>
      <c r="V1518" s="2"/>
      <c r="W1518" s="2"/>
      <c r="X1518" s="2"/>
      <c r="Y1518" s="4"/>
      <c r="Z1518" s="2"/>
      <c r="AA1518" s="2"/>
      <c r="AB1518" s="4"/>
      <c r="AC1518" s="4"/>
      <c r="AD1518" s="4"/>
      <c r="AE1518" s="4"/>
      <c r="AF1518" s="14"/>
    </row>
    <row r="1519" spans="1:32" x14ac:dyDescent="0.25">
      <c r="A1519" s="33" t="str">
        <f>CONCATENATE(D1519,".",F1519,"-",G1519,".",H1519,"")</f>
        <v>2.6-1.1</v>
      </c>
      <c r="B1519" s="33" t="s">
        <v>814</v>
      </c>
      <c r="C1519" s="40" t="s">
        <v>262</v>
      </c>
      <c r="D1519" s="33">
        <f>IF(C1519="ID",1,(IF(C1519="PR",2,(IF(C1519="DE",3,(IF(C1519="RS",4,(IF(C1519="RC",5,0)))))))))</f>
        <v>2</v>
      </c>
      <c r="E1519" s="33" t="s">
        <v>345</v>
      </c>
      <c r="F1519" s="33">
        <f>IF(E1519="AM",1,(IF(E1519="BE",2,(IF(E1519="GV",3,(IF(E1519="RA",4,(IF(E1519="RM",5,(IF(E1519="AC",1,(IF(E1519="AT",2,(IF(E1519="DS",3,(IF(E1519="IP",4,(IF(E1519="MA",5,(IF(E1519="PT",6,(IF(E1519="AE",1,(IF(E1519="CM",2,(IF(E1519="DP",3,(IF(E1519="AN",1,(IF(E1519="CO",2,(IF(E1519="IM",3,(IF(E1519="MI",4,(IF(E1519="RP",5,(IF(E1519="SC",6,0)))))))))))))))))))))))))))))))))))))))</f>
        <v>6</v>
      </c>
      <c r="G1519" s="171">
        <v>1</v>
      </c>
      <c r="H1519" s="38" t="s">
        <v>511</v>
      </c>
      <c r="I1519" s="22" t="s">
        <v>936</v>
      </c>
      <c r="J1519" s="163" t="s">
        <v>909</v>
      </c>
      <c r="K1519" s="34" t="s">
        <v>999</v>
      </c>
      <c r="L1519" s="66">
        <f>IF(O1519="","",N1519*O1519*M1519)</f>
        <v>75</v>
      </c>
      <c r="M1519" s="8">
        <v>1</v>
      </c>
      <c r="N1519" s="3">
        <v>1</v>
      </c>
      <c r="O1519" s="15">
        <f>IF(SUM(Q1519:AF1519)&lt;1,"",SUM(Q1519:AF1519)/COUNTIF(Q1519:AF1519,"&gt;0"))</f>
        <v>75</v>
      </c>
      <c r="P1519" s="16"/>
      <c r="Q1519" s="13"/>
      <c r="R1519" s="4"/>
      <c r="S1519" s="4"/>
      <c r="T1519" s="4">
        <v>75</v>
      </c>
      <c r="U1519" s="2"/>
      <c r="V1519" s="2"/>
      <c r="W1519" s="2"/>
      <c r="X1519" s="2"/>
      <c r="Y1519" s="4"/>
      <c r="Z1519" s="2"/>
      <c r="AA1519" s="2"/>
      <c r="AB1519" s="4"/>
      <c r="AC1519" s="4"/>
      <c r="AD1519" s="4"/>
      <c r="AE1519" s="4"/>
      <c r="AF1519" s="14"/>
    </row>
    <row r="1520" spans="1:32" x14ac:dyDescent="0.25">
      <c r="A1520" s="33" t="str">
        <f>CONCATENATE(D1520,".",F1520,"-",G1520,".",H1520,"")</f>
        <v>2.6-1.1</v>
      </c>
      <c r="B1520" s="33" t="s">
        <v>814</v>
      </c>
      <c r="C1520" s="40" t="s">
        <v>262</v>
      </c>
      <c r="D1520" s="33">
        <f>IF(C1520="ID",1,(IF(C1520="PR",2,(IF(C1520="DE",3,(IF(C1520="RS",4,(IF(C1520="RC",5,0)))))))))</f>
        <v>2</v>
      </c>
      <c r="E1520" s="33" t="s">
        <v>345</v>
      </c>
      <c r="F1520" s="33">
        <f>IF(E1520="AM",1,(IF(E1520="BE",2,(IF(E1520="GV",3,(IF(E1520="RA",4,(IF(E1520="RM",5,(IF(E1520="AC",1,(IF(E1520="AT",2,(IF(E1520="DS",3,(IF(E1520="IP",4,(IF(E1520="MA",5,(IF(E1520="PT",6,(IF(E1520="AE",1,(IF(E1520="CM",2,(IF(E1520="DP",3,(IF(E1520="AN",1,(IF(E1520="CO",2,(IF(E1520="IM",3,(IF(E1520="MI",4,(IF(E1520="RP",5,(IF(E1520="SC",6,0)))))))))))))))))))))))))))))))))))))))</f>
        <v>6</v>
      </c>
      <c r="G1520" s="171">
        <v>1</v>
      </c>
      <c r="H1520" s="38" t="s">
        <v>511</v>
      </c>
      <c r="I1520" s="22" t="s">
        <v>936</v>
      </c>
      <c r="J1520" s="163" t="s">
        <v>913</v>
      </c>
      <c r="K1520" s="34" t="s">
        <v>954</v>
      </c>
      <c r="L1520" s="66">
        <f>IF(O1520="","",N1520*O1520*M1520)</f>
        <v>75</v>
      </c>
      <c r="M1520" s="8">
        <v>1</v>
      </c>
      <c r="N1520" s="3">
        <v>1</v>
      </c>
      <c r="O1520" s="15">
        <f>IF(SUM(Q1520:AF1520)&lt;1,"",SUM(Q1520:AF1520)/COUNTIF(Q1520:AF1520,"&gt;0"))</f>
        <v>75</v>
      </c>
      <c r="P1520" s="16"/>
      <c r="Q1520" s="13"/>
      <c r="R1520" s="4"/>
      <c r="S1520" s="4"/>
      <c r="T1520" s="4">
        <v>75</v>
      </c>
      <c r="U1520" s="2"/>
      <c r="V1520" s="2"/>
      <c r="W1520" s="2"/>
      <c r="X1520" s="2"/>
      <c r="Y1520" s="4"/>
      <c r="Z1520" s="2"/>
      <c r="AA1520" s="2"/>
      <c r="AB1520" s="4"/>
      <c r="AC1520" s="4"/>
      <c r="AD1520" s="4"/>
      <c r="AE1520" s="4"/>
      <c r="AF1520" s="14"/>
    </row>
    <row r="1521" spans="1:32" x14ac:dyDescent="0.25">
      <c r="A1521" s="33" t="str">
        <f>CONCATENATE(D1521,".",F1521,"-",G1521,".",H1521,"")</f>
        <v>2.6-1.1</v>
      </c>
      <c r="B1521" s="33" t="s">
        <v>814</v>
      </c>
      <c r="C1521" s="39" t="s">
        <v>262</v>
      </c>
      <c r="D1521" s="33">
        <f>IF(C1521="ID",1,(IF(C1521="PR",2,(IF(C1521="DE",3,(IF(C1521="RS",4,(IF(C1521="RC",5,0)))))))))</f>
        <v>2</v>
      </c>
      <c r="E1521" s="33" t="s">
        <v>345</v>
      </c>
      <c r="F1521" s="33">
        <f>IF(E1521="AM",1,(IF(E1521="BE",2,(IF(E1521="GV",3,(IF(E1521="RA",4,(IF(E1521="RM",5,(IF(E1521="AC",1,(IF(E1521="AT",2,(IF(E1521="DS",3,(IF(E1521="IP",4,(IF(E1521="MA",5,(IF(E1521="PT",6,(IF(E1521="AE",1,(IF(E1521="CM",2,(IF(E1521="DP",3,(IF(E1521="AN",1,(IF(E1521="CO",2,(IF(E1521="IM",3,(IF(E1521="MI",4,(IF(E1521="RP",5,(IF(E1521="SC",6,0)))))))))))))))))))))))))))))))))))))))</f>
        <v>6</v>
      </c>
      <c r="G1521" s="170">
        <v>1</v>
      </c>
      <c r="H1521" s="33">
        <v>1</v>
      </c>
      <c r="I1521" s="22" t="s">
        <v>266</v>
      </c>
      <c r="J1521" s="149" t="s">
        <v>460</v>
      </c>
      <c r="K1521" s="79" t="s">
        <v>1317</v>
      </c>
      <c r="L1521" s="66">
        <f>IF(O1521="","",N1521*O1521*M1521)</f>
        <v>75</v>
      </c>
      <c r="M1521" s="8">
        <v>1</v>
      </c>
      <c r="N1521" s="1">
        <v>1</v>
      </c>
      <c r="O1521" s="15">
        <f>IF(SUM(Q1521:AF1521)&lt;1,"",SUM(Q1521:AF1521)/COUNTIF(Q1521:AF1521,"&gt;0"))</f>
        <v>75</v>
      </c>
      <c r="P1521" s="16"/>
      <c r="Q1521" s="13"/>
      <c r="R1521" s="4"/>
      <c r="S1521" s="4"/>
      <c r="T1521" s="4">
        <v>75</v>
      </c>
      <c r="U1521" s="2"/>
      <c r="V1521" s="2"/>
      <c r="W1521" s="2"/>
      <c r="X1521" s="2"/>
      <c r="Y1521" s="4"/>
      <c r="Z1521" s="2"/>
      <c r="AA1521" s="2"/>
      <c r="AB1521" s="4"/>
      <c r="AC1521" s="4"/>
      <c r="AD1521" s="4"/>
      <c r="AE1521" s="4"/>
      <c r="AF1521" s="14"/>
    </row>
    <row r="1522" spans="1:32" x14ac:dyDescent="0.25">
      <c r="A1522" s="33" t="str">
        <f>CONCATENATE(D1522,".",F1522,"-",G1522,".",H1522,"")</f>
        <v>2.6-1.1</v>
      </c>
      <c r="B1522" s="33" t="s">
        <v>814</v>
      </c>
      <c r="C1522" s="41" t="s">
        <v>262</v>
      </c>
      <c r="D1522" s="33">
        <f>IF(C1522="ID",1,(IF(C1522="PR",2,(IF(C1522="DE",3,(IF(C1522="RS",4,(IF(C1522="RC",5,0)))))))))</f>
        <v>2</v>
      </c>
      <c r="E1522" s="33" t="s">
        <v>345</v>
      </c>
      <c r="F1522" s="33">
        <f>IF(E1522="AM",1,(IF(E1522="BE",2,(IF(E1522="GV",3,(IF(E1522="RA",4,(IF(E1522="RM",5,(IF(E1522="AC",1,(IF(E1522="AT",2,(IF(E1522="DS",3,(IF(E1522="IP",4,(IF(E1522="MA",5,(IF(E1522="PT",6,(IF(E1522="AE",1,(IF(E1522="CM",2,(IF(E1522="DP",3,(IF(E1522="AN",1,(IF(E1522="CO",2,(IF(E1522="IM",3,(IF(E1522="MI",4,(IF(E1522="RP",5,(IF(E1522="SC",6,0)))))))))))))))))))))))))))))))))))))))</f>
        <v>6</v>
      </c>
      <c r="G1522" s="170">
        <v>1</v>
      </c>
      <c r="H1522" s="38" t="s">
        <v>511</v>
      </c>
      <c r="I1522" s="22" t="s">
        <v>266</v>
      </c>
      <c r="J1522" s="149" t="s">
        <v>271</v>
      </c>
      <c r="K1522" s="79" t="s">
        <v>1318</v>
      </c>
      <c r="L1522" s="5">
        <f>IF(O1522="","",N1522*O1522*M1522)</f>
        <v>75</v>
      </c>
      <c r="M1522" s="8">
        <v>1</v>
      </c>
      <c r="N1522" s="1">
        <v>1</v>
      </c>
      <c r="O1522" s="15">
        <f>IF(SUM(Q1522:AF1522)&lt;1,"",SUM(Q1522:AF1522)/COUNTIF(Q1522:AF1522,"&gt;0"))</f>
        <v>75</v>
      </c>
      <c r="P1522" s="16"/>
      <c r="Q1522" s="13"/>
      <c r="R1522" s="4"/>
      <c r="S1522" s="4"/>
      <c r="T1522" s="4">
        <v>75</v>
      </c>
      <c r="U1522" s="2"/>
      <c r="V1522" s="2"/>
      <c r="W1522" s="2"/>
      <c r="X1522" s="2"/>
      <c r="Y1522" s="4"/>
      <c r="Z1522" s="2"/>
      <c r="AA1522" s="2"/>
      <c r="AB1522" s="4"/>
      <c r="AC1522" s="4"/>
      <c r="AD1522" s="4"/>
      <c r="AE1522" s="4"/>
      <c r="AF1522" s="14"/>
    </row>
    <row r="1523" spans="1:32" x14ac:dyDescent="0.25">
      <c r="A1523" s="33" t="str">
        <f>CONCATENATE(D1523,".",F1523,"-",G1523,".",H1523,"")</f>
        <v>2.6-1.1</v>
      </c>
      <c r="B1523" s="33" t="s">
        <v>814</v>
      </c>
      <c r="C1523" s="41" t="s">
        <v>262</v>
      </c>
      <c r="D1523" s="33">
        <f>IF(C1523="ID",1,(IF(C1523="PR",2,(IF(C1523="DE",3,(IF(C1523="RS",4,(IF(C1523="RC",5,0)))))))))</f>
        <v>2</v>
      </c>
      <c r="E1523" s="33" t="s">
        <v>345</v>
      </c>
      <c r="F1523" s="33">
        <f>IF(E1523="AM",1,(IF(E1523="BE",2,(IF(E1523="GV",3,(IF(E1523="RA",4,(IF(E1523="RM",5,(IF(E1523="AC",1,(IF(E1523="AT",2,(IF(E1523="DS",3,(IF(E1523="IP",4,(IF(E1523="MA",5,(IF(E1523="PT",6,(IF(E1523="AE",1,(IF(E1523="CM",2,(IF(E1523="DP",3,(IF(E1523="AN",1,(IF(E1523="CO",2,(IF(E1523="IM",3,(IF(E1523="MI",4,(IF(E1523="RP",5,(IF(E1523="SC",6,0)))))))))))))))))))))))))))))))))))))))</f>
        <v>6</v>
      </c>
      <c r="G1523" s="170">
        <v>1</v>
      </c>
      <c r="H1523" s="38" t="s">
        <v>511</v>
      </c>
      <c r="I1523" s="22" t="s">
        <v>266</v>
      </c>
      <c r="J1523" s="149" t="s">
        <v>273</v>
      </c>
      <c r="K1523" s="79" t="s">
        <v>1319</v>
      </c>
      <c r="L1523" s="5">
        <f>IF(O1523="","",N1523*O1523*M1523)</f>
        <v>75</v>
      </c>
      <c r="M1523" s="8">
        <v>1</v>
      </c>
      <c r="N1523" s="1">
        <v>1</v>
      </c>
      <c r="O1523" s="15">
        <f>IF(SUM(Q1523:AF1523)&lt;1,"",SUM(Q1523:AF1523)/COUNTIF(Q1523:AF1523,"&gt;0"))</f>
        <v>75</v>
      </c>
      <c r="P1523" s="16"/>
      <c r="Q1523" s="13"/>
      <c r="R1523" s="4"/>
      <c r="S1523" s="4"/>
      <c r="T1523" s="4">
        <v>75</v>
      </c>
      <c r="U1523" s="2"/>
      <c r="V1523" s="2"/>
      <c r="W1523" s="2"/>
      <c r="X1523" s="2"/>
      <c r="Y1523" s="4"/>
      <c r="Z1523" s="2"/>
      <c r="AA1523" s="2"/>
      <c r="AB1523" s="4"/>
      <c r="AC1523" s="4"/>
      <c r="AD1523" s="4"/>
      <c r="AE1523" s="4"/>
      <c r="AF1523" s="14"/>
    </row>
    <row r="1524" spans="1:32" x14ac:dyDescent="0.25">
      <c r="A1524" s="33" t="str">
        <f>CONCATENATE(D1524,".",F1524,"-",G1524,".",H1524,"")</f>
        <v>2.6-1.1</v>
      </c>
      <c r="B1524" s="33" t="s">
        <v>814</v>
      </c>
      <c r="C1524" s="41" t="s">
        <v>262</v>
      </c>
      <c r="D1524" s="33">
        <f>IF(C1524="ID",1,(IF(C1524="PR",2,(IF(C1524="DE",3,(IF(C1524="RS",4,(IF(C1524="RC",5,0)))))))))</f>
        <v>2</v>
      </c>
      <c r="E1524" s="33" t="s">
        <v>345</v>
      </c>
      <c r="F1524" s="33">
        <f>IF(E1524="AM",1,(IF(E1524="BE",2,(IF(E1524="GV",3,(IF(E1524="RA",4,(IF(E1524="RM",5,(IF(E1524="AC",1,(IF(E1524="AT",2,(IF(E1524="DS",3,(IF(E1524="IP",4,(IF(E1524="MA",5,(IF(E1524="PT",6,(IF(E1524="AE",1,(IF(E1524="CM",2,(IF(E1524="DP",3,(IF(E1524="AN",1,(IF(E1524="CO",2,(IF(E1524="IM",3,(IF(E1524="MI",4,(IF(E1524="RP",5,(IF(E1524="SC",6,0)))))))))))))))))))))))))))))))))))))))</f>
        <v>6</v>
      </c>
      <c r="G1524" s="170">
        <v>1</v>
      </c>
      <c r="H1524" s="38" t="s">
        <v>511</v>
      </c>
      <c r="I1524" s="22" t="s">
        <v>266</v>
      </c>
      <c r="J1524" s="149" t="s">
        <v>274</v>
      </c>
      <c r="K1524" s="79" t="s">
        <v>1320</v>
      </c>
      <c r="L1524" s="5">
        <f>IF(O1524="","",N1524*O1524*M1524)</f>
        <v>75</v>
      </c>
      <c r="M1524" s="8">
        <v>1</v>
      </c>
      <c r="N1524" s="1">
        <v>1</v>
      </c>
      <c r="O1524" s="15">
        <f>IF(SUM(Q1524:AF1524)&lt;1,"",SUM(Q1524:AF1524)/COUNTIF(Q1524:AF1524,"&gt;0"))</f>
        <v>75</v>
      </c>
      <c r="P1524" s="16"/>
      <c r="Q1524" s="13"/>
      <c r="R1524" s="4"/>
      <c r="S1524" s="4"/>
      <c r="T1524" s="4">
        <v>75</v>
      </c>
      <c r="U1524" s="2"/>
      <c r="V1524" s="2"/>
      <c r="W1524" s="2"/>
      <c r="X1524" s="2"/>
      <c r="Y1524" s="4"/>
      <c r="Z1524" s="2"/>
      <c r="AA1524" s="2"/>
      <c r="AB1524" s="4"/>
      <c r="AC1524" s="4"/>
      <c r="AD1524" s="4"/>
      <c r="AE1524" s="4"/>
      <c r="AF1524" s="14"/>
    </row>
    <row r="1525" spans="1:32" x14ac:dyDescent="0.25">
      <c r="A1525" s="33" t="str">
        <f>CONCATENATE(D1525,".",F1525,"-",G1525,".",H1525,"")</f>
        <v>2.6-1.1</v>
      </c>
      <c r="B1525" s="33" t="s">
        <v>814</v>
      </c>
      <c r="C1525" s="41" t="s">
        <v>262</v>
      </c>
      <c r="D1525" s="33">
        <f>IF(C1525="ID",1,(IF(C1525="PR",2,(IF(C1525="DE",3,(IF(C1525="RS",4,(IF(C1525="RC",5,0)))))))))</f>
        <v>2</v>
      </c>
      <c r="E1525" s="33" t="s">
        <v>345</v>
      </c>
      <c r="F1525" s="33">
        <f>IF(E1525="AM",1,(IF(E1525="BE",2,(IF(E1525="GV",3,(IF(E1525="RA",4,(IF(E1525="RM",5,(IF(E1525="AC",1,(IF(E1525="AT",2,(IF(E1525="DS",3,(IF(E1525="IP",4,(IF(E1525="MA",5,(IF(E1525="PT",6,(IF(E1525="AE",1,(IF(E1525="CM",2,(IF(E1525="DP",3,(IF(E1525="AN",1,(IF(E1525="CO",2,(IF(E1525="IM",3,(IF(E1525="MI",4,(IF(E1525="RP",5,(IF(E1525="SC",6,0)))))))))))))))))))))))))))))))))))))))</f>
        <v>6</v>
      </c>
      <c r="G1525" s="170">
        <v>1</v>
      </c>
      <c r="H1525" s="38" t="s">
        <v>511</v>
      </c>
      <c r="I1525" s="22" t="s">
        <v>266</v>
      </c>
      <c r="J1525" s="149" t="s">
        <v>276</v>
      </c>
      <c r="K1525" s="79" t="s">
        <v>1321</v>
      </c>
      <c r="L1525" s="5">
        <f>IF(O1525="","",N1525*O1525*M1525)</f>
        <v>75</v>
      </c>
      <c r="M1525" s="8">
        <v>1</v>
      </c>
      <c r="N1525" s="1">
        <v>1</v>
      </c>
      <c r="O1525" s="15">
        <f>IF(SUM(Q1525:AF1525)&lt;1,"",SUM(Q1525:AF1525)/COUNTIF(Q1525:AF1525,"&gt;0"))</f>
        <v>75</v>
      </c>
      <c r="P1525" s="16"/>
      <c r="Q1525" s="13"/>
      <c r="R1525" s="4"/>
      <c r="S1525" s="4"/>
      <c r="T1525" s="4">
        <v>75</v>
      </c>
      <c r="U1525" s="2"/>
      <c r="V1525" s="2"/>
      <c r="W1525" s="2"/>
      <c r="X1525" s="2"/>
      <c r="Y1525" s="4"/>
      <c r="Z1525" s="2"/>
      <c r="AA1525" s="2"/>
      <c r="AB1525" s="4"/>
      <c r="AC1525" s="4"/>
      <c r="AD1525" s="4"/>
      <c r="AE1525" s="4"/>
      <c r="AF1525" s="14"/>
    </row>
    <row r="1526" spans="1:32" x14ac:dyDescent="0.25">
      <c r="A1526" s="33" t="str">
        <f>CONCATENATE(D1526,".",F1526,"-",G1526,".",H1526,"")</f>
        <v>2.6-1.1</v>
      </c>
      <c r="B1526" s="33" t="s">
        <v>1232</v>
      </c>
      <c r="C1526" s="40" t="s">
        <v>262</v>
      </c>
      <c r="D1526" s="33">
        <f>IF(C1526="ID",1,(IF(C1526="PR",2,(IF(C1526="DE",3,(IF(C1526="RS",4,(IF(C1526="RC",5,0)))))))))</f>
        <v>2</v>
      </c>
      <c r="E1526" s="33" t="s">
        <v>345</v>
      </c>
      <c r="F1526" s="33">
        <f>IF(E1526="AM",1,(IF(E1526="BE",2,(IF(E1526="GV",3,(IF(E1526="RA",4,(IF(E1526="RM",5,(IF(E1526="AC",1,(IF(E1526="AT",2,(IF(E1526="DS",3,(IF(E1526="IP",4,(IF(E1526="MA",5,(IF(E1526="PT",6,(IF(E1526="AE",1,(IF(E1526="CM",2,(IF(E1526="DP",3,(IF(E1526="AN",1,(IF(E1526="CO",2,(IF(E1526="IM",3,(IF(E1526="MI",4,(IF(E1526="RP",5,(IF(E1526="SC",6,0)))))))))))))))))))))))))))))))))))))))</f>
        <v>6</v>
      </c>
      <c r="G1526" s="170">
        <v>1</v>
      </c>
      <c r="H1526" s="38" t="s">
        <v>511</v>
      </c>
      <c r="I1526" s="3" t="s">
        <v>821</v>
      </c>
      <c r="J1526" s="150" t="s">
        <v>834</v>
      </c>
      <c r="K1526" s="79" t="s">
        <v>1283</v>
      </c>
      <c r="L1526" s="66">
        <f>IF(O1526="","",N1526*O1526*M1526)</f>
        <v>75</v>
      </c>
      <c r="M1526" s="8">
        <v>1</v>
      </c>
      <c r="N1526" s="3">
        <v>1</v>
      </c>
      <c r="O1526" s="15">
        <f>IF(SUM(Q1526:AF1526)&lt;1,"",SUM(Q1526:AF1526)/COUNTIF(Q1526:AF1526,"&gt;0"))</f>
        <v>75</v>
      </c>
      <c r="P1526" s="16"/>
      <c r="Q1526" s="13"/>
      <c r="R1526" s="4"/>
      <c r="S1526" s="4"/>
      <c r="T1526" s="4">
        <v>75</v>
      </c>
      <c r="U1526" s="2"/>
      <c r="V1526" s="2"/>
      <c r="W1526" s="2"/>
      <c r="X1526" s="2"/>
      <c r="Y1526" s="4"/>
      <c r="Z1526" s="2"/>
      <c r="AA1526" s="2"/>
      <c r="AB1526" s="4"/>
      <c r="AC1526" s="4"/>
      <c r="AD1526" s="4"/>
      <c r="AE1526" s="4"/>
      <c r="AF1526" s="14"/>
    </row>
    <row r="1527" spans="1:32" x14ac:dyDescent="0.25">
      <c r="A1527" s="33" t="str">
        <f>CONCATENATE(D1527,".",F1527,"-",G1527,".",H1527,"")</f>
        <v>2.6-1.1</v>
      </c>
      <c r="B1527" s="33" t="s">
        <v>814</v>
      </c>
      <c r="C1527" s="39" t="s">
        <v>262</v>
      </c>
      <c r="D1527" s="33">
        <f>IF(C1527="ID",1,(IF(C1527="PR",2,(IF(C1527="DE",3,(IF(C1527="RS",4,(IF(C1527="RC",5,0)))))))))</f>
        <v>2</v>
      </c>
      <c r="E1527" s="33" t="s">
        <v>345</v>
      </c>
      <c r="F1527" s="33">
        <f>IF(E1527="AM",1,(IF(E1527="BE",2,(IF(E1527="GV",3,(IF(E1527="RA",4,(IF(E1527="RM",5,(IF(E1527="AC",1,(IF(E1527="AT",2,(IF(E1527="DS",3,(IF(E1527="IP",4,(IF(E1527="MA",5,(IF(E1527="PT",6,(IF(E1527="AE",1,(IF(E1527="CM",2,(IF(E1527="DP",3,(IF(E1527="AN",1,(IF(E1527="CO",2,(IF(E1527="IM",3,(IF(E1527="MI",4,(IF(E1527="RP",5,(IF(E1527="SC",6,0)))))))))))))))))))))))))))))))))))))))</f>
        <v>6</v>
      </c>
      <c r="G1527" s="170">
        <v>1</v>
      </c>
      <c r="H1527" s="38" t="s">
        <v>511</v>
      </c>
      <c r="I1527" s="3" t="s">
        <v>1449</v>
      </c>
      <c r="J1527" s="157" t="s">
        <v>1727</v>
      </c>
      <c r="K1527" s="34" t="s">
        <v>1728</v>
      </c>
      <c r="L1527" s="5">
        <f>IF(O1527="","",N1527*O1527*M1527)</f>
        <v>99</v>
      </c>
      <c r="M1527" s="8">
        <v>1</v>
      </c>
      <c r="N1527" s="1">
        <v>1</v>
      </c>
      <c r="O1527" s="15">
        <f>IF(SUM(Q1527:AF1527)&lt;1,"",SUM(Q1527:AF1527)/COUNTIF(Q1527:AF1527,"&gt;0"))</f>
        <v>99</v>
      </c>
      <c r="P1527" s="16"/>
      <c r="Q1527" s="13"/>
      <c r="R1527" s="4"/>
      <c r="S1527" s="4"/>
      <c r="T1527" s="4">
        <v>99</v>
      </c>
      <c r="U1527" s="2"/>
      <c r="V1527" s="2"/>
      <c r="W1527" s="2"/>
      <c r="X1527" s="2"/>
      <c r="Y1527" s="4"/>
      <c r="Z1527" s="2"/>
      <c r="AA1527" s="2"/>
      <c r="AB1527" s="4"/>
      <c r="AC1527" s="4"/>
      <c r="AD1527" s="4"/>
      <c r="AE1527" s="4"/>
      <c r="AF1527" s="14"/>
    </row>
    <row r="1528" spans="1:32" x14ac:dyDescent="0.25">
      <c r="A1528" s="33" t="str">
        <f>CONCATENATE(D1528,".",F1528,"-",G1528,".",H1528,"")</f>
        <v>2.6-1.1</v>
      </c>
      <c r="B1528" s="33" t="s">
        <v>814</v>
      </c>
      <c r="C1528" s="39" t="s">
        <v>262</v>
      </c>
      <c r="D1528" s="33">
        <f>IF(C1528="ID",1,(IF(C1528="PR",2,(IF(C1528="DE",3,(IF(C1528="RS",4,(IF(C1528="RC",5,0)))))))))</f>
        <v>2</v>
      </c>
      <c r="E1528" s="33" t="s">
        <v>345</v>
      </c>
      <c r="F1528" s="33">
        <f>IF(E1528="AM",1,(IF(E1528="BE",2,(IF(E1528="GV",3,(IF(E1528="RA",4,(IF(E1528="RM",5,(IF(E1528="AC",1,(IF(E1528="AT",2,(IF(E1528="DS",3,(IF(E1528="IP",4,(IF(E1528="MA",5,(IF(E1528="PT",6,(IF(E1528="AE",1,(IF(E1528="CM",2,(IF(E1528="DP",3,(IF(E1528="AN",1,(IF(E1528="CO",2,(IF(E1528="IM",3,(IF(E1528="MI",4,(IF(E1528="RP",5,(IF(E1528="SC",6,0)))))))))))))))))))))))))))))))))))))))</f>
        <v>6</v>
      </c>
      <c r="G1528" s="170">
        <v>1</v>
      </c>
      <c r="H1528" s="38" t="s">
        <v>511</v>
      </c>
      <c r="I1528" s="3" t="s">
        <v>1449</v>
      </c>
      <c r="J1528" s="157" t="s">
        <v>1729</v>
      </c>
      <c r="K1528" s="34" t="s">
        <v>1730</v>
      </c>
      <c r="L1528" s="5">
        <f>IF(O1528="","",N1528*O1528*M1528)</f>
        <v>99</v>
      </c>
      <c r="M1528" s="8">
        <v>1</v>
      </c>
      <c r="N1528" s="1">
        <v>1</v>
      </c>
      <c r="O1528" s="15">
        <f>IF(SUM(Q1528:AF1528)&lt;1,"",SUM(Q1528:AF1528)/COUNTIF(Q1528:AF1528,"&gt;0"))</f>
        <v>99</v>
      </c>
      <c r="P1528" s="16"/>
      <c r="Q1528" s="13"/>
      <c r="R1528" s="4"/>
      <c r="S1528" s="4"/>
      <c r="T1528" s="4">
        <v>99</v>
      </c>
      <c r="U1528" s="2"/>
      <c r="V1528" s="2"/>
      <c r="W1528" s="2"/>
      <c r="X1528" s="2"/>
      <c r="Y1528" s="4"/>
      <c r="Z1528" s="2"/>
      <c r="AA1528" s="2"/>
      <c r="AB1528" s="4"/>
      <c r="AC1528" s="4"/>
      <c r="AD1528" s="4"/>
      <c r="AE1528" s="4"/>
      <c r="AF1528" s="14"/>
    </row>
    <row r="1529" spans="1:32" x14ac:dyDescent="0.25">
      <c r="A1529" s="33" t="str">
        <f>CONCATENATE(D1529,".",F1529,"-",G1529,".",H1529,"")</f>
        <v>2.6-1.1</v>
      </c>
      <c r="B1529" s="33" t="s">
        <v>814</v>
      </c>
      <c r="C1529" s="39" t="s">
        <v>262</v>
      </c>
      <c r="D1529" s="33">
        <f>IF(C1529="ID",1,(IF(C1529="PR",2,(IF(C1529="DE",3,(IF(C1529="RS",4,(IF(C1529="RC",5,0)))))))))</f>
        <v>2</v>
      </c>
      <c r="E1529" s="33" t="s">
        <v>345</v>
      </c>
      <c r="F1529" s="33">
        <f>IF(E1529="AM",1,(IF(E1529="BE",2,(IF(E1529="GV",3,(IF(E1529="RA",4,(IF(E1529="RM",5,(IF(E1529="AC",1,(IF(E1529="AT",2,(IF(E1529="DS",3,(IF(E1529="IP",4,(IF(E1529="MA",5,(IF(E1529="PT",6,(IF(E1529="AE",1,(IF(E1529="CM",2,(IF(E1529="DP",3,(IF(E1529="AN",1,(IF(E1529="CO",2,(IF(E1529="IM",3,(IF(E1529="MI",4,(IF(E1529="RP",5,(IF(E1529="SC",6,0)))))))))))))))))))))))))))))))))))))))</f>
        <v>6</v>
      </c>
      <c r="G1529" s="170">
        <v>1</v>
      </c>
      <c r="H1529" s="38" t="s">
        <v>511</v>
      </c>
      <c r="I1529" s="3" t="s">
        <v>1449</v>
      </c>
      <c r="J1529" s="157" t="s">
        <v>1741</v>
      </c>
      <c r="K1529" s="34" t="s">
        <v>1742</v>
      </c>
      <c r="L1529" s="5">
        <f>IF(O1529="","",N1529*O1529*M1529)</f>
        <v>99</v>
      </c>
      <c r="M1529" s="8">
        <v>1</v>
      </c>
      <c r="N1529" s="1">
        <v>1</v>
      </c>
      <c r="O1529" s="15">
        <f>IF(SUM(Q1529:AF1529)&lt;1,"",SUM(Q1529:AF1529)/COUNTIF(Q1529:AF1529,"&gt;0"))</f>
        <v>99</v>
      </c>
      <c r="P1529" s="16"/>
      <c r="Q1529" s="13"/>
      <c r="R1529" s="4"/>
      <c r="S1529" s="4"/>
      <c r="T1529" s="4">
        <v>99</v>
      </c>
      <c r="U1529" s="2"/>
      <c r="V1529" s="2"/>
      <c r="W1529" s="2"/>
      <c r="X1529" s="2"/>
      <c r="Y1529" s="4"/>
      <c r="Z1529" s="2"/>
      <c r="AA1529" s="2"/>
      <c r="AB1529" s="4"/>
      <c r="AC1529" s="4"/>
      <c r="AD1529" s="4"/>
      <c r="AE1529" s="4"/>
      <c r="AF1529" s="14"/>
    </row>
    <row r="1530" spans="1:32" x14ac:dyDescent="0.25">
      <c r="A1530" s="33" t="str">
        <f>CONCATENATE(D1530,".",F1530,"-",G1530,".",H1530,"")</f>
        <v>2.6-1.1</v>
      </c>
      <c r="B1530" s="33" t="s">
        <v>814</v>
      </c>
      <c r="C1530" s="39" t="s">
        <v>262</v>
      </c>
      <c r="D1530" s="33">
        <f>IF(C1530="ID",1,(IF(C1530="PR",2,(IF(C1530="DE",3,(IF(C1530="RS",4,(IF(C1530="RC",5,0)))))))))</f>
        <v>2</v>
      </c>
      <c r="E1530" s="33" t="s">
        <v>345</v>
      </c>
      <c r="F1530" s="33">
        <f>IF(E1530="AM",1,(IF(E1530="BE",2,(IF(E1530="GV",3,(IF(E1530="RA",4,(IF(E1530="RM",5,(IF(E1530="AC",1,(IF(E1530="AT",2,(IF(E1530="DS",3,(IF(E1530="IP",4,(IF(E1530="MA",5,(IF(E1530="PT",6,(IF(E1530="AE",1,(IF(E1530="CM",2,(IF(E1530="DP",3,(IF(E1530="AN",1,(IF(E1530="CO",2,(IF(E1530="IM",3,(IF(E1530="MI",4,(IF(E1530="RP",5,(IF(E1530="SC",6,0)))))))))))))))))))))))))))))))))))))))</f>
        <v>6</v>
      </c>
      <c r="G1530" s="170">
        <v>1</v>
      </c>
      <c r="H1530" s="38" t="s">
        <v>511</v>
      </c>
      <c r="I1530" s="3" t="s">
        <v>1449</v>
      </c>
      <c r="J1530" s="157" t="s">
        <v>1743</v>
      </c>
      <c r="K1530" s="34" t="s">
        <v>1744</v>
      </c>
      <c r="L1530" s="5">
        <f>IF(O1530="","",N1530*O1530*M1530)</f>
        <v>99</v>
      </c>
      <c r="M1530" s="8">
        <v>1</v>
      </c>
      <c r="N1530" s="1">
        <v>1</v>
      </c>
      <c r="O1530" s="15">
        <f>IF(SUM(Q1530:AF1530)&lt;1,"",SUM(Q1530:AF1530)/COUNTIF(Q1530:AF1530,"&gt;0"))</f>
        <v>99</v>
      </c>
      <c r="P1530" s="16"/>
      <c r="Q1530" s="13"/>
      <c r="R1530" s="4"/>
      <c r="S1530" s="4"/>
      <c r="T1530" s="4">
        <v>99</v>
      </c>
      <c r="U1530" s="2"/>
      <c r="V1530" s="2"/>
      <c r="W1530" s="2"/>
      <c r="X1530" s="2"/>
      <c r="Y1530" s="4"/>
      <c r="Z1530" s="2"/>
      <c r="AA1530" s="2"/>
      <c r="AB1530" s="4"/>
      <c r="AC1530" s="4"/>
      <c r="AD1530" s="4"/>
      <c r="AE1530" s="4"/>
      <c r="AF1530" s="14"/>
    </row>
    <row r="1531" spans="1:32" x14ac:dyDescent="0.25">
      <c r="A1531" s="33" t="str">
        <f>CONCATENATE(D1531,".",F1531,"-",G1531,".",H1531,"")</f>
        <v>2.6-1.1</v>
      </c>
      <c r="B1531" s="33" t="s">
        <v>814</v>
      </c>
      <c r="C1531" s="39" t="s">
        <v>262</v>
      </c>
      <c r="D1531" s="33">
        <f>IF(C1531="ID",1,(IF(C1531="PR",2,(IF(C1531="DE",3,(IF(C1531="RS",4,(IF(C1531="RC",5,0)))))))))</f>
        <v>2</v>
      </c>
      <c r="E1531" s="33" t="s">
        <v>345</v>
      </c>
      <c r="F1531" s="33">
        <f>IF(E1531="AM",1,(IF(E1531="BE",2,(IF(E1531="GV",3,(IF(E1531="RA",4,(IF(E1531="RM",5,(IF(E1531="AC",1,(IF(E1531="AT",2,(IF(E1531="DS",3,(IF(E1531="IP",4,(IF(E1531="MA",5,(IF(E1531="PT",6,(IF(E1531="AE",1,(IF(E1531="CM",2,(IF(E1531="DP",3,(IF(E1531="AN",1,(IF(E1531="CO",2,(IF(E1531="IM",3,(IF(E1531="MI",4,(IF(E1531="RP",5,(IF(E1531="SC",6,0)))))))))))))))))))))))))))))))))))))))</f>
        <v>6</v>
      </c>
      <c r="G1531" s="170">
        <v>1</v>
      </c>
      <c r="H1531" s="38" t="s">
        <v>511</v>
      </c>
      <c r="I1531" s="3" t="s">
        <v>1449</v>
      </c>
      <c r="J1531" s="157" t="s">
        <v>1745</v>
      </c>
      <c r="K1531" s="34" t="s">
        <v>1746</v>
      </c>
      <c r="L1531" s="5">
        <f>IF(O1531="","",N1531*O1531*M1531)</f>
        <v>99</v>
      </c>
      <c r="M1531" s="8">
        <v>1</v>
      </c>
      <c r="N1531" s="1">
        <v>1</v>
      </c>
      <c r="O1531" s="15">
        <f>IF(SUM(Q1531:AF1531)&lt;1,"",SUM(Q1531:AF1531)/COUNTIF(Q1531:AF1531,"&gt;0"))</f>
        <v>99</v>
      </c>
      <c r="P1531" s="16"/>
      <c r="Q1531" s="13"/>
      <c r="R1531" s="4"/>
      <c r="S1531" s="4"/>
      <c r="T1531" s="4">
        <v>99</v>
      </c>
      <c r="U1531" s="2"/>
      <c r="V1531" s="2"/>
      <c r="W1531" s="2"/>
      <c r="X1531" s="2"/>
      <c r="Y1531" s="4"/>
      <c r="Z1531" s="2"/>
      <c r="AA1531" s="2"/>
      <c r="AB1531" s="4"/>
      <c r="AC1531" s="4"/>
      <c r="AD1531" s="4"/>
      <c r="AE1531" s="4"/>
      <c r="AF1531" s="14"/>
    </row>
    <row r="1532" spans="1:32" x14ac:dyDescent="0.25">
      <c r="A1532" s="33" t="str">
        <f>CONCATENATE(D1532,".",F1532,"-",G1532,".",H1532,"")</f>
        <v>2.6-1.1</v>
      </c>
      <c r="B1532" s="33" t="s">
        <v>814</v>
      </c>
      <c r="C1532" s="39" t="s">
        <v>262</v>
      </c>
      <c r="D1532" s="33">
        <f>IF(C1532="ID",1,(IF(C1532="PR",2,(IF(C1532="DE",3,(IF(C1532="RS",4,(IF(C1532="RC",5,0)))))))))</f>
        <v>2</v>
      </c>
      <c r="E1532" s="33" t="s">
        <v>345</v>
      </c>
      <c r="F1532" s="33">
        <f>IF(E1532="AM",1,(IF(E1532="BE",2,(IF(E1532="GV",3,(IF(E1532="RA",4,(IF(E1532="RM",5,(IF(E1532="AC",1,(IF(E1532="AT",2,(IF(E1532="DS",3,(IF(E1532="IP",4,(IF(E1532="MA",5,(IF(E1532="PT",6,(IF(E1532="AE",1,(IF(E1532="CM",2,(IF(E1532="DP",3,(IF(E1532="AN",1,(IF(E1532="CO",2,(IF(E1532="IM",3,(IF(E1532="MI",4,(IF(E1532="RP",5,(IF(E1532="SC",6,0)))))))))))))))))))))))))))))))))))))))</f>
        <v>6</v>
      </c>
      <c r="G1532" s="170">
        <v>1</v>
      </c>
      <c r="H1532" s="38" t="s">
        <v>511</v>
      </c>
      <c r="I1532" s="3" t="s">
        <v>1449</v>
      </c>
      <c r="J1532" s="157" t="s">
        <v>1757</v>
      </c>
      <c r="K1532" s="34" t="s">
        <v>1758</v>
      </c>
      <c r="L1532" s="5">
        <f>IF(O1532="","",N1532*O1532*M1532)</f>
        <v>99</v>
      </c>
      <c r="M1532" s="8">
        <v>1</v>
      </c>
      <c r="N1532" s="1">
        <v>1</v>
      </c>
      <c r="O1532" s="15">
        <f>IF(SUM(Q1532:AF1532)&lt;1,"",SUM(Q1532:AF1532)/COUNTIF(Q1532:AF1532,"&gt;0"))</f>
        <v>99</v>
      </c>
      <c r="P1532" s="16"/>
      <c r="Q1532" s="13"/>
      <c r="R1532" s="4"/>
      <c r="S1532" s="4"/>
      <c r="T1532" s="4">
        <v>99</v>
      </c>
      <c r="U1532" s="2"/>
      <c r="V1532" s="2"/>
      <c r="W1532" s="2"/>
      <c r="X1532" s="2"/>
      <c r="Y1532" s="4"/>
      <c r="Z1532" s="2"/>
      <c r="AA1532" s="2"/>
      <c r="AB1532" s="4"/>
      <c r="AC1532" s="4"/>
      <c r="AD1532" s="4"/>
      <c r="AE1532" s="4"/>
      <c r="AF1532" s="14"/>
    </row>
    <row r="1533" spans="1:32" x14ac:dyDescent="0.25">
      <c r="A1533" s="33" t="str">
        <f>CONCATENATE(D1533,".",F1533,"-",G1533,".",H1533,"")</f>
        <v>2.6-1.1</v>
      </c>
      <c r="B1533" s="33" t="s">
        <v>814</v>
      </c>
      <c r="C1533" s="39" t="s">
        <v>262</v>
      </c>
      <c r="D1533" s="33">
        <f>IF(C1533="ID",1,(IF(C1533="PR",2,(IF(C1533="DE",3,(IF(C1533="RS",4,(IF(C1533="RC",5,0)))))))))</f>
        <v>2</v>
      </c>
      <c r="E1533" s="33" t="s">
        <v>345</v>
      </c>
      <c r="F1533" s="33">
        <f>IF(E1533="AM",1,(IF(E1533="BE",2,(IF(E1533="GV",3,(IF(E1533="RA",4,(IF(E1533="RM",5,(IF(E1533="AC",1,(IF(E1533="AT",2,(IF(E1533="DS",3,(IF(E1533="IP",4,(IF(E1533="MA",5,(IF(E1533="PT",6,(IF(E1533="AE",1,(IF(E1533="CM",2,(IF(E1533="DP",3,(IF(E1533="AN",1,(IF(E1533="CO",2,(IF(E1533="IM",3,(IF(E1533="MI",4,(IF(E1533="RP",5,(IF(E1533="SC",6,0)))))))))))))))))))))))))))))))))))))))</f>
        <v>6</v>
      </c>
      <c r="G1533" s="170">
        <v>1</v>
      </c>
      <c r="H1533" s="38" t="s">
        <v>511</v>
      </c>
      <c r="I1533" s="3" t="s">
        <v>1449</v>
      </c>
      <c r="J1533" s="157" t="s">
        <v>1761</v>
      </c>
      <c r="K1533" s="34" t="s">
        <v>1762</v>
      </c>
      <c r="L1533" s="5">
        <f>IF(O1533="","",N1533*O1533*M1533)</f>
        <v>99</v>
      </c>
      <c r="M1533" s="8">
        <v>1</v>
      </c>
      <c r="N1533" s="1">
        <v>1</v>
      </c>
      <c r="O1533" s="15">
        <f>IF(SUM(Q1533:AF1533)&lt;1,"",SUM(Q1533:AF1533)/COUNTIF(Q1533:AF1533,"&gt;0"))</f>
        <v>99</v>
      </c>
      <c r="P1533" s="16"/>
      <c r="Q1533" s="13"/>
      <c r="R1533" s="4"/>
      <c r="S1533" s="4"/>
      <c r="T1533" s="4">
        <v>99</v>
      </c>
      <c r="U1533" s="2"/>
      <c r="V1533" s="2"/>
      <c r="W1533" s="2"/>
      <c r="X1533" s="2"/>
      <c r="Y1533" s="4"/>
      <c r="Z1533" s="2"/>
      <c r="AA1533" s="2"/>
      <c r="AB1533" s="4"/>
      <c r="AC1533" s="4"/>
      <c r="AD1533" s="4"/>
      <c r="AE1533" s="4"/>
      <c r="AF1533" s="14"/>
    </row>
    <row r="1534" spans="1:32" x14ac:dyDescent="0.25">
      <c r="A1534" s="33" t="str">
        <f>CONCATENATE(D1534,".",F1534,"-",G1534,".",H1534,"")</f>
        <v>2.6-1.1</v>
      </c>
      <c r="B1534" s="33" t="s">
        <v>814</v>
      </c>
      <c r="C1534" s="39" t="s">
        <v>262</v>
      </c>
      <c r="D1534" s="33">
        <f>IF(C1534="ID",1,(IF(C1534="PR",2,(IF(C1534="DE",3,(IF(C1534="RS",4,(IF(C1534="RC",5,0)))))))))</f>
        <v>2</v>
      </c>
      <c r="E1534" s="33" t="s">
        <v>345</v>
      </c>
      <c r="F1534" s="33">
        <f>IF(E1534="AM",1,(IF(E1534="BE",2,(IF(E1534="GV",3,(IF(E1534="RA",4,(IF(E1534="RM",5,(IF(E1534="AC",1,(IF(E1534="AT",2,(IF(E1534="DS",3,(IF(E1534="IP",4,(IF(E1534="MA",5,(IF(E1534="PT",6,(IF(E1534="AE",1,(IF(E1534="CM",2,(IF(E1534="DP",3,(IF(E1534="AN",1,(IF(E1534="CO",2,(IF(E1534="IM",3,(IF(E1534="MI",4,(IF(E1534="RP",5,(IF(E1534="SC",6,0)))))))))))))))))))))))))))))))))))))))</f>
        <v>6</v>
      </c>
      <c r="G1534" s="170">
        <v>1</v>
      </c>
      <c r="H1534" s="38" t="s">
        <v>511</v>
      </c>
      <c r="I1534" s="3" t="s">
        <v>1449</v>
      </c>
      <c r="J1534" s="157" t="s">
        <v>1763</v>
      </c>
      <c r="K1534" s="34" t="s">
        <v>1764</v>
      </c>
      <c r="L1534" s="5">
        <f>IF(O1534="","",N1534*O1534*M1534)</f>
        <v>99</v>
      </c>
      <c r="M1534" s="8">
        <v>1</v>
      </c>
      <c r="N1534" s="1">
        <v>1</v>
      </c>
      <c r="O1534" s="15">
        <f>IF(SUM(Q1534:AF1534)&lt;1,"",SUM(Q1534:AF1534)/COUNTIF(Q1534:AF1534,"&gt;0"))</f>
        <v>99</v>
      </c>
      <c r="P1534" s="16"/>
      <c r="Q1534" s="13"/>
      <c r="R1534" s="4"/>
      <c r="S1534" s="4"/>
      <c r="T1534" s="4">
        <v>99</v>
      </c>
      <c r="U1534" s="2"/>
      <c r="V1534" s="2"/>
      <c r="W1534" s="2"/>
      <c r="X1534" s="2"/>
      <c r="Y1534" s="4"/>
      <c r="Z1534" s="2"/>
      <c r="AA1534" s="2"/>
      <c r="AB1534" s="4"/>
      <c r="AC1534" s="4"/>
      <c r="AD1534" s="4"/>
      <c r="AE1534" s="4"/>
      <c r="AF1534" s="14"/>
    </row>
    <row r="1535" spans="1:32" x14ac:dyDescent="0.25">
      <c r="A1535" s="33" t="str">
        <f>CONCATENATE(D1535,".",F1535,"-",G1535,".",H1535,"")</f>
        <v>2.6-1.1</v>
      </c>
      <c r="B1535" s="33" t="s">
        <v>814</v>
      </c>
      <c r="C1535" s="39" t="s">
        <v>262</v>
      </c>
      <c r="D1535" s="33">
        <f>IF(C1535="ID",1,(IF(C1535="PR",2,(IF(C1535="DE",3,(IF(C1535="RS",4,(IF(C1535="RC",5,0)))))))))</f>
        <v>2</v>
      </c>
      <c r="E1535" s="33" t="s">
        <v>345</v>
      </c>
      <c r="F1535" s="33">
        <f>IF(E1535="AM",1,(IF(E1535="BE",2,(IF(E1535="GV",3,(IF(E1535="RA",4,(IF(E1535="RM",5,(IF(E1535="AC",1,(IF(E1535="AT",2,(IF(E1535="DS",3,(IF(E1535="IP",4,(IF(E1535="MA",5,(IF(E1535="PT",6,(IF(E1535="AE",1,(IF(E1535="CM",2,(IF(E1535="DP",3,(IF(E1535="AN",1,(IF(E1535="CO",2,(IF(E1535="IM",3,(IF(E1535="MI",4,(IF(E1535="RP",5,(IF(E1535="SC",6,0)))))))))))))))))))))))))))))))))))))))</f>
        <v>6</v>
      </c>
      <c r="G1535" s="170">
        <v>1</v>
      </c>
      <c r="H1535" s="38" t="s">
        <v>511</v>
      </c>
      <c r="I1535" s="3" t="s">
        <v>1449</v>
      </c>
      <c r="J1535" s="157" t="s">
        <v>1781</v>
      </c>
      <c r="K1535" s="34" t="s">
        <v>1782</v>
      </c>
      <c r="L1535" s="5">
        <f>IF(O1535="","",N1535*O1535*M1535)</f>
        <v>99</v>
      </c>
      <c r="M1535" s="8">
        <v>1</v>
      </c>
      <c r="N1535" s="1">
        <v>1</v>
      </c>
      <c r="O1535" s="15">
        <f>IF(SUM(Q1535:AF1535)&lt;1,"",SUM(Q1535:AF1535)/COUNTIF(Q1535:AF1535,"&gt;0"))</f>
        <v>99</v>
      </c>
      <c r="P1535" s="16"/>
      <c r="Q1535" s="13"/>
      <c r="R1535" s="4"/>
      <c r="S1535" s="4"/>
      <c r="T1535" s="4">
        <v>99</v>
      </c>
      <c r="U1535" s="2"/>
      <c r="V1535" s="2"/>
      <c r="W1535" s="2"/>
      <c r="X1535" s="2"/>
      <c r="Y1535" s="4"/>
      <c r="Z1535" s="2"/>
      <c r="AA1535" s="2"/>
      <c r="AB1535" s="4"/>
      <c r="AC1535" s="4"/>
      <c r="AD1535" s="4"/>
      <c r="AE1535" s="4"/>
      <c r="AF1535" s="14"/>
    </row>
    <row r="1536" spans="1:32" x14ac:dyDescent="0.25">
      <c r="A1536" s="33" t="str">
        <f>CONCATENATE(D1536,".",F1536,"-",G1536,".",H1536,"")</f>
        <v>2.6-1.1</v>
      </c>
      <c r="C1536" s="39" t="s">
        <v>262</v>
      </c>
      <c r="D1536" s="33">
        <f>IF(C1536="ID",1,(IF(C1536="PR",2,(IF(C1536="DE",3,(IF(C1536="RS",4,(IF(C1536="RC",5,0)))))))))</f>
        <v>2</v>
      </c>
      <c r="E1536" s="33" t="s">
        <v>345</v>
      </c>
      <c r="F1536" s="33">
        <f>IF(E1536="AM",1,(IF(E1536="BE",2,(IF(E1536="GV",3,(IF(E1536="RA",4,(IF(E1536="RM",5,(IF(E1536="AC",1,(IF(E1536="AT",2,(IF(E1536="DS",3,(IF(E1536="IP",4,(IF(E1536="MA",5,(IF(E1536="PT",6,(IF(E1536="AE",1,(IF(E1536="CM",2,(IF(E1536="DP",3,(IF(E1536="AN",1,(IF(E1536="CO",2,(IF(E1536="IM",3,(IF(E1536="MI",4,(IF(E1536="RP",5,(IF(E1536="SC",6,0)))))))))))))))))))))))))))))))))))))))</f>
        <v>6</v>
      </c>
      <c r="G1536" s="170">
        <v>1</v>
      </c>
      <c r="H1536" s="38" t="s">
        <v>511</v>
      </c>
      <c r="I1536" s="3" t="s">
        <v>1449</v>
      </c>
      <c r="J1536" s="157" t="s">
        <v>1783</v>
      </c>
      <c r="K1536" s="34" t="s">
        <v>1784</v>
      </c>
      <c r="L1536" s="5">
        <f>IF(O1536="","",N1536*O1536*M1536)</f>
        <v>99</v>
      </c>
      <c r="M1536" s="8">
        <v>1</v>
      </c>
      <c r="N1536" s="1">
        <v>1</v>
      </c>
      <c r="O1536" s="15">
        <f>IF(SUM(Q1536:AF1536)&lt;1,"",SUM(Q1536:AF1536)/COUNTIF(Q1536:AF1536,"&gt;0"))</f>
        <v>99</v>
      </c>
      <c r="P1536" s="16"/>
      <c r="Q1536" s="13"/>
      <c r="R1536" s="4"/>
      <c r="S1536" s="4"/>
      <c r="T1536" s="4">
        <v>99</v>
      </c>
      <c r="U1536" s="2"/>
      <c r="V1536" s="2"/>
      <c r="W1536" s="2"/>
      <c r="X1536" s="2"/>
      <c r="Y1536" s="4"/>
      <c r="Z1536" s="2"/>
      <c r="AA1536" s="2"/>
      <c r="AB1536" s="4"/>
      <c r="AC1536" s="4"/>
      <c r="AD1536" s="4"/>
      <c r="AE1536" s="4"/>
      <c r="AF1536" s="14"/>
    </row>
    <row r="1537" spans="1:32" x14ac:dyDescent="0.25">
      <c r="A1537" s="33" t="str">
        <f>CONCATENATE(D1537,".",F1537,"-",G1537,".",H1537,"")</f>
        <v>2.6-1.1</v>
      </c>
      <c r="C1537" s="39" t="s">
        <v>262</v>
      </c>
      <c r="D1537" s="33">
        <f>IF(C1537="ID",1,(IF(C1537="PR",2,(IF(C1537="DE",3,(IF(C1537="RS",4,(IF(C1537="RC",5,0)))))))))</f>
        <v>2</v>
      </c>
      <c r="E1537" s="33" t="s">
        <v>345</v>
      </c>
      <c r="F1537" s="33">
        <f>IF(E1537="AM",1,(IF(E1537="BE",2,(IF(E1537="GV",3,(IF(E1537="RA",4,(IF(E1537="RM",5,(IF(E1537="AC",1,(IF(E1537="AT",2,(IF(E1537="DS",3,(IF(E1537="IP",4,(IF(E1537="MA",5,(IF(E1537="PT",6,(IF(E1537="AE",1,(IF(E1537="CM",2,(IF(E1537="DP",3,(IF(E1537="AN",1,(IF(E1537="CO",2,(IF(E1537="IM",3,(IF(E1537="MI",4,(IF(E1537="RP",5,(IF(E1537="SC",6,0)))))))))))))))))))))))))))))))))))))))</f>
        <v>6</v>
      </c>
      <c r="G1537" s="170">
        <v>1</v>
      </c>
      <c r="H1537" s="38" t="s">
        <v>511</v>
      </c>
      <c r="I1537" s="3" t="s">
        <v>1449</v>
      </c>
      <c r="J1537" s="157" t="s">
        <v>1785</v>
      </c>
      <c r="K1537" s="34" t="s">
        <v>1786</v>
      </c>
      <c r="L1537" s="5">
        <f>IF(O1537="","",N1537*O1537*M1537)</f>
        <v>99</v>
      </c>
      <c r="M1537" s="8">
        <v>1</v>
      </c>
      <c r="N1537" s="1">
        <v>1</v>
      </c>
      <c r="O1537" s="15">
        <f>IF(SUM(Q1537:AF1537)&lt;1,"",SUM(Q1537:AF1537)/COUNTIF(Q1537:AF1537,"&gt;0"))</f>
        <v>99</v>
      </c>
      <c r="P1537" s="16"/>
      <c r="Q1537" s="13"/>
      <c r="R1537" s="4"/>
      <c r="S1537" s="4"/>
      <c r="T1537" s="4">
        <v>99</v>
      </c>
      <c r="U1537" s="2"/>
      <c r="V1537" s="2"/>
      <c r="W1537" s="2"/>
      <c r="X1537" s="2"/>
      <c r="Y1537" s="4"/>
      <c r="Z1537" s="2"/>
      <c r="AA1537" s="2"/>
      <c r="AB1537" s="4"/>
      <c r="AC1537" s="4"/>
      <c r="AD1537" s="4"/>
      <c r="AE1537" s="4"/>
      <c r="AF1537" s="14"/>
    </row>
    <row r="1538" spans="1:32" x14ac:dyDescent="0.25">
      <c r="A1538" s="33" t="str">
        <f>CONCATENATE(D1538,".",F1538,"-",G1538,".",H1538,"")</f>
        <v>2.6-1.1</v>
      </c>
      <c r="C1538" s="39" t="s">
        <v>262</v>
      </c>
      <c r="D1538" s="33">
        <f>IF(C1538="ID",1,(IF(C1538="PR",2,(IF(C1538="DE",3,(IF(C1538="RS",4,(IF(C1538="RC",5,0)))))))))</f>
        <v>2</v>
      </c>
      <c r="E1538" s="33" t="s">
        <v>345</v>
      </c>
      <c r="F1538" s="33">
        <f>IF(E1538="AM",1,(IF(E1538="BE",2,(IF(E1538="GV",3,(IF(E1538="RA",4,(IF(E1538="RM",5,(IF(E1538="AC",1,(IF(E1538="AT",2,(IF(E1538="DS",3,(IF(E1538="IP",4,(IF(E1538="MA",5,(IF(E1538="PT",6,(IF(E1538="AE",1,(IF(E1538="CM",2,(IF(E1538="DP",3,(IF(E1538="AN",1,(IF(E1538="CO",2,(IF(E1538="IM",3,(IF(E1538="MI",4,(IF(E1538="RP",5,(IF(E1538="SC",6,0)))))))))))))))))))))))))))))))))))))))</f>
        <v>6</v>
      </c>
      <c r="G1538" s="170">
        <v>1</v>
      </c>
      <c r="H1538" s="38" t="s">
        <v>511</v>
      </c>
      <c r="I1538" s="3" t="s">
        <v>1449</v>
      </c>
      <c r="J1538" s="157" t="s">
        <v>1787</v>
      </c>
      <c r="K1538" s="34" t="s">
        <v>1788</v>
      </c>
      <c r="L1538" s="5">
        <f>IF(O1538="","",N1538*O1538*M1538)</f>
        <v>99</v>
      </c>
      <c r="M1538" s="8">
        <v>1</v>
      </c>
      <c r="N1538" s="1">
        <v>1</v>
      </c>
      <c r="O1538" s="15">
        <f>IF(SUM(Q1538:AF1538)&lt;1,"",SUM(Q1538:AF1538)/COUNTIF(Q1538:AF1538,"&gt;0"))</f>
        <v>99</v>
      </c>
      <c r="P1538" s="16"/>
      <c r="Q1538" s="13"/>
      <c r="R1538" s="4"/>
      <c r="S1538" s="4"/>
      <c r="T1538" s="4">
        <v>99</v>
      </c>
      <c r="U1538" s="2"/>
      <c r="V1538" s="2"/>
      <c r="W1538" s="2"/>
      <c r="X1538" s="2"/>
      <c r="Y1538" s="4"/>
      <c r="Z1538" s="2"/>
      <c r="AA1538" s="2"/>
      <c r="AB1538" s="4"/>
      <c r="AC1538" s="4"/>
      <c r="AD1538" s="4"/>
      <c r="AE1538" s="4"/>
      <c r="AF1538" s="14"/>
    </row>
    <row r="1539" spans="1:32" x14ac:dyDescent="0.25">
      <c r="A1539" s="33" t="str">
        <f>CONCATENATE(D1539,".",F1539,"-",G1539,".",H1539,"")</f>
        <v>2.6-1.1</v>
      </c>
      <c r="C1539" s="39" t="s">
        <v>262</v>
      </c>
      <c r="D1539" s="33">
        <f>IF(C1539="ID",1,(IF(C1539="PR",2,(IF(C1539="DE",3,(IF(C1539="RS",4,(IF(C1539="RC",5,0)))))))))</f>
        <v>2</v>
      </c>
      <c r="E1539" s="33" t="s">
        <v>345</v>
      </c>
      <c r="F1539" s="33">
        <f>IF(E1539="AM",1,(IF(E1539="BE",2,(IF(E1539="GV",3,(IF(E1539="RA",4,(IF(E1539="RM",5,(IF(E1539="AC",1,(IF(E1539="AT",2,(IF(E1539="DS",3,(IF(E1539="IP",4,(IF(E1539="MA",5,(IF(E1539="PT",6,(IF(E1539="AE",1,(IF(E1539="CM",2,(IF(E1539="DP",3,(IF(E1539="AN",1,(IF(E1539="CO",2,(IF(E1539="IM",3,(IF(E1539="MI",4,(IF(E1539="RP",5,(IF(E1539="SC",6,0)))))))))))))))))))))))))))))))))))))))</f>
        <v>6</v>
      </c>
      <c r="G1539" s="170">
        <v>1</v>
      </c>
      <c r="H1539" s="38" t="s">
        <v>511</v>
      </c>
      <c r="I1539" s="3" t="s">
        <v>1449</v>
      </c>
      <c r="J1539" s="157" t="s">
        <v>1789</v>
      </c>
      <c r="K1539" s="34" t="s">
        <v>1790</v>
      </c>
      <c r="L1539" s="5">
        <f>IF(O1539="","",N1539*O1539*M1539)</f>
        <v>99</v>
      </c>
      <c r="M1539" s="8">
        <v>1</v>
      </c>
      <c r="N1539" s="1">
        <v>1</v>
      </c>
      <c r="O1539" s="15">
        <f>IF(SUM(Q1539:AF1539)&lt;1,"",SUM(Q1539:AF1539)/COUNTIF(Q1539:AF1539,"&gt;0"))</f>
        <v>99</v>
      </c>
      <c r="P1539" s="16"/>
      <c r="Q1539" s="13"/>
      <c r="R1539" s="4"/>
      <c r="S1539" s="4"/>
      <c r="T1539" s="4">
        <v>99</v>
      </c>
      <c r="U1539" s="2"/>
      <c r="V1539" s="2"/>
      <c r="W1539" s="2"/>
      <c r="X1539" s="2"/>
      <c r="Y1539" s="4"/>
      <c r="Z1539" s="2"/>
      <c r="AA1539" s="2"/>
      <c r="AB1539" s="4"/>
      <c r="AC1539" s="4"/>
      <c r="AD1539" s="4"/>
      <c r="AE1539" s="4"/>
      <c r="AF1539" s="14"/>
    </row>
    <row r="1540" spans="1:32" x14ac:dyDescent="0.25">
      <c r="A1540" s="33" t="str">
        <f>CONCATENATE(D1540,".",F1540,"-",G1540,".",H1540,"")</f>
        <v>2.6-1.1</v>
      </c>
      <c r="C1540" s="39" t="s">
        <v>262</v>
      </c>
      <c r="D1540" s="33">
        <f>IF(C1540="ID",1,(IF(C1540="PR",2,(IF(C1540="DE",3,(IF(C1540="RS",4,(IF(C1540="RC",5,0)))))))))</f>
        <v>2</v>
      </c>
      <c r="E1540" s="33" t="s">
        <v>345</v>
      </c>
      <c r="F1540" s="33">
        <f>IF(E1540="AM",1,(IF(E1540="BE",2,(IF(E1540="GV",3,(IF(E1540="RA",4,(IF(E1540="RM",5,(IF(E1540="AC",1,(IF(E1540="AT",2,(IF(E1540="DS",3,(IF(E1540="IP",4,(IF(E1540="MA",5,(IF(E1540="PT",6,(IF(E1540="AE",1,(IF(E1540="CM",2,(IF(E1540="DP",3,(IF(E1540="AN",1,(IF(E1540="CO",2,(IF(E1540="IM",3,(IF(E1540="MI",4,(IF(E1540="RP",5,(IF(E1540="SC",6,0)))))))))))))))))))))))))))))))))))))))</f>
        <v>6</v>
      </c>
      <c r="G1540" s="170">
        <v>1</v>
      </c>
      <c r="H1540" s="38" t="s">
        <v>511</v>
      </c>
      <c r="I1540" s="3" t="s">
        <v>1449</v>
      </c>
      <c r="J1540" s="157" t="s">
        <v>1791</v>
      </c>
      <c r="K1540" s="34" t="s">
        <v>1792</v>
      </c>
      <c r="L1540" s="5">
        <f>IF(O1540="","",N1540*O1540*M1540)</f>
        <v>99</v>
      </c>
      <c r="M1540" s="8">
        <v>1</v>
      </c>
      <c r="N1540" s="1">
        <v>1</v>
      </c>
      <c r="O1540" s="15">
        <f>IF(SUM(Q1540:AF1540)&lt;1,"",SUM(Q1540:AF1540)/COUNTIF(Q1540:AF1540,"&gt;0"))</f>
        <v>99</v>
      </c>
      <c r="P1540" s="16"/>
      <c r="Q1540" s="13"/>
      <c r="R1540" s="4"/>
      <c r="S1540" s="4"/>
      <c r="T1540" s="4">
        <v>99</v>
      </c>
      <c r="U1540" s="2"/>
      <c r="V1540" s="2"/>
      <c r="W1540" s="2"/>
      <c r="X1540" s="2"/>
      <c r="Y1540" s="4"/>
      <c r="Z1540" s="2"/>
      <c r="AA1540" s="2"/>
      <c r="AB1540" s="4"/>
      <c r="AC1540" s="4"/>
      <c r="AD1540" s="4"/>
      <c r="AE1540" s="4"/>
      <c r="AF1540" s="14"/>
    </row>
    <row r="1541" spans="1:32" x14ac:dyDescent="0.25">
      <c r="A1541" s="33" t="str">
        <f>CONCATENATE(D1541,".",F1541,"-",G1541,".",H1541,"")</f>
        <v>2.6-1.1</v>
      </c>
      <c r="C1541" s="39" t="s">
        <v>262</v>
      </c>
      <c r="D1541" s="33">
        <f>IF(C1541="ID",1,(IF(C1541="PR",2,(IF(C1541="DE",3,(IF(C1541="RS",4,(IF(C1541="RC",5,0)))))))))</f>
        <v>2</v>
      </c>
      <c r="E1541" s="33" t="s">
        <v>345</v>
      </c>
      <c r="F1541" s="33">
        <f>IF(E1541="AM",1,(IF(E1541="BE",2,(IF(E1541="GV",3,(IF(E1541="RA",4,(IF(E1541="RM",5,(IF(E1541="AC",1,(IF(E1541="AT",2,(IF(E1541="DS",3,(IF(E1541="IP",4,(IF(E1541="MA",5,(IF(E1541="PT",6,(IF(E1541="AE",1,(IF(E1541="CM",2,(IF(E1541="DP",3,(IF(E1541="AN",1,(IF(E1541="CO",2,(IF(E1541="IM",3,(IF(E1541="MI",4,(IF(E1541="RP",5,(IF(E1541="SC",6,0)))))))))))))))))))))))))))))))))))))))</f>
        <v>6</v>
      </c>
      <c r="G1541" s="170">
        <v>1</v>
      </c>
      <c r="H1541" s="38" t="s">
        <v>511</v>
      </c>
      <c r="I1541" s="3" t="s">
        <v>1449</v>
      </c>
      <c r="J1541" s="157" t="s">
        <v>1793</v>
      </c>
      <c r="K1541" s="34" t="s">
        <v>1794</v>
      </c>
      <c r="L1541" s="5">
        <f>IF(O1541="","",N1541*O1541*M1541)</f>
        <v>99</v>
      </c>
      <c r="M1541" s="8">
        <v>1</v>
      </c>
      <c r="N1541" s="1">
        <v>1</v>
      </c>
      <c r="O1541" s="15">
        <f>IF(SUM(Q1541:AF1541)&lt;1,"",SUM(Q1541:AF1541)/COUNTIF(Q1541:AF1541,"&gt;0"))</f>
        <v>99</v>
      </c>
      <c r="P1541" s="16"/>
      <c r="Q1541" s="13"/>
      <c r="R1541" s="4"/>
      <c r="S1541" s="4"/>
      <c r="T1541" s="4">
        <v>99</v>
      </c>
      <c r="U1541" s="2"/>
      <c r="V1541" s="2"/>
      <c r="W1541" s="2"/>
      <c r="X1541" s="2"/>
      <c r="Y1541" s="4"/>
      <c r="Z1541" s="2"/>
      <c r="AA1541" s="2"/>
      <c r="AB1541" s="4"/>
      <c r="AC1541" s="4"/>
      <c r="AD1541" s="4"/>
      <c r="AE1541" s="4"/>
      <c r="AF1541" s="14"/>
    </row>
    <row r="1542" spans="1:32" x14ac:dyDescent="0.25">
      <c r="A1542" s="33" t="str">
        <f>CONCATENATE(D1542,".",F1542,"-",G1542,".",H1542,"")</f>
        <v>2.6-1.1</v>
      </c>
      <c r="C1542" s="39" t="s">
        <v>262</v>
      </c>
      <c r="D1542" s="33">
        <f>IF(C1542="ID",1,(IF(C1542="PR",2,(IF(C1542="DE",3,(IF(C1542="RS",4,(IF(C1542="RC",5,0)))))))))</f>
        <v>2</v>
      </c>
      <c r="E1542" s="33" t="s">
        <v>345</v>
      </c>
      <c r="F1542" s="33">
        <f>IF(E1542="AM",1,(IF(E1542="BE",2,(IF(E1542="GV",3,(IF(E1542="RA",4,(IF(E1542="RM",5,(IF(E1542="AC",1,(IF(E1542="AT",2,(IF(E1542="DS",3,(IF(E1542="IP",4,(IF(E1542="MA",5,(IF(E1542="PT",6,(IF(E1542="AE",1,(IF(E1542="CM",2,(IF(E1542="DP",3,(IF(E1542="AN",1,(IF(E1542="CO",2,(IF(E1542="IM",3,(IF(E1542="MI",4,(IF(E1542="RP",5,(IF(E1542="SC",6,0)))))))))))))))))))))))))))))))))))))))</f>
        <v>6</v>
      </c>
      <c r="G1542" s="170">
        <v>1</v>
      </c>
      <c r="H1542" s="38" t="s">
        <v>511</v>
      </c>
      <c r="I1542" s="3" t="s">
        <v>1449</v>
      </c>
      <c r="J1542" s="157" t="s">
        <v>1795</v>
      </c>
      <c r="K1542" s="34" t="s">
        <v>1796</v>
      </c>
      <c r="L1542" s="5">
        <f>IF(O1542="","",N1542*O1542*M1542)</f>
        <v>99</v>
      </c>
      <c r="M1542" s="8">
        <v>1</v>
      </c>
      <c r="N1542" s="1">
        <v>1</v>
      </c>
      <c r="O1542" s="15">
        <f>IF(SUM(Q1542:AF1542)&lt;1,"",SUM(Q1542:AF1542)/COUNTIF(Q1542:AF1542,"&gt;0"))</f>
        <v>99</v>
      </c>
      <c r="P1542" s="16"/>
      <c r="Q1542" s="13"/>
      <c r="R1542" s="4"/>
      <c r="S1542" s="4"/>
      <c r="T1542" s="4">
        <v>99</v>
      </c>
      <c r="U1542" s="2"/>
      <c r="V1542" s="2"/>
      <c r="W1542" s="2"/>
      <c r="X1542" s="2"/>
      <c r="Y1542" s="4"/>
      <c r="Z1542" s="2"/>
      <c r="AA1542" s="2"/>
      <c r="AB1542" s="4"/>
      <c r="AC1542" s="4"/>
      <c r="AD1542" s="4"/>
      <c r="AE1542" s="4"/>
      <c r="AF1542" s="14"/>
    </row>
    <row r="1543" spans="1:32" x14ac:dyDescent="0.25">
      <c r="A1543" s="33" t="str">
        <f>CONCATENATE(D1543,".",F1543,"-",G1543,".",H1543,"")</f>
        <v>2.6-1.1</v>
      </c>
      <c r="C1543" s="39" t="s">
        <v>262</v>
      </c>
      <c r="D1543" s="33">
        <f>IF(C1543="ID",1,(IF(C1543="PR",2,(IF(C1543="DE",3,(IF(C1543="RS",4,(IF(C1543="RC",5,0)))))))))</f>
        <v>2</v>
      </c>
      <c r="E1543" s="33" t="s">
        <v>345</v>
      </c>
      <c r="F1543" s="33">
        <f>IF(E1543="AM",1,(IF(E1543="BE",2,(IF(E1543="GV",3,(IF(E1543="RA",4,(IF(E1543="RM",5,(IF(E1543="AC",1,(IF(E1543="AT",2,(IF(E1543="DS",3,(IF(E1543="IP",4,(IF(E1543="MA",5,(IF(E1543="PT",6,(IF(E1543="AE",1,(IF(E1543="CM",2,(IF(E1543="DP",3,(IF(E1543="AN",1,(IF(E1543="CO",2,(IF(E1543="IM",3,(IF(E1543="MI",4,(IF(E1543="RP",5,(IF(E1543="SC",6,0)))))))))))))))))))))))))))))))))))))))</f>
        <v>6</v>
      </c>
      <c r="G1543" s="170">
        <v>1</v>
      </c>
      <c r="H1543" s="38" t="s">
        <v>511</v>
      </c>
      <c r="I1543" s="3" t="s">
        <v>1449</v>
      </c>
      <c r="J1543" s="157" t="s">
        <v>1797</v>
      </c>
      <c r="K1543" s="34" t="s">
        <v>1798</v>
      </c>
      <c r="L1543" s="5">
        <f>IF(O1543="","",N1543*O1543*M1543)</f>
        <v>99</v>
      </c>
      <c r="M1543" s="8">
        <v>1</v>
      </c>
      <c r="N1543" s="1">
        <v>1</v>
      </c>
      <c r="O1543" s="15">
        <f>IF(SUM(Q1543:AF1543)&lt;1,"",SUM(Q1543:AF1543)/COUNTIF(Q1543:AF1543,"&gt;0"))</f>
        <v>99</v>
      </c>
      <c r="P1543" s="16"/>
      <c r="Q1543" s="13"/>
      <c r="R1543" s="4"/>
      <c r="S1543" s="4"/>
      <c r="T1543" s="4">
        <v>99</v>
      </c>
      <c r="U1543" s="2"/>
      <c r="V1543" s="2"/>
      <c r="W1543" s="2"/>
      <c r="X1543" s="2"/>
      <c r="Y1543" s="4"/>
      <c r="Z1543" s="2"/>
      <c r="AA1543" s="2"/>
      <c r="AB1543" s="4"/>
      <c r="AC1543" s="4"/>
      <c r="AD1543" s="4"/>
      <c r="AE1543" s="4"/>
      <c r="AF1543" s="14"/>
    </row>
    <row r="1544" spans="1:32" x14ac:dyDescent="0.25">
      <c r="A1544" s="33" t="str">
        <f>CONCATENATE(D1544,".",F1544,"-",G1544,".",H1544,"")</f>
        <v>2.6-1.1</v>
      </c>
      <c r="C1544" s="39" t="s">
        <v>262</v>
      </c>
      <c r="D1544" s="33">
        <f>IF(C1544="ID",1,(IF(C1544="PR",2,(IF(C1544="DE",3,(IF(C1544="RS",4,(IF(C1544="RC",5,0)))))))))</f>
        <v>2</v>
      </c>
      <c r="E1544" s="33" t="s">
        <v>345</v>
      </c>
      <c r="F1544" s="33">
        <f>IF(E1544="AM",1,(IF(E1544="BE",2,(IF(E1544="GV",3,(IF(E1544="RA",4,(IF(E1544="RM",5,(IF(E1544="AC",1,(IF(E1544="AT",2,(IF(E1544="DS",3,(IF(E1544="IP",4,(IF(E1544="MA",5,(IF(E1544="PT",6,(IF(E1544="AE",1,(IF(E1544="CM",2,(IF(E1544="DP",3,(IF(E1544="AN",1,(IF(E1544="CO",2,(IF(E1544="IM",3,(IF(E1544="MI",4,(IF(E1544="RP",5,(IF(E1544="SC",6,0)))))))))))))))))))))))))))))))))))))))</f>
        <v>6</v>
      </c>
      <c r="G1544" s="170">
        <v>1</v>
      </c>
      <c r="H1544" s="38" t="s">
        <v>511</v>
      </c>
      <c r="I1544" s="3" t="s">
        <v>1449</v>
      </c>
      <c r="J1544" s="157" t="s">
        <v>1799</v>
      </c>
      <c r="K1544" s="34" t="s">
        <v>1800</v>
      </c>
      <c r="L1544" s="5">
        <f>IF(O1544="","",N1544*O1544*M1544)</f>
        <v>99</v>
      </c>
      <c r="M1544" s="8">
        <v>1</v>
      </c>
      <c r="N1544" s="1">
        <v>1</v>
      </c>
      <c r="O1544" s="15">
        <f>IF(SUM(Q1544:AF1544)&lt;1,"",SUM(Q1544:AF1544)/COUNTIF(Q1544:AF1544,"&gt;0"))</f>
        <v>99</v>
      </c>
      <c r="P1544" s="16"/>
      <c r="Q1544" s="13"/>
      <c r="R1544" s="4"/>
      <c r="S1544" s="4"/>
      <c r="T1544" s="4">
        <v>99</v>
      </c>
      <c r="U1544" s="2"/>
      <c r="V1544" s="2"/>
      <c r="W1544" s="2"/>
      <c r="X1544" s="2"/>
      <c r="Y1544" s="4"/>
      <c r="Z1544" s="2"/>
      <c r="AA1544" s="2"/>
      <c r="AB1544" s="4"/>
      <c r="AC1544" s="4"/>
      <c r="AD1544" s="4"/>
      <c r="AE1544" s="4"/>
      <c r="AF1544" s="14"/>
    </row>
    <row r="1545" spans="1:32" x14ac:dyDescent="0.25">
      <c r="A1545" s="33" t="str">
        <f>CONCATENATE(D1545,".",F1545,"-",G1545,".",H1545,"")</f>
        <v>2.6-1.1</v>
      </c>
      <c r="C1545" s="39" t="s">
        <v>262</v>
      </c>
      <c r="D1545" s="33">
        <f>IF(C1545="ID",1,(IF(C1545="PR",2,(IF(C1545="DE",3,(IF(C1545="RS",4,(IF(C1545="RC",5,0)))))))))</f>
        <v>2</v>
      </c>
      <c r="E1545" s="33" t="s">
        <v>345</v>
      </c>
      <c r="F1545" s="33">
        <f>IF(E1545="AM",1,(IF(E1545="BE",2,(IF(E1545="GV",3,(IF(E1545="RA",4,(IF(E1545="RM",5,(IF(E1545="AC",1,(IF(E1545="AT",2,(IF(E1545="DS",3,(IF(E1545="IP",4,(IF(E1545="MA",5,(IF(E1545="PT",6,(IF(E1545="AE",1,(IF(E1545="CM",2,(IF(E1545="DP",3,(IF(E1545="AN",1,(IF(E1545="CO",2,(IF(E1545="IM",3,(IF(E1545="MI",4,(IF(E1545="RP",5,(IF(E1545="SC",6,0)))))))))))))))))))))))))))))))))))))))</f>
        <v>6</v>
      </c>
      <c r="G1545" s="170">
        <v>1</v>
      </c>
      <c r="H1545" s="38" t="s">
        <v>511</v>
      </c>
      <c r="I1545" s="3" t="s">
        <v>1449</v>
      </c>
      <c r="J1545" s="157" t="s">
        <v>1801</v>
      </c>
      <c r="K1545" s="34" t="s">
        <v>1802</v>
      </c>
      <c r="L1545" s="5">
        <f>IF(O1545="","",N1545*O1545*M1545)</f>
        <v>99</v>
      </c>
      <c r="M1545" s="8">
        <v>1</v>
      </c>
      <c r="N1545" s="1">
        <v>1</v>
      </c>
      <c r="O1545" s="15">
        <f>IF(SUM(Q1545:AF1545)&lt;1,"",SUM(Q1545:AF1545)/COUNTIF(Q1545:AF1545,"&gt;0"))</f>
        <v>99</v>
      </c>
      <c r="P1545" s="16"/>
      <c r="Q1545" s="13"/>
      <c r="R1545" s="4"/>
      <c r="S1545" s="4"/>
      <c r="T1545" s="4">
        <v>99</v>
      </c>
      <c r="U1545" s="2"/>
      <c r="V1545" s="2"/>
      <c r="W1545" s="2"/>
      <c r="X1545" s="2"/>
      <c r="Y1545" s="4"/>
      <c r="Z1545" s="2"/>
      <c r="AA1545" s="2"/>
      <c r="AB1545" s="4"/>
      <c r="AC1545" s="4"/>
      <c r="AD1545" s="4"/>
      <c r="AE1545" s="4"/>
      <c r="AF1545" s="14"/>
    </row>
    <row r="1546" spans="1:32" x14ac:dyDescent="0.25">
      <c r="A1546" s="33" t="str">
        <f>CONCATENATE(D1546,".",F1546,"-",G1546,".",H1546,"")</f>
        <v>2.6-1.1</v>
      </c>
      <c r="C1546" s="39" t="s">
        <v>262</v>
      </c>
      <c r="D1546" s="33">
        <f>IF(C1546="ID",1,(IF(C1546="PR",2,(IF(C1546="DE",3,(IF(C1546="RS",4,(IF(C1546="RC",5,0)))))))))</f>
        <v>2</v>
      </c>
      <c r="E1546" s="33" t="s">
        <v>345</v>
      </c>
      <c r="F1546" s="33">
        <f>IF(E1546="AM",1,(IF(E1546="BE",2,(IF(E1546="GV",3,(IF(E1546="RA",4,(IF(E1546="RM",5,(IF(E1546="AC",1,(IF(E1546="AT",2,(IF(E1546="DS",3,(IF(E1546="IP",4,(IF(E1546="MA",5,(IF(E1546="PT",6,(IF(E1546="AE",1,(IF(E1546="CM",2,(IF(E1546="DP",3,(IF(E1546="AN",1,(IF(E1546="CO",2,(IF(E1546="IM",3,(IF(E1546="MI",4,(IF(E1546="RP",5,(IF(E1546="SC",6,0)))))))))))))))))))))))))))))))))))))))</f>
        <v>6</v>
      </c>
      <c r="G1546" s="170">
        <v>1</v>
      </c>
      <c r="H1546" s="38" t="s">
        <v>511</v>
      </c>
      <c r="I1546" s="3" t="s">
        <v>1449</v>
      </c>
      <c r="J1546" s="157" t="s">
        <v>1803</v>
      </c>
      <c r="K1546" s="34" t="s">
        <v>1804</v>
      </c>
      <c r="L1546" s="5">
        <f>IF(O1546="","",N1546*O1546*M1546)</f>
        <v>99</v>
      </c>
      <c r="M1546" s="8">
        <v>1</v>
      </c>
      <c r="N1546" s="1">
        <v>1</v>
      </c>
      <c r="O1546" s="15">
        <f>IF(SUM(Q1546:AF1546)&lt;1,"",SUM(Q1546:AF1546)/COUNTIF(Q1546:AF1546,"&gt;0"))</f>
        <v>99</v>
      </c>
      <c r="P1546" s="16"/>
      <c r="Q1546" s="13"/>
      <c r="R1546" s="4"/>
      <c r="S1546" s="4"/>
      <c r="T1546" s="4">
        <v>99</v>
      </c>
      <c r="U1546" s="2"/>
      <c r="V1546" s="2"/>
      <c r="W1546" s="2"/>
      <c r="X1546" s="2"/>
      <c r="Y1546" s="4"/>
      <c r="Z1546" s="2"/>
      <c r="AA1546" s="2"/>
      <c r="AB1546" s="4"/>
      <c r="AC1546" s="4"/>
      <c r="AD1546" s="4"/>
      <c r="AE1546" s="4"/>
      <c r="AF1546" s="14"/>
    </row>
    <row r="1547" spans="1:32" x14ac:dyDescent="0.25">
      <c r="A1547" s="33" t="str">
        <f>CONCATENATE(D1547,".",F1547,"-",G1547,".",H1547,"")</f>
        <v>2.6-1.1</v>
      </c>
      <c r="C1547" s="39" t="s">
        <v>262</v>
      </c>
      <c r="D1547" s="33">
        <f>IF(C1547="ID",1,(IF(C1547="PR",2,(IF(C1547="DE",3,(IF(C1547="RS",4,(IF(C1547="RC",5,0)))))))))</f>
        <v>2</v>
      </c>
      <c r="E1547" s="33" t="s">
        <v>345</v>
      </c>
      <c r="F1547" s="33">
        <f>IF(E1547="AM",1,(IF(E1547="BE",2,(IF(E1547="GV",3,(IF(E1547="RA",4,(IF(E1547="RM",5,(IF(E1547="AC",1,(IF(E1547="AT",2,(IF(E1547="DS",3,(IF(E1547="IP",4,(IF(E1547="MA",5,(IF(E1547="PT",6,(IF(E1547="AE",1,(IF(E1547="CM",2,(IF(E1547="DP",3,(IF(E1547="AN",1,(IF(E1547="CO",2,(IF(E1547="IM",3,(IF(E1547="MI",4,(IF(E1547="RP",5,(IF(E1547="SC",6,0)))))))))))))))))))))))))))))))))))))))</f>
        <v>6</v>
      </c>
      <c r="G1547" s="170">
        <v>1</v>
      </c>
      <c r="H1547" s="38" t="s">
        <v>511</v>
      </c>
      <c r="I1547" s="3" t="s">
        <v>1449</v>
      </c>
      <c r="J1547" s="157" t="s">
        <v>1805</v>
      </c>
      <c r="K1547" s="34" t="s">
        <v>1806</v>
      </c>
      <c r="L1547" s="5">
        <f>IF(O1547="","",N1547*O1547*M1547)</f>
        <v>99</v>
      </c>
      <c r="M1547" s="8">
        <v>1</v>
      </c>
      <c r="N1547" s="1">
        <v>1</v>
      </c>
      <c r="O1547" s="15">
        <f>IF(SUM(Q1547:AF1547)&lt;1,"",SUM(Q1547:AF1547)/COUNTIF(Q1547:AF1547,"&gt;0"))</f>
        <v>99</v>
      </c>
      <c r="P1547" s="16"/>
      <c r="Q1547" s="13"/>
      <c r="R1547" s="4"/>
      <c r="S1547" s="4"/>
      <c r="T1547" s="4">
        <v>99</v>
      </c>
      <c r="U1547" s="2"/>
      <c r="V1547" s="2"/>
      <c r="W1547" s="2"/>
      <c r="X1547" s="2"/>
      <c r="Y1547" s="4"/>
      <c r="Z1547" s="2"/>
      <c r="AA1547" s="2"/>
      <c r="AB1547" s="4"/>
      <c r="AC1547" s="4"/>
      <c r="AD1547" s="4"/>
      <c r="AE1547" s="4"/>
      <c r="AF1547" s="14"/>
    </row>
    <row r="1548" spans="1:32" x14ac:dyDescent="0.25">
      <c r="A1548" s="33" t="str">
        <f>CONCATENATE(D1548,".",F1548,"-",G1548,".",H1548,"")</f>
        <v>2.6-1.1</v>
      </c>
      <c r="C1548" s="39" t="s">
        <v>262</v>
      </c>
      <c r="D1548" s="33">
        <f>IF(C1548="ID",1,(IF(C1548="PR",2,(IF(C1548="DE",3,(IF(C1548="RS",4,(IF(C1548="RC",5,0)))))))))</f>
        <v>2</v>
      </c>
      <c r="E1548" s="33" t="s">
        <v>345</v>
      </c>
      <c r="F1548" s="33">
        <f>IF(E1548="AM",1,(IF(E1548="BE",2,(IF(E1548="GV",3,(IF(E1548="RA",4,(IF(E1548="RM",5,(IF(E1548="AC",1,(IF(E1548="AT",2,(IF(E1548="DS",3,(IF(E1548="IP",4,(IF(E1548="MA",5,(IF(E1548="PT",6,(IF(E1548="AE",1,(IF(E1548="CM",2,(IF(E1548="DP",3,(IF(E1548="AN",1,(IF(E1548="CO",2,(IF(E1548="IM",3,(IF(E1548="MI",4,(IF(E1548="RP",5,(IF(E1548="SC",6,0)))))))))))))))))))))))))))))))))))))))</f>
        <v>6</v>
      </c>
      <c r="G1548" s="170">
        <v>1</v>
      </c>
      <c r="H1548" s="38" t="s">
        <v>511</v>
      </c>
      <c r="I1548" s="3" t="s">
        <v>1449</v>
      </c>
      <c r="J1548" s="157" t="s">
        <v>1807</v>
      </c>
      <c r="K1548" s="34" t="s">
        <v>1808</v>
      </c>
      <c r="L1548" s="5">
        <f>IF(O1548="","",N1548*O1548*M1548)</f>
        <v>99</v>
      </c>
      <c r="M1548" s="8">
        <v>1</v>
      </c>
      <c r="N1548" s="1">
        <v>1</v>
      </c>
      <c r="O1548" s="15">
        <f>IF(SUM(Q1548:AF1548)&lt;1,"",SUM(Q1548:AF1548)/COUNTIF(Q1548:AF1548,"&gt;0"))</f>
        <v>99</v>
      </c>
      <c r="P1548" s="16"/>
      <c r="Q1548" s="13"/>
      <c r="R1548" s="4"/>
      <c r="S1548" s="4"/>
      <c r="T1548" s="4">
        <v>99</v>
      </c>
      <c r="U1548" s="2"/>
      <c r="V1548" s="2"/>
      <c r="W1548" s="2"/>
      <c r="X1548" s="2"/>
      <c r="Y1548" s="4"/>
      <c r="Z1548" s="2"/>
      <c r="AA1548" s="2"/>
      <c r="AB1548" s="4"/>
      <c r="AC1548" s="4"/>
      <c r="AD1548" s="4"/>
      <c r="AE1548" s="4"/>
      <c r="AF1548" s="14"/>
    </row>
    <row r="1549" spans="1:32" x14ac:dyDescent="0.25">
      <c r="A1549" s="33" t="str">
        <f>CONCATENATE(D1549,".",F1549,"-",G1549,".",H1549,"")</f>
        <v>2.6-1.1</v>
      </c>
      <c r="C1549" s="39" t="s">
        <v>262</v>
      </c>
      <c r="D1549" s="33">
        <f>IF(C1549="ID",1,(IF(C1549="PR",2,(IF(C1549="DE",3,(IF(C1549="RS",4,(IF(C1549="RC",5,0)))))))))</f>
        <v>2</v>
      </c>
      <c r="E1549" s="33" t="s">
        <v>345</v>
      </c>
      <c r="F1549" s="33">
        <f>IF(E1549="AM",1,(IF(E1549="BE",2,(IF(E1549="GV",3,(IF(E1549="RA",4,(IF(E1549="RM",5,(IF(E1549="AC",1,(IF(E1549="AT",2,(IF(E1549="DS",3,(IF(E1549="IP",4,(IF(E1549="MA",5,(IF(E1549="PT",6,(IF(E1549="AE",1,(IF(E1549="CM",2,(IF(E1549="DP",3,(IF(E1549="AN",1,(IF(E1549="CO",2,(IF(E1549="IM",3,(IF(E1549="MI",4,(IF(E1549="RP",5,(IF(E1549="SC",6,0)))))))))))))))))))))))))))))))))))))))</f>
        <v>6</v>
      </c>
      <c r="G1549" s="170">
        <v>1</v>
      </c>
      <c r="H1549" s="38" t="s">
        <v>511</v>
      </c>
      <c r="I1549" s="3" t="s">
        <v>1449</v>
      </c>
      <c r="J1549" s="157" t="s">
        <v>1809</v>
      </c>
      <c r="K1549" s="34" t="s">
        <v>1810</v>
      </c>
      <c r="L1549" s="5">
        <f>IF(O1549="","",N1549*O1549*M1549)</f>
        <v>99</v>
      </c>
      <c r="M1549" s="8">
        <v>1</v>
      </c>
      <c r="N1549" s="1">
        <v>1</v>
      </c>
      <c r="O1549" s="15">
        <f>IF(SUM(Q1549:AF1549)&lt;1,"",SUM(Q1549:AF1549)/COUNTIF(Q1549:AF1549,"&gt;0"))</f>
        <v>99</v>
      </c>
      <c r="P1549" s="16"/>
      <c r="Q1549" s="13"/>
      <c r="R1549" s="4"/>
      <c r="S1549" s="4"/>
      <c r="T1549" s="4">
        <v>99</v>
      </c>
      <c r="U1549" s="2"/>
      <c r="V1549" s="2"/>
      <c r="W1549" s="2"/>
      <c r="X1549" s="2"/>
      <c r="Y1549" s="4"/>
      <c r="Z1549" s="2"/>
      <c r="AA1549" s="2"/>
      <c r="AB1549" s="4"/>
      <c r="AC1549" s="4"/>
      <c r="AD1549" s="4"/>
      <c r="AE1549" s="4"/>
      <c r="AF1549" s="14"/>
    </row>
    <row r="1550" spans="1:32" x14ac:dyDescent="0.25">
      <c r="A1550" s="33" t="str">
        <f>CONCATENATE(D1550,".",F1550,"-",G1550,".",H1550,"")</f>
        <v>2.6-1.1</v>
      </c>
      <c r="C1550" s="39" t="s">
        <v>262</v>
      </c>
      <c r="D1550" s="33">
        <f>IF(C1550="ID",1,(IF(C1550="PR",2,(IF(C1550="DE",3,(IF(C1550="RS",4,(IF(C1550="RC",5,0)))))))))</f>
        <v>2</v>
      </c>
      <c r="E1550" s="33" t="s">
        <v>345</v>
      </c>
      <c r="F1550" s="33">
        <f>IF(E1550="AM",1,(IF(E1550="BE",2,(IF(E1550="GV",3,(IF(E1550="RA",4,(IF(E1550="RM",5,(IF(E1550="AC",1,(IF(E1550="AT",2,(IF(E1550="DS",3,(IF(E1550="IP",4,(IF(E1550="MA",5,(IF(E1550="PT",6,(IF(E1550="AE",1,(IF(E1550="CM",2,(IF(E1550="DP",3,(IF(E1550="AN",1,(IF(E1550="CO",2,(IF(E1550="IM",3,(IF(E1550="MI",4,(IF(E1550="RP",5,(IF(E1550="SC",6,0)))))))))))))))))))))))))))))))))))))))</f>
        <v>6</v>
      </c>
      <c r="G1550" s="170">
        <v>1</v>
      </c>
      <c r="H1550" s="38" t="s">
        <v>511</v>
      </c>
      <c r="I1550" s="3" t="s">
        <v>1449</v>
      </c>
      <c r="J1550" s="157" t="s">
        <v>1811</v>
      </c>
      <c r="K1550" s="34" t="s">
        <v>1812</v>
      </c>
      <c r="L1550" s="5">
        <f>IF(O1550="","",N1550*O1550*M1550)</f>
        <v>99</v>
      </c>
      <c r="M1550" s="8">
        <v>1</v>
      </c>
      <c r="N1550" s="1">
        <v>1</v>
      </c>
      <c r="O1550" s="15">
        <f>IF(SUM(Q1550:AF1550)&lt;1,"",SUM(Q1550:AF1550)/COUNTIF(Q1550:AF1550,"&gt;0"))</f>
        <v>99</v>
      </c>
      <c r="P1550" s="16"/>
      <c r="Q1550" s="13"/>
      <c r="R1550" s="4"/>
      <c r="S1550" s="4"/>
      <c r="T1550" s="4">
        <v>99</v>
      </c>
      <c r="U1550" s="2"/>
      <c r="V1550" s="2"/>
      <c r="W1550" s="2"/>
      <c r="X1550" s="2"/>
      <c r="Y1550" s="4"/>
      <c r="Z1550" s="2"/>
      <c r="AA1550" s="2"/>
      <c r="AB1550" s="4"/>
      <c r="AC1550" s="4"/>
      <c r="AD1550" s="4"/>
      <c r="AE1550" s="4"/>
      <c r="AF1550" s="14"/>
    </row>
    <row r="1551" spans="1:32" x14ac:dyDescent="0.25">
      <c r="A1551" s="33" t="str">
        <f>CONCATENATE(D1551,".",F1551,"-",G1551,".",H1551,"")</f>
        <v>2.6-1.1</v>
      </c>
      <c r="C1551" s="39" t="s">
        <v>262</v>
      </c>
      <c r="D1551" s="33">
        <f>IF(C1551="ID",1,(IF(C1551="PR",2,(IF(C1551="DE",3,(IF(C1551="RS",4,(IF(C1551="RC",5,0)))))))))</f>
        <v>2</v>
      </c>
      <c r="E1551" s="33" t="s">
        <v>345</v>
      </c>
      <c r="F1551" s="33">
        <f>IF(E1551="AM",1,(IF(E1551="BE",2,(IF(E1551="GV",3,(IF(E1551="RA",4,(IF(E1551="RM",5,(IF(E1551="AC",1,(IF(E1551="AT",2,(IF(E1551="DS",3,(IF(E1551="IP",4,(IF(E1551="MA",5,(IF(E1551="PT",6,(IF(E1551="AE",1,(IF(E1551="CM",2,(IF(E1551="DP",3,(IF(E1551="AN",1,(IF(E1551="CO",2,(IF(E1551="IM",3,(IF(E1551="MI",4,(IF(E1551="RP",5,(IF(E1551="SC",6,0)))))))))))))))))))))))))))))))))))))))</f>
        <v>6</v>
      </c>
      <c r="G1551" s="170">
        <v>1</v>
      </c>
      <c r="H1551" s="38" t="s">
        <v>511</v>
      </c>
      <c r="I1551" s="3" t="s">
        <v>1449</v>
      </c>
      <c r="J1551" s="157" t="s">
        <v>1813</v>
      </c>
      <c r="K1551" s="34" t="s">
        <v>1814</v>
      </c>
      <c r="L1551" s="5">
        <f>IF(O1551="","",N1551*O1551*M1551)</f>
        <v>99</v>
      </c>
      <c r="M1551" s="8">
        <v>1</v>
      </c>
      <c r="N1551" s="1">
        <v>1</v>
      </c>
      <c r="O1551" s="15">
        <f>IF(SUM(Q1551:AF1551)&lt;1,"",SUM(Q1551:AF1551)/COUNTIF(Q1551:AF1551,"&gt;0"))</f>
        <v>99</v>
      </c>
      <c r="P1551" s="16"/>
      <c r="Q1551" s="13"/>
      <c r="R1551" s="4"/>
      <c r="S1551" s="4"/>
      <c r="T1551" s="4">
        <v>99</v>
      </c>
      <c r="U1551" s="2"/>
      <c r="V1551" s="2"/>
      <c r="W1551" s="2"/>
      <c r="X1551" s="2"/>
      <c r="Y1551" s="4"/>
      <c r="Z1551" s="2"/>
      <c r="AA1551" s="2"/>
      <c r="AB1551" s="4"/>
      <c r="AC1551" s="4"/>
      <c r="AD1551" s="4"/>
      <c r="AE1551" s="4"/>
      <c r="AF1551" s="14"/>
    </row>
    <row r="1552" spans="1:32" x14ac:dyDescent="0.25">
      <c r="A1552" s="33" t="str">
        <f>CONCATENATE(D1552,".",F1552,"-",G1552,".",H1552,"")</f>
        <v>2.6-1.1</v>
      </c>
      <c r="C1552" s="39" t="s">
        <v>262</v>
      </c>
      <c r="D1552" s="33">
        <f>IF(C1552="ID",1,(IF(C1552="PR",2,(IF(C1552="DE",3,(IF(C1552="RS",4,(IF(C1552="RC",5,0)))))))))</f>
        <v>2</v>
      </c>
      <c r="E1552" s="33" t="s">
        <v>345</v>
      </c>
      <c r="F1552" s="33">
        <f>IF(E1552="AM",1,(IF(E1552="BE",2,(IF(E1552="GV",3,(IF(E1552="RA",4,(IF(E1552="RM",5,(IF(E1552="AC",1,(IF(E1552="AT",2,(IF(E1552="DS",3,(IF(E1552="IP",4,(IF(E1552="MA",5,(IF(E1552="PT",6,(IF(E1552="AE",1,(IF(E1552="CM",2,(IF(E1552="DP",3,(IF(E1552="AN",1,(IF(E1552="CO",2,(IF(E1552="IM",3,(IF(E1552="MI",4,(IF(E1552="RP",5,(IF(E1552="SC",6,0)))))))))))))))))))))))))))))))))))))))</f>
        <v>6</v>
      </c>
      <c r="G1552" s="170">
        <v>1</v>
      </c>
      <c r="H1552" s="38" t="s">
        <v>511</v>
      </c>
      <c r="I1552" s="3" t="s">
        <v>1449</v>
      </c>
      <c r="J1552" s="157" t="s">
        <v>1815</v>
      </c>
      <c r="K1552" s="34" t="s">
        <v>1816</v>
      </c>
      <c r="L1552" s="5">
        <f>IF(O1552="","",N1552*O1552*M1552)</f>
        <v>99</v>
      </c>
      <c r="M1552" s="8">
        <v>1</v>
      </c>
      <c r="N1552" s="1">
        <v>1</v>
      </c>
      <c r="O1552" s="15">
        <f>IF(SUM(Q1552:AF1552)&lt;1,"",SUM(Q1552:AF1552)/COUNTIF(Q1552:AF1552,"&gt;0"))</f>
        <v>99</v>
      </c>
      <c r="P1552" s="16"/>
      <c r="Q1552" s="13"/>
      <c r="R1552" s="4"/>
      <c r="S1552" s="4"/>
      <c r="T1552" s="4">
        <v>99</v>
      </c>
      <c r="U1552" s="2"/>
      <c r="V1552" s="2"/>
      <c r="W1552" s="2"/>
      <c r="X1552" s="2"/>
      <c r="Y1552" s="4"/>
      <c r="Z1552" s="2"/>
      <c r="AA1552" s="2"/>
      <c r="AB1552" s="4"/>
      <c r="AC1552" s="4"/>
      <c r="AD1552" s="4"/>
      <c r="AE1552" s="4"/>
      <c r="AF1552" s="14"/>
    </row>
    <row r="1553" spans="1:32" x14ac:dyDescent="0.25">
      <c r="A1553" s="33" t="str">
        <f>CONCATENATE(D1553,".",F1553,"-",G1553,".",H1553,"")</f>
        <v>2.6-1.1</v>
      </c>
      <c r="C1553" s="39" t="s">
        <v>262</v>
      </c>
      <c r="D1553" s="33">
        <f>IF(C1553="ID",1,(IF(C1553="PR",2,(IF(C1553="DE",3,(IF(C1553="RS",4,(IF(C1553="RC",5,0)))))))))</f>
        <v>2</v>
      </c>
      <c r="E1553" s="33" t="s">
        <v>345</v>
      </c>
      <c r="F1553" s="33">
        <f>IF(E1553="AM",1,(IF(E1553="BE",2,(IF(E1553="GV",3,(IF(E1553="RA",4,(IF(E1553="RM",5,(IF(E1553="AC",1,(IF(E1553="AT",2,(IF(E1553="DS",3,(IF(E1553="IP",4,(IF(E1553="MA",5,(IF(E1553="PT",6,(IF(E1553="AE",1,(IF(E1553="CM",2,(IF(E1553="DP",3,(IF(E1553="AN",1,(IF(E1553="CO",2,(IF(E1553="IM",3,(IF(E1553="MI",4,(IF(E1553="RP",5,(IF(E1553="SC",6,0)))))))))))))))))))))))))))))))))))))))</f>
        <v>6</v>
      </c>
      <c r="G1553" s="170">
        <v>1</v>
      </c>
      <c r="H1553" s="38" t="s">
        <v>511</v>
      </c>
      <c r="I1553" s="3" t="s">
        <v>1449</v>
      </c>
      <c r="J1553" s="157" t="s">
        <v>1817</v>
      </c>
      <c r="K1553" s="34" t="s">
        <v>1818</v>
      </c>
      <c r="L1553" s="5">
        <f>IF(O1553="","",N1553*O1553*M1553)</f>
        <v>99</v>
      </c>
      <c r="M1553" s="8">
        <v>1</v>
      </c>
      <c r="N1553" s="1">
        <v>1</v>
      </c>
      <c r="O1553" s="15">
        <f>IF(SUM(Q1553:AF1553)&lt;1,"",SUM(Q1553:AF1553)/COUNTIF(Q1553:AF1553,"&gt;0"))</f>
        <v>99</v>
      </c>
      <c r="P1553" s="16"/>
      <c r="Q1553" s="13"/>
      <c r="R1553" s="4"/>
      <c r="S1553" s="4"/>
      <c r="T1553" s="4">
        <v>99</v>
      </c>
      <c r="U1553" s="2"/>
      <c r="V1553" s="2"/>
      <c r="W1553" s="2"/>
      <c r="X1553" s="2"/>
      <c r="Y1553" s="4"/>
      <c r="Z1553" s="2"/>
      <c r="AA1553" s="2"/>
      <c r="AB1553" s="4"/>
      <c r="AC1553" s="4"/>
      <c r="AD1553" s="4"/>
      <c r="AE1553" s="4"/>
      <c r="AF1553" s="14"/>
    </row>
    <row r="1554" spans="1:32" x14ac:dyDescent="0.25">
      <c r="A1554" s="33" t="str">
        <f>CONCATENATE(D1554,".",F1554,"-",G1554,".",H1554,"")</f>
        <v>2.6-1.1</v>
      </c>
      <c r="C1554" s="39" t="s">
        <v>262</v>
      </c>
      <c r="D1554" s="33">
        <f>IF(C1554="ID",1,(IF(C1554="PR",2,(IF(C1554="DE",3,(IF(C1554="RS",4,(IF(C1554="RC",5,0)))))))))</f>
        <v>2</v>
      </c>
      <c r="E1554" s="33" t="s">
        <v>345</v>
      </c>
      <c r="F1554" s="33">
        <f>IF(E1554="AM",1,(IF(E1554="BE",2,(IF(E1554="GV",3,(IF(E1554="RA",4,(IF(E1554="RM",5,(IF(E1554="AC",1,(IF(E1554="AT",2,(IF(E1554="DS",3,(IF(E1554="IP",4,(IF(E1554="MA",5,(IF(E1554="PT",6,(IF(E1554="AE",1,(IF(E1554="CM",2,(IF(E1554="DP",3,(IF(E1554="AN",1,(IF(E1554="CO",2,(IF(E1554="IM",3,(IF(E1554="MI",4,(IF(E1554="RP",5,(IF(E1554="SC",6,0)))))))))))))))))))))))))))))))))))))))</f>
        <v>6</v>
      </c>
      <c r="G1554" s="170">
        <v>1</v>
      </c>
      <c r="H1554" s="38" t="s">
        <v>511</v>
      </c>
      <c r="I1554" s="3" t="s">
        <v>1449</v>
      </c>
      <c r="J1554" s="157" t="s">
        <v>1819</v>
      </c>
      <c r="K1554" s="34" t="s">
        <v>1820</v>
      </c>
      <c r="L1554" s="5">
        <f>IF(O1554="","",N1554*O1554*M1554)</f>
        <v>99</v>
      </c>
      <c r="M1554" s="8">
        <v>1</v>
      </c>
      <c r="N1554" s="1">
        <v>1</v>
      </c>
      <c r="O1554" s="15">
        <f>IF(SUM(Q1554:AF1554)&lt;1,"",SUM(Q1554:AF1554)/COUNTIF(Q1554:AF1554,"&gt;0"))</f>
        <v>99</v>
      </c>
      <c r="P1554" s="16"/>
      <c r="Q1554" s="13"/>
      <c r="R1554" s="4"/>
      <c r="S1554" s="4"/>
      <c r="T1554" s="4">
        <v>99</v>
      </c>
      <c r="U1554" s="2"/>
      <c r="V1554" s="2"/>
      <c r="W1554" s="2"/>
      <c r="X1554" s="2"/>
      <c r="Y1554" s="4"/>
      <c r="Z1554" s="2"/>
      <c r="AA1554" s="2"/>
      <c r="AB1554" s="4"/>
      <c r="AC1554" s="4"/>
      <c r="AD1554" s="4"/>
      <c r="AE1554" s="4"/>
      <c r="AF1554" s="14"/>
    </row>
    <row r="1555" spans="1:32" x14ac:dyDescent="0.25">
      <c r="A1555" s="33" t="str">
        <f>CONCATENATE(D1555,".",F1555,"-",G1555,".",H1555,"")</f>
        <v>2.6-1.1</v>
      </c>
      <c r="C1555" s="39" t="s">
        <v>262</v>
      </c>
      <c r="D1555" s="33">
        <f>IF(C1555="ID",1,(IF(C1555="PR",2,(IF(C1555="DE",3,(IF(C1555="RS",4,(IF(C1555="RC",5,0)))))))))</f>
        <v>2</v>
      </c>
      <c r="E1555" s="33" t="s">
        <v>345</v>
      </c>
      <c r="F1555" s="33">
        <f>IF(E1555="AM",1,(IF(E1555="BE",2,(IF(E1555="GV",3,(IF(E1555="RA",4,(IF(E1555="RM",5,(IF(E1555="AC",1,(IF(E1555="AT",2,(IF(E1555="DS",3,(IF(E1555="IP",4,(IF(E1555="MA",5,(IF(E1555="PT",6,(IF(E1555="AE",1,(IF(E1555="CM",2,(IF(E1555="DP",3,(IF(E1555="AN",1,(IF(E1555="CO",2,(IF(E1555="IM",3,(IF(E1555="MI",4,(IF(E1555="RP",5,(IF(E1555="SC",6,0)))))))))))))))))))))))))))))))))))))))</f>
        <v>6</v>
      </c>
      <c r="G1555" s="170">
        <v>1</v>
      </c>
      <c r="H1555" s="38" t="s">
        <v>511</v>
      </c>
      <c r="I1555" s="3" t="s">
        <v>1449</v>
      </c>
      <c r="J1555" s="157" t="s">
        <v>1821</v>
      </c>
      <c r="K1555" s="34" t="s">
        <v>1822</v>
      </c>
      <c r="L1555" s="5">
        <f>IF(O1555="","",N1555*O1555*M1555)</f>
        <v>99</v>
      </c>
      <c r="M1555" s="8">
        <v>1</v>
      </c>
      <c r="N1555" s="1">
        <v>1</v>
      </c>
      <c r="O1555" s="15">
        <f>IF(SUM(Q1555:AF1555)&lt;1,"",SUM(Q1555:AF1555)/COUNTIF(Q1555:AF1555,"&gt;0"))</f>
        <v>99</v>
      </c>
      <c r="P1555" s="16"/>
      <c r="Q1555" s="13"/>
      <c r="R1555" s="4"/>
      <c r="S1555" s="4"/>
      <c r="T1555" s="4">
        <v>99</v>
      </c>
      <c r="U1555" s="2"/>
      <c r="V1555" s="2"/>
      <c r="W1555" s="2"/>
      <c r="X1555" s="2"/>
      <c r="Y1555" s="4"/>
      <c r="Z1555" s="2"/>
      <c r="AA1555" s="2"/>
      <c r="AB1555" s="4"/>
      <c r="AC1555" s="4"/>
      <c r="AD1555" s="4"/>
      <c r="AE1555" s="4"/>
      <c r="AF1555" s="14"/>
    </row>
    <row r="1556" spans="1:32" x14ac:dyDescent="0.25">
      <c r="A1556" s="33" t="str">
        <f>CONCATENATE(D1556,".",F1556,"-",G1556,".",H1556,"")</f>
        <v>2.6-1.1</v>
      </c>
      <c r="C1556" s="39" t="s">
        <v>262</v>
      </c>
      <c r="D1556" s="33">
        <f>IF(C1556="ID",1,(IF(C1556="PR",2,(IF(C1556="DE",3,(IF(C1556="RS",4,(IF(C1556="RC",5,0)))))))))</f>
        <v>2</v>
      </c>
      <c r="E1556" s="33" t="s">
        <v>345</v>
      </c>
      <c r="F1556" s="33">
        <f>IF(E1556="AM",1,(IF(E1556="BE",2,(IF(E1556="GV",3,(IF(E1556="RA",4,(IF(E1556="RM",5,(IF(E1556="AC",1,(IF(E1556="AT",2,(IF(E1556="DS",3,(IF(E1556="IP",4,(IF(E1556="MA",5,(IF(E1556="PT",6,(IF(E1556="AE",1,(IF(E1556="CM",2,(IF(E1556="DP",3,(IF(E1556="AN",1,(IF(E1556="CO",2,(IF(E1556="IM",3,(IF(E1556="MI",4,(IF(E1556="RP",5,(IF(E1556="SC",6,0)))))))))))))))))))))))))))))))))))))))</f>
        <v>6</v>
      </c>
      <c r="G1556" s="170">
        <v>1</v>
      </c>
      <c r="H1556" s="38" t="s">
        <v>511</v>
      </c>
      <c r="I1556" s="3" t="s">
        <v>1449</v>
      </c>
      <c r="J1556" s="157" t="s">
        <v>1823</v>
      </c>
      <c r="K1556" s="34" t="s">
        <v>1824</v>
      </c>
      <c r="L1556" s="5">
        <f>IF(O1556="","",N1556*O1556*M1556)</f>
        <v>99</v>
      </c>
      <c r="M1556" s="8">
        <v>1</v>
      </c>
      <c r="N1556" s="1">
        <v>1</v>
      </c>
      <c r="O1556" s="15">
        <f>IF(SUM(Q1556:AF1556)&lt;1,"",SUM(Q1556:AF1556)/COUNTIF(Q1556:AF1556,"&gt;0"))</f>
        <v>99</v>
      </c>
      <c r="P1556" s="16"/>
      <c r="Q1556" s="13"/>
      <c r="R1556" s="4"/>
      <c r="S1556" s="4"/>
      <c r="T1556" s="4">
        <v>99</v>
      </c>
      <c r="U1556" s="2"/>
      <c r="V1556" s="2"/>
      <c r="W1556" s="2"/>
      <c r="X1556" s="2"/>
      <c r="Y1556" s="4"/>
      <c r="Z1556" s="2"/>
      <c r="AA1556" s="2"/>
      <c r="AB1556" s="4"/>
      <c r="AC1556" s="4"/>
      <c r="AD1556" s="4"/>
      <c r="AE1556" s="4"/>
      <c r="AF1556" s="14"/>
    </row>
    <row r="1557" spans="1:32" x14ac:dyDescent="0.25">
      <c r="A1557" s="33" t="str">
        <f>CONCATENATE(D1557,".",F1557,"-",G1557,".",H1557,"")</f>
        <v>2.6-1.3</v>
      </c>
      <c r="B1557" s="33" t="s">
        <v>814</v>
      </c>
      <c r="C1557" s="39" t="s">
        <v>262</v>
      </c>
      <c r="D1557" s="33">
        <f>IF(C1557="ID",1,(IF(C1557="PR",2,(IF(C1557="DE",3,(IF(C1557="RS",4,(IF(C1557="RC",5,0)))))))))</f>
        <v>2</v>
      </c>
      <c r="E1557" s="33" t="s">
        <v>345</v>
      </c>
      <c r="F1557" s="33">
        <f>IF(E1557="AM",1,(IF(E1557="BE",2,(IF(E1557="GV",3,(IF(E1557="RA",4,(IF(E1557="RM",5,(IF(E1557="AC",1,(IF(E1557="AT",2,(IF(E1557="DS",3,(IF(E1557="IP",4,(IF(E1557="MA",5,(IF(E1557="PT",6,(IF(E1557="AE",1,(IF(E1557="CM",2,(IF(E1557="DP",3,(IF(E1557="AN",1,(IF(E1557="CO",2,(IF(E1557="IM",3,(IF(E1557="MI",4,(IF(E1557="RP",5,(IF(E1557="SC",6,0)))))))))))))))))))))))))))))))))))))))</f>
        <v>6</v>
      </c>
      <c r="G1557" s="170">
        <v>1</v>
      </c>
      <c r="H1557" s="38" t="s">
        <v>513</v>
      </c>
      <c r="I1557" s="3" t="s">
        <v>821</v>
      </c>
      <c r="J1557" s="150">
        <v>10.3</v>
      </c>
      <c r="K1557" s="79" t="s">
        <v>1283</v>
      </c>
      <c r="L1557" s="66">
        <f>IF(O1557="","",N1557*O1557*M1557)</f>
        <v>75</v>
      </c>
      <c r="M1557" s="8">
        <v>1</v>
      </c>
      <c r="N1557" s="3">
        <v>1</v>
      </c>
      <c r="O1557" s="15">
        <f>IF(SUM(Q1557:AF1557)&lt;1,"",SUM(Q1557:AF1557)/COUNTIF(Q1557:AF1557,"&gt;0"))</f>
        <v>75</v>
      </c>
      <c r="P1557" s="16"/>
      <c r="Q1557" s="13"/>
      <c r="R1557" s="4"/>
      <c r="S1557" s="4"/>
      <c r="T1557" s="4">
        <v>75</v>
      </c>
      <c r="U1557" s="2"/>
      <c r="V1557" s="2"/>
      <c r="W1557" s="2"/>
      <c r="X1557" s="2"/>
      <c r="Y1557" s="4"/>
      <c r="Z1557" s="2"/>
      <c r="AA1557" s="2"/>
      <c r="AB1557" s="4"/>
      <c r="AC1557" s="4"/>
      <c r="AD1557" s="4"/>
      <c r="AE1557" s="4"/>
      <c r="AF1557" s="14"/>
    </row>
    <row r="1558" spans="1:32" x14ac:dyDescent="0.25">
      <c r="A1558" s="33" t="str">
        <f>CONCATENATE(D1558,".",F1558,"-",G1558,".",H1558,"")</f>
        <v>2.6-1.3</v>
      </c>
      <c r="B1558" s="33" t="s">
        <v>814</v>
      </c>
      <c r="C1558" s="39" t="s">
        <v>262</v>
      </c>
      <c r="D1558" s="33">
        <f>IF(C1558="ID",1,(IF(C1558="PR",2,(IF(C1558="DE",3,(IF(C1558="RS",4,(IF(C1558="RC",5,0)))))))))</f>
        <v>2</v>
      </c>
      <c r="E1558" s="33" t="s">
        <v>345</v>
      </c>
      <c r="F1558" s="33">
        <f>IF(E1558="AM",1,(IF(E1558="BE",2,(IF(E1558="GV",3,(IF(E1558="RA",4,(IF(E1558="RM",5,(IF(E1558="AC",1,(IF(E1558="AT",2,(IF(E1558="DS",3,(IF(E1558="IP",4,(IF(E1558="MA",5,(IF(E1558="PT",6,(IF(E1558="AE",1,(IF(E1558="CM",2,(IF(E1558="DP",3,(IF(E1558="AN",1,(IF(E1558="CO",2,(IF(E1558="IM",3,(IF(E1558="MI",4,(IF(E1558="RP",5,(IF(E1558="SC",6,0)))))))))))))))))))))))))))))))))))))))</f>
        <v>6</v>
      </c>
      <c r="G1558" s="170">
        <v>1</v>
      </c>
      <c r="H1558" s="38" t="s">
        <v>513</v>
      </c>
      <c r="I1558" s="3" t="s">
        <v>821</v>
      </c>
      <c r="J1558" s="150" t="s">
        <v>195</v>
      </c>
      <c r="K1558" s="79" t="s">
        <v>1283</v>
      </c>
      <c r="L1558" s="66">
        <f>IF(O1558="","",N1558*O1558*M1558)</f>
        <v>75</v>
      </c>
      <c r="M1558" s="8">
        <v>1</v>
      </c>
      <c r="N1558" s="3">
        <v>1</v>
      </c>
      <c r="O1558" s="15">
        <f>IF(SUM(Q1558:AF1558)&lt;1,"",SUM(Q1558:AF1558)/COUNTIF(Q1558:AF1558,"&gt;0"))</f>
        <v>75</v>
      </c>
      <c r="P1558" s="16"/>
      <c r="Q1558" s="13"/>
      <c r="R1558" s="4"/>
      <c r="S1558" s="4"/>
      <c r="T1558" s="4">
        <v>75</v>
      </c>
      <c r="U1558" s="2"/>
      <c r="V1558" s="2"/>
      <c r="W1558" s="2"/>
      <c r="X1558" s="2"/>
      <c r="Y1558" s="4"/>
      <c r="Z1558" s="2"/>
      <c r="AA1558" s="2"/>
      <c r="AB1558" s="4"/>
      <c r="AC1558" s="4"/>
      <c r="AD1558" s="4"/>
      <c r="AE1558" s="4"/>
      <c r="AF1558" s="14"/>
    </row>
    <row r="1559" spans="1:32" x14ac:dyDescent="0.25">
      <c r="A1559" s="33" t="str">
        <f>CONCATENATE(D1559,".",F1559,"-",G1559,".",H1559,"")</f>
        <v>2.6-1.3</v>
      </c>
      <c r="B1559" s="33" t="s">
        <v>814</v>
      </c>
      <c r="C1559" s="39" t="s">
        <v>262</v>
      </c>
      <c r="D1559" s="33">
        <f>IF(C1559="ID",1,(IF(C1559="PR",2,(IF(C1559="DE",3,(IF(C1559="RS",4,(IF(C1559="RC",5,0)))))))))</f>
        <v>2</v>
      </c>
      <c r="E1559" s="33" t="s">
        <v>345</v>
      </c>
      <c r="F1559" s="33">
        <f>IF(E1559="AM",1,(IF(E1559="BE",2,(IF(E1559="GV",3,(IF(E1559="RA",4,(IF(E1559="RM",5,(IF(E1559="AC",1,(IF(E1559="AT",2,(IF(E1559="DS",3,(IF(E1559="IP",4,(IF(E1559="MA",5,(IF(E1559="PT",6,(IF(E1559="AE",1,(IF(E1559="CM",2,(IF(E1559="DP",3,(IF(E1559="AN",1,(IF(E1559="CO",2,(IF(E1559="IM",3,(IF(E1559="MI",4,(IF(E1559="RP",5,(IF(E1559="SC",6,0)))))))))))))))))))))))))))))))))))))))</f>
        <v>6</v>
      </c>
      <c r="G1559" s="170">
        <v>1</v>
      </c>
      <c r="H1559" s="38" t="s">
        <v>513</v>
      </c>
      <c r="I1559" s="3" t="s">
        <v>821</v>
      </c>
      <c r="J1559" s="150" t="s">
        <v>196</v>
      </c>
      <c r="K1559" s="79" t="s">
        <v>1283</v>
      </c>
      <c r="L1559" s="66">
        <f>IF(O1559="","",N1559*O1559*M1559)</f>
        <v>75</v>
      </c>
      <c r="M1559" s="8">
        <v>1</v>
      </c>
      <c r="N1559" s="3">
        <v>1</v>
      </c>
      <c r="O1559" s="15">
        <f>IF(SUM(Q1559:AF1559)&lt;1,"",SUM(Q1559:AF1559)/COUNTIF(Q1559:AF1559,"&gt;0"))</f>
        <v>75</v>
      </c>
      <c r="P1559" s="16"/>
      <c r="Q1559" s="13"/>
      <c r="R1559" s="4"/>
      <c r="S1559" s="4"/>
      <c r="T1559" s="4">
        <v>75</v>
      </c>
      <c r="U1559" s="2"/>
      <c r="V1559" s="2"/>
      <c r="W1559" s="2"/>
      <c r="X1559" s="2"/>
      <c r="Y1559" s="4"/>
      <c r="Z1559" s="2"/>
      <c r="AA1559" s="2"/>
      <c r="AB1559" s="4"/>
      <c r="AC1559" s="4"/>
      <c r="AD1559" s="4"/>
      <c r="AE1559" s="4"/>
      <c r="AF1559" s="14"/>
    </row>
    <row r="1560" spans="1:32" x14ac:dyDescent="0.25">
      <c r="A1560" s="33" t="str">
        <f>CONCATENATE(D1560,".",F1560,"-",G1560,".",H1560,"")</f>
        <v>2.6-1.3</v>
      </c>
      <c r="B1560" s="33" t="s">
        <v>814</v>
      </c>
      <c r="C1560" s="39" t="s">
        <v>262</v>
      </c>
      <c r="D1560" s="33">
        <f>IF(C1560="ID",1,(IF(C1560="PR",2,(IF(C1560="DE",3,(IF(C1560="RS",4,(IF(C1560="RC",5,0)))))))))</f>
        <v>2</v>
      </c>
      <c r="E1560" s="33" t="s">
        <v>345</v>
      </c>
      <c r="F1560" s="33">
        <f>IF(E1560="AM",1,(IF(E1560="BE",2,(IF(E1560="GV",3,(IF(E1560="RA",4,(IF(E1560="RM",5,(IF(E1560="AC",1,(IF(E1560="AT",2,(IF(E1560="DS",3,(IF(E1560="IP",4,(IF(E1560="MA",5,(IF(E1560="PT",6,(IF(E1560="AE",1,(IF(E1560="CM",2,(IF(E1560="DP",3,(IF(E1560="AN",1,(IF(E1560="CO",2,(IF(E1560="IM",3,(IF(E1560="MI",4,(IF(E1560="RP",5,(IF(E1560="SC",6,0)))))))))))))))))))))))))))))))))))))))</f>
        <v>6</v>
      </c>
      <c r="G1560" s="170">
        <v>1</v>
      </c>
      <c r="H1560" s="38" t="s">
        <v>513</v>
      </c>
      <c r="I1560" s="3" t="s">
        <v>821</v>
      </c>
      <c r="J1560" s="150" t="s">
        <v>197</v>
      </c>
      <c r="K1560" s="79" t="s">
        <v>1283</v>
      </c>
      <c r="L1560" s="66">
        <f>IF(O1560="","",N1560*O1560*M1560)</f>
        <v>75</v>
      </c>
      <c r="M1560" s="8">
        <v>1</v>
      </c>
      <c r="N1560" s="3">
        <v>1</v>
      </c>
      <c r="O1560" s="15">
        <f>IF(SUM(Q1560:AF1560)&lt;1,"",SUM(Q1560:AF1560)/COUNTIF(Q1560:AF1560,"&gt;0"))</f>
        <v>75</v>
      </c>
      <c r="P1560" s="16"/>
      <c r="Q1560" s="13"/>
      <c r="R1560" s="4"/>
      <c r="S1560" s="4"/>
      <c r="T1560" s="4">
        <v>75</v>
      </c>
      <c r="U1560" s="2"/>
      <c r="V1560" s="2"/>
      <c r="W1560" s="2"/>
      <c r="X1560" s="2"/>
      <c r="Y1560" s="4"/>
      <c r="Z1560" s="2"/>
      <c r="AA1560" s="2"/>
      <c r="AB1560" s="4"/>
      <c r="AC1560" s="4"/>
      <c r="AD1560" s="4"/>
      <c r="AE1560" s="4"/>
      <c r="AF1560" s="14"/>
    </row>
    <row r="1561" spans="1:32" x14ac:dyDescent="0.25">
      <c r="A1561" s="33" t="str">
        <f>CONCATENATE(D1561,".",F1561,"-",G1561,".",H1561,"")</f>
        <v>2.6-1.3</v>
      </c>
      <c r="B1561" s="33" t="s">
        <v>814</v>
      </c>
      <c r="C1561" s="39" t="s">
        <v>262</v>
      </c>
      <c r="D1561" s="33">
        <f>IF(C1561="ID",1,(IF(C1561="PR",2,(IF(C1561="DE",3,(IF(C1561="RS",4,(IF(C1561="RC",5,0)))))))))</f>
        <v>2</v>
      </c>
      <c r="E1561" s="33" t="s">
        <v>345</v>
      </c>
      <c r="F1561" s="33">
        <f>IF(E1561="AM",1,(IF(E1561="BE",2,(IF(E1561="GV",3,(IF(E1561="RA",4,(IF(E1561="RM",5,(IF(E1561="AC",1,(IF(E1561="AT",2,(IF(E1561="DS",3,(IF(E1561="IP",4,(IF(E1561="MA",5,(IF(E1561="PT",6,(IF(E1561="AE",1,(IF(E1561="CM",2,(IF(E1561="DP",3,(IF(E1561="AN",1,(IF(E1561="CO",2,(IF(E1561="IM",3,(IF(E1561="MI",4,(IF(E1561="RP",5,(IF(E1561="SC",6,0)))))))))))))))))))))))))))))))))))))))</f>
        <v>6</v>
      </c>
      <c r="G1561" s="170">
        <v>1</v>
      </c>
      <c r="H1561" s="38" t="s">
        <v>513</v>
      </c>
      <c r="I1561" s="3" t="s">
        <v>821</v>
      </c>
      <c r="J1561" s="150" t="s">
        <v>198</v>
      </c>
      <c r="K1561" s="79" t="s">
        <v>1283</v>
      </c>
      <c r="L1561" s="66">
        <f>IF(O1561="","",N1561*O1561*M1561)</f>
        <v>75</v>
      </c>
      <c r="M1561" s="8">
        <v>1</v>
      </c>
      <c r="N1561" s="3">
        <v>1</v>
      </c>
      <c r="O1561" s="15">
        <f>IF(SUM(Q1561:AF1561)&lt;1,"",SUM(Q1561:AF1561)/COUNTIF(Q1561:AF1561,"&gt;0"))</f>
        <v>75</v>
      </c>
      <c r="P1561" s="16"/>
      <c r="Q1561" s="13"/>
      <c r="R1561" s="4"/>
      <c r="S1561" s="4"/>
      <c r="T1561" s="4">
        <v>75</v>
      </c>
      <c r="U1561" s="2"/>
      <c r="V1561" s="2"/>
      <c r="W1561" s="2"/>
      <c r="X1561" s="2"/>
      <c r="Y1561" s="4"/>
      <c r="Z1561" s="2"/>
      <c r="AA1561" s="2"/>
      <c r="AB1561" s="4"/>
      <c r="AC1561" s="4"/>
      <c r="AD1561" s="4"/>
      <c r="AE1561" s="4"/>
      <c r="AF1561" s="14"/>
    </row>
    <row r="1562" spans="1:32" x14ac:dyDescent="0.25">
      <c r="A1562" s="33" t="str">
        <f>CONCATENATE(D1562,".",F1562,"-",G1562,".",H1562,"")</f>
        <v>2.6-1.3</v>
      </c>
      <c r="B1562" s="33" t="s">
        <v>814</v>
      </c>
      <c r="C1562" s="39" t="s">
        <v>262</v>
      </c>
      <c r="D1562" s="33">
        <f>IF(C1562="ID",1,(IF(C1562="PR",2,(IF(C1562="DE",3,(IF(C1562="RS",4,(IF(C1562="RC",5,0)))))))))</f>
        <v>2</v>
      </c>
      <c r="E1562" s="33" t="s">
        <v>345</v>
      </c>
      <c r="F1562" s="33">
        <f>IF(E1562="AM",1,(IF(E1562="BE",2,(IF(E1562="GV",3,(IF(E1562="RA",4,(IF(E1562="RM",5,(IF(E1562="AC",1,(IF(E1562="AT",2,(IF(E1562="DS",3,(IF(E1562="IP",4,(IF(E1562="MA",5,(IF(E1562="PT",6,(IF(E1562="AE",1,(IF(E1562="CM",2,(IF(E1562="DP",3,(IF(E1562="AN",1,(IF(E1562="CO",2,(IF(E1562="IM",3,(IF(E1562="MI",4,(IF(E1562="RP",5,(IF(E1562="SC",6,0)))))))))))))))))))))))))))))))))))))))</f>
        <v>6</v>
      </c>
      <c r="G1562" s="170">
        <v>1</v>
      </c>
      <c r="H1562" s="38" t="s">
        <v>513</v>
      </c>
      <c r="I1562" s="3" t="s">
        <v>821</v>
      </c>
      <c r="J1562" s="150" t="s">
        <v>199</v>
      </c>
      <c r="K1562" s="79" t="s">
        <v>1283</v>
      </c>
      <c r="L1562" s="66">
        <f>IF(O1562="","",N1562*O1562*M1562)</f>
        <v>75</v>
      </c>
      <c r="M1562" s="8">
        <v>1</v>
      </c>
      <c r="N1562" s="3">
        <v>1</v>
      </c>
      <c r="O1562" s="15">
        <f>IF(SUM(Q1562:AF1562)&lt;1,"",SUM(Q1562:AF1562)/COUNTIF(Q1562:AF1562,"&gt;0"))</f>
        <v>75</v>
      </c>
      <c r="P1562" s="16"/>
      <c r="Q1562" s="13"/>
      <c r="R1562" s="4"/>
      <c r="S1562" s="4"/>
      <c r="T1562" s="4">
        <v>75</v>
      </c>
      <c r="U1562" s="2"/>
      <c r="V1562" s="2"/>
      <c r="W1562" s="2"/>
      <c r="X1562" s="2"/>
      <c r="Y1562" s="4"/>
      <c r="Z1562" s="2"/>
      <c r="AA1562" s="2"/>
      <c r="AB1562" s="4"/>
      <c r="AC1562" s="4"/>
      <c r="AD1562" s="4"/>
      <c r="AE1562" s="4"/>
      <c r="AF1562" s="14"/>
    </row>
    <row r="1563" spans="1:32" x14ac:dyDescent="0.25">
      <c r="A1563" s="33" t="str">
        <f>CONCATENATE(D1563,".",F1563,"-",G1563,".",H1563,"")</f>
        <v>2.6-1.3</v>
      </c>
      <c r="B1563" s="33" t="s">
        <v>814</v>
      </c>
      <c r="C1563" s="39" t="s">
        <v>262</v>
      </c>
      <c r="D1563" s="33">
        <f>IF(C1563="ID",1,(IF(C1563="PR",2,(IF(C1563="DE",3,(IF(C1563="RS",4,(IF(C1563="RC",5,0)))))))))</f>
        <v>2</v>
      </c>
      <c r="E1563" s="33" t="s">
        <v>345</v>
      </c>
      <c r="F1563" s="33">
        <f>IF(E1563="AM",1,(IF(E1563="BE",2,(IF(E1563="GV",3,(IF(E1563="RA",4,(IF(E1563="RM",5,(IF(E1563="AC",1,(IF(E1563="AT",2,(IF(E1563="DS",3,(IF(E1563="IP",4,(IF(E1563="MA",5,(IF(E1563="PT",6,(IF(E1563="AE",1,(IF(E1563="CM",2,(IF(E1563="DP",3,(IF(E1563="AN",1,(IF(E1563="CO",2,(IF(E1563="IM",3,(IF(E1563="MI",4,(IF(E1563="RP",5,(IF(E1563="SC",6,0)))))))))))))))))))))))))))))))))))))))</f>
        <v>6</v>
      </c>
      <c r="G1563" s="170">
        <v>1</v>
      </c>
      <c r="H1563" s="38" t="s">
        <v>513</v>
      </c>
      <c r="I1563" s="3" t="s">
        <v>821</v>
      </c>
      <c r="J1563" s="150" t="s">
        <v>200</v>
      </c>
      <c r="K1563" s="79" t="s">
        <v>1283</v>
      </c>
      <c r="L1563" s="66">
        <f>IF(O1563="","",N1563*O1563*M1563)</f>
        <v>75</v>
      </c>
      <c r="M1563" s="8">
        <v>1</v>
      </c>
      <c r="N1563" s="3">
        <v>1</v>
      </c>
      <c r="O1563" s="15">
        <f>IF(SUM(Q1563:AF1563)&lt;1,"",SUM(Q1563:AF1563)/COUNTIF(Q1563:AF1563,"&gt;0"))</f>
        <v>75</v>
      </c>
      <c r="P1563" s="16"/>
      <c r="Q1563" s="13"/>
      <c r="R1563" s="4"/>
      <c r="S1563" s="4"/>
      <c r="T1563" s="4">
        <v>75</v>
      </c>
      <c r="U1563" s="2"/>
      <c r="V1563" s="2"/>
      <c r="W1563" s="2"/>
      <c r="X1563" s="2"/>
      <c r="Y1563" s="4"/>
      <c r="Z1563" s="2"/>
      <c r="AA1563" s="2"/>
      <c r="AB1563" s="4"/>
      <c r="AC1563" s="4"/>
      <c r="AD1563" s="4"/>
      <c r="AE1563" s="4"/>
      <c r="AF1563" s="14"/>
    </row>
    <row r="1564" spans="1:32" x14ac:dyDescent="0.25">
      <c r="A1564" s="33" t="str">
        <f>CONCATENATE(D1564,".",F1564,"-",G1564,".",H1564,"")</f>
        <v>2.6-1.5</v>
      </c>
      <c r="B1564" s="33" t="s">
        <v>814</v>
      </c>
      <c r="C1564" s="39" t="s">
        <v>262</v>
      </c>
      <c r="D1564" s="33">
        <f>IF(C1564="ID",1,(IF(C1564="PR",2,(IF(C1564="DE",3,(IF(C1564="RS",4,(IF(C1564="RC",5,0)))))))))</f>
        <v>2</v>
      </c>
      <c r="E1564" s="33" t="s">
        <v>345</v>
      </c>
      <c r="F1564" s="33">
        <f>IF(E1564="AM",1,(IF(E1564="BE",2,(IF(E1564="GV",3,(IF(E1564="RA",4,(IF(E1564="RM",5,(IF(E1564="AC",1,(IF(E1564="AT",2,(IF(E1564="DS",3,(IF(E1564="IP",4,(IF(E1564="MA",5,(IF(E1564="PT",6,(IF(E1564="AE",1,(IF(E1564="CM",2,(IF(E1564="DP",3,(IF(E1564="AN",1,(IF(E1564="CO",2,(IF(E1564="IM",3,(IF(E1564="MI",4,(IF(E1564="RP",5,(IF(E1564="SC",6,0)))))))))))))))))))))))))))))))))))))))</f>
        <v>6</v>
      </c>
      <c r="G1564" s="170">
        <v>1</v>
      </c>
      <c r="H1564" s="38" t="s">
        <v>595</v>
      </c>
      <c r="I1564" s="3" t="s">
        <v>821</v>
      </c>
      <c r="J1564" s="150">
        <v>10.5</v>
      </c>
      <c r="K1564" s="79" t="s">
        <v>1283</v>
      </c>
      <c r="L1564" s="66">
        <f>IF(O1564="","",N1564*O1564*M1564)</f>
        <v>75</v>
      </c>
      <c r="M1564" s="8">
        <v>1</v>
      </c>
      <c r="N1564" s="3">
        <v>1</v>
      </c>
      <c r="O1564" s="15">
        <f>IF(SUM(Q1564:AF1564)&lt;1,"",SUM(Q1564:AF1564)/COUNTIF(Q1564:AF1564,"&gt;0"))</f>
        <v>75</v>
      </c>
      <c r="P1564" s="16"/>
      <c r="Q1564" s="13"/>
      <c r="R1564" s="4"/>
      <c r="S1564" s="4"/>
      <c r="T1564" s="4">
        <v>75</v>
      </c>
      <c r="U1564" s="2"/>
      <c r="V1564" s="2"/>
      <c r="W1564" s="2"/>
      <c r="X1564" s="2"/>
      <c r="Y1564" s="4"/>
      <c r="Z1564" s="2"/>
      <c r="AA1564" s="2"/>
      <c r="AB1564" s="4"/>
      <c r="AC1564" s="4"/>
      <c r="AD1564" s="4"/>
      <c r="AE1564" s="4"/>
      <c r="AF1564" s="14"/>
    </row>
    <row r="1565" spans="1:32" x14ac:dyDescent="0.25">
      <c r="A1565" s="33" t="str">
        <f>CONCATENATE(D1565,".",F1565,"-",G1565,".",H1565,"")</f>
        <v>2.6-1.9</v>
      </c>
      <c r="C1565" s="39" t="s">
        <v>262</v>
      </c>
      <c r="D1565" s="33">
        <f>IF(C1565="ID",1,(IF(C1565="PR",2,(IF(C1565="DE",3,(IF(C1565="RS",4,(IF(C1565="RC",5,0)))))))))</f>
        <v>2</v>
      </c>
      <c r="E1565" s="33" t="s">
        <v>345</v>
      </c>
      <c r="F1565" s="33">
        <f>IF(E1565="AM",1,(IF(E1565="BE",2,(IF(E1565="GV",3,(IF(E1565="RA",4,(IF(E1565="RM",5,(IF(E1565="AC",1,(IF(E1565="AT",2,(IF(E1565="DS",3,(IF(E1565="IP",4,(IF(E1565="MA",5,(IF(E1565="PT",6,(IF(E1565="AE",1,(IF(E1565="CM",2,(IF(E1565="DP",3,(IF(E1565="AN",1,(IF(E1565="CO",2,(IF(E1565="IM",3,(IF(E1565="MI",4,(IF(E1565="RP",5,(IF(E1565="SC",6,0)))))))))))))))))))))))))))))))))))))))</f>
        <v>6</v>
      </c>
      <c r="G1565" s="170">
        <v>1</v>
      </c>
      <c r="H1565" s="38" t="s">
        <v>596</v>
      </c>
      <c r="I1565" s="3" t="s">
        <v>1449</v>
      </c>
      <c r="J1565" s="157" t="s">
        <v>2901</v>
      </c>
      <c r="K1565" s="34" t="s">
        <v>2902</v>
      </c>
      <c r="L1565" s="5">
        <f>IF(O1565="","",N1565*O1565*M1565)</f>
        <v>99</v>
      </c>
      <c r="M1565" s="8">
        <v>1</v>
      </c>
      <c r="N1565" s="1">
        <v>1</v>
      </c>
      <c r="O1565" s="15">
        <f>IF(SUM(Q1565:AF1565)&lt;1,"",SUM(Q1565:AF1565)/COUNTIF(Q1565:AF1565,"&gt;0"))</f>
        <v>99</v>
      </c>
      <c r="P1565" s="16"/>
      <c r="Q1565" s="13"/>
      <c r="R1565" s="4"/>
      <c r="S1565" s="4"/>
      <c r="T1565" s="4">
        <v>99</v>
      </c>
      <c r="U1565" s="2"/>
      <c r="V1565" s="2"/>
      <c r="W1565" s="2"/>
      <c r="X1565" s="2"/>
      <c r="Y1565" s="4"/>
      <c r="Z1565" s="2"/>
      <c r="AA1565" s="2"/>
      <c r="AB1565" s="4"/>
      <c r="AC1565" s="4"/>
      <c r="AD1565" s="4"/>
      <c r="AE1565" s="4"/>
      <c r="AF1565" s="14"/>
    </row>
    <row r="1566" spans="1:32" x14ac:dyDescent="0.25">
      <c r="A1566" s="33" t="str">
        <f>CONCATENATE(D1566,".",F1566,"-",G1566,".",H1566,"")</f>
        <v>2.6-1.9</v>
      </c>
      <c r="C1566" s="39" t="s">
        <v>262</v>
      </c>
      <c r="D1566" s="33">
        <f>IF(C1566="ID",1,(IF(C1566="PR",2,(IF(C1566="DE",3,(IF(C1566="RS",4,(IF(C1566="RC",5,0)))))))))</f>
        <v>2</v>
      </c>
      <c r="E1566" s="33" t="s">
        <v>345</v>
      </c>
      <c r="F1566" s="33">
        <f>IF(E1566="AM",1,(IF(E1566="BE",2,(IF(E1566="GV",3,(IF(E1566="RA",4,(IF(E1566="RM",5,(IF(E1566="AC",1,(IF(E1566="AT",2,(IF(E1566="DS",3,(IF(E1566="IP",4,(IF(E1566="MA",5,(IF(E1566="PT",6,(IF(E1566="AE",1,(IF(E1566="CM",2,(IF(E1566="DP",3,(IF(E1566="AN",1,(IF(E1566="CO",2,(IF(E1566="IM",3,(IF(E1566="MI",4,(IF(E1566="RP",5,(IF(E1566="SC",6,0)))))))))))))))))))))))))))))))))))))))</f>
        <v>6</v>
      </c>
      <c r="G1566" s="170">
        <v>1</v>
      </c>
      <c r="H1566" s="38" t="s">
        <v>596</v>
      </c>
      <c r="I1566" s="3" t="s">
        <v>1449</v>
      </c>
      <c r="J1566" s="157" t="s">
        <v>3103</v>
      </c>
      <c r="K1566" s="34" t="s">
        <v>3104</v>
      </c>
      <c r="L1566" s="5">
        <f>IF(O1566="","",N1566*O1566*M1566)</f>
        <v>99</v>
      </c>
      <c r="M1566" s="8">
        <v>1</v>
      </c>
      <c r="N1566" s="1">
        <v>1</v>
      </c>
      <c r="O1566" s="15">
        <f>IF(SUM(Q1566:AF1566)&lt;1,"",SUM(Q1566:AF1566)/COUNTIF(Q1566:AF1566,"&gt;0"))</f>
        <v>99</v>
      </c>
      <c r="P1566" s="16"/>
      <c r="Q1566" s="13"/>
      <c r="R1566" s="4"/>
      <c r="S1566" s="4"/>
      <c r="T1566" s="4">
        <v>99</v>
      </c>
      <c r="U1566" s="2"/>
      <c r="V1566" s="2"/>
      <c r="W1566" s="2"/>
      <c r="X1566" s="2"/>
      <c r="Y1566" s="4"/>
      <c r="Z1566" s="2"/>
      <c r="AA1566" s="2"/>
      <c r="AB1566" s="4"/>
      <c r="AC1566" s="4"/>
      <c r="AD1566" s="4"/>
      <c r="AE1566" s="4"/>
      <c r="AF1566" s="14"/>
    </row>
    <row r="1567" spans="1:32" x14ac:dyDescent="0.25">
      <c r="A1567" s="33" t="str">
        <f>CONCATENATE(D1567,".",F1567,"-",G1567,".",H1567,"")</f>
        <v>2.6-2.0</v>
      </c>
      <c r="B1567" s="33" t="s">
        <v>814</v>
      </c>
      <c r="C1567" s="40" t="s">
        <v>262</v>
      </c>
      <c r="D1567" s="33">
        <f>IF(C1567="ID",1,(IF(C1567="PR",2,(IF(C1567="DE",3,(IF(C1567="RS",4,(IF(C1567="RC",5,0)))))))))</f>
        <v>2</v>
      </c>
      <c r="E1567" s="33" t="s">
        <v>345</v>
      </c>
      <c r="F1567" s="33">
        <f>IF(E1567="AM",1,(IF(E1567="BE",2,(IF(E1567="GV",3,(IF(E1567="RA",4,(IF(E1567="RM",5,(IF(E1567="AC",1,(IF(E1567="AT",2,(IF(E1567="DS",3,(IF(E1567="IP",4,(IF(E1567="MA",5,(IF(E1567="PT",6,(IF(E1567="AE",1,(IF(E1567="CM",2,(IF(E1567="DP",3,(IF(E1567="AN",1,(IF(E1567="CO",2,(IF(E1567="IM",3,(IF(E1567="MI",4,(IF(E1567="RP",5,(IF(E1567="SC",6,0)))))))))))))))))))))))))))))))))))))))</f>
        <v>6</v>
      </c>
      <c r="G1567" s="170">
        <v>2</v>
      </c>
      <c r="H1567" s="38" t="s">
        <v>597</v>
      </c>
      <c r="I1567" s="22" t="s">
        <v>1200</v>
      </c>
      <c r="J1567" s="149" t="s">
        <v>696</v>
      </c>
      <c r="K1567" s="98" t="s">
        <v>399</v>
      </c>
      <c r="L1567" s="5">
        <f>IF(O1567="","",N1567*O1567*M1567)</f>
        <v>75</v>
      </c>
      <c r="M1567" s="8">
        <v>1</v>
      </c>
      <c r="N1567" s="1">
        <v>1</v>
      </c>
      <c r="O1567" s="15">
        <f>IF(SUM(Q1567:AF1567)&lt;1,"",SUM(Q1567:AF1567)/COUNTIF(Q1567:AF1567,"&gt;0"))</f>
        <v>75</v>
      </c>
      <c r="P1567" s="16"/>
      <c r="Q1567" s="13"/>
      <c r="R1567" s="4"/>
      <c r="S1567" s="4"/>
      <c r="T1567" s="4">
        <v>75</v>
      </c>
      <c r="U1567" s="2"/>
      <c r="V1567" s="2"/>
      <c r="W1567" s="2"/>
      <c r="X1567" s="2"/>
      <c r="Y1567" s="4"/>
      <c r="Z1567" s="2"/>
      <c r="AA1567" s="2"/>
      <c r="AB1567" s="4"/>
      <c r="AC1567" s="4"/>
      <c r="AD1567" s="4"/>
      <c r="AE1567" s="4"/>
      <c r="AF1567" s="14"/>
    </row>
    <row r="1568" spans="1:32" x14ac:dyDescent="0.25">
      <c r="A1568" s="33" t="str">
        <f>CONCATENATE(D1568,".",F1568,"-",G1568,".",H1568,"")</f>
        <v>2.6-2.1</v>
      </c>
      <c r="B1568" s="33" t="s">
        <v>814</v>
      </c>
      <c r="C1568" s="39" t="s">
        <v>262</v>
      </c>
      <c r="D1568" s="33">
        <f>IF(C1568="ID",1,(IF(C1568="PR",2,(IF(C1568="DE",3,(IF(C1568="RS",4,(IF(C1568="RC",5,0)))))))))</f>
        <v>2</v>
      </c>
      <c r="E1568" s="33" t="s">
        <v>345</v>
      </c>
      <c r="F1568" s="33">
        <f>IF(E1568="AM",1,(IF(E1568="BE",2,(IF(E1568="GV",3,(IF(E1568="RA",4,(IF(E1568="RM",5,(IF(E1568="AC",1,(IF(E1568="AT",2,(IF(E1568="DS",3,(IF(E1568="IP",4,(IF(E1568="MA",5,(IF(E1568="PT",6,(IF(E1568="AE",1,(IF(E1568="CM",2,(IF(E1568="DP",3,(IF(E1568="AN",1,(IF(E1568="CO",2,(IF(E1568="IM",3,(IF(E1568="MI",4,(IF(E1568="RP",5,(IF(E1568="SC",6,0)))))))))))))))))))))))))))))))))))))))</f>
        <v>6</v>
      </c>
      <c r="G1568" s="170">
        <v>2</v>
      </c>
      <c r="H1568" s="38" t="s">
        <v>511</v>
      </c>
      <c r="I1568" s="3" t="s">
        <v>821</v>
      </c>
      <c r="J1568" s="150" t="s">
        <v>229</v>
      </c>
      <c r="K1568" s="79" t="s">
        <v>1283</v>
      </c>
      <c r="L1568" s="66">
        <f>IF(O1568="","",N1568*O1568*M1568)</f>
        <v>75</v>
      </c>
      <c r="M1568" s="8">
        <v>1</v>
      </c>
      <c r="N1568" s="3">
        <v>1</v>
      </c>
      <c r="O1568" s="15">
        <f>IF(SUM(Q1568:AF1568)&lt;1,"",SUM(Q1568:AF1568)/COUNTIF(Q1568:AF1568,"&gt;0"))</f>
        <v>75</v>
      </c>
      <c r="P1568" s="16"/>
      <c r="Q1568" s="13"/>
      <c r="R1568" s="4"/>
      <c r="S1568" s="4"/>
      <c r="T1568" s="4">
        <v>75</v>
      </c>
      <c r="U1568" s="2"/>
      <c r="V1568" s="2"/>
      <c r="W1568" s="2"/>
      <c r="X1568" s="2"/>
      <c r="Y1568" s="4"/>
      <c r="Z1568" s="2"/>
      <c r="AA1568" s="2"/>
      <c r="AB1568" s="4"/>
      <c r="AC1568" s="4"/>
      <c r="AD1568" s="4"/>
      <c r="AE1568" s="4"/>
      <c r="AF1568" s="14"/>
    </row>
    <row r="1569" spans="1:32" x14ac:dyDescent="0.25">
      <c r="A1569" s="33" t="str">
        <f>CONCATENATE(D1569,".",F1569,"-",G1569,".",H1569,"")</f>
        <v>2.6-2.1</v>
      </c>
      <c r="B1569" s="33" t="s">
        <v>814</v>
      </c>
      <c r="C1569" s="40" t="s">
        <v>262</v>
      </c>
      <c r="D1569" s="33">
        <f>IF(C1569="ID",1,(IF(C1569="PR",2,(IF(C1569="DE",3,(IF(C1569="RS",4,(IF(C1569="RC",5,0)))))))))</f>
        <v>2</v>
      </c>
      <c r="E1569" s="33" t="s">
        <v>345</v>
      </c>
      <c r="F1569" s="33">
        <f>IF(E1569="AM",1,(IF(E1569="BE",2,(IF(E1569="GV",3,(IF(E1569="RA",4,(IF(E1569="RM",5,(IF(E1569="AC",1,(IF(E1569="AT",2,(IF(E1569="DS",3,(IF(E1569="IP",4,(IF(E1569="MA",5,(IF(E1569="PT",6,(IF(E1569="AE",1,(IF(E1569="CM",2,(IF(E1569="DP",3,(IF(E1569="AN",1,(IF(E1569="CO",2,(IF(E1569="IM",3,(IF(E1569="MI",4,(IF(E1569="RP",5,(IF(E1569="SC",6,0)))))))))))))))))))))))))))))))))))))))</f>
        <v>6</v>
      </c>
      <c r="G1569" s="171">
        <v>2</v>
      </c>
      <c r="H1569" s="38" t="s">
        <v>511</v>
      </c>
      <c r="I1569" s="22" t="s">
        <v>936</v>
      </c>
      <c r="J1569" s="163" t="s">
        <v>914</v>
      </c>
      <c r="K1569" s="34" t="s">
        <v>977</v>
      </c>
      <c r="L1569" s="66">
        <f>IF(O1569="","",N1569*O1569*M1569)</f>
        <v>75</v>
      </c>
      <c r="M1569" s="8">
        <v>1</v>
      </c>
      <c r="N1569" s="3">
        <v>1</v>
      </c>
      <c r="O1569" s="15">
        <f>IF(SUM(Q1569:AF1569)&lt;1,"",SUM(Q1569:AF1569)/COUNTIF(Q1569:AF1569,"&gt;0"))</f>
        <v>75</v>
      </c>
      <c r="P1569" s="16"/>
      <c r="Q1569" s="13"/>
      <c r="R1569" s="4"/>
      <c r="S1569" s="4"/>
      <c r="T1569" s="4">
        <v>75</v>
      </c>
      <c r="U1569" s="2"/>
      <c r="V1569" s="2"/>
      <c r="W1569" s="2"/>
      <c r="X1569" s="2"/>
      <c r="Y1569" s="4"/>
      <c r="Z1569" s="2"/>
      <c r="AA1569" s="2"/>
      <c r="AB1569" s="4"/>
      <c r="AC1569" s="4"/>
      <c r="AD1569" s="4"/>
      <c r="AE1569" s="4"/>
      <c r="AF1569" s="14"/>
    </row>
    <row r="1570" spans="1:32" x14ac:dyDescent="0.25">
      <c r="A1570" s="33" t="str">
        <f>CONCATENATE(D1570,".",F1570,"-",G1570,".",H1570,"")</f>
        <v>2.6-2.1</v>
      </c>
      <c r="B1570" s="33" t="s">
        <v>814</v>
      </c>
      <c r="C1570" s="40" t="s">
        <v>262</v>
      </c>
      <c r="D1570" s="33">
        <f>IF(C1570="ID",1,(IF(C1570="PR",2,(IF(C1570="DE",3,(IF(C1570="RS",4,(IF(C1570="RC",5,0)))))))))</f>
        <v>2</v>
      </c>
      <c r="E1570" s="33" t="s">
        <v>345</v>
      </c>
      <c r="F1570" s="33">
        <f>IF(E1570="AM",1,(IF(E1570="BE",2,(IF(E1570="GV",3,(IF(E1570="RA",4,(IF(E1570="RM",5,(IF(E1570="AC",1,(IF(E1570="AT",2,(IF(E1570="DS",3,(IF(E1570="IP",4,(IF(E1570="MA",5,(IF(E1570="PT",6,(IF(E1570="AE",1,(IF(E1570="CM",2,(IF(E1570="DP",3,(IF(E1570="AN",1,(IF(E1570="CO",2,(IF(E1570="IM",3,(IF(E1570="MI",4,(IF(E1570="RP",5,(IF(E1570="SC",6,0)))))))))))))))))))))))))))))))))))))))</f>
        <v>6</v>
      </c>
      <c r="G1570" s="171">
        <v>2</v>
      </c>
      <c r="H1570" s="38" t="s">
        <v>511</v>
      </c>
      <c r="I1570" s="22" t="s">
        <v>936</v>
      </c>
      <c r="J1570" s="163" t="s">
        <v>908</v>
      </c>
      <c r="K1570" s="34" t="s">
        <v>943</v>
      </c>
      <c r="L1570" s="66">
        <f>IF(O1570="","",N1570*O1570*M1570)</f>
        <v>75</v>
      </c>
      <c r="M1570" s="8">
        <v>1</v>
      </c>
      <c r="N1570" s="3">
        <v>1</v>
      </c>
      <c r="O1570" s="15">
        <f>IF(SUM(Q1570:AF1570)&lt;1,"",SUM(Q1570:AF1570)/COUNTIF(Q1570:AF1570,"&gt;0"))</f>
        <v>75</v>
      </c>
      <c r="P1570" s="16"/>
      <c r="Q1570" s="13"/>
      <c r="R1570" s="4"/>
      <c r="S1570" s="4"/>
      <c r="T1570" s="4">
        <v>75</v>
      </c>
      <c r="U1570" s="2"/>
      <c r="V1570" s="2"/>
      <c r="W1570" s="2"/>
      <c r="X1570" s="2"/>
      <c r="Y1570" s="4"/>
      <c r="Z1570" s="2"/>
      <c r="AA1570" s="2"/>
      <c r="AB1570" s="4"/>
      <c r="AC1570" s="4"/>
      <c r="AD1570" s="4"/>
      <c r="AE1570" s="4"/>
      <c r="AF1570" s="14"/>
    </row>
    <row r="1571" spans="1:32" x14ac:dyDescent="0.25">
      <c r="A1571" s="33" t="str">
        <f>CONCATENATE(D1571,".",F1571,"-",G1571,".",H1571,"")</f>
        <v>2.6-2.1</v>
      </c>
      <c r="B1571" s="33" t="s">
        <v>814</v>
      </c>
      <c r="C1571" s="39" t="s">
        <v>262</v>
      </c>
      <c r="D1571" s="33">
        <f>IF(C1571="ID",1,(IF(C1571="PR",2,(IF(C1571="DE",3,(IF(C1571="RS",4,(IF(C1571="RC",5,0)))))))))</f>
        <v>2</v>
      </c>
      <c r="E1571" s="33" t="s">
        <v>345</v>
      </c>
      <c r="F1571" s="33">
        <f>IF(E1571="AM",1,(IF(E1571="BE",2,(IF(E1571="GV",3,(IF(E1571="RA",4,(IF(E1571="RM",5,(IF(E1571="AC",1,(IF(E1571="AT",2,(IF(E1571="DS",3,(IF(E1571="IP",4,(IF(E1571="MA",5,(IF(E1571="PT",6,(IF(E1571="AE",1,(IF(E1571="CM",2,(IF(E1571="DP",3,(IF(E1571="AN",1,(IF(E1571="CO",2,(IF(E1571="IM",3,(IF(E1571="MI",4,(IF(E1571="RP",5,(IF(E1571="SC",6,0)))))))))))))))))))))))))))))))))))))))</f>
        <v>6</v>
      </c>
      <c r="G1571" s="170">
        <v>2</v>
      </c>
      <c r="H1571" s="38" t="s">
        <v>511</v>
      </c>
      <c r="I1571" s="22" t="s">
        <v>266</v>
      </c>
      <c r="J1571" s="150" t="s">
        <v>308</v>
      </c>
      <c r="K1571" s="79" t="s">
        <v>1302</v>
      </c>
      <c r="L1571" s="5">
        <f>IF(O1571="","",N1571*O1571*M1571)</f>
        <v>75</v>
      </c>
      <c r="M1571" s="8">
        <v>1</v>
      </c>
      <c r="N1571" s="1">
        <v>1</v>
      </c>
      <c r="O1571" s="15">
        <f>IF(SUM(Q1571:AF1571)&lt;1,"",SUM(Q1571:AF1571)/COUNTIF(Q1571:AF1571,"&gt;0"))</f>
        <v>75</v>
      </c>
      <c r="P1571" s="16"/>
      <c r="Q1571" s="13"/>
      <c r="T1571" s="4">
        <v>75</v>
      </c>
      <c r="AF1571" s="104"/>
    </row>
    <row r="1572" spans="1:32" x14ac:dyDescent="0.25">
      <c r="A1572" s="33" t="str">
        <f>CONCATENATE(D1572,".",F1572,"-",G1572,".",H1572,"")</f>
        <v>2.6-2.1</v>
      </c>
      <c r="B1572" s="33" t="s">
        <v>814</v>
      </c>
      <c r="C1572" s="39" t="s">
        <v>262</v>
      </c>
      <c r="D1572" s="33">
        <f>IF(C1572="ID",1,(IF(C1572="PR",2,(IF(C1572="DE",3,(IF(C1572="RS",4,(IF(C1572="RC",5,0)))))))))</f>
        <v>2</v>
      </c>
      <c r="E1572" s="33" t="s">
        <v>345</v>
      </c>
      <c r="F1572" s="33">
        <f>IF(E1572="AM",1,(IF(E1572="BE",2,(IF(E1572="GV",3,(IF(E1572="RA",4,(IF(E1572="RM",5,(IF(E1572="AC",1,(IF(E1572="AT",2,(IF(E1572="DS",3,(IF(E1572="IP",4,(IF(E1572="MA",5,(IF(E1572="PT",6,(IF(E1572="AE",1,(IF(E1572="CM",2,(IF(E1572="DP",3,(IF(E1572="AN",1,(IF(E1572="CO",2,(IF(E1572="IM",3,(IF(E1572="MI",4,(IF(E1572="RP",5,(IF(E1572="SC",6,0)))))))))))))))))))))))))))))))))))))))</f>
        <v>6</v>
      </c>
      <c r="G1572" s="170">
        <v>2</v>
      </c>
      <c r="H1572" s="38" t="s">
        <v>511</v>
      </c>
      <c r="I1572" s="22" t="s">
        <v>266</v>
      </c>
      <c r="J1572" s="149" t="s">
        <v>73</v>
      </c>
      <c r="K1572" s="79" t="s">
        <v>1305</v>
      </c>
      <c r="L1572" s="5">
        <f>IF(O1572="","",N1572*O1572*M1572)</f>
        <v>75</v>
      </c>
      <c r="M1572" s="8">
        <v>1</v>
      </c>
      <c r="N1572" s="1">
        <v>1</v>
      </c>
      <c r="O1572" s="15">
        <f>IF(SUM(Q1572:AF1572)&lt;1,"",SUM(Q1572:AF1572)/COUNTIF(Q1572:AF1572,"&gt;0"))</f>
        <v>75</v>
      </c>
      <c r="P1572" s="16"/>
      <c r="Q1572" s="13"/>
      <c r="R1572" s="4"/>
      <c r="S1572" s="4"/>
      <c r="T1572" s="4">
        <v>75</v>
      </c>
      <c r="U1572" s="2"/>
      <c r="V1572" s="2"/>
      <c r="W1572" s="2"/>
      <c r="X1572" s="2"/>
      <c r="Y1572" s="4"/>
      <c r="Z1572" s="2"/>
      <c r="AA1572" s="2"/>
      <c r="AB1572" s="4"/>
      <c r="AC1572" s="4"/>
      <c r="AD1572" s="4"/>
      <c r="AE1572" s="4"/>
      <c r="AF1572" s="14"/>
    </row>
    <row r="1573" spans="1:32" x14ac:dyDescent="0.25">
      <c r="A1573" s="33" t="str">
        <f>CONCATENATE(D1573,".",F1573,"-",G1573,".",H1573,"")</f>
        <v>2.6-2.1</v>
      </c>
      <c r="B1573" s="33" t="s">
        <v>814</v>
      </c>
      <c r="C1573" s="41" t="s">
        <v>262</v>
      </c>
      <c r="D1573" s="33">
        <f>IF(C1573="ID",1,(IF(C1573="PR",2,(IF(C1573="DE",3,(IF(C1573="RS",4,(IF(C1573="RC",5,0)))))))))</f>
        <v>2</v>
      </c>
      <c r="E1573" s="33" t="s">
        <v>345</v>
      </c>
      <c r="F1573" s="33">
        <f>IF(E1573="AM",1,(IF(E1573="BE",2,(IF(E1573="GV",3,(IF(E1573="RA",4,(IF(E1573="RM",5,(IF(E1573="AC",1,(IF(E1573="AT",2,(IF(E1573="DS",3,(IF(E1573="IP",4,(IF(E1573="MA",5,(IF(E1573="PT",6,(IF(E1573="AE",1,(IF(E1573="CM",2,(IF(E1573="DP",3,(IF(E1573="AN",1,(IF(E1573="CO",2,(IF(E1573="IM",3,(IF(E1573="MI",4,(IF(E1573="RP",5,(IF(E1573="SC",6,0)))))))))))))))))))))))))))))))))))))))</f>
        <v>6</v>
      </c>
      <c r="G1573" s="170">
        <v>2</v>
      </c>
      <c r="H1573" s="38" t="s">
        <v>511</v>
      </c>
      <c r="I1573" s="22" t="s">
        <v>266</v>
      </c>
      <c r="J1573" s="149" t="s">
        <v>11</v>
      </c>
      <c r="K1573" s="79" t="s">
        <v>1306</v>
      </c>
      <c r="L1573" s="5">
        <f>IF(O1573="","",N1573*O1573*M1573)</f>
        <v>75</v>
      </c>
      <c r="M1573" s="8">
        <v>1</v>
      </c>
      <c r="N1573" s="1">
        <v>1</v>
      </c>
      <c r="O1573" s="15">
        <f>IF(SUM(Q1573:AF1573)&lt;1,"",SUM(Q1573:AF1573)/COUNTIF(Q1573:AF1573,"&gt;0"))</f>
        <v>75</v>
      </c>
      <c r="P1573" s="16"/>
      <c r="Q1573" s="13"/>
      <c r="R1573" s="4"/>
      <c r="S1573" s="4"/>
      <c r="T1573" s="4">
        <v>75</v>
      </c>
      <c r="U1573" s="2"/>
      <c r="V1573" s="2"/>
      <c r="W1573" s="2"/>
      <c r="X1573" s="2"/>
      <c r="Y1573" s="4"/>
      <c r="Z1573" s="2"/>
      <c r="AA1573" s="2"/>
      <c r="AB1573" s="4"/>
      <c r="AC1573" s="4"/>
      <c r="AD1573" s="4"/>
      <c r="AE1573" s="4"/>
      <c r="AF1573" s="14"/>
    </row>
    <row r="1574" spans="1:32" x14ac:dyDescent="0.25">
      <c r="A1574" s="33" t="str">
        <f>CONCATENATE(D1574,".",F1574,"-",G1574,".",H1574,"")</f>
        <v>2.6-2.1</v>
      </c>
      <c r="B1574" s="33" t="s">
        <v>814</v>
      </c>
      <c r="C1574" s="41" t="s">
        <v>262</v>
      </c>
      <c r="D1574" s="33">
        <f>IF(C1574="ID",1,(IF(C1574="PR",2,(IF(C1574="DE",3,(IF(C1574="RS",4,(IF(C1574="RC",5,0)))))))))</f>
        <v>2</v>
      </c>
      <c r="E1574" s="33" t="s">
        <v>345</v>
      </c>
      <c r="F1574" s="33">
        <f>IF(E1574="AM",1,(IF(E1574="BE",2,(IF(E1574="GV",3,(IF(E1574="RA",4,(IF(E1574="RM",5,(IF(E1574="AC",1,(IF(E1574="AT",2,(IF(E1574="DS",3,(IF(E1574="IP",4,(IF(E1574="MA",5,(IF(E1574="PT",6,(IF(E1574="AE",1,(IF(E1574="CM",2,(IF(E1574="DP",3,(IF(E1574="AN",1,(IF(E1574="CO",2,(IF(E1574="IM",3,(IF(E1574="MI",4,(IF(E1574="RP",5,(IF(E1574="SC",6,0)))))))))))))))))))))))))))))))))))))))</f>
        <v>6</v>
      </c>
      <c r="G1574" s="170">
        <v>2</v>
      </c>
      <c r="H1574" s="38" t="s">
        <v>511</v>
      </c>
      <c r="I1574" s="22" t="s">
        <v>266</v>
      </c>
      <c r="J1574" s="149" t="s">
        <v>309</v>
      </c>
      <c r="K1574" s="79" t="s">
        <v>1424</v>
      </c>
      <c r="L1574" s="5">
        <f>IF(O1574="","",N1574*O1574*M1574)</f>
        <v>75</v>
      </c>
      <c r="M1574" s="8">
        <v>1</v>
      </c>
      <c r="N1574" s="1">
        <v>1</v>
      </c>
      <c r="O1574" s="15">
        <f>IF(SUM(Q1574:AF1574)&lt;1,"",SUM(Q1574:AF1574)/COUNTIF(Q1574:AF1574,"&gt;0"))</f>
        <v>75</v>
      </c>
      <c r="P1574" s="16"/>
      <c r="Q1574" s="13"/>
      <c r="R1574" s="4"/>
      <c r="S1574" s="4"/>
      <c r="T1574" s="4">
        <v>75</v>
      </c>
      <c r="U1574" s="2"/>
      <c r="V1574" s="2"/>
      <c r="W1574" s="2"/>
      <c r="X1574" s="2"/>
      <c r="Y1574" s="4"/>
      <c r="Z1574" s="2"/>
      <c r="AA1574" s="2"/>
      <c r="AB1574" s="4"/>
      <c r="AC1574" s="4"/>
      <c r="AD1574" s="4"/>
      <c r="AE1574" s="4"/>
      <c r="AF1574" s="14"/>
    </row>
    <row r="1575" spans="1:32" x14ac:dyDescent="0.25">
      <c r="A1575" s="33" t="str">
        <f>CONCATENATE(D1575,".",F1575,"-",G1575,".",H1575,"")</f>
        <v>2.6-2.1</v>
      </c>
      <c r="B1575" s="33" t="s">
        <v>814</v>
      </c>
      <c r="C1575" s="41" t="s">
        <v>262</v>
      </c>
      <c r="D1575" s="33">
        <f>IF(C1575="ID",1,(IF(C1575="PR",2,(IF(C1575="DE",3,(IF(C1575="RS",4,(IF(C1575="RC",5,0)))))))))</f>
        <v>2</v>
      </c>
      <c r="E1575" s="33" t="s">
        <v>345</v>
      </c>
      <c r="F1575" s="33">
        <f>IF(E1575="AM",1,(IF(E1575="BE",2,(IF(E1575="GV",3,(IF(E1575="RA",4,(IF(E1575="RM",5,(IF(E1575="AC",1,(IF(E1575="AT",2,(IF(E1575="DS",3,(IF(E1575="IP",4,(IF(E1575="MA",5,(IF(E1575="PT",6,(IF(E1575="AE",1,(IF(E1575="CM",2,(IF(E1575="DP",3,(IF(E1575="AN",1,(IF(E1575="CO",2,(IF(E1575="IM",3,(IF(E1575="MI",4,(IF(E1575="RP",5,(IF(E1575="SC",6,0)))))))))))))))))))))))))))))))))))))))</f>
        <v>6</v>
      </c>
      <c r="G1575" s="170">
        <v>2</v>
      </c>
      <c r="H1575" s="38" t="s">
        <v>511</v>
      </c>
      <c r="I1575" s="22" t="s">
        <v>266</v>
      </c>
      <c r="J1575" s="149" t="s">
        <v>292</v>
      </c>
      <c r="K1575" s="79" t="s">
        <v>1425</v>
      </c>
      <c r="L1575" s="5">
        <f>IF(O1575="","",N1575*O1575*M1575)</f>
        <v>75</v>
      </c>
      <c r="M1575" s="8">
        <v>1</v>
      </c>
      <c r="N1575" s="1">
        <v>1</v>
      </c>
      <c r="O1575" s="15">
        <f>IF(SUM(Q1575:AF1575)&lt;1,"",SUM(Q1575:AF1575)/COUNTIF(Q1575:AF1575,"&gt;0"))</f>
        <v>75</v>
      </c>
      <c r="P1575" s="16"/>
      <c r="Q1575" s="13"/>
      <c r="R1575" s="4"/>
      <c r="S1575" s="4"/>
      <c r="T1575" s="4">
        <v>75</v>
      </c>
      <c r="U1575" s="2"/>
      <c r="V1575" s="2"/>
      <c r="W1575" s="2"/>
      <c r="X1575" s="2"/>
      <c r="Y1575" s="4"/>
      <c r="Z1575" s="2"/>
      <c r="AA1575" s="2"/>
      <c r="AB1575" s="4"/>
      <c r="AC1575" s="4"/>
      <c r="AD1575" s="4"/>
      <c r="AE1575" s="4"/>
      <c r="AF1575" s="14"/>
    </row>
    <row r="1576" spans="1:32" x14ac:dyDescent="0.25">
      <c r="A1576" s="33" t="str">
        <f>CONCATENATE(D1576,".",F1576,"-",G1576,".",H1576,"")</f>
        <v>2.6-2.1</v>
      </c>
      <c r="B1576" s="33" t="s">
        <v>814</v>
      </c>
      <c r="C1576" s="39" t="s">
        <v>262</v>
      </c>
      <c r="D1576" s="33">
        <f>IF(C1576="ID",1,(IF(C1576="PR",2,(IF(C1576="DE",3,(IF(C1576="RS",4,(IF(C1576="RC",5,0)))))))))</f>
        <v>2</v>
      </c>
      <c r="E1576" s="33" t="s">
        <v>345</v>
      </c>
      <c r="F1576" s="33">
        <f>IF(E1576="AM",1,(IF(E1576="BE",2,(IF(E1576="GV",3,(IF(E1576="RA",4,(IF(E1576="RM",5,(IF(E1576="AC",1,(IF(E1576="AT",2,(IF(E1576="DS",3,(IF(E1576="IP",4,(IF(E1576="MA",5,(IF(E1576="PT",6,(IF(E1576="AE",1,(IF(E1576="CM",2,(IF(E1576="DP",3,(IF(E1576="AN",1,(IF(E1576="CO",2,(IF(E1576="IM",3,(IF(E1576="MI",4,(IF(E1576="RP",5,(IF(E1576="SC",6,0)))))))))))))))))))))))))))))))))))))))</f>
        <v>6</v>
      </c>
      <c r="G1576" s="170">
        <v>2</v>
      </c>
      <c r="H1576" s="38" t="s">
        <v>511</v>
      </c>
      <c r="I1576" s="22" t="s">
        <v>266</v>
      </c>
      <c r="J1576" s="149" t="s">
        <v>505</v>
      </c>
      <c r="K1576" s="79" t="s">
        <v>1426</v>
      </c>
      <c r="L1576" s="5">
        <f>IF(O1576="","",N1576*O1576*M1576)</f>
        <v>75</v>
      </c>
      <c r="M1576" s="8">
        <v>1</v>
      </c>
      <c r="N1576" s="1">
        <v>1</v>
      </c>
      <c r="O1576" s="15">
        <f>IF(SUM(Q1576:AF1576)&lt;1,"",SUM(Q1576:AF1576)/COUNTIF(Q1576:AF1576,"&gt;0"))</f>
        <v>75</v>
      </c>
      <c r="P1576" s="16"/>
      <c r="Q1576" s="13"/>
      <c r="R1576" s="4"/>
      <c r="S1576" s="4"/>
      <c r="T1576" s="4">
        <v>75</v>
      </c>
      <c r="U1576" s="2"/>
      <c r="V1576" s="2"/>
      <c r="W1576" s="2"/>
      <c r="X1576" s="2"/>
      <c r="Y1576" s="4"/>
      <c r="Z1576" s="2"/>
      <c r="AA1576" s="2"/>
      <c r="AB1576" s="4"/>
      <c r="AC1576" s="4"/>
      <c r="AD1576" s="4"/>
      <c r="AE1576" s="4"/>
      <c r="AF1576" s="14"/>
    </row>
    <row r="1577" spans="1:32" x14ac:dyDescent="0.25">
      <c r="A1577" s="33" t="str">
        <f>CONCATENATE(D1577,".",F1577,"-",G1577,".",H1577,"")</f>
        <v>2.6-2.1</v>
      </c>
      <c r="B1577" s="33" t="s">
        <v>814</v>
      </c>
      <c r="C1577" s="41" t="s">
        <v>262</v>
      </c>
      <c r="D1577" s="33">
        <f>IF(C1577="ID",1,(IF(C1577="PR",2,(IF(C1577="DE",3,(IF(C1577="RS",4,(IF(C1577="RC",5,0)))))))))</f>
        <v>2</v>
      </c>
      <c r="E1577" s="33" t="s">
        <v>345</v>
      </c>
      <c r="F1577" s="33">
        <f>IF(E1577="AM",1,(IF(E1577="BE",2,(IF(E1577="GV",3,(IF(E1577="RA",4,(IF(E1577="RM",5,(IF(E1577="AC",1,(IF(E1577="AT",2,(IF(E1577="DS",3,(IF(E1577="IP",4,(IF(E1577="MA",5,(IF(E1577="PT",6,(IF(E1577="AE",1,(IF(E1577="CM",2,(IF(E1577="DP",3,(IF(E1577="AN",1,(IF(E1577="CO",2,(IF(E1577="IM",3,(IF(E1577="MI",4,(IF(E1577="RP",5,(IF(E1577="SC",6,0)))))))))))))))))))))))))))))))))))))))</f>
        <v>6</v>
      </c>
      <c r="G1577" s="170">
        <v>2</v>
      </c>
      <c r="H1577" s="38" t="s">
        <v>511</v>
      </c>
      <c r="I1577" s="22" t="s">
        <v>266</v>
      </c>
      <c r="J1577" s="149" t="s">
        <v>310</v>
      </c>
      <c r="K1577" s="79" t="s">
        <v>1427</v>
      </c>
      <c r="L1577" s="5">
        <f>IF(O1577="","",N1577*O1577*M1577)</f>
        <v>75</v>
      </c>
      <c r="M1577" s="8">
        <v>1</v>
      </c>
      <c r="N1577" s="1">
        <v>1</v>
      </c>
      <c r="O1577" s="15">
        <f>IF(SUM(Q1577:AF1577)&lt;1,"",SUM(Q1577:AF1577)/COUNTIF(Q1577:AF1577,"&gt;0"))</f>
        <v>75</v>
      </c>
      <c r="P1577" s="16"/>
      <c r="Q1577" s="13"/>
      <c r="R1577" s="4"/>
      <c r="S1577" s="4"/>
      <c r="T1577" s="4">
        <v>75</v>
      </c>
      <c r="U1577" s="2"/>
      <c r="V1577" s="2"/>
      <c r="W1577" s="2"/>
      <c r="X1577" s="2"/>
      <c r="Y1577" s="4"/>
      <c r="Z1577" s="2"/>
      <c r="AA1577" s="2"/>
      <c r="AB1577" s="4"/>
      <c r="AC1577" s="4"/>
      <c r="AD1577" s="4"/>
      <c r="AE1577" s="4"/>
      <c r="AF1577" s="14"/>
    </row>
    <row r="1578" spans="1:32" x14ac:dyDescent="0.25">
      <c r="A1578" s="33" t="str">
        <f>CONCATENATE(D1578,".",F1578,"-",G1578,".",H1578,"")</f>
        <v>2.6-2.1</v>
      </c>
      <c r="B1578" s="33" t="s">
        <v>814</v>
      </c>
      <c r="C1578" s="41" t="s">
        <v>262</v>
      </c>
      <c r="D1578" s="33">
        <f>IF(C1578="ID",1,(IF(C1578="PR",2,(IF(C1578="DE",3,(IF(C1578="RS",4,(IF(C1578="RC",5,0)))))))))</f>
        <v>2</v>
      </c>
      <c r="E1578" s="33" t="s">
        <v>345</v>
      </c>
      <c r="F1578" s="33">
        <f>IF(E1578="AM",1,(IF(E1578="BE",2,(IF(E1578="GV",3,(IF(E1578="RA",4,(IF(E1578="RM",5,(IF(E1578="AC",1,(IF(E1578="AT",2,(IF(E1578="DS",3,(IF(E1578="IP",4,(IF(E1578="MA",5,(IF(E1578="PT",6,(IF(E1578="AE",1,(IF(E1578="CM",2,(IF(E1578="DP",3,(IF(E1578="AN",1,(IF(E1578="CO",2,(IF(E1578="IM",3,(IF(E1578="MI",4,(IF(E1578="RP",5,(IF(E1578="SC",6,0)))))))))))))))))))))))))))))))))))))))</f>
        <v>6</v>
      </c>
      <c r="G1578" s="170">
        <v>2</v>
      </c>
      <c r="H1578" s="38" t="s">
        <v>511</v>
      </c>
      <c r="I1578" s="22" t="s">
        <v>266</v>
      </c>
      <c r="J1578" s="149" t="s">
        <v>311</v>
      </c>
      <c r="K1578" s="79" t="s">
        <v>1429</v>
      </c>
      <c r="L1578" s="5">
        <f>IF(O1578="","",N1578*O1578*M1578)</f>
        <v>75</v>
      </c>
      <c r="M1578" s="8">
        <v>1</v>
      </c>
      <c r="N1578" s="1">
        <v>1</v>
      </c>
      <c r="O1578" s="15">
        <f>IF(SUM(Q1578:AF1578)&lt;1,"",SUM(Q1578:AF1578)/COUNTIF(Q1578:AF1578,"&gt;0"))</f>
        <v>75</v>
      </c>
      <c r="P1578" s="16"/>
      <c r="Q1578" s="13"/>
      <c r="R1578" s="4"/>
      <c r="S1578" s="4"/>
      <c r="T1578" s="4">
        <v>75</v>
      </c>
      <c r="U1578" s="2"/>
      <c r="V1578" s="2"/>
      <c r="W1578" s="2"/>
      <c r="X1578" s="2"/>
      <c r="Y1578" s="4"/>
      <c r="Z1578" s="2"/>
      <c r="AA1578" s="2"/>
      <c r="AB1578" s="4"/>
      <c r="AC1578" s="4"/>
      <c r="AD1578" s="4"/>
      <c r="AE1578" s="4"/>
      <c r="AF1578" s="14"/>
    </row>
    <row r="1579" spans="1:32" x14ac:dyDescent="0.25">
      <c r="A1579" s="33" t="str">
        <f>CONCATENATE(D1579,".",F1579,"-",G1579,".",H1579,"")</f>
        <v>2.6-2.1</v>
      </c>
      <c r="B1579" s="33" t="s">
        <v>814</v>
      </c>
      <c r="C1579" s="39" t="s">
        <v>262</v>
      </c>
      <c r="D1579" s="33">
        <f>IF(C1579="ID",1,(IF(C1579="PR",2,(IF(C1579="DE",3,(IF(C1579="RS",4,(IF(C1579="RC",5,0)))))))))</f>
        <v>2</v>
      </c>
      <c r="E1579" s="33" t="s">
        <v>345</v>
      </c>
      <c r="F1579" s="33">
        <f>IF(E1579="AM",1,(IF(E1579="BE",2,(IF(E1579="GV",3,(IF(E1579="RA",4,(IF(E1579="RM",5,(IF(E1579="AC",1,(IF(E1579="AT",2,(IF(E1579="DS",3,(IF(E1579="IP",4,(IF(E1579="MA",5,(IF(E1579="PT",6,(IF(E1579="AE",1,(IF(E1579="CM",2,(IF(E1579="DP",3,(IF(E1579="AN",1,(IF(E1579="CO",2,(IF(E1579="IM",3,(IF(E1579="MI",4,(IF(E1579="RP",5,(IF(E1579="SC",6,0)))))))))))))))))))))))))))))))))))))))</f>
        <v>6</v>
      </c>
      <c r="G1579" s="170">
        <v>2</v>
      </c>
      <c r="H1579" s="38" t="s">
        <v>511</v>
      </c>
      <c r="I1579" s="79" t="s">
        <v>1176</v>
      </c>
      <c r="J1579" s="162">
        <v>8.3000000000000007</v>
      </c>
      <c r="K1579" s="80" t="s">
        <v>1236</v>
      </c>
      <c r="L1579" s="66">
        <f>IF(O1579="","",N1579*O1579*M1579)</f>
        <v>75</v>
      </c>
      <c r="M1579" s="8">
        <v>1</v>
      </c>
      <c r="N1579" s="3">
        <v>1</v>
      </c>
      <c r="O1579" s="15">
        <f>IF(SUM(Q1579:AF1579)&lt;1,"",SUM(Q1579:AF1579)/COUNTIF(Q1579:AF1579,"&gt;0"))</f>
        <v>75</v>
      </c>
      <c r="P1579" s="16"/>
      <c r="Q1579" s="13"/>
      <c r="R1579" s="4"/>
      <c r="S1579" s="4"/>
      <c r="T1579" s="4">
        <v>75</v>
      </c>
      <c r="U1579" s="2"/>
      <c r="V1579" s="2"/>
      <c r="W1579" s="2"/>
      <c r="X1579" s="2"/>
      <c r="Y1579" s="4"/>
      <c r="Z1579" s="2"/>
      <c r="AA1579" s="2"/>
      <c r="AB1579" s="4"/>
      <c r="AC1579" s="4"/>
      <c r="AD1579" s="4"/>
      <c r="AE1579" s="4"/>
      <c r="AF1579" s="14"/>
    </row>
    <row r="1580" spans="1:32" x14ac:dyDescent="0.25">
      <c r="A1580" s="33" t="str">
        <f>CONCATENATE(D1580,".",F1580,"-",G1580,".",H1580,"")</f>
        <v>2.6-2.1</v>
      </c>
      <c r="B1580" s="33" t="s">
        <v>814</v>
      </c>
      <c r="C1580" s="39" t="s">
        <v>262</v>
      </c>
      <c r="D1580" s="33">
        <f>IF(C1580="ID",1,(IF(C1580="PR",2,(IF(C1580="DE",3,(IF(C1580="RS",4,(IF(C1580="RC",5,0)))))))))</f>
        <v>2</v>
      </c>
      <c r="E1580" s="33" t="s">
        <v>345</v>
      </c>
      <c r="F1580" s="33">
        <f>IF(E1580="AM",1,(IF(E1580="BE",2,(IF(E1580="GV",3,(IF(E1580="RA",4,(IF(E1580="RM",5,(IF(E1580="AC",1,(IF(E1580="AT",2,(IF(E1580="DS",3,(IF(E1580="IP",4,(IF(E1580="MA",5,(IF(E1580="PT",6,(IF(E1580="AE",1,(IF(E1580="CM",2,(IF(E1580="DP",3,(IF(E1580="AN",1,(IF(E1580="CO",2,(IF(E1580="IM",3,(IF(E1580="MI",4,(IF(E1580="RP",5,(IF(E1580="SC",6,0)))))))))))))))))))))))))))))))))))))))</f>
        <v>6</v>
      </c>
      <c r="G1580" s="170">
        <v>2</v>
      </c>
      <c r="H1580" s="38" t="s">
        <v>511</v>
      </c>
      <c r="I1580" s="79" t="s">
        <v>1176</v>
      </c>
      <c r="J1580" s="162">
        <v>13.5</v>
      </c>
      <c r="K1580" s="80" t="s">
        <v>1237</v>
      </c>
      <c r="L1580" s="66">
        <f>IF(O1580="","",N1580*O1580*M1580)</f>
        <v>75</v>
      </c>
      <c r="M1580" s="8">
        <v>1</v>
      </c>
      <c r="N1580" s="3">
        <v>1</v>
      </c>
      <c r="O1580" s="15">
        <f>IF(SUM(Q1580:AF1580)&lt;1,"",SUM(Q1580:AF1580)/COUNTIF(Q1580:AF1580,"&gt;0"))</f>
        <v>75</v>
      </c>
      <c r="P1580" s="16"/>
      <c r="Q1580" s="13"/>
      <c r="R1580" s="4"/>
      <c r="S1580" s="4"/>
      <c r="T1580" s="4">
        <v>75</v>
      </c>
      <c r="U1580" s="2"/>
      <c r="V1580" s="2"/>
      <c r="W1580" s="2"/>
      <c r="X1580" s="2"/>
      <c r="Y1580" s="4"/>
      <c r="Z1580" s="2"/>
      <c r="AA1580" s="2"/>
      <c r="AB1580" s="4"/>
      <c r="AC1580" s="4"/>
      <c r="AD1580" s="4"/>
      <c r="AE1580" s="4"/>
      <c r="AF1580" s="14"/>
    </row>
    <row r="1581" spans="1:32" x14ac:dyDescent="0.25">
      <c r="A1581" s="33" t="str">
        <f>CONCATENATE(D1581,".",F1581,"-",G1581,".",H1581,"")</f>
        <v>2.6-2.1</v>
      </c>
      <c r="B1581" s="33" t="s">
        <v>814</v>
      </c>
      <c r="C1581" s="39" t="s">
        <v>262</v>
      </c>
      <c r="D1581" s="33">
        <f>IF(C1581="ID",1,(IF(C1581="PR",2,(IF(C1581="DE",3,(IF(C1581="RS",4,(IF(C1581="RC",5,0)))))))))</f>
        <v>2</v>
      </c>
      <c r="E1581" s="33" t="s">
        <v>345</v>
      </c>
      <c r="F1581" s="33">
        <f>IF(E1581="AM",1,(IF(E1581="BE",2,(IF(E1581="GV",3,(IF(E1581="RA",4,(IF(E1581="RM",5,(IF(E1581="AC",1,(IF(E1581="AT",2,(IF(E1581="DS",3,(IF(E1581="IP",4,(IF(E1581="MA",5,(IF(E1581="PT",6,(IF(E1581="AE",1,(IF(E1581="CM",2,(IF(E1581="DP",3,(IF(E1581="AN",1,(IF(E1581="CO",2,(IF(E1581="IM",3,(IF(E1581="MI",4,(IF(E1581="RP",5,(IF(E1581="SC",6,0)))))))))))))))))))))))))))))))))))))))</f>
        <v>6</v>
      </c>
      <c r="G1581" s="170">
        <v>2</v>
      </c>
      <c r="H1581" s="38" t="s">
        <v>511</v>
      </c>
      <c r="I1581" s="3" t="s">
        <v>1449</v>
      </c>
      <c r="J1581" s="157" t="s">
        <v>1508</v>
      </c>
      <c r="K1581" s="34" t="s">
        <v>1509</v>
      </c>
      <c r="L1581" s="5">
        <f>IF(O1581="","",N1581*O1581*M1581)</f>
        <v>99</v>
      </c>
      <c r="M1581" s="8">
        <v>1</v>
      </c>
      <c r="N1581" s="1">
        <v>1</v>
      </c>
      <c r="O1581" s="15">
        <f>IF(SUM(Q1581:AF1581)&lt;1,"",SUM(Q1581:AF1581)/COUNTIF(Q1581:AF1581,"&gt;0"))</f>
        <v>99</v>
      </c>
      <c r="P1581" s="16"/>
      <c r="Q1581" s="13"/>
      <c r="R1581" s="4"/>
      <c r="S1581" s="4"/>
      <c r="T1581" s="4">
        <v>99</v>
      </c>
      <c r="U1581" s="2"/>
      <c r="V1581" s="2"/>
      <c r="W1581" s="2"/>
      <c r="X1581" s="2"/>
      <c r="Y1581" s="4"/>
      <c r="Z1581" s="2"/>
      <c r="AA1581" s="2"/>
      <c r="AB1581" s="4"/>
      <c r="AC1581" s="4"/>
      <c r="AD1581" s="4"/>
      <c r="AE1581" s="4"/>
      <c r="AF1581" s="14"/>
    </row>
    <row r="1582" spans="1:32" x14ac:dyDescent="0.25">
      <c r="A1582" s="33" t="str">
        <f>CONCATENATE(D1582,".",F1582,"-",G1582,".",H1582,"")</f>
        <v>2.6-2.1</v>
      </c>
      <c r="C1582" s="39" t="s">
        <v>262</v>
      </c>
      <c r="D1582" s="33">
        <f>IF(C1582="ID",1,(IF(C1582="PR",2,(IF(C1582="DE",3,(IF(C1582="RS",4,(IF(C1582="RC",5,0)))))))))</f>
        <v>2</v>
      </c>
      <c r="E1582" s="33" t="s">
        <v>345</v>
      </c>
      <c r="F1582" s="33">
        <f>IF(E1582="AM",1,(IF(E1582="BE",2,(IF(E1582="GV",3,(IF(E1582="RA",4,(IF(E1582="RM",5,(IF(E1582="AC",1,(IF(E1582="AT",2,(IF(E1582="DS",3,(IF(E1582="IP",4,(IF(E1582="MA",5,(IF(E1582="PT",6,(IF(E1582="AE",1,(IF(E1582="CM",2,(IF(E1582="DP",3,(IF(E1582="AN",1,(IF(E1582="CO",2,(IF(E1582="IM",3,(IF(E1582="MI",4,(IF(E1582="RP",5,(IF(E1582="SC",6,0)))))))))))))))))))))))))))))))))))))))</f>
        <v>6</v>
      </c>
      <c r="G1582" s="170">
        <v>2</v>
      </c>
      <c r="H1582" s="38" t="s">
        <v>511</v>
      </c>
      <c r="I1582" s="3" t="s">
        <v>1449</v>
      </c>
      <c r="J1582" s="157" t="s">
        <v>2319</v>
      </c>
      <c r="K1582" s="34" t="s">
        <v>2320</v>
      </c>
      <c r="L1582" s="5">
        <f>IF(O1582="","",N1582*O1582*M1582)</f>
        <v>99</v>
      </c>
      <c r="M1582" s="8">
        <v>1</v>
      </c>
      <c r="N1582" s="1">
        <v>1</v>
      </c>
      <c r="O1582" s="15">
        <f>IF(SUM(Q1582:AF1582)&lt;1,"",SUM(Q1582:AF1582)/COUNTIF(Q1582:AF1582,"&gt;0"))</f>
        <v>99</v>
      </c>
      <c r="P1582" s="16"/>
      <c r="Q1582" s="13"/>
      <c r="R1582" s="4"/>
      <c r="S1582" s="4"/>
      <c r="T1582" s="4">
        <v>99</v>
      </c>
      <c r="U1582" s="2"/>
      <c r="V1582" s="2"/>
      <c r="W1582" s="2"/>
      <c r="X1582" s="2"/>
      <c r="Y1582" s="4"/>
      <c r="Z1582" s="2"/>
      <c r="AA1582" s="2"/>
      <c r="AB1582" s="4"/>
      <c r="AC1582" s="4"/>
      <c r="AD1582" s="4"/>
      <c r="AE1582" s="4"/>
      <c r="AF1582" s="14"/>
    </row>
    <row r="1583" spans="1:32" x14ac:dyDescent="0.25">
      <c r="A1583" s="33" t="str">
        <f>CONCATENATE(D1583,".",F1583,"-",G1583,".",H1583,"")</f>
        <v>2.6-2.1</v>
      </c>
      <c r="C1583" s="39" t="s">
        <v>262</v>
      </c>
      <c r="D1583" s="33">
        <f>IF(C1583="ID",1,(IF(C1583="PR",2,(IF(C1583="DE",3,(IF(C1583="RS",4,(IF(C1583="RC",5,0)))))))))</f>
        <v>2</v>
      </c>
      <c r="E1583" s="33" t="s">
        <v>345</v>
      </c>
      <c r="F1583" s="33">
        <f>IF(E1583="AM",1,(IF(E1583="BE",2,(IF(E1583="GV",3,(IF(E1583="RA",4,(IF(E1583="RM",5,(IF(E1583="AC",1,(IF(E1583="AT",2,(IF(E1583="DS",3,(IF(E1583="IP",4,(IF(E1583="MA",5,(IF(E1583="PT",6,(IF(E1583="AE",1,(IF(E1583="CM",2,(IF(E1583="DP",3,(IF(E1583="AN",1,(IF(E1583="CO",2,(IF(E1583="IM",3,(IF(E1583="MI",4,(IF(E1583="RP",5,(IF(E1583="SC",6,0)))))))))))))))))))))))))))))))))))))))</f>
        <v>6</v>
      </c>
      <c r="G1583" s="170">
        <v>2</v>
      </c>
      <c r="H1583" s="38" t="s">
        <v>511</v>
      </c>
      <c r="I1583" s="3" t="s">
        <v>1449</v>
      </c>
      <c r="J1583" s="157" t="s">
        <v>2323</v>
      </c>
      <c r="K1583" s="34" t="s">
        <v>2324</v>
      </c>
      <c r="L1583" s="5">
        <f>IF(O1583="","",N1583*O1583*M1583)</f>
        <v>99</v>
      </c>
      <c r="M1583" s="8">
        <v>1</v>
      </c>
      <c r="N1583" s="1">
        <v>1</v>
      </c>
      <c r="O1583" s="15">
        <f>IF(SUM(Q1583:AF1583)&lt;1,"",SUM(Q1583:AF1583)/COUNTIF(Q1583:AF1583,"&gt;0"))</f>
        <v>99</v>
      </c>
      <c r="P1583" s="16"/>
      <c r="Q1583" s="13"/>
      <c r="R1583" s="4"/>
      <c r="S1583" s="4"/>
      <c r="T1583" s="4">
        <v>99</v>
      </c>
      <c r="U1583" s="2"/>
      <c r="V1583" s="2"/>
      <c r="W1583" s="2"/>
      <c r="X1583" s="2"/>
      <c r="Y1583" s="4"/>
      <c r="Z1583" s="2"/>
      <c r="AA1583" s="2"/>
      <c r="AB1583" s="4"/>
      <c r="AC1583" s="4"/>
      <c r="AD1583" s="4"/>
      <c r="AE1583" s="4"/>
      <c r="AF1583" s="14"/>
    </row>
    <row r="1584" spans="1:32" x14ac:dyDescent="0.25">
      <c r="A1584" s="33" t="str">
        <f>CONCATENATE(D1584,".",F1584,"-",G1584,".",H1584,"")</f>
        <v>2.6-2.1</v>
      </c>
      <c r="C1584" s="39" t="s">
        <v>262</v>
      </c>
      <c r="D1584" s="33">
        <f>IF(C1584="ID",1,(IF(C1584="PR",2,(IF(C1584="DE",3,(IF(C1584="RS",4,(IF(C1584="RC",5,0)))))))))</f>
        <v>2</v>
      </c>
      <c r="E1584" s="33" t="s">
        <v>345</v>
      </c>
      <c r="F1584" s="33">
        <f>IF(E1584="AM",1,(IF(E1584="BE",2,(IF(E1584="GV",3,(IF(E1584="RA",4,(IF(E1584="RM",5,(IF(E1584="AC",1,(IF(E1584="AT",2,(IF(E1584="DS",3,(IF(E1584="IP",4,(IF(E1584="MA",5,(IF(E1584="PT",6,(IF(E1584="AE",1,(IF(E1584="CM",2,(IF(E1584="DP",3,(IF(E1584="AN",1,(IF(E1584="CO",2,(IF(E1584="IM",3,(IF(E1584="MI",4,(IF(E1584="RP",5,(IF(E1584="SC",6,0)))))))))))))))))))))))))))))))))))))))</f>
        <v>6</v>
      </c>
      <c r="G1584" s="170">
        <v>2</v>
      </c>
      <c r="H1584" s="38" t="s">
        <v>511</v>
      </c>
      <c r="I1584" s="3" t="s">
        <v>1449</v>
      </c>
      <c r="J1584" s="157" t="s">
        <v>2325</v>
      </c>
      <c r="K1584" s="34" t="s">
        <v>2326</v>
      </c>
      <c r="L1584" s="5">
        <f>IF(O1584="","",N1584*O1584*M1584)</f>
        <v>99</v>
      </c>
      <c r="M1584" s="8">
        <v>1</v>
      </c>
      <c r="N1584" s="1">
        <v>1</v>
      </c>
      <c r="O1584" s="15">
        <f>IF(SUM(Q1584:AF1584)&lt;1,"",SUM(Q1584:AF1584)/COUNTIF(Q1584:AF1584,"&gt;0"))</f>
        <v>99</v>
      </c>
      <c r="P1584" s="16"/>
      <c r="Q1584" s="13"/>
      <c r="R1584" s="4"/>
      <c r="S1584" s="4"/>
      <c r="T1584" s="4">
        <v>99</v>
      </c>
      <c r="U1584" s="2"/>
      <c r="V1584" s="2"/>
      <c r="W1584" s="2"/>
      <c r="X1584" s="2"/>
      <c r="Y1584" s="4"/>
      <c r="Z1584" s="2"/>
      <c r="AA1584" s="2"/>
      <c r="AB1584" s="4"/>
      <c r="AC1584" s="4"/>
      <c r="AD1584" s="4"/>
      <c r="AE1584" s="4"/>
      <c r="AF1584" s="14"/>
    </row>
    <row r="1585" spans="1:32" x14ac:dyDescent="0.25">
      <c r="A1585" s="33" t="str">
        <f>CONCATENATE(D1585,".",F1585,"-",G1585,".",H1585,"")</f>
        <v>2.6-2.1</v>
      </c>
      <c r="C1585" s="39" t="s">
        <v>262</v>
      </c>
      <c r="D1585" s="33">
        <f>IF(C1585="ID",1,(IF(C1585="PR",2,(IF(C1585="DE",3,(IF(C1585="RS",4,(IF(C1585="RC",5,0)))))))))</f>
        <v>2</v>
      </c>
      <c r="E1585" s="33" t="s">
        <v>345</v>
      </c>
      <c r="F1585" s="33">
        <f>IF(E1585="AM",1,(IF(E1585="BE",2,(IF(E1585="GV",3,(IF(E1585="RA",4,(IF(E1585="RM",5,(IF(E1585="AC",1,(IF(E1585="AT",2,(IF(E1585="DS",3,(IF(E1585="IP",4,(IF(E1585="MA",5,(IF(E1585="PT",6,(IF(E1585="AE",1,(IF(E1585="CM",2,(IF(E1585="DP",3,(IF(E1585="AN",1,(IF(E1585="CO",2,(IF(E1585="IM",3,(IF(E1585="MI",4,(IF(E1585="RP",5,(IF(E1585="SC",6,0)))))))))))))))))))))))))))))))))))))))</f>
        <v>6</v>
      </c>
      <c r="G1585" s="170">
        <v>2</v>
      </c>
      <c r="H1585" s="38" t="s">
        <v>511</v>
      </c>
      <c r="I1585" s="3" t="s">
        <v>1449</v>
      </c>
      <c r="J1585" s="157" t="s">
        <v>2327</v>
      </c>
      <c r="K1585" s="34" t="s">
        <v>2328</v>
      </c>
      <c r="L1585" s="5">
        <f>IF(O1585="","",N1585*O1585*M1585)</f>
        <v>99</v>
      </c>
      <c r="M1585" s="8">
        <v>1</v>
      </c>
      <c r="N1585" s="1">
        <v>1</v>
      </c>
      <c r="O1585" s="15">
        <f>IF(SUM(Q1585:AF1585)&lt;1,"",SUM(Q1585:AF1585)/COUNTIF(Q1585:AF1585,"&gt;0"))</f>
        <v>99</v>
      </c>
      <c r="P1585" s="16"/>
      <c r="Q1585" s="13"/>
      <c r="R1585" s="4"/>
      <c r="S1585" s="4"/>
      <c r="T1585" s="4">
        <v>99</v>
      </c>
      <c r="U1585" s="2"/>
      <c r="V1585" s="2"/>
      <c r="W1585" s="2"/>
      <c r="X1585" s="2"/>
      <c r="Y1585" s="4"/>
      <c r="Z1585" s="2"/>
      <c r="AA1585" s="2"/>
      <c r="AB1585" s="4"/>
      <c r="AC1585" s="4"/>
      <c r="AD1585" s="4"/>
      <c r="AE1585" s="4"/>
      <c r="AF1585" s="14"/>
    </row>
    <row r="1586" spans="1:32" x14ac:dyDescent="0.25">
      <c r="A1586" s="33" t="str">
        <f>CONCATENATE(D1586,".",F1586,"-",G1586,".",H1586,"")</f>
        <v>2.6-2.1</v>
      </c>
      <c r="C1586" s="39" t="s">
        <v>262</v>
      </c>
      <c r="D1586" s="33">
        <f>IF(C1586="ID",1,(IF(C1586="PR",2,(IF(C1586="DE",3,(IF(C1586="RS",4,(IF(C1586="RC",5,0)))))))))</f>
        <v>2</v>
      </c>
      <c r="E1586" s="33" t="s">
        <v>345</v>
      </c>
      <c r="F1586" s="33">
        <f>IF(E1586="AM",1,(IF(E1586="BE",2,(IF(E1586="GV",3,(IF(E1586="RA",4,(IF(E1586="RM",5,(IF(E1586="AC",1,(IF(E1586="AT",2,(IF(E1586="DS",3,(IF(E1586="IP",4,(IF(E1586="MA",5,(IF(E1586="PT",6,(IF(E1586="AE",1,(IF(E1586="CM",2,(IF(E1586="DP",3,(IF(E1586="AN",1,(IF(E1586="CO",2,(IF(E1586="IM",3,(IF(E1586="MI",4,(IF(E1586="RP",5,(IF(E1586="SC",6,0)))))))))))))))))))))))))))))))))))))))</f>
        <v>6</v>
      </c>
      <c r="G1586" s="170">
        <v>2</v>
      </c>
      <c r="H1586" s="38" t="s">
        <v>511</v>
      </c>
      <c r="I1586" s="3" t="s">
        <v>1449</v>
      </c>
      <c r="J1586" s="157" t="s">
        <v>2329</v>
      </c>
      <c r="K1586" s="34" t="s">
        <v>2330</v>
      </c>
      <c r="L1586" s="5">
        <f>IF(O1586="","",N1586*O1586*M1586)</f>
        <v>99</v>
      </c>
      <c r="M1586" s="8">
        <v>1</v>
      </c>
      <c r="N1586" s="1">
        <v>1</v>
      </c>
      <c r="O1586" s="15">
        <f>IF(SUM(Q1586:AF1586)&lt;1,"",SUM(Q1586:AF1586)/COUNTIF(Q1586:AF1586,"&gt;0"))</f>
        <v>99</v>
      </c>
      <c r="P1586" s="16"/>
      <c r="Q1586" s="13"/>
      <c r="R1586" s="4"/>
      <c r="S1586" s="4"/>
      <c r="T1586" s="4">
        <v>99</v>
      </c>
      <c r="U1586" s="2"/>
      <c r="V1586" s="2"/>
      <c r="W1586" s="2"/>
      <c r="X1586" s="2"/>
      <c r="Y1586" s="4"/>
      <c r="Z1586" s="2"/>
      <c r="AA1586" s="2"/>
      <c r="AB1586" s="4"/>
      <c r="AC1586" s="4"/>
      <c r="AD1586" s="4"/>
      <c r="AE1586" s="4"/>
      <c r="AF1586" s="14"/>
    </row>
    <row r="1587" spans="1:32" x14ac:dyDescent="0.25">
      <c r="A1587" s="33" t="str">
        <f>CONCATENATE(D1587,".",F1587,"-",G1587,".",H1587,"")</f>
        <v>2.6-2.1</v>
      </c>
      <c r="C1587" s="39" t="s">
        <v>262</v>
      </c>
      <c r="D1587" s="33">
        <f>IF(C1587="ID",1,(IF(C1587="PR",2,(IF(C1587="DE",3,(IF(C1587="RS",4,(IF(C1587="RC",5,0)))))))))</f>
        <v>2</v>
      </c>
      <c r="E1587" s="33" t="s">
        <v>345</v>
      </c>
      <c r="F1587" s="33">
        <f>IF(E1587="AM",1,(IF(E1587="BE",2,(IF(E1587="GV",3,(IF(E1587="RA",4,(IF(E1587="RM",5,(IF(E1587="AC",1,(IF(E1587="AT",2,(IF(E1587="DS",3,(IF(E1587="IP",4,(IF(E1587="MA",5,(IF(E1587="PT",6,(IF(E1587="AE",1,(IF(E1587="CM",2,(IF(E1587="DP",3,(IF(E1587="AN",1,(IF(E1587="CO",2,(IF(E1587="IM",3,(IF(E1587="MI",4,(IF(E1587="RP",5,(IF(E1587="SC",6,0)))))))))))))))))))))))))))))))))))))))</f>
        <v>6</v>
      </c>
      <c r="G1587" s="170">
        <v>2</v>
      </c>
      <c r="H1587" s="38" t="s">
        <v>511</v>
      </c>
      <c r="I1587" s="3" t="s">
        <v>1449</v>
      </c>
      <c r="J1587" s="157" t="s">
        <v>2331</v>
      </c>
      <c r="K1587" s="34" t="s">
        <v>2332</v>
      </c>
      <c r="L1587" s="5">
        <f>IF(O1587="","",N1587*O1587*M1587)</f>
        <v>99</v>
      </c>
      <c r="M1587" s="8">
        <v>1</v>
      </c>
      <c r="N1587" s="1">
        <v>1</v>
      </c>
      <c r="O1587" s="15">
        <f>IF(SUM(Q1587:AF1587)&lt;1,"",SUM(Q1587:AF1587)/COUNTIF(Q1587:AF1587,"&gt;0"))</f>
        <v>99</v>
      </c>
      <c r="P1587" s="16"/>
      <c r="Q1587" s="13"/>
      <c r="R1587" s="4"/>
      <c r="S1587" s="4"/>
      <c r="T1587" s="4">
        <v>99</v>
      </c>
      <c r="U1587" s="2"/>
      <c r="V1587" s="2"/>
      <c r="W1587" s="2"/>
      <c r="X1587" s="2"/>
      <c r="Y1587" s="4"/>
      <c r="Z1587" s="2"/>
      <c r="AA1587" s="2"/>
      <c r="AB1587" s="4"/>
      <c r="AC1587" s="4"/>
      <c r="AD1587" s="4"/>
      <c r="AE1587" s="4"/>
      <c r="AF1587" s="14"/>
    </row>
    <row r="1588" spans="1:32" x14ac:dyDescent="0.25">
      <c r="A1588" s="33" t="str">
        <f>CONCATENATE(D1588,".",F1588,"-",G1588,".",H1588,"")</f>
        <v>2.6-2.1</v>
      </c>
      <c r="C1588" s="39" t="s">
        <v>262</v>
      </c>
      <c r="D1588" s="33">
        <f>IF(C1588="ID",1,(IF(C1588="PR",2,(IF(C1588="DE",3,(IF(C1588="RS",4,(IF(C1588="RC",5,0)))))))))</f>
        <v>2</v>
      </c>
      <c r="E1588" s="33" t="s">
        <v>345</v>
      </c>
      <c r="F1588" s="33">
        <f>IF(E1588="AM",1,(IF(E1588="BE",2,(IF(E1588="GV",3,(IF(E1588="RA",4,(IF(E1588="RM",5,(IF(E1588="AC",1,(IF(E1588="AT",2,(IF(E1588="DS",3,(IF(E1588="IP",4,(IF(E1588="MA",5,(IF(E1588="PT",6,(IF(E1588="AE",1,(IF(E1588="CM",2,(IF(E1588="DP",3,(IF(E1588="AN",1,(IF(E1588="CO",2,(IF(E1588="IM",3,(IF(E1588="MI",4,(IF(E1588="RP",5,(IF(E1588="SC",6,0)))))))))))))))))))))))))))))))))))))))</f>
        <v>6</v>
      </c>
      <c r="G1588" s="170">
        <v>2</v>
      </c>
      <c r="H1588" s="38" t="s">
        <v>511</v>
      </c>
      <c r="I1588" s="3" t="s">
        <v>1449</v>
      </c>
      <c r="J1588" s="157" t="s">
        <v>2345</v>
      </c>
      <c r="K1588" s="34" t="s">
        <v>2346</v>
      </c>
      <c r="L1588" s="5">
        <f>IF(O1588="","",N1588*O1588*M1588)</f>
        <v>99</v>
      </c>
      <c r="M1588" s="8">
        <v>1</v>
      </c>
      <c r="N1588" s="1">
        <v>1</v>
      </c>
      <c r="O1588" s="15">
        <f>IF(SUM(Q1588:AF1588)&lt;1,"",SUM(Q1588:AF1588)/COUNTIF(Q1588:AF1588,"&gt;0"))</f>
        <v>99</v>
      </c>
      <c r="P1588" s="16"/>
      <c r="Q1588" s="13"/>
      <c r="R1588" s="4"/>
      <c r="S1588" s="4"/>
      <c r="T1588" s="4">
        <v>99</v>
      </c>
      <c r="U1588" s="2"/>
      <c r="V1588" s="2"/>
      <c r="W1588" s="2"/>
      <c r="X1588" s="2"/>
      <c r="Y1588" s="4"/>
      <c r="Z1588" s="2"/>
      <c r="AA1588" s="2"/>
      <c r="AB1588" s="4"/>
      <c r="AC1588" s="4"/>
      <c r="AD1588" s="4"/>
      <c r="AE1588" s="4"/>
      <c r="AF1588" s="14"/>
    </row>
    <row r="1589" spans="1:32" x14ac:dyDescent="0.25">
      <c r="A1589" s="33" t="str">
        <f>CONCATENATE(D1589,".",F1589,"-",G1589,".",H1589,"")</f>
        <v>2.6-2.1</v>
      </c>
      <c r="C1589" s="39" t="s">
        <v>262</v>
      </c>
      <c r="D1589" s="33">
        <f>IF(C1589="ID",1,(IF(C1589="PR",2,(IF(C1589="DE",3,(IF(C1589="RS",4,(IF(C1589="RC",5,0)))))))))</f>
        <v>2</v>
      </c>
      <c r="E1589" s="33" t="s">
        <v>345</v>
      </c>
      <c r="F1589" s="33">
        <f>IF(E1589="AM",1,(IF(E1589="BE",2,(IF(E1589="GV",3,(IF(E1589="RA",4,(IF(E1589="RM",5,(IF(E1589="AC",1,(IF(E1589="AT",2,(IF(E1589="DS",3,(IF(E1589="IP",4,(IF(E1589="MA",5,(IF(E1589="PT",6,(IF(E1589="AE",1,(IF(E1589="CM",2,(IF(E1589="DP",3,(IF(E1589="AN",1,(IF(E1589="CO",2,(IF(E1589="IM",3,(IF(E1589="MI",4,(IF(E1589="RP",5,(IF(E1589="SC",6,0)))))))))))))))))))))))))))))))))))))))</f>
        <v>6</v>
      </c>
      <c r="G1589" s="170">
        <v>2</v>
      </c>
      <c r="H1589" s="38" t="s">
        <v>511</v>
      </c>
      <c r="I1589" s="3" t="s">
        <v>1449</v>
      </c>
      <c r="J1589" s="157" t="s">
        <v>2347</v>
      </c>
      <c r="K1589" s="34" t="s">
        <v>2348</v>
      </c>
      <c r="L1589" s="5">
        <f>IF(O1589="","",N1589*O1589*M1589)</f>
        <v>99</v>
      </c>
      <c r="M1589" s="8">
        <v>1</v>
      </c>
      <c r="N1589" s="1">
        <v>1</v>
      </c>
      <c r="O1589" s="15">
        <f>IF(SUM(Q1589:AF1589)&lt;1,"",SUM(Q1589:AF1589)/COUNTIF(Q1589:AF1589,"&gt;0"))</f>
        <v>99</v>
      </c>
      <c r="P1589" s="16"/>
      <c r="Q1589" s="13"/>
      <c r="R1589" s="4"/>
      <c r="S1589" s="4"/>
      <c r="T1589" s="4">
        <v>99</v>
      </c>
      <c r="U1589" s="2"/>
      <c r="V1589" s="2"/>
      <c r="W1589" s="2"/>
      <c r="X1589" s="2"/>
      <c r="Y1589" s="4"/>
      <c r="Z1589" s="2"/>
      <c r="AA1589" s="2"/>
      <c r="AB1589" s="4"/>
      <c r="AC1589" s="4"/>
      <c r="AD1589" s="4"/>
      <c r="AE1589" s="4"/>
      <c r="AF1589" s="14"/>
    </row>
    <row r="1590" spans="1:32" x14ac:dyDescent="0.25">
      <c r="A1590" s="33" t="str">
        <f>CONCATENATE(D1590,".",F1590,"-",G1590,".",H1590,"")</f>
        <v>2.6-2.1</v>
      </c>
      <c r="C1590" s="39" t="s">
        <v>262</v>
      </c>
      <c r="D1590" s="33">
        <f>IF(C1590="ID",1,(IF(C1590="PR",2,(IF(C1590="DE",3,(IF(C1590="RS",4,(IF(C1590="RC",5,0)))))))))</f>
        <v>2</v>
      </c>
      <c r="E1590" s="33" t="s">
        <v>345</v>
      </c>
      <c r="F1590" s="33">
        <f>IF(E1590="AM",1,(IF(E1590="BE",2,(IF(E1590="GV",3,(IF(E1590="RA",4,(IF(E1590="RM",5,(IF(E1590="AC",1,(IF(E1590="AT",2,(IF(E1590="DS",3,(IF(E1590="IP",4,(IF(E1590="MA",5,(IF(E1590="PT",6,(IF(E1590="AE",1,(IF(E1590="CM",2,(IF(E1590="DP",3,(IF(E1590="AN",1,(IF(E1590="CO",2,(IF(E1590="IM",3,(IF(E1590="MI",4,(IF(E1590="RP",5,(IF(E1590="SC",6,0)))))))))))))))))))))))))))))))))))))))</f>
        <v>6</v>
      </c>
      <c r="G1590" s="170">
        <v>2</v>
      </c>
      <c r="H1590" s="38" t="s">
        <v>511</v>
      </c>
      <c r="I1590" s="3" t="s">
        <v>1449</v>
      </c>
      <c r="J1590" s="157" t="s">
        <v>2349</v>
      </c>
      <c r="K1590" s="34" t="s">
        <v>2350</v>
      </c>
      <c r="L1590" s="5">
        <f>IF(O1590="","",N1590*O1590*M1590)</f>
        <v>99</v>
      </c>
      <c r="M1590" s="8">
        <v>1</v>
      </c>
      <c r="N1590" s="1">
        <v>1</v>
      </c>
      <c r="O1590" s="15">
        <f>IF(SUM(Q1590:AF1590)&lt;1,"",SUM(Q1590:AF1590)/COUNTIF(Q1590:AF1590,"&gt;0"))</f>
        <v>99</v>
      </c>
      <c r="P1590" s="16"/>
      <c r="Q1590" s="13"/>
      <c r="R1590" s="4"/>
      <c r="S1590" s="4"/>
      <c r="T1590" s="4">
        <v>99</v>
      </c>
      <c r="U1590" s="2"/>
      <c r="V1590" s="2"/>
      <c r="W1590" s="2"/>
      <c r="X1590" s="2"/>
      <c r="Y1590" s="4"/>
      <c r="Z1590" s="2"/>
      <c r="AA1590" s="2"/>
      <c r="AB1590" s="4"/>
      <c r="AC1590" s="4"/>
      <c r="AD1590" s="4"/>
      <c r="AE1590" s="4"/>
      <c r="AF1590" s="14"/>
    </row>
    <row r="1591" spans="1:32" x14ac:dyDescent="0.25">
      <c r="A1591" s="33" t="str">
        <f>CONCATENATE(D1591,".",F1591,"-",G1591,".",H1591,"")</f>
        <v>2.6-2.2</v>
      </c>
      <c r="B1591" s="33" t="s">
        <v>814</v>
      </c>
      <c r="C1591" s="40" t="s">
        <v>262</v>
      </c>
      <c r="D1591" s="33">
        <f>IF(C1591="ID",1,(IF(C1591="PR",2,(IF(C1591="DE",3,(IF(C1591="RS",4,(IF(C1591="RC",5,0)))))))))</f>
        <v>2</v>
      </c>
      <c r="E1591" s="33" t="s">
        <v>345</v>
      </c>
      <c r="F1591" s="33">
        <f>IF(E1591="AM",1,(IF(E1591="BE",2,(IF(E1591="GV",3,(IF(E1591="RA",4,(IF(E1591="RM",5,(IF(E1591="AC",1,(IF(E1591="AT",2,(IF(E1591="DS",3,(IF(E1591="IP",4,(IF(E1591="MA",5,(IF(E1591="PT",6,(IF(E1591="AE",1,(IF(E1591="CM",2,(IF(E1591="DP",3,(IF(E1591="AN",1,(IF(E1591="CO",2,(IF(E1591="IM",3,(IF(E1591="MI",4,(IF(E1591="RP",5,(IF(E1591="SC",6,0)))))))))))))))))))))))))))))))))))))))</f>
        <v>6</v>
      </c>
      <c r="G1591" s="171">
        <v>2</v>
      </c>
      <c r="H1591" s="38" t="s">
        <v>512</v>
      </c>
      <c r="I1591" s="3" t="s">
        <v>821</v>
      </c>
      <c r="J1591" s="150">
        <v>9.6</v>
      </c>
      <c r="K1591" s="79" t="s">
        <v>1283</v>
      </c>
      <c r="L1591" s="66">
        <f>IF(O1591="","",N1591*O1591*M1591)</f>
        <v>75</v>
      </c>
      <c r="M1591" s="8">
        <v>1</v>
      </c>
      <c r="N1591" s="3">
        <v>1</v>
      </c>
      <c r="O1591" s="15">
        <f>IF(SUM(Q1591:AF1591)&lt;1,"",SUM(Q1591:AF1591)/COUNTIF(Q1591:AF1591,"&gt;0"))</f>
        <v>75</v>
      </c>
      <c r="P1591" s="16"/>
      <c r="Q1591" s="13"/>
      <c r="R1591" s="4"/>
      <c r="S1591" s="4"/>
      <c r="T1591" s="4">
        <v>75</v>
      </c>
      <c r="U1591" s="2"/>
      <c r="V1591" s="2"/>
      <c r="W1591" s="2"/>
      <c r="X1591" s="2"/>
      <c r="Y1591" s="4"/>
      <c r="Z1591" s="2"/>
      <c r="AA1591" s="2"/>
      <c r="AB1591" s="4"/>
      <c r="AC1591" s="4"/>
      <c r="AD1591" s="4"/>
      <c r="AE1591" s="4"/>
      <c r="AF1591" s="14"/>
    </row>
    <row r="1592" spans="1:32" x14ac:dyDescent="0.25">
      <c r="A1592" s="33" t="str">
        <f>CONCATENATE(D1592,".",F1592,"-",G1592,".",H1592,"")</f>
        <v>2.6-2.2</v>
      </c>
      <c r="B1592" s="33" t="s">
        <v>814</v>
      </c>
      <c r="C1592" s="39" t="s">
        <v>262</v>
      </c>
      <c r="D1592" s="33">
        <f>IF(C1592="ID",1,(IF(C1592="PR",2,(IF(C1592="DE",3,(IF(C1592="RS",4,(IF(C1592="RC",5,0)))))))))</f>
        <v>2</v>
      </c>
      <c r="E1592" s="33" t="s">
        <v>345</v>
      </c>
      <c r="F1592" s="33">
        <f>IF(E1592="AM",1,(IF(E1592="BE",2,(IF(E1592="GV",3,(IF(E1592="RA",4,(IF(E1592="RM",5,(IF(E1592="AC",1,(IF(E1592="AT",2,(IF(E1592="DS",3,(IF(E1592="IP",4,(IF(E1592="MA",5,(IF(E1592="PT",6,(IF(E1592="AE",1,(IF(E1592="CM",2,(IF(E1592="DP",3,(IF(E1592="AN",1,(IF(E1592="CO",2,(IF(E1592="IM",3,(IF(E1592="MI",4,(IF(E1592="RP",5,(IF(E1592="SC",6,0)))))))))))))))))))))))))))))))))))))))</f>
        <v>6</v>
      </c>
      <c r="G1592" s="170">
        <v>2</v>
      </c>
      <c r="H1592" s="38" t="s">
        <v>512</v>
      </c>
      <c r="I1592" s="3" t="s">
        <v>821</v>
      </c>
      <c r="J1592" s="150" t="s">
        <v>182</v>
      </c>
      <c r="K1592" s="79" t="s">
        <v>1283</v>
      </c>
      <c r="L1592" s="66">
        <f>IF(O1592="","",N1592*O1592*M1592)</f>
        <v>75</v>
      </c>
      <c r="M1592" s="8">
        <v>1</v>
      </c>
      <c r="N1592" s="3">
        <v>1</v>
      </c>
      <c r="O1592" s="15">
        <f>IF(SUM(Q1592:AF1592)&lt;1,"",SUM(Q1592:AF1592)/COUNTIF(Q1592:AF1592,"&gt;0"))</f>
        <v>75</v>
      </c>
      <c r="P1592" s="16"/>
      <c r="Q1592" s="13"/>
      <c r="R1592" s="4"/>
      <c r="S1592" s="4"/>
      <c r="T1592" s="4">
        <v>75</v>
      </c>
      <c r="U1592" s="2"/>
      <c r="V1592" s="2"/>
      <c r="W1592" s="2"/>
      <c r="X1592" s="2"/>
      <c r="Y1592" s="4"/>
      <c r="Z1592" s="2"/>
      <c r="AA1592" s="2"/>
      <c r="AB1592" s="4"/>
      <c r="AC1592" s="4"/>
      <c r="AD1592" s="4"/>
      <c r="AE1592" s="4"/>
      <c r="AF1592" s="14"/>
    </row>
    <row r="1593" spans="1:32" x14ac:dyDescent="0.25">
      <c r="A1593" s="33" t="str">
        <f>CONCATENATE(D1593,".",F1593,"-",G1593,".",H1593,"")</f>
        <v>2.6-2.2</v>
      </c>
      <c r="B1593" s="33" t="s">
        <v>814</v>
      </c>
      <c r="C1593" s="39" t="s">
        <v>262</v>
      </c>
      <c r="D1593" s="33">
        <f>IF(C1593="ID",1,(IF(C1593="PR",2,(IF(C1593="DE",3,(IF(C1593="RS",4,(IF(C1593="RC",5,0)))))))))</f>
        <v>2</v>
      </c>
      <c r="E1593" s="33" t="s">
        <v>345</v>
      </c>
      <c r="F1593" s="33">
        <f>IF(E1593="AM",1,(IF(E1593="BE",2,(IF(E1593="GV",3,(IF(E1593="RA",4,(IF(E1593="RM",5,(IF(E1593="AC",1,(IF(E1593="AT",2,(IF(E1593="DS",3,(IF(E1593="IP",4,(IF(E1593="MA",5,(IF(E1593="PT",6,(IF(E1593="AE",1,(IF(E1593="CM",2,(IF(E1593="DP",3,(IF(E1593="AN",1,(IF(E1593="CO",2,(IF(E1593="IM",3,(IF(E1593="MI",4,(IF(E1593="RP",5,(IF(E1593="SC",6,0)))))))))))))))))))))))))))))))))))))))</f>
        <v>6</v>
      </c>
      <c r="G1593" s="170">
        <v>2</v>
      </c>
      <c r="H1593" s="38" t="s">
        <v>512</v>
      </c>
      <c r="I1593" s="3" t="s">
        <v>821</v>
      </c>
      <c r="J1593" s="150" t="s">
        <v>69</v>
      </c>
      <c r="K1593" s="79" t="s">
        <v>1283</v>
      </c>
      <c r="L1593" s="66">
        <f>IF(O1593="","",N1593*O1593*M1593)</f>
        <v>75</v>
      </c>
      <c r="M1593" s="8">
        <v>1</v>
      </c>
      <c r="N1593" s="3">
        <v>1</v>
      </c>
      <c r="O1593" s="15">
        <f>IF(SUM(Q1593:AF1593)&lt;1,"",SUM(Q1593:AF1593)/COUNTIF(Q1593:AF1593,"&gt;0"))</f>
        <v>75</v>
      </c>
      <c r="P1593" s="16"/>
      <c r="Q1593" s="13"/>
      <c r="R1593" s="4"/>
      <c r="S1593" s="4"/>
      <c r="T1593" s="4">
        <v>75</v>
      </c>
      <c r="U1593" s="2"/>
      <c r="V1593" s="2"/>
      <c r="W1593" s="2"/>
      <c r="X1593" s="2"/>
      <c r="Y1593" s="4"/>
      <c r="Z1593" s="2"/>
      <c r="AA1593" s="2"/>
      <c r="AB1593" s="4"/>
      <c r="AC1593" s="4"/>
      <c r="AD1593" s="4"/>
      <c r="AE1593" s="4"/>
      <c r="AF1593" s="14"/>
    </row>
    <row r="1594" spans="1:32" x14ac:dyDescent="0.25">
      <c r="A1594" s="33" t="str">
        <f>CONCATENATE(D1594,".",F1594,"-",G1594,".",H1594,"")</f>
        <v>2.6-2.3</v>
      </c>
      <c r="B1594" s="33" t="s">
        <v>814</v>
      </c>
      <c r="C1594" s="40" t="s">
        <v>262</v>
      </c>
      <c r="D1594" s="33">
        <f>IF(C1594="ID",1,(IF(C1594="PR",2,(IF(C1594="DE",3,(IF(C1594="RS",4,(IF(C1594="RC",5,0)))))))))</f>
        <v>2</v>
      </c>
      <c r="E1594" s="33" t="s">
        <v>345</v>
      </c>
      <c r="F1594" s="33">
        <f>IF(E1594="AM",1,(IF(E1594="BE",2,(IF(E1594="GV",3,(IF(E1594="RA",4,(IF(E1594="RM",5,(IF(E1594="AC",1,(IF(E1594="AT",2,(IF(E1594="DS",3,(IF(E1594="IP",4,(IF(E1594="MA",5,(IF(E1594="PT",6,(IF(E1594="AE",1,(IF(E1594="CM",2,(IF(E1594="DP",3,(IF(E1594="AN",1,(IF(E1594="CO",2,(IF(E1594="IM",3,(IF(E1594="MI",4,(IF(E1594="RP",5,(IF(E1594="SC",6,0)))))))))))))))))))))))))))))))))))))))</f>
        <v>6</v>
      </c>
      <c r="G1594" s="171">
        <v>2</v>
      </c>
      <c r="H1594" s="38" t="s">
        <v>513</v>
      </c>
      <c r="I1594" s="3" t="s">
        <v>821</v>
      </c>
      <c r="J1594" s="150">
        <v>9.5</v>
      </c>
      <c r="K1594" s="79" t="s">
        <v>1283</v>
      </c>
      <c r="L1594" s="66">
        <f>IF(O1594="","",N1594*O1594*M1594)</f>
        <v>75</v>
      </c>
      <c r="M1594" s="8">
        <v>1</v>
      </c>
      <c r="N1594" s="3">
        <v>1</v>
      </c>
      <c r="O1594" s="15">
        <f>IF(SUM(Q1594:AF1594)&lt;1,"",SUM(Q1594:AF1594)/COUNTIF(Q1594:AF1594,"&gt;0"))</f>
        <v>75</v>
      </c>
      <c r="P1594" s="16"/>
      <c r="Q1594" s="13"/>
      <c r="R1594" s="4"/>
      <c r="S1594" s="4"/>
      <c r="T1594" s="4">
        <v>75</v>
      </c>
      <c r="U1594" s="2"/>
      <c r="V1594" s="2"/>
      <c r="W1594" s="2"/>
      <c r="X1594" s="2"/>
      <c r="Y1594" s="4"/>
      <c r="Z1594" s="2"/>
      <c r="AA1594" s="2"/>
      <c r="AB1594" s="4"/>
      <c r="AC1594" s="4"/>
      <c r="AD1594" s="4"/>
      <c r="AE1594" s="4"/>
      <c r="AF1594" s="14"/>
    </row>
    <row r="1595" spans="1:32" x14ac:dyDescent="0.25">
      <c r="A1595" s="33" t="str">
        <f>CONCATENATE(D1595,".",F1595,"-",G1595,".",H1595,"")</f>
        <v>2.6-2.9</v>
      </c>
      <c r="C1595" s="39" t="s">
        <v>262</v>
      </c>
      <c r="D1595" s="33">
        <f>IF(C1595="ID",1,(IF(C1595="PR",2,(IF(C1595="DE",3,(IF(C1595="RS",4,(IF(C1595="RC",5,0)))))))))</f>
        <v>2</v>
      </c>
      <c r="E1595" s="33" t="s">
        <v>345</v>
      </c>
      <c r="F1595" s="33">
        <f>IF(E1595="AM",1,(IF(E1595="BE",2,(IF(E1595="GV",3,(IF(E1595="RA",4,(IF(E1595="RM",5,(IF(E1595="AC",1,(IF(E1595="AT",2,(IF(E1595="DS",3,(IF(E1595="IP",4,(IF(E1595="MA",5,(IF(E1595="PT",6,(IF(E1595="AE",1,(IF(E1595="CM",2,(IF(E1595="DP",3,(IF(E1595="AN",1,(IF(E1595="CO",2,(IF(E1595="IM",3,(IF(E1595="MI",4,(IF(E1595="RP",5,(IF(E1595="SC",6,0)))))))))))))))))))))))))))))))))))))))</f>
        <v>6</v>
      </c>
      <c r="G1595" s="170">
        <v>2</v>
      </c>
      <c r="H1595" s="38" t="s">
        <v>596</v>
      </c>
      <c r="I1595" s="3" t="s">
        <v>1449</v>
      </c>
      <c r="J1595" s="157" t="s">
        <v>2897</v>
      </c>
      <c r="K1595" s="34" t="s">
        <v>2898</v>
      </c>
      <c r="L1595" s="5">
        <f>IF(O1595="","",N1595*O1595*M1595)</f>
        <v>99</v>
      </c>
      <c r="M1595" s="8">
        <v>1</v>
      </c>
      <c r="N1595" s="1">
        <v>1</v>
      </c>
      <c r="O1595" s="15">
        <f>IF(SUM(Q1595:AF1595)&lt;1,"",SUM(Q1595:AF1595)/COUNTIF(Q1595:AF1595,"&gt;0"))</f>
        <v>99</v>
      </c>
      <c r="P1595" s="16"/>
      <c r="Q1595" s="13"/>
      <c r="R1595" s="4"/>
      <c r="S1595" s="4"/>
      <c r="T1595" s="4">
        <v>99</v>
      </c>
      <c r="U1595" s="2"/>
      <c r="V1595" s="2"/>
      <c r="W1595" s="2"/>
      <c r="X1595" s="2"/>
      <c r="Y1595" s="4"/>
      <c r="Z1595" s="2"/>
      <c r="AA1595" s="2"/>
      <c r="AB1595" s="4"/>
      <c r="AC1595" s="4"/>
      <c r="AD1595" s="4"/>
      <c r="AE1595" s="4"/>
      <c r="AF1595" s="14"/>
    </row>
    <row r="1596" spans="1:32" x14ac:dyDescent="0.25">
      <c r="A1596" s="33" t="str">
        <f>CONCATENATE(D1596,".",F1596,"-",G1596,".",H1596,"")</f>
        <v>2.6-3.0</v>
      </c>
      <c r="B1596" s="33" t="s">
        <v>814</v>
      </c>
      <c r="C1596" s="40" t="s">
        <v>262</v>
      </c>
      <c r="D1596" s="33">
        <f>IF(C1596="ID",1,(IF(C1596="PR",2,(IF(C1596="DE",3,(IF(C1596="RS",4,(IF(C1596="RC",5,0)))))))))</f>
        <v>2</v>
      </c>
      <c r="E1596" s="33" t="s">
        <v>345</v>
      </c>
      <c r="F1596" s="33">
        <f>IF(E1596="AM",1,(IF(E1596="BE",2,(IF(E1596="GV",3,(IF(E1596="RA",4,(IF(E1596="RM",5,(IF(E1596="AC",1,(IF(E1596="AT",2,(IF(E1596="DS",3,(IF(E1596="IP",4,(IF(E1596="MA",5,(IF(E1596="PT",6,(IF(E1596="AE",1,(IF(E1596="CM",2,(IF(E1596="DP",3,(IF(E1596="AN",1,(IF(E1596="CO",2,(IF(E1596="IM",3,(IF(E1596="MI",4,(IF(E1596="RP",5,(IF(E1596="SC",6,0)))))))))))))))))))))))))))))))))))))))</f>
        <v>6</v>
      </c>
      <c r="G1596" s="170">
        <v>3</v>
      </c>
      <c r="H1596" s="38" t="s">
        <v>597</v>
      </c>
      <c r="I1596" s="22" t="s">
        <v>1200</v>
      </c>
      <c r="J1596" s="149" t="s">
        <v>697</v>
      </c>
      <c r="K1596" s="98" t="s">
        <v>1195</v>
      </c>
      <c r="L1596" s="5">
        <f>IF(O1596="","",N1596*O1596*M1596)</f>
        <v>75</v>
      </c>
      <c r="M1596" s="8">
        <v>1</v>
      </c>
      <c r="N1596" s="1">
        <v>1</v>
      </c>
      <c r="O1596" s="15">
        <f>IF(SUM(Q1596:AF1596)&lt;1,"",SUM(Q1596:AF1596)/COUNTIF(Q1596:AF1596,"&gt;0"))</f>
        <v>75</v>
      </c>
      <c r="P1596" s="16"/>
      <c r="Q1596" s="13"/>
      <c r="R1596" s="4"/>
      <c r="S1596" s="4"/>
      <c r="T1596" s="4">
        <v>75</v>
      </c>
      <c r="U1596" s="2"/>
      <c r="V1596" s="2"/>
      <c r="W1596" s="2"/>
      <c r="X1596" s="2"/>
      <c r="Y1596" s="4"/>
      <c r="Z1596" s="2"/>
      <c r="AA1596" s="2"/>
      <c r="AB1596" s="4"/>
      <c r="AC1596" s="4"/>
      <c r="AD1596" s="4"/>
      <c r="AE1596" s="4"/>
      <c r="AF1596" s="14"/>
    </row>
    <row r="1597" spans="1:32" x14ac:dyDescent="0.25">
      <c r="A1597" s="33" t="str">
        <f>CONCATENATE(D1597,".",F1597,"-",G1597,".",H1597,"")</f>
        <v>2.6-3.1</v>
      </c>
      <c r="B1597" s="33" t="s">
        <v>814</v>
      </c>
      <c r="C1597" s="39" t="s">
        <v>262</v>
      </c>
      <c r="D1597" s="33">
        <f>IF(C1597="ID",1,(IF(C1597="PR",2,(IF(C1597="DE",3,(IF(C1597="RS",4,(IF(C1597="RC",5,0)))))))))</f>
        <v>2</v>
      </c>
      <c r="E1597" s="33" t="s">
        <v>345</v>
      </c>
      <c r="F1597" s="33">
        <f>IF(E1597="AM",1,(IF(E1597="BE",2,(IF(E1597="GV",3,(IF(E1597="RA",4,(IF(E1597="RM",5,(IF(E1597="AC",1,(IF(E1597="AT",2,(IF(E1597="DS",3,(IF(E1597="IP",4,(IF(E1597="MA",5,(IF(E1597="PT",6,(IF(E1597="AE",1,(IF(E1597="CM",2,(IF(E1597="DP",3,(IF(E1597="AN",1,(IF(E1597="CO",2,(IF(E1597="IM",3,(IF(E1597="MI",4,(IF(E1597="RP",5,(IF(E1597="SC",6,0)))))))))))))))))))))))))))))))))))))))</f>
        <v>6</v>
      </c>
      <c r="G1597" s="170">
        <v>3</v>
      </c>
      <c r="H1597" s="38" t="s">
        <v>511</v>
      </c>
      <c r="I1597" s="3" t="s">
        <v>821</v>
      </c>
      <c r="J1597" s="150">
        <v>1.3</v>
      </c>
      <c r="K1597" s="79" t="s">
        <v>1283</v>
      </c>
      <c r="L1597" s="66">
        <f>IF(O1597="","",N1597*O1597*M1597)</f>
        <v>75</v>
      </c>
      <c r="M1597" s="8">
        <v>1</v>
      </c>
      <c r="N1597" s="3">
        <v>1</v>
      </c>
      <c r="O1597" s="15">
        <f>IF(SUM(Q1597:AF1597)&lt;1,"",SUM(Q1597:AF1597)/COUNTIF(Q1597:AF1597,"&gt;0"))</f>
        <v>75</v>
      </c>
      <c r="P1597" s="16"/>
      <c r="Q1597" s="13"/>
      <c r="R1597" s="4"/>
      <c r="S1597" s="4"/>
      <c r="T1597" s="4">
        <v>75</v>
      </c>
      <c r="U1597" s="2"/>
      <c r="V1597" s="2"/>
      <c r="W1597" s="2"/>
      <c r="X1597" s="2"/>
      <c r="Y1597" s="4"/>
      <c r="Z1597" s="2"/>
      <c r="AA1597" s="2"/>
      <c r="AB1597" s="4"/>
      <c r="AC1597" s="4"/>
      <c r="AD1597" s="4"/>
      <c r="AE1597" s="4"/>
      <c r="AF1597" s="14"/>
    </row>
    <row r="1598" spans="1:32" x14ac:dyDescent="0.25">
      <c r="A1598" s="33" t="str">
        <f>CONCATENATE(D1598,".",F1598,"-",G1598,".",H1598,"")</f>
        <v>2.6-3.1</v>
      </c>
      <c r="B1598" s="33" t="s">
        <v>814</v>
      </c>
      <c r="C1598" s="39" t="s">
        <v>262</v>
      </c>
      <c r="D1598" s="33">
        <f>IF(C1598="ID",1,(IF(C1598="PR",2,(IF(C1598="DE",3,(IF(C1598="RS",4,(IF(C1598="RC",5,0)))))))))</f>
        <v>2</v>
      </c>
      <c r="E1598" s="33" t="s">
        <v>345</v>
      </c>
      <c r="F1598" s="33">
        <f>IF(E1598="AM",1,(IF(E1598="BE",2,(IF(E1598="GV",3,(IF(E1598="RA",4,(IF(E1598="RM",5,(IF(E1598="AC",1,(IF(E1598="AT",2,(IF(E1598="DS",3,(IF(E1598="IP",4,(IF(E1598="MA",5,(IF(E1598="PT",6,(IF(E1598="AE",1,(IF(E1598="CM",2,(IF(E1598="DP",3,(IF(E1598="AN",1,(IF(E1598="CO",2,(IF(E1598="IM",3,(IF(E1598="MI",4,(IF(E1598="RP",5,(IF(E1598="SC",6,0)))))))))))))))))))))))))))))))))))))))</f>
        <v>6</v>
      </c>
      <c r="G1598" s="170">
        <v>3</v>
      </c>
      <c r="H1598" s="38" t="s">
        <v>511</v>
      </c>
      <c r="I1598" s="3" t="s">
        <v>821</v>
      </c>
      <c r="J1598" s="150">
        <v>3.5</v>
      </c>
      <c r="K1598" s="79" t="s">
        <v>1283</v>
      </c>
      <c r="L1598" s="66">
        <f>IF(O1598="","",N1598*O1598*M1598)</f>
        <v>75</v>
      </c>
      <c r="M1598" s="8">
        <v>1</v>
      </c>
      <c r="N1598" s="3">
        <v>1</v>
      </c>
      <c r="O1598" s="15">
        <f>IF(SUM(Q1598:AF1598)&lt;1,"",SUM(Q1598:AF1598)/COUNTIF(Q1598:AF1598,"&gt;0"))</f>
        <v>75</v>
      </c>
      <c r="P1598" s="16"/>
      <c r="Q1598" s="13"/>
      <c r="R1598" s="4"/>
      <c r="S1598" s="4"/>
      <c r="T1598" s="4">
        <v>75</v>
      </c>
      <c r="U1598" s="2"/>
      <c r="V1598" s="2"/>
      <c r="W1598" s="2"/>
      <c r="X1598" s="2"/>
      <c r="Y1598" s="4"/>
      <c r="Z1598" s="2"/>
      <c r="AA1598" s="2"/>
      <c r="AB1598" s="4"/>
      <c r="AC1598" s="4"/>
      <c r="AD1598" s="4"/>
      <c r="AE1598" s="4"/>
      <c r="AF1598" s="14"/>
    </row>
    <row r="1599" spans="1:32" x14ac:dyDescent="0.25">
      <c r="A1599" s="33" t="str">
        <f>CONCATENATE(D1599,".",F1599,"-",G1599,".",H1599,"")</f>
        <v>2.6-3.1</v>
      </c>
      <c r="B1599" s="33" t="s">
        <v>814</v>
      </c>
      <c r="C1599" s="39" t="s">
        <v>262</v>
      </c>
      <c r="D1599" s="33">
        <f>IF(C1599="ID",1,(IF(C1599="PR",2,(IF(C1599="DE",3,(IF(C1599="RS",4,(IF(C1599="RC",5,0)))))))))</f>
        <v>2</v>
      </c>
      <c r="E1599" s="33" t="s">
        <v>345</v>
      </c>
      <c r="F1599" s="33">
        <f>IF(E1599="AM",1,(IF(E1599="BE",2,(IF(E1599="GV",3,(IF(E1599="RA",4,(IF(E1599="RM",5,(IF(E1599="AC",1,(IF(E1599="AT",2,(IF(E1599="DS",3,(IF(E1599="IP",4,(IF(E1599="MA",5,(IF(E1599="PT",6,(IF(E1599="AE",1,(IF(E1599="CM",2,(IF(E1599="DP",3,(IF(E1599="AN",1,(IF(E1599="CO",2,(IF(E1599="IM",3,(IF(E1599="MI",4,(IF(E1599="RP",5,(IF(E1599="SC",6,0)))))))))))))))))))))))))))))))))))))))</f>
        <v>6</v>
      </c>
      <c r="G1599" s="170">
        <v>3</v>
      </c>
      <c r="H1599" s="38" t="s">
        <v>511</v>
      </c>
      <c r="I1599" s="3" t="s">
        <v>821</v>
      </c>
      <c r="J1599" s="150">
        <v>7</v>
      </c>
      <c r="K1599" s="79" t="s">
        <v>1283</v>
      </c>
      <c r="L1599" s="66">
        <f>IF(O1599="","",N1599*O1599*M1599)</f>
        <v>75</v>
      </c>
      <c r="M1599" s="8">
        <v>1</v>
      </c>
      <c r="N1599" s="3">
        <v>1</v>
      </c>
      <c r="O1599" s="15">
        <f>IF(SUM(Q1599:AF1599)&lt;1,"",SUM(Q1599:AF1599)/COUNTIF(Q1599:AF1599,"&gt;0"))</f>
        <v>75</v>
      </c>
      <c r="P1599" s="16"/>
      <c r="Q1599" s="13"/>
      <c r="R1599" s="4"/>
      <c r="S1599" s="4"/>
      <c r="T1599" s="4">
        <v>75</v>
      </c>
      <c r="U1599" s="2"/>
      <c r="V1599" s="2"/>
      <c r="W1599" s="2"/>
      <c r="X1599" s="2"/>
      <c r="Y1599" s="4"/>
      <c r="Z1599" s="2"/>
      <c r="AA1599" s="2"/>
      <c r="AB1599" s="4"/>
      <c r="AC1599" s="4"/>
      <c r="AD1599" s="4"/>
      <c r="AE1599" s="4"/>
      <c r="AF1599" s="14"/>
    </row>
    <row r="1600" spans="1:32" x14ac:dyDescent="0.25">
      <c r="A1600" s="33" t="str">
        <f>CONCATENATE(D1600,".",F1600,"-",G1600,".",H1600,"")</f>
        <v>2.6-3.1</v>
      </c>
      <c r="B1600" s="33" t="s">
        <v>814</v>
      </c>
      <c r="C1600" s="39" t="s">
        <v>262</v>
      </c>
      <c r="D1600" s="33">
        <f>IF(C1600="ID",1,(IF(C1600="PR",2,(IF(C1600="DE",3,(IF(C1600="RS",4,(IF(C1600="RC",5,0)))))))))</f>
        <v>2</v>
      </c>
      <c r="E1600" s="33" t="s">
        <v>345</v>
      </c>
      <c r="F1600" s="33">
        <f>IF(E1600="AM",1,(IF(E1600="BE",2,(IF(E1600="GV",3,(IF(E1600="RA",4,(IF(E1600="RM",5,(IF(E1600="AC",1,(IF(E1600="AT",2,(IF(E1600="DS",3,(IF(E1600="IP",4,(IF(E1600="MA",5,(IF(E1600="PT",6,(IF(E1600="AE",1,(IF(E1600="CM",2,(IF(E1600="DP",3,(IF(E1600="AN",1,(IF(E1600="CO",2,(IF(E1600="IM",3,(IF(E1600="MI",4,(IF(E1600="RP",5,(IF(E1600="SC",6,0)))))))))))))))))))))))))))))))))))))))</f>
        <v>6</v>
      </c>
      <c r="G1600" s="170">
        <v>3</v>
      </c>
      <c r="H1600" s="38" t="s">
        <v>511</v>
      </c>
      <c r="I1600" s="3" t="s">
        <v>821</v>
      </c>
      <c r="J1600" s="150">
        <v>7.1</v>
      </c>
      <c r="K1600" s="79" t="s">
        <v>1283</v>
      </c>
      <c r="L1600" s="66">
        <f>IF(O1600="","",N1600*O1600*M1600)</f>
        <v>75</v>
      </c>
      <c r="M1600" s="8">
        <v>1</v>
      </c>
      <c r="N1600" s="3">
        <v>1</v>
      </c>
      <c r="O1600" s="15">
        <f>IF(SUM(Q1600:AF1600)&lt;1,"",SUM(Q1600:AF1600)/COUNTIF(Q1600:AF1600,"&gt;0"))</f>
        <v>75</v>
      </c>
      <c r="P1600" s="16"/>
      <c r="Q1600" s="13"/>
      <c r="R1600" s="4"/>
      <c r="S1600" s="4"/>
      <c r="T1600" s="4">
        <v>75</v>
      </c>
      <c r="U1600" s="2"/>
      <c r="V1600" s="2"/>
      <c r="W1600" s="2"/>
      <c r="X1600" s="2"/>
      <c r="Y1600" s="4"/>
      <c r="Z1600" s="2"/>
      <c r="AA1600" s="2"/>
      <c r="AB1600" s="4"/>
      <c r="AC1600" s="4"/>
      <c r="AD1600" s="4"/>
      <c r="AE1600" s="4"/>
      <c r="AF1600" s="14"/>
    </row>
    <row r="1601" spans="1:32" x14ac:dyDescent="0.25">
      <c r="A1601" s="33" t="str">
        <f>CONCATENATE(D1601,".",F1601,"-",G1601,".",H1601,"")</f>
        <v>2.6-3.1</v>
      </c>
      <c r="B1601" s="33" t="s">
        <v>814</v>
      </c>
      <c r="C1601" s="39" t="s">
        <v>262</v>
      </c>
      <c r="D1601" s="33">
        <f>IF(C1601="ID",1,(IF(C1601="PR",2,(IF(C1601="DE",3,(IF(C1601="RS",4,(IF(C1601="RC",5,0)))))))))</f>
        <v>2</v>
      </c>
      <c r="E1601" s="33" t="s">
        <v>345</v>
      </c>
      <c r="F1601" s="33">
        <f>IF(E1601="AM",1,(IF(E1601="BE",2,(IF(E1601="GV",3,(IF(E1601="RA",4,(IF(E1601="RM",5,(IF(E1601="AC",1,(IF(E1601="AT",2,(IF(E1601="DS",3,(IF(E1601="IP",4,(IF(E1601="MA",5,(IF(E1601="PT",6,(IF(E1601="AE",1,(IF(E1601="CM",2,(IF(E1601="DP",3,(IF(E1601="AN",1,(IF(E1601="CO",2,(IF(E1601="IM",3,(IF(E1601="MI",4,(IF(E1601="RP",5,(IF(E1601="SC",6,0)))))))))))))))))))))))))))))))))))))))</f>
        <v>6</v>
      </c>
      <c r="G1601" s="170">
        <v>3</v>
      </c>
      <c r="H1601" s="38" t="s">
        <v>511</v>
      </c>
      <c r="I1601" s="3" t="s">
        <v>821</v>
      </c>
      <c r="J1601" s="150">
        <v>7.2</v>
      </c>
      <c r="K1601" s="79" t="s">
        <v>1283</v>
      </c>
      <c r="L1601" s="66">
        <f>IF(O1601="","",N1601*O1601*M1601)</f>
        <v>75</v>
      </c>
      <c r="M1601" s="8">
        <v>1</v>
      </c>
      <c r="N1601" s="3">
        <v>1</v>
      </c>
      <c r="O1601" s="15">
        <f>IF(SUM(Q1601:AF1601)&lt;1,"",SUM(Q1601:AF1601)/COUNTIF(Q1601:AF1601,"&gt;0"))</f>
        <v>75</v>
      </c>
      <c r="P1601" s="16"/>
      <c r="Q1601" s="13"/>
      <c r="R1601" s="4"/>
      <c r="S1601" s="4"/>
      <c r="T1601" s="4">
        <v>75</v>
      </c>
      <c r="U1601" s="2"/>
      <c r="V1601" s="2"/>
      <c r="W1601" s="2"/>
      <c r="X1601" s="2"/>
      <c r="Y1601" s="4"/>
      <c r="Z1601" s="2"/>
      <c r="AA1601" s="2"/>
      <c r="AB1601" s="4"/>
      <c r="AC1601" s="4"/>
      <c r="AD1601" s="4"/>
      <c r="AE1601" s="4"/>
      <c r="AF1601" s="14"/>
    </row>
    <row r="1602" spans="1:32" x14ac:dyDescent="0.25">
      <c r="A1602" s="33" t="str">
        <f>CONCATENATE(D1602,".",F1602,"-",G1602,".",H1602,"")</f>
        <v>2.6-3.1</v>
      </c>
      <c r="B1602" s="33" t="s">
        <v>814</v>
      </c>
      <c r="C1602" s="39" t="s">
        <v>262</v>
      </c>
      <c r="D1602" s="33">
        <f>IF(C1602="ID",1,(IF(C1602="PR",2,(IF(C1602="DE",3,(IF(C1602="RS",4,(IF(C1602="RC",5,0)))))))))</f>
        <v>2</v>
      </c>
      <c r="E1602" s="33" t="s">
        <v>345</v>
      </c>
      <c r="F1602" s="33">
        <f>IF(E1602="AM",1,(IF(E1602="BE",2,(IF(E1602="GV",3,(IF(E1602="RA",4,(IF(E1602="RM",5,(IF(E1602="AC",1,(IF(E1602="AT",2,(IF(E1602="DS",3,(IF(E1602="IP",4,(IF(E1602="MA",5,(IF(E1602="PT",6,(IF(E1602="AE",1,(IF(E1602="CM",2,(IF(E1602="DP",3,(IF(E1602="AN",1,(IF(E1602="CO",2,(IF(E1602="IM",3,(IF(E1602="MI",4,(IF(E1602="RP",5,(IF(E1602="SC",6,0)))))))))))))))))))))))))))))))))))))))</f>
        <v>6</v>
      </c>
      <c r="G1602" s="170">
        <v>3</v>
      </c>
      <c r="H1602" s="38" t="s">
        <v>511</v>
      </c>
      <c r="I1602" s="3" t="s">
        <v>821</v>
      </c>
      <c r="J1602" s="150">
        <v>9.3000000000000007</v>
      </c>
      <c r="K1602" s="79" t="s">
        <v>1283</v>
      </c>
      <c r="L1602" s="66">
        <f>IF(O1602="","",N1602*O1602*M1602)</f>
        <v>75</v>
      </c>
      <c r="M1602" s="8">
        <v>1</v>
      </c>
      <c r="N1602" s="3">
        <v>1</v>
      </c>
      <c r="O1602" s="15">
        <f>IF(SUM(Q1602:AF1602)&lt;1,"",SUM(Q1602:AF1602)/COUNTIF(Q1602:AF1602,"&gt;0"))</f>
        <v>75</v>
      </c>
      <c r="P1602" s="16"/>
      <c r="Q1602" s="13"/>
      <c r="R1602" s="4"/>
      <c r="S1602" s="4"/>
      <c r="T1602" s="4">
        <v>75</v>
      </c>
      <c r="U1602" s="2"/>
      <c r="V1602" s="2"/>
      <c r="W1602" s="2"/>
      <c r="X1602" s="2"/>
      <c r="Y1602" s="4"/>
      <c r="Z1602" s="2"/>
      <c r="AA1602" s="2"/>
      <c r="AB1602" s="4"/>
      <c r="AC1602" s="4"/>
      <c r="AD1602" s="4"/>
      <c r="AE1602" s="4"/>
      <c r="AF1602" s="14"/>
    </row>
    <row r="1603" spans="1:32" x14ac:dyDescent="0.25">
      <c r="A1603" s="33" t="str">
        <f>CONCATENATE(D1603,".",F1603,"-",G1603,".",H1603,"")</f>
        <v>2.6-3.1</v>
      </c>
      <c r="B1603" s="33" t="s">
        <v>814</v>
      </c>
      <c r="C1603" s="40" t="s">
        <v>262</v>
      </c>
      <c r="D1603" s="33">
        <f>IF(C1603="ID",1,(IF(C1603="PR",2,(IF(C1603="DE",3,(IF(C1603="RS",4,(IF(C1603="RC",5,0)))))))))</f>
        <v>2</v>
      </c>
      <c r="E1603" s="33" t="s">
        <v>345</v>
      </c>
      <c r="F1603" s="33">
        <f>IF(E1603="AM",1,(IF(E1603="BE",2,(IF(E1603="GV",3,(IF(E1603="RA",4,(IF(E1603="RM",5,(IF(E1603="AC",1,(IF(E1603="AT",2,(IF(E1603="DS",3,(IF(E1603="IP",4,(IF(E1603="MA",5,(IF(E1603="PT",6,(IF(E1603="AE",1,(IF(E1603="CM",2,(IF(E1603="DP",3,(IF(E1603="AN",1,(IF(E1603="CO",2,(IF(E1603="IM",3,(IF(E1603="MI",4,(IF(E1603="RP",5,(IF(E1603="SC",6,0)))))))))))))))))))))))))))))))))))))))</f>
        <v>6</v>
      </c>
      <c r="G1603" s="171">
        <v>3</v>
      </c>
      <c r="H1603" s="38" t="s">
        <v>511</v>
      </c>
      <c r="I1603" s="22" t="s">
        <v>936</v>
      </c>
      <c r="J1603" s="163">
        <v>164.31200000000001</v>
      </c>
      <c r="K1603" s="34" t="s">
        <v>961</v>
      </c>
      <c r="L1603" s="66">
        <f>IF(O1603="","",N1603*O1603*M1603)</f>
        <v>75</v>
      </c>
      <c r="M1603" s="8">
        <v>1</v>
      </c>
      <c r="N1603" s="3">
        <v>1</v>
      </c>
      <c r="O1603" s="15">
        <f>IF(SUM(Q1603:AF1603)&lt;1,"",SUM(Q1603:AF1603)/COUNTIF(Q1603:AF1603,"&gt;0"))</f>
        <v>75</v>
      </c>
      <c r="P1603" s="16"/>
      <c r="Q1603" s="13"/>
      <c r="R1603" s="4"/>
      <c r="S1603" s="4"/>
      <c r="T1603" s="4">
        <v>75</v>
      </c>
      <c r="U1603" s="2"/>
      <c r="V1603" s="2"/>
      <c r="W1603" s="2"/>
      <c r="X1603" s="2"/>
      <c r="Y1603" s="4"/>
      <c r="Z1603" s="2"/>
      <c r="AA1603" s="2"/>
      <c r="AB1603" s="4"/>
      <c r="AC1603" s="4"/>
      <c r="AD1603" s="4"/>
      <c r="AE1603" s="4"/>
      <c r="AF1603" s="14"/>
    </row>
    <row r="1604" spans="1:32" x14ac:dyDescent="0.25">
      <c r="A1604" s="33" t="str">
        <f>CONCATENATE(D1604,".",F1604,"-",G1604,".",H1604,"")</f>
        <v>2.6-3.1</v>
      </c>
      <c r="B1604" s="33" t="s">
        <v>814</v>
      </c>
      <c r="C1604" s="39" t="s">
        <v>262</v>
      </c>
      <c r="D1604" s="33">
        <f>IF(C1604="ID",1,(IF(C1604="PR",2,(IF(C1604="DE",3,(IF(C1604="RS",4,(IF(C1604="RC",5,0)))))))))</f>
        <v>2</v>
      </c>
      <c r="E1604" s="33" t="s">
        <v>345</v>
      </c>
      <c r="F1604" s="33">
        <f>IF(E1604="AM",1,(IF(E1604="BE",2,(IF(E1604="GV",3,(IF(E1604="RA",4,(IF(E1604="RM",5,(IF(E1604="AC",1,(IF(E1604="AT",2,(IF(E1604="DS",3,(IF(E1604="IP",4,(IF(E1604="MA",5,(IF(E1604="PT",6,(IF(E1604="AE",1,(IF(E1604="CM",2,(IF(E1604="DP",3,(IF(E1604="AN",1,(IF(E1604="CO",2,(IF(E1604="IM",3,(IF(E1604="MI",4,(IF(E1604="RP",5,(IF(E1604="SC",6,0)))))))))))))))))))))))))))))))))))))))</f>
        <v>6</v>
      </c>
      <c r="G1604" s="170">
        <v>3</v>
      </c>
      <c r="H1604" s="38" t="s">
        <v>511</v>
      </c>
      <c r="I1604" s="3" t="s">
        <v>821</v>
      </c>
      <c r="J1604" s="150" t="s">
        <v>109</v>
      </c>
      <c r="K1604" s="79" t="s">
        <v>1283</v>
      </c>
      <c r="L1604" s="66">
        <f>IF(O1604="","",N1604*O1604*M1604)</f>
        <v>75</v>
      </c>
      <c r="M1604" s="8">
        <v>1</v>
      </c>
      <c r="N1604" s="3">
        <v>1</v>
      </c>
      <c r="O1604" s="15">
        <f>IF(SUM(Q1604:AF1604)&lt;1,"",SUM(Q1604:AF1604)/COUNTIF(Q1604:AF1604,"&gt;0"))</f>
        <v>75</v>
      </c>
      <c r="P1604" s="16"/>
      <c r="Q1604" s="13"/>
      <c r="R1604" s="4"/>
      <c r="S1604" s="4"/>
      <c r="T1604" s="4">
        <v>75</v>
      </c>
      <c r="U1604" s="2"/>
      <c r="V1604" s="2"/>
      <c r="W1604" s="2"/>
      <c r="X1604" s="2"/>
      <c r="Y1604" s="4"/>
      <c r="Z1604" s="2"/>
      <c r="AA1604" s="2"/>
      <c r="AB1604" s="4"/>
      <c r="AC1604" s="4"/>
      <c r="AD1604" s="4"/>
      <c r="AE1604" s="4"/>
      <c r="AF1604" s="14"/>
    </row>
    <row r="1605" spans="1:32" x14ac:dyDescent="0.25">
      <c r="A1605" s="33" t="str">
        <f>CONCATENATE(D1605,".",F1605,"-",G1605,".",H1605,"")</f>
        <v>2.6-3.1</v>
      </c>
      <c r="B1605" s="33" t="s">
        <v>814</v>
      </c>
      <c r="C1605" s="40" t="s">
        <v>262</v>
      </c>
      <c r="D1605" s="33">
        <f>IF(C1605="ID",1,(IF(C1605="PR",2,(IF(C1605="DE",3,(IF(C1605="RS",4,(IF(C1605="RC",5,0)))))))))</f>
        <v>2</v>
      </c>
      <c r="E1605" s="33" t="s">
        <v>345</v>
      </c>
      <c r="F1605" s="33">
        <f>IF(E1605="AM",1,(IF(E1605="BE",2,(IF(E1605="GV",3,(IF(E1605="RA",4,(IF(E1605="RM",5,(IF(E1605="AC",1,(IF(E1605="AT",2,(IF(E1605="DS",3,(IF(E1605="IP",4,(IF(E1605="MA",5,(IF(E1605="PT",6,(IF(E1605="AE",1,(IF(E1605="CM",2,(IF(E1605="DP",3,(IF(E1605="AN",1,(IF(E1605="CO",2,(IF(E1605="IM",3,(IF(E1605="MI",4,(IF(E1605="RP",5,(IF(E1605="SC",6,0)))))))))))))))))))))))))))))))))))))))</f>
        <v>6</v>
      </c>
      <c r="G1605" s="171">
        <v>3</v>
      </c>
      <c r="H1605" s="38" t="s">
        <v>511</v>
      </c>
      <c r="I1605" s="22" t="s">
        <v>936</v>
      </c>
      <c r="J1605" s="163" t="s">
        <v>893</v>
      </c>
      <c r="K1605" s="34" t="s">
        <v>939</v>
      </c>
      <c r="L1605" s="66">
        <f>IF(O1605="","",N1605*O1605*M1605)</f>
        <v>75</v>
      </c>
      <c r="M1605" s="8">
        <v>1</v>
      </c>
      <c r="N1605" s="3">
        <v>1</v>
      </c>
      <c r="O1605" s="15">
        <f>IF(SUM(Q1605:AF1605)&lt;1,"",SUM(Q1605:AF1605)/COUNTIF(Q1605:AF1605,"&gt;0"))</f>
        <v>75</v>
      </c>
      <c r="P1605" s="16"/>
      <c r="Q1605" s="13"/>
      <c r="R1605" s="4"/>
      <c r="S1605" s="4"/>
      <c r="T1605" s="4">
        <v>75</v>
      </c>
      <c r="U1605" s="2"/>
      <c r="V1605" s="2"/>
      <c r="W1605" s="2"/>
      <c r="X1605" s="2"/>
      <c r="Y1605" s="4"/>
      <c r="Z1605" s="2"/>
      <c r="AA1605" s="2"/>
      <c r="AB1605" s="4"/>
      <c r="AC1605" s="4"/>
      <c r="AD1605" s="4"/>
      <c r="AE1605" s="4"/>
      <c r="AF1605" s="14"/>
    </row>
    <row r="1606" spans="1:32" x14ac:dyDescent="0.25">
      <c r="A1606" s="33" t="str">
        <f>CONCATENATE(D1606,".",F1606,"-",G1606,".",H1606,"")</f>
        <v>2.6-3.1</v>
      </c>
      <c r="B1606" s="33" t="s">
        <v>814</v>
      </c>
      <c r="C1606" s="40" t="s">
        <v>262</v>
      </c>
      <c r="D1606" s="33">
        <f>IF(C1606="ID",1,(IF(C1606="PR",2,(IF(C1606="DE",3,(IF(C1606="RS",4,(IF(C1606="RC",5,0)))))))))</f>
        <v>2</v>
      </c>
      <c r="E1606" s="33" t="s">
        <v>345</v>
      </c>
      <c r="F1606" s="33">
        <f>IF(E1606="AM",1,(IF(E1606="BE",2,(IF(E1606="GV",3,(IF(E1606="RA",4,(IF(E1606="RM",5,(IF(E1606="AC",1,(IF(E1606="AT",2,(IF(E1606="DS",3,(IF(E1606="IP",4,(IF(E1606="MA",5,(IF(E1606="PT",6,(IF(E1606="AE",1,(IF(E1606="CM",2,(IF(E1606="DP",3,(IF(E1606="AN",1,(IF(E1606="CO",2,(IF(E1606="IM",3,(IF(E1606="MI",4,(IF(E1606="RP",5,(IF(E1606="SC",6,0)))))))))))))))))))))))))))))))))))))))</f>
        <v>6</v>
      </c>
      <c r="G1606" s="171">
        <v>3</v>
      </c>
      <c r="H1606" s="38" t="s">
        <v>511</v>
      </c>
      <c r="I1606" s="22" t="s">
        <v>936</v>
      </c>
      <c r="J1606" s="163" t="s">
        <v>906</v>
      </c>
      <c r="K1606" s="34" t="s">
        <v>941</v>
      </c>
      <c r="L1606" s="66">
        <f>IF(O1606="","",N1606*O1606*M1606)</f>
        <v>75</v>
      </c>
      <c r="M1606" s="8">
        <v>1</v>
      </c>
      <c r="N1606" s="3">
        <v>1</v>
      </c>
      <c r="O1606" s="15">
        <f>IF(SUM(Q1606:AF1606)&lt;1,"",SUM(Q1606:AF1606)/COUNTIF(Q1606:AF1606,"&gt;0"))</f>
        <v>75</v>
      </c>
      <c r="P1606" s="16"/>
      <c r="Q1606" s="13"/>
      <c r="R1606" s="4"/>
      <c r="S1606" s="4"/>
      <c r="T1606" s="4">
        <v>75</v>
      </c>
      <c r="U1606" s="2"/>
      <c r="V1606" s="2"/>
      <c r="W1606" s="2"/>
      <c r="X1606" s="2"/>
      <c r="Y1606" s="4"/>
      <c r="Z1606" s="2"/>
      <c r="AA1606" s="2"/>
      <c r="AB1606" s="4"/>
      <c r="AC1606" s="4"/>
      <c r="AD1606" s="4"/>
      <c r="AE1606" s="4"/>
      <c r="AF1606" s="14"/>
    </row>
    <row r="1607" spans="1:32" x14ac:dyDescent="0.25">
      <c r="A1607" s="33" t="str">
        <f>CONCATENATE(D1607,".",F1607,"-",G1607,".",H1607,"")</f>
        <v>2.6-3.1</v>
      </c>
      <c r="B1607" s="33" t="s">
        <v>814</v>
      </c>
      <c r="C1607" s="40" t="s">
        <v>262</v>
      </c>
      <c r="D1607" s="33">
        <f>IF(C1607="ID",1,(IF(C1607="PR",2,(IF(C1607="DE",3,(IF(C1607="RS",4,(IF(C1607="RC",5,0)))))))))</f>
        <v>2</v>
      </c>
      <c r="E1607" s="33" t="s">
        <v>345</v>
      </c>
      <c r="F1607" s="33">
        <f>IF(E1607="AM",1,(IF(E1607="BE",2,(IF(E1607="GV",3,(IF(E1607="RA",4,(IF(E1607="RM",5,(IF(E1607="AC",1,(IF(E1607="AT",2,(IF(E1607="DS",3,(IF(E1607="IP",4,(IF(E1607="MA",5,(IF(E1607="PT",6,(IF(E1607="AE",1,(IF(E1607="CM",2,(IF(E1607="DP",3,(IF(E1607="AN",1,(IF(E1607="CO",2,(IF(E1607="IM",3,(IF(E1607="MI",4,(IF(E1607="RP",5,(IF(E1607="SC",6,0)))))))))))))))))))))))))))))))))))))))</f>
        <v>6</v>
      </c>
      <c r="G1607" s="171">
        <v>3</v>
      </c>
      <c r="H1607" s="38" t="s">
        <v>511</v>
      </c>
      <c r="I1607" s="22" t="s">
        <v>936</v>
      </c>
      <c r="J1607" s="163" t="s">
        <v>907</v>
      </c>
      <c r="K1607" s="34" t="s">
        <v>942</v>
      </c>
      <c r="L1607" s="66">
        <f>IF(O1607="","",N1607*O1607*M1607)</f>
        <v>75</v>
      </c>
      <c r="M1607" s="8">
        <v>1</v>
      </c>
      <c r="N1607" s="3">
        <v>1</v>
      </c>
      <c r="O1607" s="15">
        <f>IF(SUM(Q1607:AF1607)&lt;1,"",SUM(Q1607:AF1607)/COUNTIF(Q1607:AF1607,"&gt;0"))</f>
        <v>75</v>
      </c>
      <c r="P1607" s="16"/>
      <c r="Q1607" s="13"/>
      <c r="R1607" s="4"/>
      <c r="S1607" s="4"/>
      <c r="T1607" s="4">
        <v>75</v>
      </c>
      <c r="U1607" s="2"/>
      <c r="V1607" s="2"/>
      <c r="W1607" s="2"/>
      <c r="X1607" s="2"/>
      <c r="Y1607" s="4"/>
      <c r="Z1607" s="2"/>
      <c r="AA1607" s="2"/>
      <c r="AB1607" s="4"/>
      <c r="AC1607" s="4"/>
      <c r="AD1607" s="4"/>
      <c r="AE1607" s="4"/>
      <c r="AF1607" s="14"/>
    </row>
    <row r="1608" spans="1:32" x14ac:dyDescent="0.25">
      <c r="A1608" s="33" t="str">
        <f>CONCATENATE(D1608,".",F1608,"-",G1608,".",H1608,"")</f>
        <v>2.6-3.1</v>
      </c>
      <c r="B1608" s="33" t="s">
        <v>814</v>
      </c>
      <c r="C1608" s="40" t="s">
        <v>262</v>
      </c>
      <c r="D1608" s="33">
        <f>IF(C1608="ID",1,(IF(C1608="PR",2,(IF(C1608="DE",3,(IF(C1608="RS",4,(IF(C1608="RC",5,0)))))))))</f>
        <v>2</v>
      </c>
      <c r="E1608" s="33" t="s">
        <v>345</v>
      </c>
      <c r="F1608" s="33">
        <f>IF(E1608="AM",1,(IF(E1608="BE",2,(IF(E1608="GV",3,(IF(E1608="RA",4,(IF(E1608="RM",5,(IF(E1608="AC",1,(IF(E1608="AT",2,(IF(E1608="DS",3,(IF(E1608="IP",4,(IF(E1608="MA",5,(IF(E1608="PT",6,(IF(E1608="AE",1,(IF(E1608="CM",2,(IF(E1608="DP",3,(IF(E1608="AN",1,(IF(E1608="CO",2,(IF(E1608="IM",3,(IF(E1608="MI",4,(IF(E1608="RP",5,(IF(E1608="SC",6,0)))))))))))))))))))))))))))))))))))))))</f>
        <v>6</v>
      </c>
      <c r="G1608" s="171">
        <v>3</v>
      </c>
      <c r="H1608" s="38" t="s">
        <v>511</v>
      </c>
      <c r="I1608" s="22" t="s">
        <v>936</v>
      </c>
      <c r="J1608" s="163" t="s">
        <v>888</v>
      </c>
      <c r="K1608" s="34" t="s">
        <v>949</v>
      </c>
      <c r="L1608" s="66">
        <f>IF(O1608="","",N1608*O1608*M1608)</f>
        <v>75</v>
      </c>
      <c r="M1608" s="8">
        <v>1</v>
      </c>
      <c r="N1608" s="3">
        <v>1</v>
      </c>
      <c r="O1608" s="15">
        <f>IF(SUM(Q1608:AF1608)&lt;1,"",SUM(Q1608:AF1608)/COUNTIF(Q1608:AF1608,"&gt;0"))</f>
        <v>75</v>
      </c>
      <c r="P1608" s="16"/>
      <c r="Q1608" s="13"/>
      <c r="R1608" s="4"/>
      <c r="S1608" s="4"/>
      <c r="T1608" s="4">
        <v>75</v>
      </c>
      <c r="U1608" s="2"/>
      <c r="V1608" s="2"/>
      <c r="W1608" s="2"/>
      <c r="X1608" s="2"/>
      <c r="Y1608" s="4"/>
      <c r="Z1608" s="2"/>
      <c r="AA1608" s="2"/>
      <c r="AB1608" s="4"/>
      <c r="AC1608" s="4"/>
      <c r="AD1608" s="4"/>
      <c r="AE1608" s="4"/>
      <c r="AF1608" s="14"/>
    </row>
    <row r="1609" spans="1:32" x14ac:dyDescent="0.25">
      <c r="A1609" s="33" t="str">
        <f>CONCATENATE(D1609,".",F1609,"-",G1609,".",H1609,"")</f>
        <v>2.6-3.1</v>
      </c>
      <c r="B1609" s="33" t="s">
        <v>814</v>
      </c>
      <c r="C1609" s="40" t="s">
        <v>262</v>
      </c>
      <c r="D1609" s="33">
        <f>IF(C1609="ID",1,(IF(C1609="PR",2,(IF(C1609="DE",3,(IF(C1609="RS",4,(IF(C1609="RC",5,0)))))))))</f>
        <v>2</v>
      </c>
      <c r="E1609" s="33" t="s">
        <v>345</v>
      </c>
      <c r="F1609" s="33">
        <f>IF(E1609="AM",1,(IF(E1609="BE",2,(IF(E1609="GV",3,(IF(E1609="RA",4,(IF(E1609="RM",5,(IF(E1609="AC",1,(IF(E1609="AT",2,(IF(E1609="DS",3,(IF(E1609="IP",4,(IF(E1609="MA",5,(IF(E1609="PT",6,(IF(E1609="AE",1,(IF(E1609="CM",2,(IF(E1609="DP",3,(IF(E1609="AN",1,(IF(E1609="CO",2,(IF(E1609="IM",3,(IF(E1609="MI",4,(IF(E1609="RP",5,(IF(E1609="SC",6,0)))))))))))))))))))))))))))))))))))))))</f>
        <v>6</v>
      </c>
      <c r="G1609" s="171">
        <v>3</v>
      </c>
      <c r="H1609" s="38" t="s">
        <v>511</v>
      </c>
      <c r="I1609" s="22" t="s">
        <v>936</v>
      </c>
      <c r="J1609" s="163" t="s">
        <v>921</v>
      </c>
      <c r="K1609" s="34" t="s">
        <v>953</v>
      </c>
      <c r="L1609" s="66">
        <f>IF(O1609="","",N1609*O1609*M1609)</f>
        <v>75</v>
      </c>
      <c r="M1609" s="8">
        <v>1</v>
      </c>
      <c r="N1609" s="3">
        <v>1</v>
      </c>
      <c r="O1609" s="15">
        <f>IF(SUM(Q1609:AF1609)&lt;1,"",SUM(Q1609:AF1609)/COUNTIF(Q1609:AF1609,"&gt;0"))</f>
        <v>75</v>
      </c>
      <c r="P1609" s="16"/>
      <c r="Q1609" s="13"/>
      <c r="R1609" s="4"/>
      <c r="S1609" s="4"/>
      <c r="T1609" s="4">
        <v>75</v>
      </c>
      <c r="U1609" s="2"/>
      <c r="V1609" s="2"/>
      <c r="W1609" s="2"/>
      <c r="X1609" s="2"/>
      <c r="Y1609" s="4"/>
      <c r="Z1609" s="2"/>
      <c r="AA1609" s="2"/>
      <c r="AB1609" s="4"/>
      <c r="AC1609" s="4"/>
      <c r="AD1609" s="4"/>
      <c r="AE1609" s="4"/>
      <c r="AF1609" s="14"/>
    </row>
    <row r="1610" spans="1:32" x14ac:dyDescent="0.25">
      <c r="A1610" s="33" t="str">
        <f>CONCATENATE(D1610,".",F1610,"-",G1610,".",H1610,"")</f>
        <v>2.6-3.1</v>
      </c>
      <c r="B1610" s="33" t="s">
        <v>814</v>
      </c>
      <c r="C1610" s="40" t="s">
        <v>262</v>
      </c>
      <c r="D1610" s="33">
        <f>IF(C1610="ID",1,(IF(C1610="PR",2,(IF(C1610="DE",3,(IF(C1610="RS",4,(IF(C1610="RC",5,0)))))))))</f>
        <v>2</v>
      </c>
      <c r="E1610" s="33" t="s">
        <v>345</v>
      </c>
      <c r="F1610" s="33">
        <f>IF(E1610="AM",1,(IF(E1610="BE",2,(IF(E1610="GV",3,(IF(E1610="RA",4,(IF(E1610="RM",5,(IF(E1610="AC",1,(IF(E1610="AT",2,(IF(E1610="DS",3,(IF(E1610="IP",4,(IF(E1610="MA",5,(IF(E1610="PT",6,(IF(E1610="AE",1,(IF(E1610="CM",2,(IF(E1610="DP",3,(IF(E1610="AN",1,(IF(E1610="CO",2,(IF(E1610="IM",3,(IF(E1610="MI",4,(IF(E1610="RP",5,(IF(E1610="SC",6,0)))))))))))))))))))))))))))))))))))))))</f>
        <v>6</v>
      </c>
      <c r="G1610" s="171">
        <v>3</v>
      </c>
      <c r="H1610" s="38" t="s">
        <v>511</v>
      </c>
      <c r="I1610" s="3" t="s">
        <v>821</v>
      </c>
      <c r="J1610" s="150" t="s">
        <v>120</v>
      </c>
      <c r="K1610" s="79" t="s">
        <v>1283</v>
      </c>
      <c r="L1610" s="66">
        <f>IF(O1610="","",N1610*O1610*M1610)</f>
        <v>75</v>
      </c>
      <c r="M1610" s="8">
        <v>1</v>
      </c>
      <c r="N1610" s="3">
        <v>1</v>
      </c>
      <c r="O1610" s="15">
        <f>IF(SUM(Q1610:AF1610)&lt;1,"",SUM(Q1610:AF1610)/COUNTIF(Q1610:AF1610,"&gt;0"))</f>
        <v>75</v>
      </c>
      <c r="P1610" s="16"/>
      <c r="Q1610" s="13"/>
      <c r="R1610" s="4"/>
      <c r="S1610" s="4"/>
      <c r="T1610" s="4">
        <v>75</v>
      </c>
      <c r="U1610" s="2"/>
      <c r="V1610" s="2"/>
      <c r="W1610" s="2"/>
      <c r="X1610" s="2"/>
      <c r="Y1610" s="4"/>
      <c r="Z1610" s="2"/>
      <c r="AA1610" s="2"/>
      <c r="AB1610" s="4"/>
      <c r="AC1610" s="4"/>
      <c r="AD1610" s="4"/>
      <c r="AE1610" s="4"/>
      <c r="AF1610" s="14"/>
    </row>
    <row r="1611" spans="1:32" x14ac:dyDescent="0.25">
      <c r="A1611" s="33" t="str">
        <f>CONCATENATE(D1611,".",F1611,"-",G1611,".",H1611,"")</f>
        <v>2.6-3.1</v>
      </c>
      <c r="B1611" s="33" t="s">
        <v>814</v>
      </c>
      <c r="C1611" s="39" t="s">
        <v>262</v>
      </c>
      <c r="D1611" s="33">
        <f>IF(C1611="ID",1,(IF(C1611="PR",2,(IF(C1611="DE",3,(IF(C1611="RS",4,(IF(C1611="RC",5,0)))))))))</f>
        <v>2</v>
      </c>
      <c r="E1611" s="33" t="s">
        <v>345</v>
      </c>
      <c r="F1611" s="33">
        <f>IF(E1611="AM",1,(IF(E1611="BE",2,(IF(E1611="GV",3,(IF(E1611="RA",4,(IF(E1611="RM",5,(IF(E1611="AC",1,(IF(E1611="AT",2,(IF(E1611="DS",3,(IF(E1611="IP",4,(IF(E1611="MA",5,(IF(E1611="PT",6,(IF(E1611="AE",1,(IF(E1611="CM",2,(IF(E1611="DP",3,(IF(E1611="AN",1,(IF(E1611="CO",2,(IF(E1611="IM",3,(IF(E1611="MI",4,(IF(E1611="RP",5,(IF(E1611="SC",6,0)))))))))))))))))))))))))))))))))))))))</f>
        <v>6</v>
      </c>
      <c r="G1611" s="170">
        <v>3</v>
      </c>
      <c r="H1611" s="38" t="s">
        <v>511</v>
      </c>
      <c r="I1611" s="3" t="s">
        <v>821</v>
      </c>
      <c r="J1611" s="150" t="s">
        <v>121</v>
      </c>
      <c r="K1611" s="79" t="s">
        <v>1283</v>
      </c>
      <c r="L1611" s="66">
        <f>IF(O1611="","",N1611*O1611*M1611)</f>
        <v>75</v>
      </c>
      <c r="M1611" s="8">
        <v>1</v>
      </c>
      <c r="N1611" s="3">
        <v>1</v>
      </c>
      <c r="O1611" s="15">
        <f>IF(SUM(Q1611:AF1611)&lt;1,"",SUM(Q1611:AF1611)/COUNTIF(Q1611:AF1611,"&gt;0"))</f>
        <v>75</v>
      </c>
      <c r="P1611" s="16"/>
      <c r="Q1611" s="13"/>
      <c r="R1611" s="4"/>
      <c r="S1611" s="4"/>
      <c r="T1611" s="4">
        <v>75</v>
      </c>
      <c r="U1611" s="2"/>
      <c r="V1611" s="2"/>
      <c r="W1611" s="2"/>
      <c r="X1611" s="2"/>
      <c r="Y1611" s="4"/>
      <c r="Z1611" s="2"/>
      <c r="AA1611" s="2"/>
      <c r="AB1611" s="4"/>
      <c r="AC1611" s="4"/>
      <c r="AD1611" s="4"/>
      <c r="AE1611" s="4"/>
      <c r="AF1611" s="14"/>
    </row>
    <row r="1612" spans="1:32" x14ac:dyDescent="0.25">
      <c r="A1612" s="33" t="str">
        <f>CONCATENATE(D1612,".",F1612,"-",G1612,".",H1612,"")</f>
        <v>2.6-3.1</v>
      </c>
      <c r="B1612" s="33" t="s">
        <v>814</v>
      </c>
      <c r="C1612" s="39" t="s">
        <v>262</v>
      </c>
      <c r="D1612" s="33">
        <f>IF(C1612="ID",1,(IF(C1612="PR",2,(IF(C1612="DE",3,(IF(C1612="RS",4,(IF(C1612="RC",5,0)))))))))</f>
        <v>2</v>
      </c>
      <c r="E1612" s="33" t="s">
        <v>345</v>
      </c>
      <c r="F1612" s="33">
        <f>IF(E1612="AM",1,(IF(E1612="BE",2,(IF(E1612="GV",3,(IF(E1612="RA",4,(IF(E1612="RM",5,(IF(E1612="AC",1,(IF(E1612="AT",2,(IF(E1612="DS",3,(IF(E1612="IP",4,(IF(E1612="MA",5,(IF(E1612="PT",6,(IF(E1612="AE",1,(IF(E1612="CM",2,(IF(E1612="DP",3,(IF(E1612="AN",1,(IF(E1612="CO",2,(IF(E1612="IM",3,(IF(E1612="MI",4,(IF(E1612="RP",5,(IF(E1612="SC",6,0)))))))))))))))))))))))))))))))))))))))</f>
        <v>6</v>
      </c>
      <c r="G1612" s="170">
        <v>3</v>
      </c>
      <c r="H1612" s="38" t="s">
        <v>511</v>
      </c>
      <c r="I1612" s="3" t="s">
        <v>821</v>
      </c>
      <c r="J1612" s="150" t="s">
        <v>122</v>
      </c>
      <c r="K1612" s="79" t="s">
        <v>1283</v>
      </c>
      <c r="L1612" s="66">
        <f>IF(O1612="","",N1612*O1612*M1612)</f>
        <v>75</v>
      </c>
      <c r="M1612" s="8">
        <v>1</v>
      </c>
      <c r="N1612" s="3">
        <v>1</v>
      </c>
      <c r="O1612" s="15">
        <f>IF(SUM(Q1612:AF1612)&lt;1,"",SUM(Q1612:AF1612)/COUNTIF(Q1612:AF1612,"&gt;0"))</f>
        <v>75</v>
      </c>
      <c r="P1612" s="16"/>
      <c r="Q1612" s="13"/>
      <c r="R1612" s="4"/>
      <c r="S1612" s="4"/>
      <c r="T1612" s="4">
        <v>75</v>
      </c>
      <c r="U1612" s="2"/>
      <c r="V1612" s="2"/>
      <c r="W1612" s="2"/>
      <c r="X1612" s="2"/>
      <c r="Y1612" s="4"/>
      <c r="Z1612" s="2"/>
      <c r="AA1612" s="2"/>
      <c r="AB1612" s="4"/>
      <c r="AC1612" s="4"/>
      <c r="AD1612" s="4"/>
      <c r="AE1612" s="4"/>
      <c r="AF1612" s="14"/>
    </row>
    <row r="1613" spans="1:32" x14ac:dyDescent="0.25">
      <c r="A1613" s="33" t="str">
        <f>CONCATENATE(D1613,".",F1613,"-",G1613,".",H1613,"")</f>
        <v>2.6-3.1</v>
      </c>
      <c r="B1613" s="33" t="s">
        <v>814</v>
      </c>
      <c r="C1613" s="39" t="s">
        <v>262</v>
      </c>
      <c r="D1613" s="33">
        <f>IF(C1613="ID",1,(IF(C1613="PR",2,(IF(C1613="DE",3,(IF(C1613="RS",4,(IF(C1613="RC",5,0)))))))))</f>
        <v>2</v>
      </c>
      <c r="E1613" s="33" t="s">
        <v>345</v>
      </c>
      <c r="F1613" s="33">
        <f>IF(E1613="AM",1,(IF(E1613="BE",2,(IF(E1613="GV",3,(IF(E1613="RA",4,(IF(E1613="RM",5,(IF(E1613="AC",1,(IF(E1613="AT",2,(IF(E1613="DS",3,(IF(E1613="IP",4,(IF(E1613="MA",5,(IF(E1613="PT",6,(IF(E1613="AE",1,(IF(E1613="CM",2,(IF(E1613="DP",3,(IF(E1613="AN",1,(IF(E1613="CO",2,(IF(E1613="IM",3,(IF(E1613="MI",4,(IF(E1613="RP",5,(IF(E1613="SC",6,0)))))))))))))))))))))))))))))))))))))))</f>
        <v>6</v>
      </c>
      <c r="G1613" s="170">
        <v>3</v>
      </c>
      <c r="H1613" s="38" t="s">
        <v>511</v>
      </c>
      <c r="I1613" s="3" t="s">
        <v>821</v>
      </c>
      <c r="J1613" s="150" t="s">
        <v>104</v>
      </c>
      <c r="K1613" s="79" t="s">
        <v>1283</v>
      </c>
      <c r="L1613" s="66">
        <f>IF(O1613="","",N1613*O1613*M1613)</f>
        <v>75</v>
      </c>
      <c r="M1613" s="8">
        <v>1</v>
      </c>
      <c r="N1613" s="3">
        <v>1</v>
      </c>
      <c r="O1613" s="15">
        <f>IF(SUM(Q1613:AF1613)&lt;1,"",SUM(Q1613:AF1613)/COUNTIF(Q1613:AF1613,"&gt;0"))</f>
        <v>75</v>
      </c>
      <c r="P1613" s="16"/>
      <c r="Q1613" s="13"/>
      <c r="R1613" s="4"/>
      <c r="S1613" s="4"/>
      <c r="T1613" s="4">
        <v>75</v>
      </c>
      <c r="U1613" s="2"/>
      <c r="V1613" s="2"/>
      <c r="W1613" s="2"/>
      <c r="X1613" s="2"/>
      <c r="Y1613" s="4"/>
      <c r="Z1613" s="2"/>
      <c r="AA1613" s="2"/>
      <c r="AB1613" s="4"/>
      <c r="AC1613" s="4"/>
      <c r="AD1613" s="4"/>
      <c r="AE1613" s="4"/>
      <c r="AF1613" s="14"/>
    </row>
    <row r="1614" spans="1:32" x14ac:dyDescent="0.25">
      <c r="A1614" s="33" t="str">
        <f>CONCATENATE(D1614,".",F1614,"-",G1614,".",H1614,"")</f>
        <v>2.6-3.1</v>
      </c>
      <c r="B1614" s="33" t="s">
        <v>814</v>
      </c>
      <c r="C1614" s="39" t="s">
        <v>262</v>
      </c>
      <c r="D1614" s="33">
        <f>IF(C1614="ID",1,(IF(C1614="PR",2,(IF(C1614="DE",3,(IF(C1614="RS",4,(IF(C1614="RC",5,0)))))))))</f>
        <v>2</v>
      </c>
      <c r="E1614" s="33" t="s">
        <v>345</v>
      </c>
      <c r="F1614" s="33">
        <f>IF(E1614="AM",1,(IF(E1614="BE",2,(IF(E1614="GV",3,(IF(E1614="RA",4,(IF(E1614="RM",5,(IF(E1614="AC",1,(IF(E1614="AT",2,(IF(E1614="DS",3,(IF(E1614="IP",4,(IF(E1614="MA",5,(IF(E1614="PT",6,(IF(E1614="AE",1,(IF(E1614="CM",2,(IF(E1614="DP",3,(IF(E1614="AN",1,(IF(E1614="CO",2,(IF(E1614="IM",3,(IF(E1614="MI",4,(IF(E1614="RP",5,(IF(E1614="SC",6,0)))))))))))))))))))))))))))))))))))))))</f>
        <v>6</v>
      </c>
      <c r="G1614" s="170">
        <v>3</v>
      </c>
      <c r="H1614" s="38" t="s">
        <v>511</v>
      </c>
      <c r="I1614" s="3" t="s">
        <v>821</v>
      </c>
      <c r="J1614" s="150" t="s">
        <v>129</v>
      </c>
      <c r="K1614" s="79" t="s">
        <v>1283</v>
      </c>
      <c r="L1614" s="66">
        <f>IF(O1614="","",N1614*O1614*M1614)</f>
        <v>75</v>
      </c>
      <c r="M1614" s="8">
        <v>1</v>
      </c>
      <c r="N1614" s="3">
        <v>1</v>
      </c>
      <c r="O1614" s="15">
        <f>IF(SUM(Q1614:AF1614)&lt;1,"",SUM(Q1614:AF1614)/COUNTIF(Q1614:AF1614,"&gt;0"))</f>
        <v>75</v>
      </c>
      <c r="P1614" s="16"/>
      <c r="Q1614" s="13"/>
      <c r="R1614" s="4"/>
      <c r="S1614" s="4"/>
      <c r="T1614" s="4">
        <v>75</v>
      </c>
      <c r="U1614" s="2"/>
      <c r="V1614" s="2"/>
      <c r="W1614" s="2"/>
      <c r="X1614" s="2"/>
      <c r="Y1614" s="4"/>
      <c r="Z1614" s="2"/>
      <c r="AA1614" s="2"/>
      <c r="AB1614" s="4"/>
      <c r="AC1614" s="4"/>
      <c r="AD1614" s="4"/>
      <c r="AE1614" s="4"/>
      <c r="AF1614" s="14"/>
    </row>
    <row r="1615" spans="1:32" x14ac:dyDescent="0.25">
      <c r="A1615" s="33" t="str">
        <f>CONCATENATE(D1615,".",F1615,"-",G1615,".",H1615,"")</f>
        <v>2.6-3.1</v>
      </c>
      <c r="B1615" s="33" t="s">
        <v>814</v>
      </c>
      <c r="C1615" s="39" t="s">
        <v>262</v>
      </c>
      <c r="D1615" s="33">
        <f>IF(C1615="ID",1,(IF(C1615="PR",2,(IF(C1615="DE",3,(IF(C1615="RS",4,(IF(C1615="RC",5,0)))))))))</f>
        <v>2</v>
      </c>
      <c r="E1615" s="33" t="s">
        <v>345</v>
      </c>
      <c r="F1615" s="33">
        <f>IF(E1615="AM",1,(IF(E1615="BE",2,(IF(E1615="GV",3,(IF(E1615="RA",4,(IF(E1615="RM",5,(IF(E1615="AC",1,(IF(E1615="AT",2,(IF(E1615="DS",3,(IF(E1615="IP",4,(IF(E1615="MA",5,(IF(E1615="PT",6,(IF(E1615="AE",1,(IF(E1615="CM",2,(IF(E1615="DP",3,(IF(E1615="AN",1,(IF(E1615="CO",2,(IF(E1615="IM",3,(IF(E1615="MI",4,(IF(E1615="RP",5,(IF(E1615="SC",6,0)))))))))))))))))))))))))))))))))))))))</f>
        <v>6</v>
      </c>
      <c r="G1615" s="170">
        <v>3</v>
      </c>
      <c r="H1615" s="38" t="s">
        <v>511</v>
      </c>
      <c r="I1615" s="3" t="s">
        <v>821</v>
      </c>
      <c r="J1615" s="150" t="s">
        <v>130</v>
      </c>
      <c r="K1615" s="79" t="s">
        <v>1283</v>
      </c>
      <c r="L1615" s="66">
        <f>IF(O1615="","",N1615*O1615*M1615)</f>
        <v>75</v>
      </c>
      <c r="M1615" s="8">
        <v>1</v>
      </c>
      <c r="N1615" s="3">
        <v>1</v>
      </c>
      <c r="O1615" s="15">
        <f>IF(SUM(Q1615:AF1615)&lt;1,"",SUM(Q1615:AF1615)/COUNTIF(Q1615:AF1615,"&gt;0"))</f>
        <v>75</v>
      </c>
      <c r="P1615" s="16"/>
      <c r="Q1615" s="13"/>
      <c r="R1615" s="4"/>
      <c r="S1615" s="4"/>
      <c r="T1615" s="4">
        <v>75</v>
      </c>
      <c r="U1615" s="2"/>
      <c r="V1615" s="2"/>
      <c r="W1615" s="2"/>
      <c r="X1615" s="2"/>
      <c r="Y1615" s="4"/>
      <c r="Z1615" s="2"/>
      <c r="AA1615" s="2"/>
      <c r="AB1615" s="4"/>
      <c r="AC1615" s="4"/>
      <c r="AD1615" s="4"/>
      <c r="AE1615" s="4"/>
      <c r="AF1615" s="14"/>
    </row>
    <row r="1616" spans="1:32" x14ac:dyDescent="0.25">
      <c r="A1616" s="33" t="str">
        <f>CONCATENATE(D1616,".",F1616,"-",G1616,".",H1616,"")</f>
        <v>2.6-3.1</v>
      </c>
      <c r="B1616" s="33" t="s">
        <v>814</v>
      </c>
      <c r="C1616" s="39" t="s">
        <v>262</v>
      </c>
      <c r="D1616" s="33">
        <f>IF(C1616="ID",1,(IF(C1616="PR",2,(IF(C1616="DE",3,(IF(C1616="RS",4,(IF(C1616="RC",5,0)))))))))</f>
        <v>2</v>
      </c>
      <c r="E1616" s="33" t="s">
        <v>345</v>
      </c>
      <c r="F1616" s="33">
        <f>IF(E1616="AM",1,(IF(E1616="BE",2,(IF(E1616="GV",3,(IF(E1616="RA",4,(IF(E1616="RM",5,(IF(E1616="AC",1,(IF(E1616="AT",2,(IF(E1616="DS",3,(IF(E1616="IP",4,(IF(E1616="MA",5,(IF(E1616="PT",6,(IF(E1616="AE",1,(IF(E1616="CM",2,(IF(E1616="DP",3,(IF(E1616="AN",1,(IF(E1616="CO",2,(IF(E1616="IM",3,(IF(E1616="MI",4,(IF(E1616="RP",5,(IF(E1616="SC",6,0)))))))))))))))))))))))))))))))))))))))</f>
        <v>6</v>
      </c>
      <c r="G1616" s="170">
        <v>3</v>
      </c>
      <c r="H1616" s="38" t="s">
        <v>511</v>
      </c>
      <c r="I1616" s="3" t="s">
        <v>821</v>
      </c>
      <c r="J1616" s="150" t="s">
        <v>131</v>
      </c>
      <c r="K1616" s="79" t="s">
        <v>1283</v>
      </c>
      <c r="L1616" s="66">
        <f>IF(O1616="","",N1616*O1616*M1616)</f>
        <v>75</v>
      </c>
      <c r="M1616" s="8">
        <v>1</v>
      </c>
      <c r="N1616" s="3">
        <v>1</v>
      </c>
      <c r="O1616" s="15">
        <f>IF(SUM(Q1616:AF1616)&lt;1,"",SUM(Q1616:AF1616)/COUNTIF(Q1616:AF1616,"&gt;0"))</f>
        <v>75</v>
      </c>
      <c r="P1616" s="16"/>
      <c r="Q1616" s="13"/>
      <c r="R1616" s="4"/>
      <c r="S1616" s="4"/>
      <c r="T1616" s="4">
        <v>75</v>
      </c>
      <c r="U1616" s="2"/>
      <c r="V1616" s="2"/>
      <c r="W1616" s="2"/>
      <c r="X1616" s="2"/>
      <c r="Y1616" s="4"/>
      <c r="Z1616" s="2"/>
      <c r="AA1616" s="2"/>
      <c r="AB1616" s="4"/>
      <c r="AC1616" s="4"/>
      <c r="AD1616" s="4"/>
      <c r="AE1616" s="4"/>
      <c r="AF1616" s="14"/>
    </row>
    <row r="1617" spans="1:32" x14ac:dyDescent="0.25">
      <c r="A1617" s="33" t="str">
        <f>CONCATENATE(D1617,".",F1617,"-",G1617,".",H1617,"")</f>
        <v>2.6-3.1</v>
      </c>
      <c r="B1617" s="33" t="s">
        <v>814</v>
      </c>
      <c r="C1617" s="39" t="s">
        <v>262</v>
      </c>
      <c r="D1617" s="33">
        <f>IF(C1617="ID",1,(IF(C1617="PR",2,(IF(C1617="DE",3,(IF(C1617="RS",4,(IF(C1617="RC",5,0)))))))))</f>
        <v>2</v>
      </c>
      <c r="E1617" s="33" t="s">
        <v>345</v>
      </c>
      <c r="F1617" s="33">
        <f>IF(E1617="AM",1,(IF(E1617="BE",2,(IF(E1617="GV",3,(IF(E1617="RA",4,(IF(E1617="RM",5,(IF(E1617="AC",1,(IF(E1617="AT",2,(IF(E1617="DS",3,(IF(E1617="IP",4,(IF(E1617="MA",5,(IF(E1617="PT",6,(IF(E1617="AE",1,(IF(E1617="CM",2,(IF(E1617="DP",3,(IF(E1617="AN",1,(IF(E1617="CO",2,(IF(E1617="IM",3,(IF(E1617="MI",4,(IF(E1617="RP",5,(IF(E1617="SC",6,0)))))))))))))))))))))))))))))))))))))))</f>
        <v>6</v>
      </c>
      <c r="G1617" s="170">
        <v>3</v>
      </c>
      <c r="H1617" s="38" t="s">
        <v>511</v>
      </c>
      <c r="I1617" s="3" t="s">
        <v>821</v>
      </c>
      <c r="J1617" s="150" t="s">
        <v>132</v>
      </c>
      <c r="K1617" s="79" t="s">
        <v>1283</v>
      </c>
      <c r="L1617" s="66">
        <f>IF(O1617="","",N1617*O1617*M1617)</f>
        <v>75</v>
      </c>
      <c r="M1617" s="8">
        <v>1</v>
      </c>
      <c r="N1617" s="3">
        <v>1</v>
      </c>
      <c r="O1617" s="15">
        <f>IF(SUM(Q1617:AF1617)&lt;1,"",SUM(Q1617:AF1617)/COUNTIF(Q1617:AF1617,"&gt;0"))</f>
        <v>75</v>
      </c>
      <c r="P1617" s="16"/>
      <c r="Q1617" s="13"/>
      <c r="R1617" s="4"/>
      <c r="S1617" s="4"/>
      <c r="T1617" s="4">
        <v>75</v>
      </c>
      <c r="U1617" s="2"/>
      <c r="V1617" s="2"/>
      <c r="W1617" s="2"/>
      <c r="X1617" s="2"/>
      <c r="Y1617" s="4"/>
      <c r="Z1617" s="2"/>
      <c r="AA1617" s="2"/>
      <c r="AB1617" s="4"/>
      <c r="AC1617" s="4"/>
      <c r="AD1617" s="4"/>
      <c r="AE1617" s="4"/>
      <c r="AF1617" s="14"/>
    </row>
    <row r="1618" spans="1:32" x14ac:dyDescent="0.25">
      <c r="A1618" s="33" t="str">
        <f>CONCATENATE(D1618,".",F1618,"-",G1618,".",H1618,"")</f>
        <v>2.6-3.1</v>
      </c>
      <c r="B1618" s="33" t="s">
        <v>814</v>
      </c>
      <c r="C1618" s="39" t="s">
        <v>262</v>
      </c>
      <c r="D1618" s="33">
        <f>IF(C1618="ID",1,(IF(C1618="PR",2,(IF(C1618="DE",3,(IF(C1618="RS",4,(IF(C1618="RC",5,0)))))))))</f>
        <v>2</v>
      </c>
      <c r="E1618" s="33" t="s">
        <v>345</v>
      </c>
      <c r="F1618" s="33">
        <f>IF(E1618="AM",1,(IF(E1618="BE",2,(IF(E1618="GV",3,(IF(E1618="RA",4,(IF(E1618="RM",5,(IF(E1618="AC",1,(IF(E1618="AT",2,(IF(E1618="DS",3,(IF(E1618="IP",4,(IF(E1618="MA",5,(IF(E1618="PT",6,(IF(E1618="AE",1,(IF(E1618="CM",2,(IF(E1618="DP",3,(IF(E1618="AN",1,(IF(E1618="CO",2,(IF(E1618="IM",3,(IF(E1618="MI",4,(IF(E1618="RP",5,(IF(E1618="SC",6,0)))))))))))))))))))))))))))))))))))))))</f>
        <v>6</v>
      </c>
      <c r="G1618" s="170">
        <v>3</v>
      </c>
      <c r="H1618" s="38" t="s">
        <v>511</v>
      </c>
      <c r="I1618" s="3" t="s">
        <v>821</v>
      </c>
      <c r="J1618" s="150" t="s">
        <v>133</v>
      </c>
      <c r="K1618" s="79" t="s">
        <v>1283</v>
      </c>
      <c r="L1618" s="66">
        <f>IF(O1618="","",N1618*O1618*M1618)</f>
        <v>75</v>
      </c>
      <c r="M1618" s="8">
        <v>1</v>
      </c>
      <c r="N1618" s="3">
        <v>1</v>
      </c>
      <c r="O1618" s="15">
        <f>IF(SUM(Q1618:AF1618)&lt;1,"",SUM(Q1618:AF1618)/COUNTIF(Q1618:AF1618,"&gt;0"))</f>
        <v>75</v>
      </c>
      <c r="P1618" s="16"/>
      <c r="Q1618" s="13"/>
      <c r="R1618" s="4"/>
      <c r="S1618" s="4"/>
      <c r="T1618" s="4">
        <v>75</v>
      </c>
      <c r="U1618" s="2"/>
      <c r="V1618" s="2"/>
      <c r="W1618" s="2"/>
      <c r="X1618" s="2"/>
      <c r="Y1618" s="4"/>
      <c r="Z1618" s="2"/>
      <c r="AA1618" s="2"/>
      <c r="AB1618" s="4"/>
      <c r="AC1618" s="4"/>
      <c r="AD1618" s="4"/>
      <c r="AE1618" s="4"/>
      <c r="AF1618" s="14"/>
    </row>
    <row r="1619" spans="1:32" x14ac:dyDescent="0.25">
      <c r="A1619" s="33" t="str">
        <f>CONCATENATE(D1619,".",F1619,"-",G1619,".",H1619,"")</f>
        <v>2.6-3.1</v>
      </c>
      <c r="B1619" s="33" t="s">
        <v>814</v>
      </c>
      <c r="C1619" s="39" t="s">
        <v>262</v>
      </c>
      <c r="D1619" s="33">
        <f>IF(C1619="ID",1,(IF(C1619="PR",2,(IF(C1619="DE",3,(IF(C1619="RS",4,(IF(C1619="RC",5,0)))))))))</f>
        <v>2</v>
      </c>
      <c r="E1619" s="33" t="s">
        <v>345</v>
      </c>
      <c r="F1619" s="33">
        <f>IF(E1619="AM",1,(IF(E1619="BE",2,(IF(E1619="GV",3,(IF(E1619="RA",4,(IF(E1619="RM",5,(IF(E1619="AC",1,(IF(E1619="AT",2,(IF(E1619="DS",3,(IF(E1619="IP",4,(IF(E1619="MA",5,(IF(E1619="PT",6,(IF(E1619="AE",1,(IF(E1619="CM",2,(IF(E1619="DP",3,(IF(E1619="AN",1,(IF(E1619="CO",2,(IF(E1619="IM",3,(IF(E1619="MI",4,(IF(E1619="RP",5,(IF(E1619="SC",6,0)))))))))))))))))))))))))))))))))))))))</f>
        <v>6</v>
      </c>
      <c r="G1619" s="170">
        <v>3</v>
      </c>
      <c r="H1619" s="38" t="s">
        <v>511</v>
      </c>
      <c r="I1619" s="3" t="s">
        <v>821</v>
      </c>
      <c r="J1619" s="150" t="s">
        <v>134</v>
      </c>
      <c r="K1619" s="79" t="s">
        <v>1283</v>
      </c>
      <c r="L1619" s="66">
        <f>IF(O1619="","",N1619*O1619*M1619)</f>
        <v>75</v>
      </c>
      <c r="M1619" s="8">
        <v>1</v>
      </c>
      <c r="N1619" s="3">
        <v>1</v>
      </c>
      <c r="O1619" s="15">
        <f>IF(SUM(Q1619:AF1619)&lt;1,"",SUM(Q1619:AF1619)/COUNTIF(Q1619:AF1619,"&gt;0"))</f>
        <v>75</v>
      </c>
      <c r="P1619" s="16"/>
      <c r="Q1619" s="13"/>
      <c r="R1619" s="4"/>
      <c r="S1619" s="4"/>
      <c r="T1619" s="4">
        <v>75</v>
      </c>
      <c r="U1619" s="2"/>
      <c r="V1619" s="2"/>
      <c r="W1619" s="2"/>
      <c r="X1619" s="2"/>
      <c r="Y1619" s="4"/>
      <c r="Z1619" s="2"/>
      <c r="AA1619" s="2"/>
      <c r="AB1619" s="4"/>
      <c r="AC1619" s="4"/>
      <c r="AD1619" s="4"/>
      <c r="AE1619" s="4"/>
      <c r="AF1619" s="14"/>
    </row>
    <row r="1620" spans="1:32" x14ac:dyDescent="0.25">
      <c r="A1620" s="33" t="str">
        <f>CONCATENATE(D1620,".",F1620,"-",G1620,".",H1620,"")</f>
        <v>2.6-3.1</v>
      </c>
      <c r="B1620" s="33" t="s">
        <v>814</v>
      </c>
      <c r="C1620" s="39" t="s">
        <v>262</v>
      </c>
      <c r="D1620" s="33">
        <f>IF(C1620="ID",1,(IF(C1620="PR",2,(IF(C1620="DE",3,(IF(C1620="RS",4,(IF(C1620="RC",5,0)))))))))</f>
        <v>2</v>
      </c>
      <c r="E1620" s="33" t="s">
        <v>345</v>
      </c>
      <c r="F1620" s="33">
        <f>IF(E1620="AM",1,(IF(E1620="BE",2,(IF(E1620="GV",3,(IF(E1620="RA",4,(IF(E1620="RM",5,(IF(E1620="AC",1,(IF(E1620="AT",2,(IF(E1620="DS",3,(IF(E1620="IP",4,(IF(E1620="MA",5,(IF(E1620="PT",6,(IF(E1620="AE",1,(IF(E1620="CM",2,(IF(E1620="DP",3,(IF(E1620="AN",1,(IF(E1620="CO",2,(IF(E1620="IM",3,(IF(E1620="MI",4,(IF(E1620="RP",5,(IF(E1620="SC",6,0)))))))))))))))))))))))))))))))))))))))</f>
        <v>6</v>
      </c>
      <c r="G1620" s="170">
        <v>3</v>
      </c>
      <c r="H1620" s="38" t="s">
        <v>511</v>
      </c>
      <c r="I1620" s="3" t="s">
        <v>821</v>
      </c>
      <c r="J1620" s="150" t="s">
        <v>135</v>
      </c>
      <c r="K1620" s="79" t="s">
        <v>1283</v>
      </c>
      <c r="L1620" s="66">
        <f>IF(O1620="","",N1620*O1620*M1620)</f>
        <v>75</v>
      </c>
      <c r="M1620" s="8">
        <v>1</v>
      </c>
      <c r="N1620" s="3">
        <v>1</v>
      </c>
      <c r="O1620" s="15">
        <f>IF(SUM(Q1620:AF1620)&lt;1,"",SUM(Q1620:AF1620)/COUNTIF(Q1620:AF1620,"&gt;0"))</f>
        <v>75</v>
      </c>
      <c r="P1620" s="16"/>
      <c r="Q1620" s="13"/>
      <c r="R1620" s="4"/>
      <c r="S1620" s="4"/>
      <c r="T1620" s="4">
        <v>75</v>
      </c>
      <c r="U1620" s="2"/>
      <c r="V1620" s="2"/>
      <c r="W1620" s="2"/>
      <c r="X1620" s="2"/>
      <c r="Y1620" s="4"/>
      <c r="Z1620" s="2"/>
      <c r="AA1620" s="2"/>
      <c r="AB1620" s="4"/>
      <c r="AC1620" s="4"/>
      <c r="AD1620" s="4"/>
      <c r="AE1620" s="4"/>
      <c r="AF1620" s="14"/>
    </row>
    <row r="1621" spans="1:32" x14ac:dyDescent="0.25">
      <c r="A1621" s="33" t="str">
        <f>CONCATENATE(D1621,".",F1621,"-",G1621,".",H1621,"")</f>
        <v>2.6-3.1</v>
      </c>
      <c r="B1621" s="33" t="s">
        <v>814</v>
      </c>
      <c r="C1621" s="39" t="s">
        <v>262</v>
      </c>
      <c r="D1621" s="33">
        <f>IF(C1621="ID",1,(IF(C1621="PR",2,(IF(C1621="DE",3,(IF(C1621="RS",4,(IF(C1621="RC",5,0)))))))))</f>
        <v>2</v>
      </c>
      <c r="E1621" s="33" t="s">
        <v>345</v>
      </c>
      <c r="F1621" s="33">
        <f>IF(E1621="AM",1,(IF(E1621="BE",2,(IF(E1621="GV",3,(IF(E1621="RA",4,(IF(E1621="RM",5,(IF(E1621="AC",1,(IF(E1621="AT",2,(IF(E1621="DS",3,(IF(E1621="IP",4,(IF(E1621="MA",5,(IF(E1621="PT",6,(IF(E1621="AE",1,(IF(E1621="CM",2,(IF(E1621="DP",3,(IF(E1621="AN",1,(IF(E1621="CO",2,(IF(E1621="IM",3,(IF(E1621="MI",4,(IF(E1621="RP",5,(IF(E1621="SC",6,0)))))))))))))))))))))))))))))))))))))))</f>
        <v>6</v>
      </c>
      <c r="G1621" s="170">
        <v>3</v>
      </c>
      <c r="H1621" s="38" t="s">
        <v>511</v>
      </c>
      <c r="I1621" s="3" t="s">
        <v>821</v>
      </c>
      <c r="J1621" s="150" t="s">
        <v>136</v>
      </c>
      <c r="K1621" s="79" t="s">
        <v>1283</v>
      </c>
      <c r="L1621" s="66">
        <f>IF(O1621="","",N1621*O1621*M1621)</f>
        <v>75</v>
      </c>
      <c r="M1621" s="8">
        <v>1</v>
      </c>
      <c r="N1621" s="3">
        <v>1</v>
      </c>
      <c r="O1621" s="15">
        <f>IF(SUM(Q1621:AF1621)&lt;1,"",SUM(Q1621:AF1621)/COUNTIF(Q1621:AF1621,"&gt;0"))</f>
        <v>75</v>
      </c>
      <c r="P1621" s="16"/>
      <c r="Q1621" s="13"/>
      <c r="R1621" s="4"/>
      <c r="S1621" s="4"/>
      <c r="T1621" s="4">
        <v>75</v>
      </c>
      <c r="U1621" s="2"/>
      <c r="V1621" s="2"/>
      <c r="W1621" s="2"/>
      <c r="X1621" s="2"/>
      <c r="Y1621" s="4"/>
      <c r="Z1621" s="2"/>
      <c r="AA1621" s="2"/>
      <c r="AB1621" s="4"/>
      <c r="AC1621" s="4"/>
      <c r="AD1621" s="4"/>
      <c r="AE1621" s="4"/>
      <c r="AF1621" s="14"/>
    </row>
    <row r="1622" spans="1:32" x14ac:dyDescent="0.25">
      <c r="A1622" s="33" t="str">
        <f>CONCATENATE(D1622,".",F1622,"-",G1622,".",H1622,"")</f>
        <v>2.6-3.1</v>
      </c>
      <c r="B1622" s="33" t="s">
        <v>814</v>
      </c>
      <c r="C1622" s="39" t="s">
        <v>262</v>
      </c>
      <c r="D1622" s="33">
        <f>IF(C1622="ID",1,(IF(C1622="PR",2,(IF(C1622="DE",3,(IF(C1622="RS",4,(IF(C1622="RC",5,0)))))))))</f>
        <v>2</v>
      </c>
      <c r="E1622" s="33" t="s">
        <v>345</v>
      </c>
      <c r="F1622" s="33">
        <f>IF(E1622="AM",1,(IF(E1622="BE",2,(IF(E1622="GV",3,(IF(E1622="RA",4,(IF(E1622="RM",5,(IF(E1622="AC",1,(IF(E1622="AT",2,(IF(E1622="DS",3,(IF(E1622="IP",4,(IF(E1622="MA",5,(IF(E1622="PT",6,(IF(E1622="AE",1,(IF(E1622="CM",2,(IF(E1622="DP",3,(IF(E1622="AN",1,(IF(E1622="CO",2,(IF(E1622="IM",3,(IF(E1622="MI",4,(IF(E1622="RP",5,(IF(E1622="SC",6,0)))))))))))))))))))))))))))))))))))))))</f>
        <v>6</v>
      </c>
      <c r="G1622" s="170">
        <v>3</v>
      </c>
      <c r="H1622" s="38" t="s">
        <v>511</v>
      </c>
      <c r="I1622" s="3" t="s">
        <v>821</v>
      </c>
      <c r="J1622" s="150" t="s">
        <v>137</v>
      </c>
      <c r="K1622" s="79" t="s">
        <v>1283</v>
      </c>
      <c r="L1622" s="66">
        <f>IF(O1622="","",N1622*O1622*M1622)</f>
        <v>75</v>
      </c>
      <c r="M1622" s="8">
        <v>1</v>
      </c>
      <c r="N1622" s="3">
        <v>1</v>
      </c>
      <c r="O1622" s="15">
        <f>IF(SUM(Q1622:AF1622)&lt;1,"",SUM(Q1622:AF1622)/COUNTIF(Q1622:AF1622,"&gt;0"))</f>
        <v>75</v>
      </c>
      <c r="P1622" s="16"/>
      <c r="Q1622" s="13"/>
      <c r="R1622" s="4"/>
      <c r="S1622" s="4"/>
      <c r="T1622" s="4">
        <v>75</v>
      </c>
      <c r="U1622" s="2"/>
      <c r="V1622" s="2"/>
      <c r="W1622" s="2"/>
      <c r="X1622" s="2"/>
      <c r="Y1622" s="4"/>
      <c r="Z1622" s="2"/>
      <c r="AA1622" s="2"/>
      <c r="AB1622" s="4"/>
      <c r="AC1622" s="4"/>
      <c r="AD1622" s="4"/>
      <c r="AE1622" s="4"/>
      <c r="AF1622" s="14"/>
    </row>
    <row r="1623" spans="1:32" x14ac:dyDescent="0.25">
      <c r="A1623" s="33" t="str">
        <f>CONCATENATE(D1623,".",F1623,"-",G1623,".",H1623,"")</f>
        <v>2.6-3.1</v>
      </c>
      <c r="B1623" s="33" t="s">
        <v>814</v>
      </c>
      <c r="C1623" s="39" t="s">
        <v>262</v>
      </c>
      <c r="D1623" s="33">
        <f>IF(C1623="ID",1,(IF(C1623="PR",2,(IF(C1623="DE",3,(IF(C1623="RS",4,(IF(C1623="RC",5,0)))))))))</f>
        <v>2</v>
      </c>
      <c r="E1623" s="33" t="s">
        <v>345</v>
      </c>
      <c r="F1623" s="33">
        <f>IF(E1623="AM",1,(IF(E1623="BE",2,(IF(E1623="GV",3,(IF(E1623="RA",4,(IF(E1623="RM",5,(IF(E1623="AC",1,(IF(E1623="AT",2,(IF(E1623="DS",3,(IF(E1623="IP",4,(IF(E1623="MA",5,(IF(E1623="PT",6,(IF(E1623="AE",1,(IF(E1623="CM",2,(IF(E1623="DP",3,(IF(E1623="AN",1,(IF(E1623="CO",2,(IF(E1623="IM",3,(IF(E1623="MI",4,(IF(E1623="RP",5,(IF(E1623="SC",6,0)))))))))))))))))))))))))))))))))))))))</f>
        <v>6</v>
      </c>
      <c r="G1623" s="170">
        <v>3</v>
      </c>
      <c r="H1623" s="38" t="s">
        <v>511</v>
      </c>
      <c r="I1623" s="3" t="s">
        <v>821</v>
      </c>
      <c r="J1623" s="150" t="s">
        <v>138</v>
      </c>
      <c r="K1623" s="79" t="s">
        <v>1283</v>
      </c>
      <c r="L1623" s="66">
        <f>IF(O1623="","",N1623*O1623*M1623)</f>
        <v>75</v>
      </c>
      <c r="M1623" s="8">
        <v>1</v>
      </c>
      <c r="N1623" s="3">
        <v>1</v>
      </c>
      <c r="O1623" s="15">
        <f>IF(SUM(Q1623:AF1623)&lt;1,"",SUM(Q1623:AF1623)/COUNTIF(Q1623:AF1623,"&gt;0"))</f>
        <v>75</v>
      </c>
      <c r="P1623" s="16"/>
      <c r="Q1623" s="13"/>
      <c r="R1623" s="4"/>
      <c r="S1623" s="4"/>
      <c r="T1623" s="4">
        <v>75</v>
      </c>
      <c r="U1623" s="2"/>
      <c r="V1623" s="2"/>
      <c r="W1623" s="2"/>
      <c r="X1623" s="2"/>
      <c r="Y1623" s="4"/>
      <c r="Z1623" s="2"/>
      <c r="AA1623" s="2"/>
      <c r="AB1623" s="4"/>
      <c r="AC1623" s="4"/>
      <c r="AD1623" s="4"/>
      <c r="AE1623" s="4"/>
      <c r="AF1623" s="14"/>
    </row>
    <row r="1624" spans="1:32" x14ac:dyDescent="0.25">
      <c r="A1624" s="33" t="str">
        <f>CONCATENATE(D1624,".",F1624,"-",G1624,".",H1624,"")</f>
        <v>2.6-3.1</v>
      </c>
      <c r="B1624" s="33" t="s">
        <v>814</v>
      </c>
      <c r="C1624" s="39" t="s">
        <v>262</v>
      </c>
      <c r="D1624" s="33">
        <f>IF(C1624="ID",1,(IF(C1624="PR",2,(IF(C1624="DE",3,(IF(C1624="RS",4,(IF(C1624="RC",5,0)))))))))</f>
        <v>2</v>
      </c>
      <c r="E1624" s="33" t="s">
        <v>345</v>
      </c>
      <c r="F1624" s="33">
        <f>IF(E1624="AM",1,(IF(E1624="BE",2,(IF(E1624="GV",3,(IF(E1624="RA",4,(IF(E1624="RM",5,(IF(E1624="AC",1,(IF(E1624="AT",2,(IF(E1624="DS",3,(IF(E1624="IP",4,(IF(E1624="MA",5,(IF(E1624="PT",6,(IF(E1624="AE",1,(IF(E1624="CM",2,(IF(E1624="DP",3,(IF(E1624="AN",1,(IF(E1624="CO",2,(IF(E1624="IM",3,(IF(E1624="MI",4,(IF(E1624="RP",5,(IF(E1624="SC",6,0)))))))))))))))))))))))))))))))))))))))</f>
        <v>6</v>
      </c>
      <c r="G1624" s="170">
        <v>3</v>
      </c>
      <c r="H1624" s="38" t="s">
        <v>511</v>
      </c>
      <c r="I1624" s="3" t="s">
        <v>821</v>
      </c>
      <c r="J1624" s="150" t="s">
        <v>161</v>
      </c>
      <c r="K1624" s="79" t="s">
        <v>1283</v>
      </c>
      <c r="L1624" s="66">
        <f>IF(O1624="","",N1624*O1624*M1624)</f>
        <v>75</v>
      </c>
      <c r="M1624" s="8">
        <v>1</v>
      </c>
      <c r="N1624" s="3">
        <v>1</v>
      </c>
      <c r="O1624" s="15">
        <f>IF(SUM(Q1624:AF1624)&lt;1,"",SUM(Q1624:AF1624)/COUNTIF(Q1624:AF1624,"&gt;0"))</f>
        <v>75</v>
      </c>
      <c r="P1624" s="16"/>
      <c r="Q1624" s="13"/>
      <c r="R1624" s="4"/>
      <c r="S1624" s="4"/>
      <c r="T1624" s="4">
        <v>75</v>
      </c>
      <c r="U1624" s="2"/>
      <c r="V1624" s="2"/>
      <c r="W1624" s="2"/>
      <c r="X1624" s="2"/>
      <c r="Y1624" s="4"/>
      <c r="Z1624" s="2"/>
      <c r="AA1624" s="2"/>
      <c r="AB1624" s="4"/>
      <c r="AC1624" s="4"/>
      <c r="AD1624" s="4"/>
      <c r="AE1624" s="4"/>
      <c r="AF1624" s="14"/>
    </row>
    <row r="1625" spans="1:32" x14ac:dyDescent="0.25">
      <c r="A1625" s="33" t="str">
        <f>CONCATENATE(D1625,".",F1625,"-",G1625,".",H1625,"")</f>
        <v>2.6-3.1</v>
      </c>
      <c r="B1625" s="33" t="s">
        <v>814</v>
      </c>
      <c r="C1625" s="39" t="s">
        <v>262</v>
      </c>
      <c r="D1625" s="33">
        <f>IF(C1625="ID",1,(IF(C1625="PR",2,(IF(C1625="DE",3,(IF(C1625="RS",4,(IF(C1625="RC",5,0)))))))))</f>
        <v>2</v>
      </c>
      <c r="E1625" s="33" t="s">
        <v>345</v>
      </c>
      <c r="F1625" s="33">
        <f>IF(E1625="AM",1,(IF(E1625="BE",2,(IF(E1625="GV",3,(IF(E1625="RA",4,(IF(E1625="RM",5,(IF(E1625="AC",1,(IF(E1625="AT",2,(IF(E1625="DS",3,(IF(E1625="IP",4,(IF(E1625="MA",5,(IF(E1625="PT",6,(IF(E1625="AE",1,(IF(E1625="CM",2,(IF(E1625="DP",3,(IF(E1625="AN",1,(IF(E1625="CO",2,(IF(E1625="IM",3,(IF(E1625="MI",4,(IF(E1625="RP",5,(IF(E1625="SC",6,0)))))))))))))))))))))))))))))))))))))))</f>
        <v>6</v>
      </c>
      <c r="G1625" s="170">
        <v>3</v>
      </c>
      <c r="H1625" s="38" t="s">
        <v>511</v>
      </c>
      <c r="I1625" s="3" t="s">
        <v>821</v>
      </c>
      <c r="J1625" s="150" t="s">
        <v>163</v>
      </c>
      <c r="K1625" s="79" t="s">
        <v>1283</v>
      </c>
      <c r="L1625" s="66">
        <f>IF(O1625="","",N1625*O1625*M1625)</f>
        <v>75</v>
      </c>
      <c r="M1625" s="8">
        <v>1</v>
      </c>
      <c r="N1625" s="3">
        <v>1</v>
      </c>
      <c r="O1625" s="15">
        <f>IF(SUM(Q1625:AF1625)&lt;1,"",SUM(Q1625:AF1625)/COUNTIF(Q1625:AF1625,"&gt;0"))</f>
        <v>75</v>
      </c>
      <c r="P1625" s="16"/>
      <c r="Q1625" s="13"/>
      <c r="R1625" s="4"/>
      <c r="S1625" s="4"/>
      <c r="T1625" s="4">
        <v>75</v>
      </c>
      <c r="U1625" s="2"/>
      <c r="V1625" s="2"/>
      <c r="W1625" s="2"/>
      <c r="X1625" s="2"/>
      <c r="Y1625" s="4"/>
      <c r="Z1625" s="2"/>
      <c r="AA1625" s="2"/>
      <c r="AB1625" s="4"/>
      <c r="AC1625" s="4"/>
      <c r="AD1625" s="4"/>
      <c r="AE1625" s="4"/>
      <c r="AF1625" s="14"/>
    </row>
    <row r="1626" spans="1:32" x14ac:dyDescent="0.25">
      <c r="A1626" s="33" t="str">
        <f>CONCATENATE(D1626,".",F1626,"-",G1626,".",H1626,"")</f>
        <v>2.6-3.1</v>
      </c>
      <c r="B1626" s="33" t="s">
        <v>814</v>
      </c>
      <c r="C1626" s="39" t="s">
        <v>262</v>
      </c>
      <c r="D1626" s="33">
        <f>IF(C1626="ID",1,(IF(C1626="PR",2,(IF(C1626="DE",3,(IF(C1626="RS",4,(IF(C1626="RC",5,0)))))))))</f>
        <v>2</v>
      </c>
      <c r="E1626" s="33" t="s">
        <v>345</v>
      </c>
      <c r="F1626" s="33">
        <f>IF(E1626="AM",1,(IF(E1626="BE",2,(IF(E1626="GV",3,(IF(E1626="RA",4,(IF(E1626="RM",5,(IF(E1626="AC",1,(IF(E1626="AT",2,(IF(E1626="DS",3,(IF(E1626="IP",4,(IF(E1626="MA",5,(IF(E1626="PT",6,(IF(E1626="AE",1,(IF(E1626="CM",2,(IF(E1626="DP",3,(IF(E1626="AN",1,(IF(E1626="CO",2,(IF(E1626="IM",3,(IF(E1626="MI",4,(IF(E1626="RP",5,(IF(E1626="SC",6,0)))))))))))))))))))))))))))))))))))))))</f>
        <v>6</v>
      </c>
      <c r="G1626" s="170">
        <v>3</v>
      </c>
      <c r="H1626" s="33">
        <v>1</v>
      </c>
      <c r="I1626" s="22" t="s">
        <v>266</v>
      </c>
      <c r="J1626" s="150" t="s">
        <v>3</v>
      </c>
      <c r="K1626" s="79" t="s">
        <v>1303</v>
      </c>
      <c r="L1626" s="5">
        <f>IF(O1626="","",N1626*O1626*M1626)</f>
        <v>75</v>
      </c>
      <c r="M1626" s="8">
        <v>1</v>
      </c>
      <c r="N1626" s="1">
        <v>1</v>
      </c>
      <c r="O1626" s="15">
        <f>IF(SUM(Q1626:AF1626)&lt;1,"",SUM(Q1626:AF1626)/COUNTIF(Q1626:AF1626,"&gt;0"))</f>
        <v>75</v>
      </c>
      <c r="P1626" s="16"/>
      <c r="Q1626" s="13"/>
      <c r="T1626" s="4">
        <v>75</v>
      </c>
      <c r="AF1626" s="104"/>
    </row>
    <row r="1627" spans="1:32" x14ac:dyDescent="0.25">
      <c r="A1627" s="33" t="str">
        <f>CONCATENATE(D1627,".",F1627,"-",G1627,".",H1627,"")</f>
        <v>2.6-3.1</v>
      </c>
      <c r="B1627" s="33" t="s">
        <v>814</v>
      </c>
      <c r="C1627" s="41" t="s">
        <v>262</v>
      </c>
      <c r="D1627" s="33">
        <f>IF(C1627="ID",1,(IF(C1627="PR",2,(IF(C1627="DE",3,(IF(C1627="RS",4,(IF(C1627="RC",5,0)))))))))</f>
        <v>2</v>
      </c>
      <c r="E1627" s="33" t="s">
        <v>345</v>
      </c>
      <c r="F1627" s="33">
        <f>IF(E1627="AM",1,(IF(E1627="BE",2,(IF(E1627="GV",3,(IF(E1627="RA",4,(IF(E1627="RM",5,(IF(E1627="AC",1,(IF(E1627="AT",2,(IF(E1627="DS",3,(IF(E1627="IP",4,(IF(E1627="MA",5,(IF(E1627="PT",6,(IF(E1627="AE",1,(IF(E1627="CM",2,(IF(E1627="DP",3,(IF(E1627="AN",1,(IF(E1627="CO",2,(IF(E1627="IM",3,(IF(E1627="MI",4,(IF(E1627="RP",5,(IF(E1627="SC",6,0)))))))))))))))))))))))))))))))))))))))</f>
        <v>6</v>
      </c>
      <c r="G1627" s="170">
        <v>3</v>
      </c>
      <c r="H1627" s="38" t="s">
        <v>511</v>
      </c>
      <c r="I1627" s="22" t="s">
        <v>266</v>
      </c>
      <c r="J1627" s="149" t="s">
        <v>277</v>
      </c>
      <c r="K1627" s="79" t="s">
        <v>1328</v>
      </c>
      <c r="L1627" s="5">
        <f>IF(O1627="","",N1627*O1627*M1627)</f>
        <v>75</v>
      </c>
      <c r="M1627" s="8">
        <v>1</v>
      </c>
      <c r="N1627" s="1">
        <v>1</v>
      </c>
      <c r="O1627" s="15">
        <f>IF(SUM(Q1627:AF1627)&lt;1,"",SUM(Q1627:AF1627)/COUNTIF(Q1627:AF1627,"&gt;0"))</f>
        <v>75</v>
      </c>
      <c r="P1627" s="16"/>
      <c r="Q1627" s="13"/>
      <c r="R1627" s="4"/>
      <c r="S1627" s="4"/>
      <c r="T1627" s="4">
        <v>75</v>
      </c>
      <c r="U1627" s="2"/>
      <c r="V1627" s="2"/>
      <c r="W1627" s="2"/>
      <c r="X1627" s="2"/>
      <c r="Y1627" s="4"/>
      <c r="Z1627" s="2"/>
      <c r="AA1627" s="2"/>
      <c r="AB1627" s="4"/>
      <c r="AC1627" s="4"/>
      <c r="AD1627" s="4"/>
      <c r="AE1627" s="4"/>
      <c r="AF1627" s="14"/>
    </row>
    <row r="1628" spans="1:32" x14ac:dyDescent="0.25">
      <c r="A1628" s="33" t="str">
        <f>CONCATENATE(D1628,".",F1628,"-",G1628,".",H1628,"")</f>
        <v>2.6-3.1</v>
      </c>
      <c r="B1628" s="33" t="s">
        <v>814</v>
      </c>
      <c r="C1628" s="41" t="s">
        <v>262</v>
      </c>
      <c r="D1628" s="33">
        <f>IF(C1628="ID",1,(IF(C1628="PR",2,(IF(C1628="DE",3,(IF(C1628="RS",4,(IF(C1628="RC",5,0)))))))))</f>
        <v>2</v>
      </c>
      <c r="E1628" s="33" t="s">
        <v>345</v>
      </c>
      <c r="F1628" s="33">
        <f>IF(E1628="AM",1,(IF(E1628="BE",2,(IF(E1628="GV",3,(IF(E1628="RA",4,(IF(E1628="RM",5,(IF(E1628="AC",1,(IF(E1628="AT",2,(IF(E1628="DS",3,(IF(E1628="IP",4,(IF(E1628="MA",5,(IF(E1628="PT",6,(IF(E1628="AE",1,(IF(E1628="CM",2,(IF(E1628="DP",3,(IF(E1628="AN",1,(IF(E1628="CO",2,(IF(E1628="IM",3,(IF(E1628="MI",4,(IF(E1628="RP",5,(IF(E1628="SC",6,0)))))))))))))))))))))))))))))))))))))))</f>
        <v>6</v>
      </c>
      <c r="G1628" s="170">
        <v>3</v>
      </c>
      <c r="H1628" s="38" t="s">
        <v>511</v>
      </c>
      <c r="I1628" s="22" t="s">
        <v>266</v>
      </c>
      <c r="J1628" s="149" t="s">
        <v>6</v>
      </c>
      <c r="K1628" s="79" t="s">
        <v>1433</v>
      </c>
      <c r="L1628" s="5">
        <f>IF(O1628="","",N1628*O1628*M1628)</f>
        <v>75</v>
      </c>
      <c r="M1628" s="8">
        <v>1</v>
      </c>
      <c r="N1628" s="1">
        <v>1</v>
      </c>
      <c r="O1628" s="15">
        <f>IF(SUM(Q1628:AF1628)&lt;1,"",SUM(Q1628:AF1628)/COUNTIF(Q1628:AF1628,"&gt;0"))</f>
        <v>75</v>
      </c>
      <c r="P1628" s="16"/>
      <c r="Q1628" s="13"/>
      <c r="R1628" s="4"/>
      <c r="S1628" s="4"/>
      <c r="T1628" s="4">
        <v>75</v>
      </c>
      <c r="U1628" s="2"/>
      <c r="V1628" s="2"/>
      <c r="W1628" s="2"/>
      <c r="X1628" s="2"/>
      <c r="Y1628" s="4"/>
      <c r="Z1628" s="2"/>
      <c r="AA1628" s="2"/>
      <c r="AB1628" s="4"/>
      <c r="AC1628" s="4"/>
      <c r="AD1628" s="4"/>
      <c r="AE1628" s="4"/>
      <c r="AF1628" s="14"/>
    </row>
    <row r="1629" spans="1:32" x14ac:dyDescent="0.25">
      <c r="A1629" s="33" t="str">
        <f>CONCATENATE(D1629,".",F1629,"-",G1629,".",H1629,"")</f>
        <v>2.6-3.1</v>
      </c>
      <c r="B1629" s="33" t="s">
        <v>814</v>
      </c>
      <c r="C1629" s="39" t="s">
        <v>262</v>
      </c>
      <c r="D1629" s="33">
        <f>IF(C1629="ID",1,(IF(C1629="PR",2,(IF(C1629="DE",3,(IF(C1629="RS",4,(IF(C1629="RC",5,0)))))))))</f>
        <v>2</v>
      </c>
      <c r="E1629" s="33" t="s">
        <v>345</v>
      </c>
      <c r="F1629" s="33">
        <f>IF(E1629="AM",1,(IF(E1629="BE",2,(IF(E1629="GV",3,(IF(E1629="RA",4,(IF(E1629="RM",5,(IF(E1629="AC",1,(IF(E1629="AT",2,(IF(E1629="DS",3,(IF(E1629="IP",4,(IF(E1629="MA",5,(IF(E1629="PT",6,(IF(E1629="AE",1,(IF(E1629="CM",2,(IF(E1629="DP",3,(IF(E1629="AN",1,(IF(E1629="CO",2,(IF(E1629="IM",3,(IF(E1629="MI",4,(IF(E1629="RP",5,(IF(E1629="SC",6,0)))))))))))))))))))))))))))))))))))))))</f>
        <v>6</v>
      </c>
      <c r="G1629" s="170">
        <v>3</v>
      </c>
      <c r="H1629" s="33">
        <v>1</v>
      </c>
      <c r="I1629" s="22" t="s">
        <v>266</v>
      </c>
      <c r="J1629" s="150" t="s">
        <v>22</v>
      </c>
      <c r="K1629" s="79" t="s">
        <v>1448</v>
      </c>
      <c r="L1629" s="5">
        <f>IF(O1629="","",N1629*O1629*M1629)</f>
        <v>75</v>
      </c>
      <c r="M1629" s="8">
        <v>1</v>
      </c>
      <c r="N1629" s="1">
        <v>1</v>
      </c>
      <c r="O1629" s="15">
        <f>IF(SUM(Q1629:AF1629)&lt;1,"",SUM(Q1629:AF1629)/COUNTIF(Q1629:AF1629,"&gt;0"))</f>
        <v>75</v>
      </c>
      <c r="P1629" s="16"/>
      <c r="Q1629" s="13"/>
      <c r="T1629" s="4">
        <v>75</v>
      </c>
      <c r="AF1629" s="104"/>
    </row>
    <row r="1630" spans="1:32" x14ac:dyDescent="0.25">
      <c r="A1630" s="33" t="str">
        <f>CONCATENATE(D1630,".",F1630,"-",G1630,".",H1630,"")</f>
        <v>2.6-3.1</v>
      </c>
      <c r="B1630" s="33" t="s">
        <v>1232</v>
      </c>
      <c r="C1630" s="40" t="s">
        <v>262</v>
      </c>
      <c r="D1630" s="33">
        <f>IF(C1630="ID",1,(IF(C1630="PR",2,(IF(C1630="DE",3,(IF(C1630="RS",4,(IF(C1630="RC",5,0)))))))))</f>
        <v>2</v>
      </c>
      <c r="E1630" s="33" t="s">
        <v>345</v>
      </c>
      <c r="F1630" s="33">
        <f>IF(E1630="AM",1,(IF(E1630="BE",2,(IF(E1630="GV",3,(IF(E1630="RA",4,(IF(E1630="RM",5,(IF(E1630="AC",1,(IF(E1630="AT",2,(IF(E1630="DS",3,(IF(E1630="IP",4,(IF(E1630="MA",5,(IF(E1630="PT",6,(IF(E1630="AE",1,(IF(E1630="CM",2,(IF(E1630="DP",3,(IF(E1630="AN",1,(IF(E1630="CO",2,(IF(E1630="IM",3,(IF(E1630="MI",4,(IF(E1630="RP",5,(IF(E1630="SC",6,0)))))))))))))))))))))))))))))))))))))))</f>
        <v>6</v>
      </c>
      <c r="G1630" s="170">
        <v>3</v>
      </c>
      <c r="H1630" s="38" t="s">
        <v>511</v>
      </c>
      <c r="I1630" s="3" t="s">
        <v>821</v>
      </c>
      <c r="J1630" s="150" t="s">
        <v>832</v>
      </c>
      <c r="K1630" s="79" t="s">
        <v>1283</v>
      </c>
      <c r="L1630" s="66">
        <f>IF(O1630="","",N1630*O1630*M1630)</f>
        <v>75</v>
      </c>
      <c r="M1630" s="8">
        <v>1</v>
      </c>
      <c r="N1630" s="3">
        <v>1</v>
      </c>
      <c r="O1630" s="15">
        <f>IF(SUM(Q1630:AF1630)&lt;1,"",SUM(Q1630:AF1630)/COUNTIF(Q1630:AF1630,"&gt;0"))</f>
        <v>75</v>
      </c>
      <c r="P1630" s="16"/>
      <c r="Q1630" s="13"/>
      <c r="R1630" s="4"/>
      <c r="S1630" s="4"/>
      <c r="T1630" s="4">
        <v>75</v>
      </c>
      <c r="U1630" s="2"/>
      <c r="V1630" s="2"/>
      <c r="W1630" s="2"/>
      <c r="X1630" s="2"/>
      <c r="Y1630" s="4"/>
      <c r="Z1630" s="2"/>
      <c r="AA1630" s="2"/>
      <c r="AB1630" s="4"/>
      <c r="AC1630" s="4"/>
      <c r="AD1630" s="4"/>
      <c r="AE1630" s="4"/>
      <c r="AF1630" s="14"/>
    </row>
    <row r="1631" spans="1:32" x14ac:dyDescent="0.25">
      <c r="A1631" s="33" t="str">
        <f>CONCATENATE(D1631,".",F1631,"-",G1631,".",H1631,"")</f>
        <v>2.6-3.1</v>
      </c>
      <c r="B1631" s="33" t="s">
        <v>814</v>
      </c>
      <c r="C1631" s="39" t="s">
        <v>262</v>
      </c>
      <c r="D1631" s="33">
        <f>IF(C1631="ID",1,(IF(C1631="PR",2,(IF(C1631="DE",3,(IF(C1631="RS",4,(IF(C1631="RC",5,0)))))))))</f>
        <v>2</v>
      </c>
      <c r="E1631" s="33" t="s">
        <v>345</v>
      </c>
      <c r="F1631" s="33">
        <f>IF(E1631="AM",1,(IF(E1631="BE",2,(IF(E1631="GV",3,(IF(E1631="RA",4,(IF(E1631="RM",5,(IF(E1631="AC",1,(IF(E1631="AT",2,(IF(E1631="DS",3,(IF(E1631="IP",4,(IF(E1631="MA",5,(IF(E1631="PT",6,(IF(E1631="AE",1,(IF(E1631="CM",2,(IF(E1631="DP",3,(IF(E1631="AN",1,(IF(E1631="CO",2,(IF(E1631="IM",3,(IF(E1631="MI",4,(IF(E1631="RP",5,(IF(E1631="SC",6,0)))))))))))))))))))))))))))))))))))))))</f>
        <v>6</v>
      </c>
      <c r="G1631" s="170">
        <v>3</v>
      </c>
      <c r="H1631" s="38" t="s">
        <v>511</v>
      </c>
      <c r="I1631" s="79" t="s">
        <v>1176</v>
      </c>
      <c r="J1631" s="162">
        <v>2.2000000000000002</v>
      </c>
      <c r="K1631" s="80" t="s">
        <v>1047</v>
      </c>
      <c r="L1631" s="66">
        <f>IF(O1631="","",N1631*O1631*M1631)</f>
        <v>75</v>
      </c>
      <c r="M1631" s="8">
        <v>1</v>
      </c>
      <c r="N1631" s="3">
        <v>1</v>
      </c>
      <c r="O1631" s="15">
        <f>IF(SUM(Q1631:AF1631)&lt;1,"",SUM(Q1631:AF1631)/COUNTIF(Q1631:AF1631,"&gt;0"))</f>
        <v>75</v>
      </c>
      <c r="P1631" s="16"/>
      <c r="Q1631" s="13"/>
      <c r="R1631" s="4"/>
      <c r="S1631" s="4"/>
      <c r="T1631" s="4">
        <v>75</v>
      </c>
      <c r="U1631" s="2"/>
      <c r="V1631" s="2"/>
      <c r="W1631" s="2"/>
      <c r="X1631" s="2"/>
      <c r="Y1631" s="4"/>
      <c r="Z1631" s="2"/>
      <c r="AA1631" s="2"/>
      <c r="AB1631" s="4"/>
      <c r="AC1631" s="4"/>
      <c r="AD1631" s="4"/>
      <c r="AE1631" s="4"/>
      <c r="AF1631" s="14"/>
    </row>
    <row r="1632" spans="1:32" x14ac:dyDescent="0.25">
      <c r="A1632" s="33" t="str">
        <f>CONCATENATE(D1632,".",F1632,"-",G1632,".",H1632,"")</f>
        <v>2.6-3.1</v>
      </c>
      <c r="B1632" s="33" t="s">
        <v>814</v>
      </c>
      <c r="C1632" s="39" t="s">
        <v>262</v>
      </c>
      <c r="D1632" s="33">
        <f>IF(C1632="ID",1,(IF(C1632="PR",2,(IF(C1632="DE",3,(IF(C1632="RS",4,(IF(C1632="RC",5,0)))))))))</f>
        <v>2</v>
      </c>
      <c r="E1632" s="33" t="s">
        <v>345</v>
      </c>
      <c r="F1632" s="33">
        <f>IF(E1632="AM",1,(IF(E1632="BE",2,(IF(E1632="GV",3,(IF(E1632="RA",4,(IF(E1632="RM",5,(IF(E1632="AC",1,(IF(E1632="AT",2,(IF(E1632="DS",3,(IF(E1632="IP",4,(IF(E1632="MA",5,(IF(E1632="PT",6,(IF(E1632="AE",1,(IF(E1632="CM",2,(IF(E1632="DP",3,(IF(E1632="AN",1,(IF(E1632="CO",2,(IF(E1632="IM",3,(IF(E1632="MI",4,(IF(E1632="RP",5,(IF(E1632="SC",6,0)))))))))))))))))))))))))))))))))))))))</f>
        <v>6</v>
      </c>
      <c r="G1632" s="170">
        <v>3</v>
      </c>
      <c r="H1632" s="38" t="s">
        <v>511</v>
      </c>
      <c r="I1632" s="79" t="s">
        <v>1176</v>
      </c>
      <c r="J1632" s="162">
        <v>5.9</v>
      </c>
      <c r="K1632" s="80" t="s">
        <v>1069</v>
      </c>
      <c r="L1632" s="66">
        <f>IF(O1632="","",N1632*O1632*M1632)</f>
        <v>75</v>
      </c>
      <c r="M1632" s="8">
        <v>1</v>
      </c>
      <c r="N1632" s="3">
        <v>1</v>
      </c>
      <c r="O1632" s="15">
        <f>IF(SUM(Q1632:AF1632)&lt;1,"",SUM(Q1632:AF1632)/COUNTIF(Q1632:AF1632,"&gt;0"))</f>
        <v>75</v>
      </c>
      <c r="P1632" s="16"/>
      <c r="Q1632" s="13"/>
      <c r="R1632" s="4"/>
      <c r="S1632" s="4"/>
      <c r="T1632" s="4">
        <v>75</v>
      </c>
      <c r="U1632" s="2"/>
      <c r="V1632" s="2"/>
      <c r="W1632" s="2"/>
      <c r="X1632" s="2"/>
      <c r="Y1632" s="4"/>
      <c r="Z1632" s="2"/>
      <c r="AA1632" s="2"/>
      <c r="AB1632" s="4"/>
      <c r="AC1632" s="4"/>
      <c r="AD1632" s="4"/>
      <c r="AE1632" s="4"/>
      <c r="AF1632" s="14"/>
    </row>
    <row r="1633" spans="1:32" x14ac:dyDescent="0.25">
      <c r="A1633" s="33" t="str">
        <f>CONCATENATE(D1633,".",F1633,"-",G1633,".",H1633,"")</f>
        <v>2.6-3.1</v>
      </c>
      <c r="B1633" s="33" t="s">
        <v>814</v>
      </c>
      <c r="C1633" s="39" t="s">
        <v>262</v>
      </c>
      <c r="D1633" s="33">
        <f>IF(C1633="ID",1,(IF(C1633="PR",2,(IF(C1633="DE",3,(IF(C1633="RS",4,(IF(C1633="RC",5,0)))))))))</f>
        <v>2</v>
      </c>
      <c r="E1633" s="33" t="s">
        <v>345</v>
      </c>
      <c r="F1633" s="33">
        <f>IF(E1633="AM",1,(IF(E1633="BE",2,(IF(E1633="GV",3,(IF(E1633="RA",4,(IF(E1633="RM",5,(IF(E1633="AC",1,(IF(E1633="AT",2,(IF(E1633="DS",3,(IF(E1633="IP",4,(IF(E1633="MA",5,(IF(E1633="PT",6,(IF(E1633="AE",1,(IF(E1633="CM",2,(IF(E1633="DP",3,(IF(E1633="AN",1,(IF(E1633="CO",2,(IF(E1633="IM",3,(IF(E1633="MI",4,(IF(E1633="RP",5,(IF(E1633="SC",6,0)))))))))))))))))))))))))))))))))))))))</f>
        <v>6</v>
      </c>
      <c r="G1633" s="170">
        <v>3</v>
      </c>
      <c r="H1633" s="38" t="s">
        <v>511</v>
      </c>
      <c r="I1633" s="79" t="s">
        <v>1176</v>
      </c>
      <c r="J1633" s="162">
        <v>7.2</v>
      </c>
      <c r="K1633" s="80" t="s">
        <v>806</v>
      </c>
      <c r="L1633" s="66">
        <f>IF(O1633="","",N1633*O1633*M1633)</f>
        <v>75</v>
      </c>
      <c r="M1633" s="8">
        <v>1</v>
      </c>
      <c r="N1633" s="3">
        <v>1</v>
      </c>
      <c r="O1633" s="15">
        <f>IF(SUM(Q1633:AF1633)&lt;1,"",SUM(Q1633:AF1633)/COUNTIF(Q1633:AF1633,"&gt;0"))</f>
        <v>75</v>
      </c>
      <c r="P1633" s="16"/>
      <c r="Q1633" s="13"/>
      <c r="R1633" s="4"/>
      <c r="S1633" s="4"/>
      <c r="T1633" s="4">
        <v>75</v>
      </c>
      <c r="U1633" s="2"/>
      <c r="V1633" s="2"/>
      <c r="W1633" s="2"/>
      <c r="X1633" s="2"/>
      <c r="Y1633" s="4"/>
      <c r="Z1633" s="2"/>
      <c r="AA1633" s="2"/>
      <c r="AB1633" s="4"/>
      <c r="AC1633" s="4"/>
      <c r="AD1633" s="4"/>
      <c r="AE1633" s="4"/>
      <c r="AF1633" s="14"/>
    </row>
    <row r="1634" spans="1:32" x14ac:dyDescent="0.25">
      <c r="A1634" s="33" t="str">
        <f>CONCATENATE(D1634,".",F1634,"-",G1634,".",H1634,"")</f>
        <v>2.6-3.1</v>
      </c>
      <c r="B1634" s="33" t="s">
        <v>814</v>
      </c>
      <c r="C1634" s="39" t="s">
        <v>262</v>
      </c>
      <c r="D1634" s="33">
        <f>IF(C1634="ID",1,(IF(C1634="PR",2,(IF(C1634="DE",3,(IF(C1634="RS",4,(IF(C1634="RC",5,0)))))))))</f>
        <v>2</v>
      </c>
      <c r="E1634" s="33" t="s">
        <v>345</v>
      </c>
      <c r="F1634" s="33">
        <f>IF(E1634="AM",1,(IF(E1634="BE",2,(IF(E1634="GV",3,(IF(E1634="RA",4,(IF(E1634="RM",5,(IF(E1634="AC",1,(IF(E1634="AT",2,(IF(E1634="DS",3,(IF(E1634="IP",4,(IF(E1634="MA",5,(IF(E1634="PT",6,(IF(E1634="AE",1,(IF(E1634="CM",2,(IF(E1634="DP",3,(IF(E1634="AN",1,(IF(E1634="CO",2,(IF(E1634="IM",3,(IF(E1634="MI",4,(IF(E1634="RP",5,(IF(E1634="SC",6,0)))))))))))))))))))))))))))))))))))))))</f>
        <v>6</v>
      </c>
      <c r="G1634" s="170">
        <v>3</v>
      </c>
      <c r="H1634" s="38" t="s">
        <v>511</v>
      </c>
      <c r="I1634" s="79" t="s">
        <v>1176</v>
      </c>
      <c r="J1634" s="162">
        <v>7.5</v>
      </c>
      <c r="K1634" s="80" t="s">
        <v>1252</v>
      </c>
      <c r="L1634" s="66">
        <f>IF(O1634="","",N1634*O1634*M1634)</f>
        <v>75</v>
      </c>
      <c r="M1634" s="8">
        <v>1</v>
      </c>
      <c r="N1634" s="3">
        <v>1</v>
      </c>
      <c r="O1634" s="15">
        <f>IF(SUM(Q1634:AF1634)&lt;1,"",SUM(Q1634:AF1634)/COUNTIF(Q1634:AF1634,"&gt;0"))</f>
        <v>75</v>
      </c>
      <c r="P1634" s="16"/>
      <c r="Q1634" s="13"/>
      <c r="R1634" s="4"/>
      <c r="S1634" s="4"/>
      <c r="T1634" s="4">
        <v>75</v>
      </c>
      <c r="U1634" s="2"/>
      <c r="V1634" s="2"/>
      <c r="W1634" s="2"/>
      <c r="X1634" s="2"/>
      <c r="Y1634" s="4"/>
      <c r="Z1634" s="2"/>
      <c r="AA1634" s="2"/>
      <c r="AB1634" s="4"/>
      <c r="AC1634" s="4"/>
      <c r="AD1634" s="4"/>
      <c r="AE1634" s="4"/>
      <c r="AF1634" s="14"/>
    </row>
    <row r="1635" spans="1:32" x14ac:dyDescent="0.25">
      <c r="A1635" s="33" t="str">
        <f>CONCATENATE(D1635,".",F1635,"-",G1635,".",H1635,"")</f>
        <v>2.6-3.1</v>
      </c>
      <c r="B1635" s="33" t="s">
        <v>814</v>
      </c>
      <c r="C1635" s="39" t="s">
        <v>262</v>
      </c>
      <c r="D1635" s="33">
        <f>IF(C1635="ID",1,(IF(C1635="PR",2,(IF(C1635="DE",3,(IF(C1635="RS",4,(IF(C1635="RC",5,0)))))))))</f>
        <v>2</v>
      </c>
      <c r="E1635" s="33" t="s">
        <v>345</v>
      </c>
      <c r="F1635" s="33">
        <f>IF(E1635="AM",1,(IF(E1635="BE",2,(IF(E1635="GV",3,(IF(E1635="RA",4,(IF(E1635="RM",5,(IF(E1635="AC",1,(IF(E1635="AT",2,(IF(E1635="DS",3,(IF(E1635="IP",4,(IF(E1635="MA",5,(IF(E1635="PT",6,(IF(E1635="AE",1,(IF(E1635="CM",2,(IF(E1635="DP",3,(IF(E1635="AN",1,(IF(E1635="CO",2,(IF(E1635="IM",3,(IF(E1635="MI",4,(IF(E1635="RP",5,(IF(E1635="SC",6,0)))))))))))))))))))))))))))))))))))))))</f>
        <v>6</v>
      </c>
      <c r="G1635" s="170">
        <v>3</v>
      </c>
      <c r="H1635" s="38" t="s">
        <v>511</v>
      </c>
      <c r="I1635" s="79" t="s">
        <v>1176</v>
      </c>
      <c r="J1635" s="162">
        <v>8.3000000000000007</v>
      </c>
      <c r="K1635" t="s">
        <v>1078</v>
      </c>
      <c r="L1635" s="66">
        <f>IF(O1635="","",N1635*O1635*M1635)</f>
        <v>75</v>
      </c>
      <c r="M1635" s="8">
        <v>1</v>
      </c>
      <c r="N1635" s="3">
        <v>1</v>
      </c>
      <c r="O1635" s="15">
        <f>IF(SUM(Q1635:AF1635)&lt;1,"",SUM(Q1635:AF1635)/COUNTIF(Q1635:AF1635,"&gt;0"))</f>
        <v>75</v>
      </c>
      <c r="P1635" s="16"/>
      <c r="Q1635" s="13"/>
      <c r="R1635" s="4"/>
      <c r="S1635" s="4"/>
      <c r="T1635" s="4">
        <v>75</v>
      </c>
      <c r="U1635" s="2"/>
      <c r="V1635" s="2"/>
      <c r="W1635" s="2"/>
      <c r="X1635" s="2"/>
      <c r="Y1635" s="4"/>
      <c r="Z1635" s="2"/>
      <c r="AA1635" s="2"/>
      <c r="AB1635" s="4"/>
      <c r="AC1635" s="4"/>
      <c r="AD1635" s="4"/>
      <c r="AE1635" s="4"/>
      <c r="AF1635" s="14"/>
    </row>
    <row r="1636" spans="1:32" x14ac:dyDescent="0.25">
      <c r="A1636" s="33" t="str">
        <f>CONCATENATE(D1636,".",F1636,"-",G1636,".",H1636,"")</f>
        <v>2.6-3.1</v>
      </c>
      <c r="B1636" s="33" t="s">
        <v>814</v>
      </c>
      <c r="C1636" s="39" t="s">
        <v>262</v>
      </c>
      <c r="D1636" s="33">
        <f>IF(C1636="ID",1,(IF(C1636="PR",2,(IF(C1636="DE",3,(IF(C1636="RS",4,(IF(C1636="RC",5,0)))))))))</f>
        <v>2</v>
      </c>
      <c r="E1636" s="33" t="s">
        <v>345</v>
      </c>
      <c r="F1636" s="33">
        <f>IF(E1636="AM",1,(IF(E1636="BE",2,(IF(E1636="GV",3,(IF(E1636="RA",4,(IF(E1636="RM",5,(IF(E1636="AC",1,(IF(E1636="AT",2,(IF(E1636="DS",3,(IF(E1636="IP",4,(IF(E1636="MA",5,(IF(E1636="PT",6,(IF(E1636="AE",1,(IF(E1636="CM",2,(IF(E1636="DP",3,(IF(E1636="AN",1,(IF(E1636="CO",2,(IF(E1636="IM",3,(IF(E1636="MI",4,(IF(E1636="RP",5,(IF(E1636="SC",6,0)))))))))))))))))))))))))))))))))))))))</f>
        <v>6</v>
      </c>
      <c r="G1636" s="170">
        <v>3</v>
      </c>
      <c r="H1636" s="38" t="s">
        <v>511</v>
      </c>
      <c r="I1636" s="79" t="s">
        <v>1176</v>
      </c>
      <c r="J1636" s="162">
        <v>8.4</v>
      </c>
      <c r="K1636" s="80" t="s">
        <v>1079</v>
      </c>
      <c r="L1636" s="66">
        <f>IF(O1636="","",N1636*O1636*M1636)</f>
        <v>75</v>
      </c>
      <c r="M1636" s="8">
        <v>1</v>
      </c>
      <c r="N1636" s="3">
        <v>1</v>
      </c>
      <c r="O1636" s="15">
        <f>IF(SUM(Q1636:AF1636)&lt;1,"",SUM(Q1636:AF1636)/COUNTIF(Q1636:AF1636,"&gt;0"))</f>
        <v>75</v>
      </c>
      <c r="P1636" s="16"/>
      <c r="Q1636" s="13"/>
      <c r="R1636" s="4"/>
      <c r="S1636" s="4"/>
      <c r="T1636" s="4">
        <v>75</v>
      </c>
      <c r="U1636" s="2"/>
      <c r="V1636" s="2"/>
      <c r="W1636" s="2"/>
      <c r="X1636" s="2"/>
      <c r="Y1636" s="4"/>
      <c r="Z1636" s="2"/>
      <c r="AA1636" s="2"/>
      <c r="AB1636" s="4"/>
      <c r="AC1636" s="4"/>
      <c r="AD1636" s="4"/>
      <c r="AE1636" s="4"/>
      <c r="AF1636" s="14"/>
    </row>
    <row r="1637" spans="1:32" x14ac:dyDescent="0.25">
      <c r="A1637" s="33" t="str">
        <f>CONCATENATE(D1637,".",F1637,"-",G1637,".",H1637,"")</f>
        <v>2.6-3.1</v>
      </c>
      <c r="B1637" s="33" t="s">
        <v>814</v>
      </c>
      <c r="C1637" s="40" t="s">
        <v>262</v>
      </c>
      <c r="D1637" s="33">
        <f>IF(C1637="ID",1,(IF(C1637="PR",2,(IF(C1637="DE",3,(IF(C1637="RS",4,(IF(C1637="RC",5,0)))))))))</f>
        <v>2</v>
      </c>
      <c r="E1637" s="37" t="s">
        <v>345</v>
      </c>
      <c r="F1637" s="33">
        <f>IF(E1637="AM",1,(IF(E1637="BE",2,(IF(E1637="GV",3,(IF(E1637="RA",4,(IF(E1637="RM",5,(IF(E1637="AC",1,(IF(E1637="AT",2,(IF(E1637="DS",3,(IF(E1637="IP",4,(IF(E1637="MA",5,(IF(E1637="PT",6,(IF(E1637="AE",1,(IF(E1637="CM",2,(IF(E1637="DP",3,(IF(E1637="AN",1,(IF(E1637="CO",2,(IF(E1637="IM",3,(IF(E1637="MI",4,(IF(E1637="RP",5,(IF(E1637="SC",6,0)))))))))))))))))))))))))))))))))))))))</f>
        <v>6</v>
      </c>
      <c r="G1637" s="171">
        <v>3</v>
      </c>
      <c r="H1637" s="38" t="s">
        <v>511</v>
      </c>
      <c r="I1637" s="79" t="s">
        <v>1176</v>
      </c>
      <c r="J1637" s="162">
        <v>9</v>
      </c>
      <c r="K1637" s="80" t="s">
        <v>1082</v>
      </c>
      <c r="L1637" s="66">
        <f>IF(O1637="","",N1637*O1637*M1637)</f>
        <v>75</v>
      </c>
      <c r="M1637" s="8">
        <v>1</v>
      </c>
      <c r="N1637" s="3">
        <v>1</v>
      </c>
      <c r="O1637" s="15">
        <f>IF(SUM(Q1637:AF1637)&lt;1,"",SUM(Q1637:AF1637)/COUNTIF(Q1637:AF1637,"&gt;0"))</f>
        <v>75</v>
      </c>
      <c r="P1637" s="16"/>
      <c r="Q1637" s="13"/>
      <c r="R1637" s="4"/>
      <c r="S1637" s="4"/>
      <c r="T1637" s="4">
        <v>75</v>
      </c>
      <c r="U1637" s="2"/>
      <c r="V1637" s="2"/>
      <c r="W1637" s="2"/>
      <c r="X1637" s="2"/>
      <c r="Y1637" s="4"/>
      <c r="Z1637" s="2"/>
      <c r="AA1637" s="2"/>
      <c r="AB1637" s="4"/>
      <c r="AC1637" s="4"/>
      <c r="AD1637" s="4"/>
      <c r="AE1637" s="4"/>
      <c r="AF1637" s="14"/>
    </row>
    <row r="1638" spans="1:32" x14ac:dyDescent="0.25">
      <c r="A1638" s="33" t="str">
        <f>CONCATENATE(D1638,".",F1638,"-",G1638,".",H1638,"")</f>
        <v>2.6-3.1</v>
      </c>
      <c r="B1638" s="33" t="s">
        <v>814</v>
      </c>
      <c r="C1638" s="40" t="s">
        <v>262</v>
      </c>
      <c r="D1638" s="33">
        <f>IF(C1638="ID",1,(IF(C1638="PR",2,(IF(C1638="DE",3,(IF(C1638="RS",4,(IF(C1638="RC",5,0)))))))))</f>
        <v>2</v>
      </c>
      <c r="E1638" s="37" t="s">
        <v>345</v>
      </c>
      <c r="F1638" s="33">
        <f>IF(E1638="AM",1,(IF(E1638="BE",2,(IF(E1638="GV",3,(IF(E1638="RA",4,(IF(E1638="RM",5,(IF(E1638="AC",1,(IF(E1638="AT",2,(IF(E1638="DS",3,(IF(E1638="IP",4,(IF(E1638="MA",5,(IF(E1638="PT",6,(IF(E1638="AE",1,(IF(E1638="CM",2,(IF(E1638="DP",3,(IF(E1638="AN",1,(IF(E1638="CO",2,(IF(E1638="IM",3,(IF(E1638="MI",4,(IF(E1638="RP",5,(IF(E1638="SC",6,0)))))))))))))))))))))))))))))))))))))))</f>
        <v>6</v>
      </c>
      <c r="G1638" s="170">
        <v>3</v>
      </c>
      <c r="H1638" s="38" t="s">
        <v>511</v>
      </c>
      <c r="I1638" s="79" t="s">
        <v>1176</v>
      </c>
      <c r="J1638" s="162">
        <v>9.1</v>
      </c>
      <c r="K1638" s="80" t="s">
        <v>1083</v>
      </c>
      <c r="L1638" s="66">
        <f>IF(O1638="","",N1638*O1638*M1638)</f>
        <v>75</v>
      </c>
      <c r="M1638" s="8">
        <v>1</v>
      </c>
      <c r="N1638" s="3">
        <v>1</v>
      </c>
      <c r="O1638" s="15">
        <f>IF(SUM(Q1638:AF1638)&lt;1,"",SUM(Q1638:AF1638)/COUNTIF(Q1638:AF1638,"&gt;0"))</f>
        <v>75</v>
      </c>
      <c r="P1638" s="16"/>
      <c r="Q1638" s="13"/>
      <c r="R1638" s="4"/>
      <c r="S1638" s="4"/>
      <c r="T1638" s="4">
        <v>75</v>
      </c>
      <c r="U1638" s="2"/>
      <c r="V1638" s="2"/>
      <c r="W1638" s="2"/>
      <c r="X1638" s="2"/>
      <c r="Y1638" s="4"/>
      <c r="Z1638" s="2"/>
      <c r="AA1638" s="2"/>
      <c r="AB1638" s="4"/>
      <c r="AC1638" s="4"/>
      <c r="AD1638" s="4"/>
      <c r="AE1638" s="4"/>
      <c r="AF1638" s="14"/>
    </row>
    <row r="1639" spans="1:32" x14ac:dyDescent="0.25">
      <c r="A1639" s="33" t="str">
        <f>CONCATENATE(D1639,".",F1639,"-",G1639,".",H1639,"")</f>
        <v>2.6-3.1</v>
      </c>
      <c r="B1639" s="33" t="s">
        <v>814</v>
      </c>
      <c r="C1639" s="40" t="s">
        <v>262</v>
      </c>
      <c r="D1639" s="33">
        <f>IF(C1639="ID",1,(IF(C1639="PR",2,(IF(C1639="DE",3,(IF(C1639="RS",4,(IF(C1639="RC",5,0)))))))))</f>
        <v>2</v>
      </c>
      <c r="E1639" s="37" t="s">
        <v>345</v>
      </c>
      <c r="F1639" s="33">
        <f>IF(E1639="AM",1,(IF(E1639="BE",2,(IF(E1639="GV",3,(IF(E1639="RA",4,(IF(E1639="RM",5,(IF(E1639="AC",1,(IF(E1639="AT",2,(IF(E1639="DS",3,(IF(E1639="IP",4,(IF(E1639="MA",5,(IF(E1639="PT",6,(IF(E1639="AE",1,(IF(E1639="CM",2,(IF(E1639="DP",3,(IF(E1639="AN",1,(IF(E1639="CO",2,(IF(E1639="IM",3,(IF(E1639="MI",4,(IF(E1639="RP",5,(IF(E1639="SC",6,0)))))))))))))))))))))))))))))))))))))))</f>
        <v>6</v>
      </c>
      <c r="G1639" s="170">
        <v>3</v>
      </c>
      <c r="H1639" s="38" t="s">
        <v>511</v>
      </c>
      <c r="I1639" s="79" t="s">
        <v>1176</v>
      </c>
      <c r="J1639" s="162">
        <v>9.1999999999999993</v>
      </c>
      <c r="K1639" s="80" t="s">
        <v>800</v>
      </c>
      <c r="L1639" s="66">
        <f>IF(O1639="","",N1639*O1639*M1639)</f>
        <v>75</v>
      </c>
      <c r="M1639" s="8">
        <v>1</v>
      </c>
      <c r="N1639" s="3">
        <v>1</v>
      </c>
      <c r="O1639" s="15">
        <f>IF(SUM(Q1639:AF1639)&lt;1,"",SUM(Q1639:AF1639)/COUNTIF(Q1639:AF1639,"&gt;0"))</f>
        <v>75</v>
      </c>
      <c r="P1639" s="16"/>
      <c r="Q1639" s="13"/>
      <c r="R1639" s="4"/>
      <c r="S1639" s="4"/>
      <c r="T1639" s="4">
        <v>75</v>
      </c>
      <c r="U1639" s="2"/>
      <c r="V1639" s="2"/>
      <c r="W1639" s="2"/>
      <c r="X1639" s="2"/>
      <c r="Y1639" s="4"/>
      <c r="Z1639" s="2"/>
      <c r="AA1639" s="2"/>
      <c r="AB1639" s="4"/>
      <c r="AC1639" s="4"/>
      <c r="AD1639" s="4"/>
      <c r="AE1639" s="4"/>
      <c r="AF1639" s="14"/>
    </row>
    <row r="1640" spans="1:32" x14ac:dyDescent="0.25">
      <c r="A1640" s="33" t="str">
        <f>CONCATENATE(D1640,".",F1640,"-",G1640,".",H1640,"")</f>
        <v>2.6-3.1</v>
      </c>
      <c r="B1640" s="33" t="s">
        <v>814</v>
      </c>
      <c r="C1640" s="39" t="s">
        <v>262</v>
      </c>
      <c r="D1640" s="33">
        <f>IF(C1640="ID",1,(IF(C1640="PR",2,(IF(C1640="DE",3,(IF(C1640="RS",4,(IF(C1640="RC",5,0)))))))))</f>
        <v>2</v>
      </c>
      <c r="E1640" s="33" t="s">
        <v>345</v>
      </c>
      <c r="F1640" s="33">
        <f>IF(E1640="AM",1,(IF(E1640="BE",2,(IF(E1640="GV",3,(IF(E1640="RA",4,(IF(E1640="RM",5,(IF(E1640="AC",1,(IF(E1640="AT",2,(IF(E1640="DS",3,(IF(E1640="IP",4,(IF(E1640="MA",5,(IF(E1640="PT",6,(IF(E1640="AE",1,(IF(E1640="CM",2,(IF(E1640="DP",3,(IF(E1640="AN",1,(IF(E1640="CO",2,(IF(E1640="IM",3,(IF(E1640="MI",4,(IF(E1640="RP",5,(IF(E1640="SC",6,0)))))))))))))))))))))))))))))))))))))))</f>
        <v>6</v>
      </c>
      <c r="G1640" s="170">
        <v>3</v>
      </c>
      <c r="H1640" s="38" t="s">
        <v>511</v>
      </c>
      <c r="I1640" s="79" t="s">
        <v>1176</v>
      </c>
      <c r="J1640" s="162">
        <v>11.6</v>
      </c>
      <c r="K1640" s="4" t="s">
        <v>1097</v>
      </c>
      <c r="L1640" s="66">
        <f>IF(O1640="","",N1640*O1640*M1640)</f>
        <v>75</v>
      </c>
      <c r="M1640" s="8">
        <v>1</v>
      </c>
      <c r="N1640" s="3">
        <v>1</v>
      </c>
      <c r="O1640" s="15">
        <f>IF(SUM(Q1640:AF1640)&lt;1,"",SUM(Q1640:AF1640)/COUNTIF(Q1640:AF1640,"&gt;0"))</f>
        <v>75</v>
      </c>
      <c r="P1640" s="16"/>
      <c r="Q1640" s="13"/>
      <c r="R1640" s="4"/>
      <c r="S1640" s="4"/>
      <c r="T1640" s="4">
        <v>75</v>
      </c>
      <c r="U1640" s="2"/>
      <c r="V1640" s="2"/>
      <c r="W1640" s="2"/>
      <c r="X1640" s="2"/>
      <c r="Y1640" s="4"/>
      <c r="Z1640" s="2"/>
      <c r="AA1640" s="2"/>
      <c r="AB1640" s="4"/>
      <c r="AC1640" s="4"/>
      <c r="AD1640" s="4"/>
      <c r="AE1640" s="4"/>
      <c r="AF1640" s="14"/>
    </row>
    <row r="1641" spans="1:32" x14ac:dyDescent="0.25">
      <c r="A1641" s="33" t="str">
        <f>CONCATENATE(D1641,".",F1641,"-",G1641,".",H1641,"")</f>
        <v>2.6-3.1</v>
      </c>
      <c r="B1641" s="33" t="s">
        <v>814</v>
      </c>
      <c r="C1641" s="39" t="s">
        <v>262</v>
      </c>
      <c r="D1641" s="33">
        <f>IF(C1641="ID",1,(IF(C1641="PR",2,(IF(C1641="DE",3,(IF(C1641="RS",4,(IF(C1641="RC",5,0)))))))))</f>
        <v>2</v>
      </c>
      <c r="E1641" s="33" t="s">
        <v>345</v>
      </c>
      <c r="F1641" s="33">
        <f>IF(E1641="AM",1,(IF(E1641="BE",2,(IF(E1641="GV",3,(IF(E1641="RA",4,(IF(E1641="RM",5,(IF(E1641="AC",1,(IF(E1641="AT",2,(IF(E1641="DS",3,(IF(E1641="IP",4,(IF(E1641="MA",5,(IF(E1641="PT",6,(IF(E1641="AE",1,(IF(E1641="CM",2,(IF(E1641="DP",3,(IF(E1641="AN",1,(IF(E1641="CO",2,(IF(E1641="IM",3,(IF(E1641="MI",4,(IF(E1641="RP",5,(IF(E1641="SC",6,0)))))))))))))))))))))))))))))))))))))))</f>
        <v>6</v>
      </c>
      <c r="G1641" s="170">
        <v>3</v>
      </c>
      <c r="H1641" s="38" t="s">
        <v>511</v>
      </c>
      <c r="I1641" s="79" t="s">
        <v>1176</v>
      </c>
      <c r="J1641" s="162">
        <v>12.3</v>
      </c>
      <c r="K1641" s="80" t="s">
        <v>1102</v>
      </c>
      <c r="L1641" s="66">
        <f>IF(O1641="","",N1641*O1641*M1641)</f>
        <v>75</v>
      </c>
      <c r="M1641" s="8">
        <v>1</v>
      </c>
      <c r="N1641" s="3">
        <v>1</v>
      </c>
      <c r="O1641" s="15">
        <f>IF(SUM(Q1641:AF1641)&lt;1,"",SUM(Q1641:AF1641)/COUNTIF(Q1641:AF1641,"&gt;0"))</f>
        <v>75</v>
      </c>
      <c r="P1641" s="16"/>
      <c r="Q1641" s="13"/>
      <c r="R1641" s="4"/>
      <c r="S1641" s="4"/>
      <c r="T1641" s="4">
        <v>75</v>
      </c>
      <c r="U1641" s="2"/>
      <c r="V1641" s="2"/>
      <c r="W1641" s="2"/>
      <c r="X1641" s="2"/>
      <c r="Y1641" s="4"/>
      <c r="Z1641" s="2"/>
      <c r="AA1641" s="2"/>
      <c r="AB1641" s="4"/>
      <c r="AC1641" s="4"/>
      <c r="AD1641" s="4"/>
      <c r="AE1641" s="4"/>
      <c r="AF1641" s="14"/>
    </row>
    <row r="1642" spans="1:32" x14ac:dyDescent="0.25">
      <c r="A1642" s="33" t="str">
        <f>CONCATENATE(D1642,".",F1642,"-",G1642,".",H1642,"")</f>
        <v>2.6-3.1</v>
      </c>
      <c r="B1642" s="33" t="s">
        <v>814</v>
      </c>
      <c r="C1642" s="39" t="s">
        <v>262</v>
      </c>
      <c r="D1642" s="33">
        <f>IF(C1642="ID",1,(IF(C1642="PR",2,(IF(C1642="DE",3,(IF(C1642="RS",4,(IF(C1642="RC",5,0)))))))))</f>
        <v>2</v>
      </c>
      <c r="E1642" s="33" t="s">
        <v>345</v>
      </c>
      <c r="F1642" s="33">
        <f>IF(E1642="AM",1,(IF(E1642="BE",2,(IF(E1642="GV",3,(IF(E1642="RA",4,(IF(E1642="RM",5,(IF(E1642="AC",1,(IF(E1642="AT",2,(IF(E1642="DS",3,(IF(E1642="IP",4,(IF(E1642="MA",5,(IF(E1642="PT",6,(IF(E1642="AE",1,(IF(E1642="CM",2,(IF(E1642="DP",3,(IF(E1642="AN",1,(IF(E1642="CO",2,(IF(E1642="IM",3,(IF(E1642="MI",4,(IF(E1642="RP",5,(IF(E1642="SC",6,0)))))))))))))))))))))))))))))))))))))))</f>
        <v>6</v>
      </c>
      <c r="G1642" s="170">
        <v>3</v>
      </c>
      <c r="H1642" s="38" t="s">
        <v>511</v>
      </c>
      <c r="I1642" s="79" t="s">
        <v>1176</v>
      </c>
      <c r="J1642" s="162">
        <v>12.4</v>
      </c>
      <c r="K1642" s="80" t="s">
        <v>1103</v>
      </c>
      <c r="L1642" s="66">
        <f>IF(O1642="","",N1642*O1642*M1642)</f>
        <v>75</v>
      </c>
      <c r="M1642" s="8">
        <v>1</v>
      </c>
      <c r="N1642" s="3">
        <v>1</v>
      </c>
      <c r="O1642" s="15">
        <f>IF(SUM(Q1642:AF1642)&lt;1,"",SUM(Q1642:AF1642)/COUNTIF(Q1642:AF1642,"&gt;0"))</f>
        <v>75</v>
      </c>
      <c r="P1642" s="16"/>
      <c r="Q1642" s="13"/>
      <c r="R1642" s="4"/>
      <c r="S1642" s="4"/>
      <c r="T1642" s="4">
        <v>75</v>
      </c>
      <c r="U1642" s="2"/>
      <c r="V1642" s="2"/>
      <c r="W1642" s="2"/>
      <c r="X1642" s="2"/>
      <c r="Y1642" s="4"/>
      <c r="Z1642" s="2"/>
      <c r="AA1642" s="2"/>
      <c r="AB1642" s="4"/>
      <c r="AC1642" s="4"/>
      <c r="AD1642" s="4"/>
      <c r="AE1642" s="4"/>
      <c r="AF1642" s="14"/>
    </row>
    <row r="1643" spans="1:32" x14ac:dyDescent="0.25">
      <c r="A1643" s="33" t="str">
        <f>CONCATENATE(D1643,".",F1643,"-",G1643,".",H1643,"")</f>
        <v>2.6-3.1</v>
      </c>
      <c r="B1643" s="33" t="s">
        <v>814</v>
      </c>
      <c r="C1643" s="39" t="s">
        <v>262</v>
      </c>
      <c r="D1643" s="33">
        <f>IF(C1643="ID",1,(IF(C1643="PR",2,(IF(C1643="DE",3,(IF(C1643="RS",4,(IF(C1643="RC",5,0)))))))))</f>
        <v>2</v>
      </c>
      <c r="E1643" s="33" t="s">
        <v>345</v>
      </c>
      <c r="F1643" s="33">
        <f>IF(E1643="AM",1,(IF(E1643="BE",2,(IF(E1643="GV",3,(IF(E1643="RA",4,(IF(E1643="RM",5,(IF(E1643="AC",1,(IF(E1643="AT",2,(IF(E1643="DS",3,(IF(E1643="IP",4,(IF(E1643="MA",5,(IF(E1643="PT",6,(IF(E1643="AE",1,(IF(E1643="CM",2,(IF(E1643="DP",3,(IF(E1643="AN",1,(IF(E1643="CO",2,(IF(E1643="IM",3,(IF(E1643="MI",4,(IF(E1643="RP",5,(IF(E1643="SC",6,0)))))))))))))))))))))))))))))))))))))))</f>
        <v>6</v>
      </c>
      <c r="G1643" s="170">
        <v>3</v>
      </c>
      <c r="H1643" s="38" t="s">
        <v>511</v>
      </c>
      <c r="I1643" s="79" t="s">
        <v>1176</v>
      </c>
      <c r="J1643" s="162">
        <v>14.7</v>
      </c>
      <c r="K1643" s="80" t="s">
        <v>1125</v>
      </c>
      <c r="L1643" s="66">
        <f>IF(O1643="","",N1643*O1643*M1643)</f>
        <v>75</v>
      </c>
      <c r="M1643" s="8">
        <v>1</v>
      </c>
      <c r="N1643" s="3">
        <v>1</v>
      </c>
      <c r="O1643" s="15">
        <f>IF(SUM(Q1643:AF1643)&lt;1,"",SUM(Q1643:AF1643)/COUNTIF(Q1643:AF1643,"&gt;0"))</f>
        <v>75</v>
      </c>
      <c r="P1643" s="16"/>
      <c r="Q1643" s="13"/>
      <c r="R1643" s="4"/>
      <c r="S1643" s="4"/>
      <c r="T1643" s="4">
        <v>75</v>
      </c>
      <c r="U1643" s="2"/>
      <c r="V1643" s="2"/>
      <c r="W1643" s="2"/>
      <c r="X1643" s="2"/>
      <c r="Y1643" s="4"/>
      <c r="Z1643" s="2"/>
      <c r="AA1643" s="2"/>
      <c r="AB1643" s="4"/>
      <c r="AC1643" s="4"/>
      <c r="AD1643" s="4"/>
      <c r="AE1643" s="4"/>
      <c r="AF1643" s="14"/>
    </row>
    <row r="1644" spans="1:32" x14ac:dyDescent="0.25">
      <c r="A1644" s="33" t="str">
        <f>CONCATENATE(D1644,".",F1644,"-",G1644,".",H1644,"")</f>
        <v>2.6-3.1</v>
      </c>
      <c r="B1644" s="33" t="s">
        <v>814</v>
      </c>
      <c r="C1644" s="39" t="s">
        <v>262</v>
      </c>
      <c r="D1644" s="33">
        <f>IF(C1644="ID",1,(IF(C1644="PR",2,(IF(C1644="DE",3,(IF(C1644="RS",4,(IF(C1644="RC",5,0)))))))))</f>
        <v>2</v>
      </c>
      <c r="E1644" s="33" t="s">
        <v>345</v>
      </c>
      <c r="F1644" s="33">
        <f>IF(E1644="AM",1,(IF(E1644="BE",2,(IF(E1644="GV",3,(IF(E1644="RA",4,(IF(E1644="RM",5,(IF(E1644="AC",1,(IF(E1644="AT",2,(IF(E1644="DS",3,(IF(E1644="IP",4,(IF(E1644="MA",5,(IF(E1644="PT",6,(IF(E1644="AE",1,(IF(E1644="CM",2,(IF(E1644="DP",3,(IF(E1644="AN",1,(IF(E1644="CO",2,(IF(E1644="IM",3,(IF(E1644="MI",4,(IF(E1644="RP",5,(IF(E1644="SC",6,0)))))))))))))))))))))))))))))))))))))))</f>
        <v>6</v>
      </c>
      <c r="G1644" s="170">
        <v>3</v>
      </c>
      <c r="H1644" s="38" t="s">
        <v>511</v>
      </c>
      <c r="I1644" s="79" t="s">
        <v>1176</v>
      </c>
      <c r="J1644" s="162">
        <v>15.7</v>
      </c>
      <c r="K1644" s="80" t="s">
        <v>1132</v>
      </c>
      <c r="L1644" s="66">
        <f>IF(O1644="","",N1644*O1644*M1644)</f>
        <v>75</v>
      </c>
      <c r="M1644" s="8">
        <v>1</v>
      </c>
      <c r="N1644" s="3">
        <v>1</v>
      </c>
      <c r="O1644" s="15">
        <f>IF(SUM(Q1644:AF1644)&lt;1,"",SUM(Q1644:AF1644)/COUNTIF(Q1644:AF1644,"&gt;0"))</f>
        <v>75</v>
      </c>
      <c r="P1644" s="16"/>
      <c r="Q1644" s="13"/>
      <c r="R1644" s="4"/>
      <c r="S1644" s="4"/>
      <c r="T1644" s="4">
        <v>75</v>
      </c>
      <c r="U1644" s="2"/>
      <c r="V1644" s="2"/>
      <c r="W1644" s="2"/>
      <c r="X1644" s="2"/>
      <c r="Y1644" s="4"/>
      <c r="Z1644" s="2"/>
      <c r="AA1644" s="2"/>
      <c r="AB1644" s="4"/>
      <c r="AC1644" s="4"/>
      <c r="AD1644" s="4"/>
      <c r="AE1644" s="4"/>
      <c r="AF1644" s="14"/>
    </row>
    <row r="1645" spans="1:32" x14ac:dyDescent="0.25">
      <c r="A1645" s="33" t="str">
        <f>CONCATENATE(D1645,".",F1645,"-",G1645,".",H1645,"")</f>
        <v>2.6-3.1</v>
      </c>
      <c r="B1645" s="33" t="s">
        <v>814</v>
      </c>
      <c r="C1645" s="39" t="s">
        <v>262</v>
      </c>
      <c r="D1645" s="33">
        <f>IF(C1645="ID",1,(IF(C1645="PR",2,(IF(C1645="DE",3,(IF(C1645="RS",4,(IF(C1645="RC",5,0)))))))))</f>
        <v>2</v>
      </c>
      <c r="E1645" s="33" t="s">
        <v>345</v>
      </c>
      <c r="F1645" s="33">
        <f>IF(E1645="AM",1,(IF(E1645="BE",2,(IF(E1645="GV",3,(IF(E1645="RA",4,(IF(E1645="RM",5,(IF(E1645="AC",1,(IF(E1645="AT",2,(IF(E1645="DS",3,(IF(E1645="IP",4,(IF(E1645="MA",5,(IF(E1645="PT",6,(IF(E1645="AE",1,(IF(E1645="CM",2,(IF(E1645="DP",3,(IF(E1645="AN",1,(IF(E1645="CO",2,(IF(E1645="IM",3,(IF(E1645="MI",4,(IF(E1645="RP",5,(IF(E1645="SC",6,0)))))))))))))))))))))))))))))))))))))))</f>
        <v>6</v>
      </c>
      <c r="G1645" s="170">
        <v>3</v>
      </c>
      <c r="H1645" s="38" t="s">
        <v>511</v>
      </c>
      <c r="I1645" s="79" t="s">
        <v>1176</v>
      </c>
      <c r="J1645" s="162">
        <v>15.8</v>
      </c>
      <c r="K1645" s="80" t="s">
        <v>1133</v>
      </c>
      <c r="L1645" s="66">
        <f>IF(O1645="","",N1645*O1645*M1645)</f>
        <v>75</v>
      </c>
      <c r="M1645" s="8">
        <v>1</v>
      </c>
      <c r="N1645" s="3">
        <v>1</v>
      </c>
      <c r="O1645" s="15">
        <f>IF(SUM(Q1645:AF1645)&lt;1,"",SUM(Q1645:AF1645)/COUNTIF(Q1645:AF1645,"&gt;0"))</f>
        <v>75</v>
      </c>
      <c r="P1645" s="16"/>
      <c r="Q1645" s="13"/>
      <c r="R1645" s="4"/>
      <c r="S1645" s="4"/>
      <c r="T1645" s="4">
        <v>75</v>
      </c>
      <c r="U1645" s="2"/>
      <c r="V1645" s="2"/>
      <c r="W1645" s="2"/>
      <c r="X1645" s="2"/>
      <c r="Y1645" s="4"/>
      <c r="Z1645" s="2"/>
      <c r="AA1645" s="2"/>
      <c r="AB1645" s="4"/>
      <c r="AC1645" s="4"/>
      <c r="AD1645" s="4"/>
      <c r="AE1645" s="4"/>
      <c r="AF1645" s="14"/>
    </row>
    <row r="1646" spans="1:32" x14ac:dyDescent="0.25">
      <c r="A1646" s="33" t="str">
        <f>CONCATENATE(D1646,".",F1646,"-",G1646,".",H1646,"")</f>
        <v>2.6-3.1</v>
      </c>
      <c r="B1646" s="33" t="s">
        <v>814</v>
      </c>
      <c r="C1646" s="39" t="s">
        <v>262</v>
      </c>
      <c r="D1646" s="33">
        <f>IF(C1646="ID",1,(IF(C1646="PR",2,(IF(C1646="DE",3,(IF(C1646="RS",4,(IF(C1646="RC",5,0)))))))))</f>
        <v>2</v>
      </c>
      <c r="E1646" s="33" t="s">
        <v>345</v>
      </c>
      <c r="F1646" s="33">
        <f>IF(E1646="AM",1,(IF(E1646="BE",2,(IF(E1646="GV",3,(IF(E1646="RA",4,(IF(E1646="RM",5,(IF(E1646="AC",1,(IF(E1646="AT",2,(IF(E1646="DS",3,(IF(E1646="IP",4,(IF(E1646="MA",5,(IF(E1646="PT",6,(IF(E1646="AE",1,(IF(E1646="CM",2,(IF(E1646="DP",3,(IF(E1646="AN",1,(IF(E1646="CO",2,(IF(E1646="IM",3,(IF(E1646="MI",4,(IF(E1646="RP",5,(IF(E1646="SC",6,0)))))))))))))))))))))))))))))))))))))))</f>
        <v>6</v>
      </c>
      <c r="G1646" s="170">
        <v>3</v>
      </c>
      <c r="H1646" s="38" t="s">
        <v>511</v>
      </c>
      <c r="I1646" s="3" t="s">
        <v>1449</v>
      </c>
      <c r="J1646" s="157" t="s">
        <v>1454</v>
      </c>
      <c r="K1646" s="34" t="s">
        <v>1455</v>
      </c>
      <c r="L1646" s="5">
        <f>IF(O1646="","",N1646*O1646*M1646)</f>
        <v>99</v>
      </c>
      <c r="M1646" s="8">
        <v>1</v>
      </c>
      <c r="N1646" s="1">
        <v>1</v>
      </c>
      <c r="O1646" s="15">
        <f>IF(SUM(Q1646:AF1646)&lt;1,"",SUM(Q1646:AF1646)/COUNTIF(Q1646:AF1646,"&gt;0"))</f>
        <v>99</v>
      </c>
      <c r="P1646" s="16"/>
      <c r="Q1646" s="13"/>
      <c r="R1646" s="4"/>
      <c r="S1646" s="4"/>
      <c r="T1646" s="4">
        <v>99</v>
      </c>
      <c r="U1646" s="2"/>
      <c r="V1646" s="2"/>
      <c r="W1646" s="2"/>
      <c r="X1646" s="2"/>
      <c r="Y1646" s="4"/>
      <c r="Z1646" s="2"/>
      <c r="AA1646" s="2"/>
      <c r="AB1646" s="4"/>
      <c r="AC1646" s="4"/>
      <c r="AD1646" s="4"/>
      <c r="AE1646" s="4"/>
      <c r="AF1646" s="14"/>
    </row>
    <row r="1647" spans="1:32" x14ac:dyDescent="0.25">
      <c r="A1647" s="33" t="str">
        <f>CONCATENATE(D1647,".",F1647,"-",G1647,".",H1647,"")</f>
        <v>2.6-3.1</v>
      </c>
      <c r="B1647" s="33" t="s">
        <v>814</v>
      </c>
      <c r="C1647" s="39" t="s">
        <v>262</v>
      </c>
      <c r="D1647" s="33">
        <f>IF(C1647="ID",1,(IF(C1647="PR",2,(IF(C1647="DE",3,(IF(C1647="RS",4,(IF(C1647="RC",5,0)))))))))</f>
        <v>2</v>
      </c>
      <c r="E1647" s="33" t="s">
        <v>345</v>
      </c>
      <c r="F1647" s="33">
        <f>IF(E1647="AM",1,(IF(E1647="BE",2,(IF(E1647="GV",3,(IF(E1647="RA",4,(IF(E1647="RM",5,(IF(E1647="AC",1,(IF(E1647="AT",2,(IF(E1647="DS",3,(IF(E1647="IP",4,(IF(E1647="MA",5,(IF(E1647="PT",6,(IF(E1647="AE",1,(IF(E1647="CM",2,(IF(E1647="DP",3,(IF(E1647="AN",1,(IF(E1647="CO",2,(IF(E1647="IM",3,(IF(E1647="MI",4,(IF(E1647="RP",5,(IF(E1647="SC",6,0)))))))))))))))))))))))))))))))))))))))</f>
        <v>6</v>
      </c>
      <c r="G1647" s="170">
        <v>3</v>
      </c>
      <c r="H1647" s="38" t="s">
        <v>511</v>
      </c>
      <c r="I1647" s="3" t="s">
        <v>1449</v>
      </c>
      <c r="J1647" s="157" t="s">
        <v>1456</v>
      </c>
      <c r="K1647" s="34" t="s">
        <v>1457</v>
      </c>
      <c r="L1647" s="5">
        <f>IF(O1647="","",N1647*O1647*M1647)</f>
        <v>99</v>
      </c>
      <c r="M1647" s="8">
        <v>1</v>
      </c>
      <c r="N1647" s="1">
        <v>1</v>
      </c>
      <c r="O1647" s="15">
        <f>IF(SUM(Q1647:AF1647)&lt;1,"",SUM(Q1647:AF1647)/COUNTIF(Q1647:AF1647,"&gt;0"))</f>
        <v>99</v>
      </c>
      <c r="P1647" s="16"/>
      <c r="Q1647" s="13"/>
      <c r="R1647" s="4"/>
      <c r="S1647" s="4"/>
      <c r="T1647" s="4">
        <v>99</v>
      </c>
      <c r="U1647" s="2"/>
      <c r="V1647" s="2"/>
      <c r="W1647" s="2"/>
      <c r="X1647" s="2"/>
      <c r="Y1647" s="4"/>
      <c r="Z1647" s="2"/>
      <c r="AA1647" s="2"/>
      <c r="AB1647" s="4"/>
      <c r="AC1647" s="4"/>
      <c r="AD1647" s="4"/>
      <c r="AE1647" s="4"/>
      <c r="AF1647" s="14"/>
    </row>
    <row r="1648" spans="1:32" x14ac:dyDescent="0.25">
      <c r="A1648" s="33" t="str">
        <f>CONCATENATE(D1648,".",F1648,"-",G1648,".",H1648,"")</f>
        <v>2.6-3.1</v>
      </c>
      <c r="B1648" s="33" t="s">
        <v>814</v>
      </c>
      <c r="C1648" s="39" t="s">
        <v>262</v>
      </c>
      <c r="D1648" s="33">
        <f>IF(C1648="ID",1,(IF(C1648="PR",2,(IF(C1648="DE",3,(IF(C1648="RS",4,(IF(C1648="RC",5,0)))))))))</f>
        <v>2</v>
      </c>
      <c r="E1648" s="33" t="s">
        <v>345</v>
      </c>
      <c r="F1648" s="33">
        <f>IF(E1648="AM",1,(IF(E1648="BE",2,(IF(E1648="GV",3,(IF(E1648="RA",4,(IF(E1648="RM",5,(IF(E1648="AC",1,(IF(E1648="AT",2,(IF(E1648="DS",3,(IF(E1648="IP",4,(IF(E1648="MA",5,(IF(E1648="PT",6,(IF(E1648="AE",1,(IF(E1648="CM",2,(IF(E1648="DP",3,(IF(E1648="AN",1,(IF(E1648="CO",2,(IF(E1648="IM",3,(IF(E1648="MI",4,(IF(E1648="RP",5,(IF(E1648="SC",6,0)))))))))))))))))))))))))))))))))))))))</f>
        <v>6</v>
      </c>
      <c r="G1648" s="170">
        <v>3</v>
      </c>
      <c r="H1648" s="38" t="s">
        <v>511</v>
      </c>
      <c r="I1648" s="3" t="s">
        <v>1449</v>
      </c>
      <c r="J1648" s="157" t="s">
        <v>1588</v>
      </c>
      <c r="K1648" s="34" t="s">
        <v>1589</v>
      </c>
      <c r="L1648" s="5">
        <f>IF(O1648="","",N1648*O1648*M1648)</f>
        <v>99</v>
      </c>
      <c r="M1648" s="8">
        <v>1</v>
      </c>
      <c r="N1648" s="1">
        <v>1</v>
      </c>
      <c r="O1648" s="15">
        <f>IF(SUM(Q1648:AF1648)&lt;1,"",SUM(Q1648:AF1648)/COUNTIF(Q1648:AF1648,"&gt;0"))</f>
        <v>99</v>
      </c>
      <c r="P1648" s="16"/>
      <c r="Q1648" s="13"/>
      <c r="R1648" s="4"/>
      <c r="S1648" s="4"/>
      <c r="T1648" s="4">
        <v>99</v>
      </c>
      <c r="U1648" s="2"/>
      <c r="V1648" s="2"/>
      <c r="W1648" s="2"/>
      <c r="X1648" s="2"/>
      <c r="Y1648" s="4"/>
      <c r="Z1648" s="2"/>
      <c r="AA1648" s="2"/>
      <c r="AB1648" s="4"/>
      <c r="AC1648" s="4"/>
      <c r="AD1648" s="4"/>
      <c r="AE1648" s="4"/>
      <c r="AF1648" s="14"/>
    </row>
    <row r="1649" spans="1:32" x14ac:dyDescent="0.25">
      <c r="A1649" s="33" t="str">
        <f>CONCATENATE(D1649,".",F1649,"-",G1649,".",H1649,"")</f>
        <v>2.6-3.1</v>
      </c>
      <c r="B1649" s="33" t="s">
        <v>814</v>
      </c>
      <c r="C1649" s="39" t="s">
        <v>262</v>
      </c>
      <c r="D1649" s="33">
        <f>IF(C1649="ID",1,(IF(C1649="PR",2,(IF(C1649="DE",3,(IF(C1649="RS",4,(IF(C1649="RC",5,0)))))))))</f>
        <v>2</v>
      </c>
      <c r="E1649" s="33" t="s">
        <v>345</v>
      </c>
      <c r="F1649" s="33">
        <f>IF(E1649="AM",1,(IF(E1649="BE",2,(IF(E1649="GV",3,(IF(E1649="RA",4,(IF(E1649="RM",5,(IF(E1649="AC",1,(IF(E1649="AT",2,(IF(E1649="DS",3,(IF(E1649="IP",4,(IF(E1649="MA",5,(IF(E1649="PT",6,(IF(E1649="AE",1,(IF(E1649="CM",2,(IF(E1649="DP",3,(IF(E1649="AN",1,(IF(E1649="CO",2,(IF(E1649="IM",3,(IF(E1649="MI",4,(IF(E1649="RP",5,(IF(E1649="SC",6,0)))))))))))))))))))))))))))))))))))))))</f>
        <v>6</v>
      </c>
      <c r="G1649" s="170">
        <v>3</v>
      </c>
      <c r="H1649" s="38" t="s">
        <v>511</v>
      </c>
      <c r="I1649" s="3" t="s">
        <v>1449</v>
      </c>
      <c r="J1649" s="157" t="s">
        <v>1598</v>
      </c>
      <c r="K1649" s="34" t="s">
        <v>1599</v>
      </c>
      <c r="L1649" s="5">
        <f>IF(O1649="","",N1649*O1649*M1649)</f>
        <v>99</v>
      </c>
      <c r="M1649" s="8">
        <v>1</v>
      </c>
      <c r="N1649" s="1">
        <v>1</v>
      </c>
      <c r="O1649" s="15">
        <f>IF(SUM(Q1649:AF1649)&lt;1,"",SUM(Q1649:AF1649)/COUNTIF(Q1649:AF1649,"&gt;0"))</f>
        <v>99</v>
      </c>
      <c r="P1649" s="16"/>
      <c r="Q1649" s="13"/>
      <c r="R1649" s="4"/>
      <c r="S1649" s="4"/>
      <c r="T1649" s="4">
        <v>99</v>
      </c>
      <c r="U1649" s="2"/>
      <c r="V1649" s="2"/>
      <c r="W1649" s="2"/>
      <c r="X1649" s="2"/>
      <c r="Y1649" s="4"/>
      <c r="Z1649" s="2"/>
      <c r="AA1649" s="2"/>
      <c r="AB1649" s="4"/>
      <c r="AC1649" s="4"/>
      <c r="AD1649" s="4"/>
      <c r="AE1649" s="4"/>
      <c r="AF1649" s="14"/>
    </row>
    <row r="1650" spans="1:32" x14ac:dyDescent="0.25">
      <c r="A1650" s="33" t="str">
        <f>CONCATENATE(D1650,".",F1650,"-",G1650,".",H1650,"")</f>
        <v>2.6-3.1</v>
      </c>
      <c r="B1650" s="33" t="s">
        <v>814</v>
      </c>
      <c r="C1650" s="39" t="s">
        <v>262</v>
      </c>
      <c r="D1650" s="33">
        <f>IF(C1650="ID",1,(IF(C1650="PR",2,(IF(C1650="DE",3,(IF(C1650="RS",4,(IF(C1650="RC",5,0)))))))))</f>
        <v>2</v>
      </c>
      <c r="E1650" s="33" t="s">
        <v>345</v>
      </c>
      <c r="F1650" s="33">
        <f>IF(E1650="AM",1,(IF(E1650="BE",2,(IF(E1650="GV",3,(IF(E1650="RA",4,(IF(E1650="RM",5,(IF(E1650="AC",1,(IF(E1650="AT",2,(IF(E1650="DS",3,(IF(E1650="IP",4,(IF(E1650="MA",5,(IF(E1650="PT",6,(IF(E1650="AE",1,(IF(E1650="CM",2,(IF(E1650="DP",3,(IF(E1650="AN",1,(IF(E1650="CO",2,(IF(E1650="IM",3,(IF(E1650="MI",4,(IF(E1650="RP",5,(IF(E1650="SC",6,0)))))))))))))))))))))))))))))))))))))))</f>
        <v>6</v>
      </c>
      <c r="G1650" s="170">
        <v>3</v>
      </c>
      <c r="H1650" s="38" t="s">
        <v>511</v>
      </c>
      <c r="I1650" s="3" t="s">
        <v>1449</v>
      </c>
      <c r="J1650" s="157" t="s">
        <v>1626</v>
      </c>
      <c r="K1650" s="34" t="s">
        <v>1627</v>
      </c>
      <c r="L1650" s="5">
        <f>IF(O1650="","",N1650*O1650*M1650)</f>
        <v>99</v>
      </c>
      <c r="M1650" s="8">
        <v>1</v>
      </c>
      <c r="N1650" s="1">
        <v>1</v>
      </c>
      <c r="O1650" s="15">
        <f>IF(SUM(Q1650:AF1650)&lt;1,"",SUM(Q1650:AF1650)/COUNTIF(Q1650:AF1650,"&gt;0"))</f>
        <v>99</v>
      </c>
      <c r="P1650" s="16"/>
      <c r="Q1650" s="13"/>
      <c r="R1650" s="4"/>
      <c r="S1650" s="4"/>
      <c r="T1650" s="4">
        <v>99</v>
      </c>
      <c r="U1650" s="2"/>
      <c r="V1650" s="2"/>
      <c r="W1650" s="2"/>
      <c r="X1650" s="2"/>
      <c r="Y1650" s="4"/>
      <c r="Z1650" s="2"/>
      <c r="AA1650" s="2"/>
      <c r="AB1650" s="4"/>
      <c r="AC1650" s="4"/>
      <c r="AD1650" s="4"/>
      <c r="AE1650" s="4"/>
      <c r="AF1650" s="14"/>
    </row>
    <row r="1651" spans="1:32" x14ac:dyDescent="0.25">
      <c r="A1651" s="33" t="str">
        <f>CONCATENATE(D1651,".",F1651,"-",G1651,".",H1651,"")</f>
        <v>2.6-3.1</v>
      </c>
      <c r="C1651" s="39" t="s">
        <v>262</v>
      </c>
      <c r="D1651" s="33">
        <f>IF(C1651="ID",1,(IF(C1651="PR",2,(IF(C1651="DE",3,(IF(C1651="RS",4,(IF(C1651="RC",5,0)))))))))</f>
        <v>2</v>
      </c>
      <c r="E1651" s="33" t="s">
        <v>345</v>
      </c>
      <c r="F1651" s="33">
        <f>IF(E1651="AM",1,(IF(E1651="BE",2,(IF(E1651="GV",3,(IF(E1651="RA",4,(IF(E1651="RM",5,(IF(E1651="AC",1,(IF(E1651="AT",2,(IF(E1651="DS",3,(IF(E1651="IP",4,(IF(E1651="MA",5,(IF(E1651="PT",6,(IF(E1651="AE",1,(IF(E1651="CM",2,(IF(E1651="DP",3,(IF(E1651="AN",1,(IF(E1651="CO",2,(IF(E1651="IM",3,(IF(E1651="MI",4,(IF(E1651="RP",5,(IF(E1651="SC",6,0)))))))))))))))))))))))))))))))))))))))</f>
        <v>6</v>
      </c>
      <c r="G1651" s="170">
        <v>3</v>
      </c>
      <c r="H1651" s="38" t="s">
        <v>511</v>
      </c>
      <c r="I1651" s="3" t="s">
        <v>1449</v>
      </c>
      <c r="J1651" s="157" t="s">
        <v>2825</v>
      </c>
      <c r="K1651" s="34" t="s">
        <v>2826</v>
      </c>
      <c r="L1651" s="5">
        <f>IF(O1651="","",N1651*O1651*M1651)</f>
        <v>99</v>
      </c>
      <c r="M1651" s="8">
        <v>1</v>
      </c>
      <c r="N1651" s="1">
        <v>1</v>
      </c>
      <c r="O1651" s="15">
        <f>IF(SUM(Q1651:AF1651)&lt;1,"",SUM(Q1651:AF1651)/COUNTIF(Q1651:AF1651,"&gt;0"))</f>
        <v>99</v>
      </c>
      <c r="P1651" s="16"/>
      <c r="Q1651" s="13"/>
      <c r="R1651" s="4"/>
      <c r="S1651" s="4"/>
      <c r="T1651" s="4">
        <v>99</v>
      </c>
      <c r="U1651" s="2"/>
      <c r="V1651" s="2"/>
      <c r="W1651" s="2"/>
      <c r="X1651" s="2"/>
      <c r="Y1651" s="4"/>
      <c r="Z1651" s="2"/>
      <c r="AA1651" s="2"/>
      <c r="AB1651" s="4"/>
      <c r="AC1651" s="4"/>
      <c r="AD1651" s="4"/>
      <c r="AE1651" s="4"/>
      <c r="AF1651" s="14"/>
    </row>
    <row r="1652" spans="1:32" x14ac:dyDescent="0.25">
      <c r="A1652" s="33" t="str">
        <f>CONCATENATE(D1652,".",F1652,"-",G1652,".",H1652,"")</f>
        <v>2.6-3.1</v>
      </c>
      <c r="C1652" s="39" t="s">
        <v>262</v>
      </c>
      <c r="D1652" s="33">
        <f>IF(C1652="ID",1,(IF(C1652="PR",2,(IF(C1652="DE",3,(IF(C1652="RS",4,(IF(C1652="RC",5,0)))))))))</f>
        <v>2</v>
      </c>
      <c r="E1652" s="33" t="s">
        <v>345</v>
      </c>
      <c r="F1652" s="33">
        <f>IF(E1652="AM",1,(IF(E1652="BE",2,(IF(E1652="GV",3,(IF(E1652="RA",4,(IF(E1652="RM",5,(IF(E1652="AC",1,(IF(E1652="AT",2,(IF(E1652="DS",3,(IF(E1652="IP",4,(IF(E1652="MA",5,(IF(E1652="PT",6,(IF(E1652="AE",1,(IF(E1652="CM",2,(IF(E1652="DP",3,(IF(E1652="AN",1,(IF(E1652="CO",2,(IF(E1652="IM",3,(IF(E1652="MI",4,(IF(E1652="RP",5,(IF(E1652="SC",6,0)))))))))))))))))))))))))))))))))))))))</f>
        <v>6</v>
      </c>
      <c r="G1652" s="170">
        <v>3</v>
      </c>
      <c r="H1652" s="38" t="s">
        <v>511</v>
      </c>
      <c r="I1652" s="3" t="s">
        <v>1449</v>
      </c>
      <c r="J1652" s="157" t="s">
        <v>2827</v>
      </c>
      <c r="K1652" s="34" t="s">
        <v>2828</v>
      </c>
      <c r="L1652" s="5">
        <f>IF(O1652="","",N1652*O1652*M1652)</f>
        <v>99</v>
      </c>
      <c r="M1652" s="8">
        <v>1</v>
      </c>
      <c r="N1652" s="1">
        <v>1</v>
      </c>
      <c r="O1652" s="15">
        <f>IF(SUM(Q1652:AF1652)&lt;1,"",SUM(Q1652:AF1652)/COUNTIF(Q1652:AF1652,"&gt;0"))</f>
        <v>99</v>
      </c>
      <c r="P1652" s="16"/>
      <c r="Q1652" s="13"/>
      <c r="R1652" s="4"/>
      <c r="S1652" s="4"/>
      <c r="T1652" s="4">
        <v>99</v>
      </c>
      <c r="U1652" s="2"/>
      <c r="V1652" s="2"/>
      <c r="W1652" s="2"/>
      <c r="X1652" s="2"/>
      <c r="Y1652" s="4"/>
      <c r="Z1652" s="2"/>
      <c r="AA1652" s="2"/>
      <c r="AB1652" s="4"/>
      <c r="AC1652" s="4"/>
      <c r="AD1652" s="4"/>
      <c r="AE1652" s="4"/>
      <c r="AF1652" s="14"/>
    </row>
    <row r="1653" spans="1:32" x14ac:dyDescent="0.25">
      <c r="A1653" s="33" t="str">
        <f>CONCATENATE(D1653,".",F1653,"-",G1653,".",H1653,"")</f>
        <v>2.6-3.1</v>
      </c>
      <c r="C1653" s="39" t="s">
        <v>262</v>
      </c>
      <c r="D1653" s="33">
        <f>IF(C1653="ID",1,(IF(C1653="PR",2,(IF(C1653="DE",3,(IF(C1653="RS",4,(IF(C1653="RC",5,0)))))))))</f>
        <v>2</v>
      </c>
      <c r="E1653" s="33" t="s">
        <v>345</v>
      </c>
      <c r="F1653" s="33">
        <f>IF(E1653="AM",1,(IF(E1653="BE",2,(IF(E1653="GV",3,(IF(E1653="RA",4,(IF(E1653="RM",5,(IF(E1653="AC",1,(IF(E1653="AT",2,(IF(E1653="DS",3,(IF(E1653="IP",4,(IF(E1653="MA",5,(IF(E1653="PT",6,(IF(E1653="AE",1,(IF(E1653="CM",2,(IF(E1653="DP",3,(IF(E1653="AN",1,(IF(E1653="CO",2,(IF(E1653="IM",3,(IF(E1653="MI",4,(IF(E1653="RP",5,(IF(E1653="SC",6,0)))))))))))))))))))))))))))))))))))))))</f>
        <v>6</v>
      </c>
      <c r="G1653" s="170">
        <v>3</v>
      </c>
      <c r="H1653" s="38" t="s">
        <v>511</v>
      </c>
      <c r="I1653" s="3" t="s">
        <v>1449</v>
      </c>
      <c r="J1653" s="157" t="s">
        <v>2829</v>
      </c>
      <c r="K1653" s="34" t="s">
        <v>2830</v>
      </c>
      <c r="L1653" s="5">
        <f>IF(O1653="","",N1653*O1653*M1653)</f>
        <v>99</v>
      </c>
      <c r="M1653" s="8">
        <v>1</v>
      </c>
      <c r="N1653" s="1">
        <v>1</v>
      </c>
      <c r="O1653" s="15">
        <f>IF(SUM(Q1653:AF1653)&lt;1,"",SUM(Q1653:AF1653)/COUNTIF(Q1653:AF1653,"&gt;0"))</f>
        <v>99</v>
      </c>
      <c r="P1653" s="16"/>
      <c r="Q1653" s="13"/>
      <c r="R1653" s="4"/>
      <c r="S1653" s="4"/>
      <c r="T1653" s="4">
        <v>99</v>
      </c>
      <c r="U1653" s="2"/>
      <c r="V1653" s="2"/>
      <c r="W1653" s="2"/>
      <c r="X1653" s="2"/>
      <c r="Y1653" s="4"/>
      <c r="Z1653" s="2"/>
      <c r="AA1653" s="2"/>
      <c r="AB1653" s="4"/>
      <c r="AC1653" s="4"/>
      <c r="AD1653" s="4"/>
      <c r="AE1653" s="4"/>
      <c r="AF1653" s="14"/>
    </row>
    <row r="1654" spans="1:32" x14ac:dyDescent="0.25">
      <c r="A1654" s="33" t="str">
        <f>CONCATENATE(D1654,".",F1654,"-",G1654,".",H1654,"")</f>
        <v>2.6-3.1</v>
      </c>
      <c r="C1654" s="39" t="s">
        <v>262</v>
      </c>
      <c r="D1654" s="33">
        <f>IF(C1654="ID",1,(IF(C1654="PR",2,(IF(C1654="DE",3,(IF(C1654="RS",4,(IF(C1654="RC",5,0)))))))))</f>
        <v>2</v>
      </c>
      <c r="E1654" s="33" t="s">
        <v>345</v>
      </c>
      <c r="F1654" s="33">
        <f>IF(E1654="AM",1,(IF(E1654="BE",2,(IF(E1654="GV",3,(IF(E1654="RA",4,(IF(E1654="RM",5,(IF(E1654="AC",1,(IF(E1654="AT",2,(IF(E1654="DS",3,(IF(E1654="IP",4,(IF(E1654="MA",5,(IF(E1654="PT",6,(IF(E1654="AE",1,(IF(E1654="CM",2,(IF(E1654="DP",3,(IF(E1654="AN",1,(IF(E1654="CO",2,(IF(E1654="IM",3,(IF(E1654="MI",4,(IF(E1654="RP",5,(IF(E1654="SC",6,0)))))))))))))))))))))))))))))))))))))))</f>
        <v>6</v>
      </c>
      <c r="G1654" s="170">
        <v>3</v>
      </c>
      <c r="H1654" s="38" t="s">
        <v>511</v>
      </c>
      <c r="I1654" s="3" t="s">
        <v>1449</v>
      </c>
      <c r="J1654" s="157" t="s">
        <v>2831</v>
      </c>
      <c r="K1654" s="34" t="s">
        <v>2832</v>
      </c>
      <c r="L1654" s="5">
        <f>IF(O1654="","",N1654*O1654*M1654)</f>
        <v>99</v>
      </c>
      <c r="M1654" s="8">
        <v>1</v>
      </c>
      <c r="N1654" s="1">
        <v>1</v>
      </c>
      <c r="O1654" s="15">
        <f>IF(SUM(Q1654:AF1654)&lt;1,"",SUM(Q1654:AF1654)/COUNTIF(Q1654:AF1654,"&gt;0"))</f>
        <v>99</v>
      </c>
      <c r="P1654" s="16"/>
      <c r="Q1654" s="13"/>
      <c r="R1654" s="4"/>
      <c r="S1654" s="4"/>
      <c r="T1654" s="4">
        <v>99</v>
      </c>
      <c r="U1654" s="2"/>
      <c r="V1654" s="2"/>
      <c r="W1654" s="2"/>
      <c r="X1654" s="2"/>
      <c r="Y1654" s="4"/>
      <c r="Z1654" s="2"/>
      <c r="AA1654" s="2"/>
      <c r="AB1654" s="4"/>
      <c r="AC1654" s="4"/>
      <c r="AD1654" s="4"/>
      <c r="AE1654" s="4"/>
      <c r="AF1654" s="14"/>
    </row>
    <row r="1655" spans="1:32" x14ac:dyDescent="0.25">
      <c r="A1655" s="33" t="str">
        <f>CONCATENATE(D1655,".",F1655,"-",G1655,".",H1655,"")</f>
        <v>2.6-3.1</v>
      </c>
      <c r="C1655" s="39" t="s">
        <v>262</v>
      </c>
      <c r="D1655" s="33">
        <f>IF(C1655="ID",1,(IF(C1655="PR",2,(IF(C1655="DE",3,(IF(C1655="RS",4,(IF(C1655="RC",5,0)))))))))</f>
        <v>2</v>
      </c>
      <c r="E1655" s="33" t="s">
        <v>345</v>
      </c>
      <c r="F1655" s="33">
        <f>IF(E1655="AM",1,(IF(E1655="BE",2,(IF(E1655="GV",3,(IF(E1655="RA",4,(IF(E1655="RM",5,(IF(E1655="AC",1,(IF(E1655="AT",2,(IF(E1655="DS",3,(IF(E1655="IP",4,(IF(E1655="MA",5,(IF(E1655="PT",6,(IF(E1655="AE",1,(IF(E1655="CM",2,(IF(E1655="DP",3,(IF(E1655="AN",1,(IF(E1655="CO",2,(IF(E1655="IM",3,(IF(E1655="MI",4,(IF(E1655="RP",5,(IF(E1655="SC",6,0)))))))))))))))))))))))))))))))))))))))</f>
        <v>6</v>
      </c>
      <c r="G1655" s="170">
        <v>3</v>
      </c>
      <c r="H1655" s="38" t="s">
        <v>511</v>
      </c>
      <c r="I1655" s="3" t="s">
        <v>1449</v>
      </c>
      <c r="J1655" s="157" t="s">
        <v>2835</v>
      </c>
      <c r="K1655" s="34" t="s">
        <v>2836</v>
      </c>
      <c r="L1655" s="5">
        <f>IF(O1655="","",N1655*O1655*M1655)</f>
        <v>99</v>
      </c>
      <c r="M1655" s="8">
        <v>1</v>
      </c>
      <c r="N1655" s="1">
        <v>1</v>
      </c>
      <c r="O1655" s="15">
        <f>IF(SUM(Q1655:AF1655)&lt;1,"",SUM(Q1655:AF1655)/COUNTIF(Q1655:AF1655,"&gt;0"))</f>
        <v>99</v>
      </c>
      <c r="P1655" s="16"/>
      <c r="Q1655" s="13"/>
      <c r="R1655" s="4"/>
      <c r="S1655" s="4"/>
      <c r="T1655" s="4">
        <v>99</v>
      </c>
      <c r="U1655" s="2"/>
      <c r="V1655" s="2"/>
      <c r="W1655" s="2"/>
      <c r="X1655" s="2"/>
      <c r="Y1655" s="4"/>
      <c r="Z1655" s="2"/>
      <c r="AA1655" s="2"/>
      <c r="AB1655" s="4"/>
      <c r="AC1655" s="4"/>
      <c r="AD1655" s="4"/>
      <c r="AE1655" s="4"/>
      <c r="AF1655" s="14"/>
    </row>
    <row r="1656" spans="1:32" x14ac:dyDescent="0.25">
      <c r="A1656" s="33" t="str">
        <f>CONCATENATE(D1656,".",F1656,"-",G1656,".",H1656,"")</f>
        <v>2.6-3.2</v>
      </c>
      <c r="B1656" s="33" t="s">
        <v>814</v>
      </c>
      <c r="C1656" s="41" t="s">
        <v>262</v>
      </c>
      <c r="D1656" s="33">
        <f>IF(C1656="ID",1,(IF(C1656="PR",2,(IF(C1656="DE",3,(IF(C1656="RS",4,(IF(C1656="RC",5,0)))))))))</f>
        <v>2</v>
      </c>
      <c r="E1656" s="33" t="s">
        <v>345</v>
      </c>
      <c r="F1656" s="33">
        <f>IF(E1656="AM",1,(IF(E1656="BE",2,(IF(E1656="GV",3,(IF(E1656="RA",4,(IF(E1656="RM",5,(IF(E1656="AC",1,(IF(E1656="AT",2,(IF(E1656="DS",3,(IF(E1656="IP",4,(IF(E1656="MA",5,(IF(E1656="PT",6,(IF(E1656="AE",1,(IF(E1656="CM",2,(IF(E1656="DP",3,(IF(E1656="AN",1,(IF(E1656="CO",2,(IF(E1656="IM",3,(IF(E1656="MI",4,(IF(E1656="RP",5,(IF(E1656="SC",6,0)))))))))))))))))))))))))))))))))))))))</f>
        <v>6</v>
      </c>
      <c r="G1656" s="170">
        <v>3</v>
      </c>
      <c r="H1656" s="38" t="s">
        <v>512</v>
      </c>
      <c r="I1656" s="22" t="s">
        <v>266</v>
      </c>
      <c r="J1656" s="149" t="s">
        <v>17</v>
      </c>
      <c r="K1656" s="79" t="s">
        <v>1447</v>
      </c>
      <c r="L1656" s="66">
        <f>IF(O1656="","",N1656*O1656*M1656)</f>
        <v>75</v>
      </c>
      <c r="M1656" s="8">
        <v>1</v>
      </c>
      <c r="N1656" s="1">
        <v>1</v>
      </c>
      <c r="O1656" s="15">
        <f>IF(SUM(Q1656:AF1656)&lt;1,"",SUM(Q1656:AF1656)/COUNTIF(Q1656:AF1656,"&gt;0"))</f>
        <v>75</v>
      </c>
      <c r="P1656" s="16"/>
      <c r="Q1656" s="13"/>
      <c r="R1656" s="4"/>
      <c r="S1656" s="4"/>
      <c r="T1656" s="4">
        <v>75</v>
      </c>
      <c r="U1656" s="2"/>
      <c r="V1656" s="2"/>
      <c r="W1656" s="2"/>
      <c r="X1656" s="2"/>
      <c r="Y1656" s="4"/>
      <c r="Z1656" s="2"/>
      <c r="AA1656" s="2"/>
      <c r="AB1656" s="4"/>
      <c r="AC1656" s="4"/>
      <c r="AD1656" s="4"/>
      <c r="AE1656" s="4"/>
      <c r="AF1656" s="14"/>
    </row>
    <row r="1657" spans="1:32" x14ac:dyDescent="0.25">
      <c r="A1657" s="33" t="str">
        <f>CONCATENATE(D1657,".",F1657,"-",G1657,".",H1657,"")</f>
        <v>2.6-3.9</v>
      </c>
      <c r="C1657" s="39" t="s">
        <v>262</v>
      </c>
      <c r="D1657" s="33">
        <f>IF(C1657="ID",1,(IF(C1657="PR",2,(IF(C1657="DE",3,(IF(C1657="RS",4,(IF(C1657="RC",5,0)))))))))</f>
        <v>2</v>
      </c>
      <c r="E1657" s="33" t="s">
        <v>345</v>
      </c>
      <c r="F1657" s="33">
        <f>IF(E1657="AM",1,(IF(E1657="BE",2,(IF(E1657="GV",3,(IF(E1657="RA",4,(IF(E1657="RM",5,(IF(E1657="AC",1,(IF(E1657="AT",2,(IF(E1657="DS",3,(IF(E1657="IP",4,(IF(E1657="MA",5,(IF(E1657="PT",6,(IF(E1657="AE",1,(IF(E1657="CM",2,(IF(E1657="DP",3,(IF(E1657="AN",1,(IF(E1657="CO",2,(IF(E1657="IM",3,(IF(E1657="MI",4,(IF(E1657="RP",5,(IF(E1657="SC",6,0)))))))))))))))))))))))))))))))))))))))</f>
        <v>6</v>
      </c>
      <c r="G1657" s="170">
        <v>3</v>
      </c>
      <c r="H1657" s="38" t="s">
        <v>596</v>
      </c>
      <c r="I1657" s="3" t="s">
        <v>1449</v>
      </c>
      <c r="J1657" s="157" t="s">
        <v>2753</v>
      </c>
      <c r="K1657" s="34" t="s">
        <v>2754</v>
      </c>
      <c r="L1657" s="5">
        <f>IF(O1657="","",N1657*O1657*M1657)</f>
        <v>99</v>
      </c>
      <c r="M1657" s="8">
        <v>1</v>
      </c>
      <c r="N1657" s="1">
        <v>1</v>
      </c>
      <c r="O1657" s="15">
        <f>IF(SUM(Q1657:AF1657)&lt;1,"",SUM(Q1657:AF1657)/COUNTIF(Q1657:AF1657,"&gt;0"))</f>
        <v>99</v>
      </c>
      <c r="P1657" s="16"/>
      <c r="Q1657" s="13"/>
      <c r="R1657" s="4"/>
      <c r="S1657" s="4"/>
      <c r="T1657" s="4">
        <v>99</v>
      </c>
      <c r="U1657" s="2"/>
      <c r="V1657" s="2"/>
      <c r="W1657" s="2"/>
      <c r="X1657" s="2"/>
      <c r="Y1657" s="4"/>
      <c r="Z1657" s="2"/>
      <c r="AA1657" s="2"/>
      <c r="AB1657" s="4"/>
      <c r="AC1657" s="4"/>
      <c r="AD1657" s="4"/>
      <c r="AE1657" s="4"/>
      <c r="AF1657" s="14"/>
    </row>
    <row r="1658" spans="1:32" x14ac:dyDescent="0.25">
      <c r="A1658" s="33" t="str">
        <f>CONCATENATE(D1658,".",F1658,"-",G1658,".",H1658,"")</f>
        <v>2.6-3.9</v>
      </c>
      <c r="C1658" s="39" t="s">
        <v>262</v>
      </c>
      <c r="D1658" s="33">
        <f>IF(C1658="ID",1,(IF(C1658="PR",2,(IF(C1658="DE",3,(IF(C1658="RS",4,(IF(C1658="RC",5,0)))))))))</f>
        <v>2</v>
      </c>
      <c r="E1658" s="33" t="s">
        <v>345</v>
      </c>
      <c r="F1658" s="33">
        <f>IF(E1658="AM",1,(IF(E1658="BE",2,(IF(E1658="GV",3,(IF(E1658="RA",4,(IF(E1658="RM",5,(IF(E1658="AC",1,(IF(E1658="AT",2,(IF(E1658="DS",3,(IF(E1658="IP",4,(IF(E1658="MA",5,(IF(E1658="PT",6,(IF(E1658="AE",1,(IF(E1658="CM",2,(IF(E1658="DP",3,(IF(E1658="AN",1,(IF(E1658="CO",2,(IF(E1658="IM",3,(IF(E1658="MI",4,(IF(E1658="RP",5,(IF(E1658="SC",6,0)))))))))))))))))))))))))))))))))))))))</f>
        <v>6</v>
      </c>
      <c r="G1658" s="170">
        <v>3</v>
      </c>
      <c r="H1658" s="38" t="s">
        <v>596</v>
      </c>
      <c r="I1658" s="3" t="s">
        <v>1449</v>
      </c>
      <c r="J1658" s="157" t="s">
        <v>2755</v>
      </c>
      <c r="K1658" s="34" t="s">
        <v>2756</v>
      </c>
      <c r="L1658" s="5">
        <f>IF(O1658="","",N1658*O1658*M1658)</f>
        <v>99</v>
      </c>
      <c r="M1658" s="8">
        <v>1</v>
      </c>
      <c r="N1658" s="1">
        <v>1</v>
      </c>
      <c r="O1658" s="15">
        <f>IF(SUM(Q1658:AF1658)&lt;1,"",SUM(Q1658:AF1658)/COUNTIF(Q1658:AF1658,"&gt;0"))</f>
        <v>99</v>
      </c>
      <c r="P1658" s="16"/>
      <c r="Q1658" s="13"/>
      <c r="R1658" s="4"/>
      <c r="S1658" s="4"/>
      <c r="T1658" s="4">
        <v>99</v>
      </c>
      <c r="U1658" s="2"/>
      <c r="V1658" s="2"/>
      <c r="W1658" s="2"/>
      <c r="X1658" s="2"/>
      <c r="Y1658" s="4"/>
      <c r="Z1658" s="2"/>
      <c r="AA1658" s="2"/>
      <c r="AB1658" s="4"/>
      <c r="AC1658" s="4"/>
      <c r="AD1658" s="4"/>
      <c r="AE1658" s="4"/>
      <c r="AF1658" s="14"/>
    </row>
    <row r="1659" spans="1:32" x14ac:dyDescent="0.25">
      <c r="A1659" s="33" t="str">
        <f>CONCATENATE(D1659,".",F1659,"-",G1659,".",H1659,"")</f>
        <v>2.6-3.9</v>
      </c>
      <c r="C1659" s="39" t="s">
        <v>262</v>
      </c>
      <c r="D1659" s="33">
        <f>IF(C1659="ID",1,(IF(C1659="PR",2,(IF(C1659="DE",3,(IF(C1659="RS",4,(IF(C1659="RC",5,0)))))))))</f>
        <v>2</v>
      </c>
      <c r="E1659" s="33" t="s">
        <v>345</v>
      </c>
      <c r="F1659" s="33">
        <f>IF(E1659="AM",1,(IF(E1659="BE",2,(IF(E1659="GV",3,(IF(E1659="RA",4,(IF(E1659="RM",5,(IF(E1659="AC",1,(IF(E1659="AT",2,(IF(E1659="DS",3,(IF(E1659="IP",4,(IF(E1659="MA",5,(IF(E1659="PT",6,(IF(E1659="AE",1,(IF(E1659="CM",2,(IF(E1659="DP",3,(IF(E1659="AN",1,(IF(E1659="CO",2,(IF(E1659="IM",3,(IF(E1659="MI",4,(IF(E1659="RP",5,(IF(E1659="SC",6,0)))))))))))))))))))))))))))))))))))))))</f>
        <v>6</v>
      </c>
      <c r="G1659" s="170">
        <v>3</v>
      </c>
      <c r="H1659" s="38" t="s">
        <v>596</v>
      </c>
      <c r="I1659" s="3" t="s">
        <v>1449</v>
      </c>
      <c r="J1659" s="157" t="s">
        <v>2761</v>
      </c>
      <c r="K1659" s="34" t="s">
        <v>2762</v>
      </c>
      <c r="L1659" s="5">
        <f>IF(O1659="","",N1659*O1659*M1659)</f>
        <v>99</v>
      </c>
      <c r="M1659" s="8">
        <v>1</v>
      </c>
      <c r="N1659" s="1">
        <v>1</v>
      </c>
      <c r="O1659" s="15">
        <f>IF(SUM(Q1659:AF1659)&lt;1,"",SUM(Q1659:AF1659)/COUNTIF(Q1659:AF1659,"&gt;0"))</f>
        <v>99</v>
      </c>
      <c r="P1659" s="16"/>
      <c r="Q1659" s="13"/>
      <c r="R1659" s="4"/>
      <c r="S1659" s="4"/>
      <c r="T1659" s="4">
        <v>99</v>
      </c>
      <c r="U1659" s="2"/>
      <c r="V1659" s="2"/>
      <c r="W1659" s="2"/>
      <c r="X1659" s="2"/>
      <c r="Y1659" s="4"/>
      <c r="Z1659" s="2"/>
      <c r="AA1659" s="2"/>
      <c r="AB1659" s="4"/>
      <c r="AC1659" s="4"/>
      <c r="AD1659" s="4"/>
      <c r="AE1659" s="4"/>
      <c r="AF1659" s="14"/>
    </row>
    <row r="1660" spans="1:32" x14ac:dyDescent="0.25">
      <c r="A1660" s="33" t="str">
        <f>CONCATENATE(D1660,".",F1660,"-",G1660,".",H1660,"")</f>
        <v>2.6-3.9</v>
      </c>
      <c r="C1660" s="39" t="s">
        <v>262</v>
      </c>
      <c r="D1660" s="33">
        <f>IF(C1660="ID",1,(IF(C1660="PR",2,(IF(C1660="DE",3,(IF(C1660="RS",4,(IF(C1660="RC",5,0)))))))))</f>
        <v>2</v>
      </c>
      <c r="E1660" s="33" t="s">
        <v>345</v>
      </c>
      <c r="F1660" s="33">
        <f>IF(E1660="AM",1,(IF(E1660="BE",2,(IF(E1660="GV",3,(IF(E1660="RA",4,(IF(E1660="RM",5,(IF(E1660="AC",1,(IF(E1660="AT",2,(IF(E1660="DS",3,(IF(E1660="IP",4,(IF(E1660="MA",5,(IF(E1660="PT",6,(IF(E1660="AE",1,(IF(E1660="CM",2,(IF(E1660="DP",3,(IF(E1660="AN",1,(IF(E1660="CO",2,(IF(E1660="IM",3,(IF(E1660="MI",4,(IF(E1660="RP",5,(IF(E1660="SC",6,0)))))))))))))))))))))))))))))))))))))))</f>
        <v>6</v>
      </c>
      <c r="G1660" s="170">
        <v>3</v>
      </c>
      <c r="H1660" s="38" t="s">
        <v>596</v>
      </c>
      <c r="I1660" s="3" t="s">
        <v>1449</v>
      </c>
      <c r="J1660" s="157" t="s">
        <v>2763</v>
      </c>
      <c r="K1660" s="34" t="s">
        <v>2764</v>
      </c>
      <c r="L1660" s="5">
        <f>IF(O1660="","",N1660*O1660*M1660)</f>
        <v>99</v>
      </c>
      <c r="M1660" s="8">
        <v>1</v>
      </c>
      <c r="N1660" s="1">
        <v>1</v>
      </c>
      <c r="O1660" s="15">
        <f>IF(SUM(Q1660:AF1660)&lt;1,"",SUM(Q1660:AF1660)/COUNTIF(Q1660:AF1660,"&gt;0"))</f>
        <v>99</v>
      </c>
      <c r="P1660" s="16"/>
      <c r="Q1660" s="13"/>
      <c r="R1660" s="4"/>
      <c r="S1660" s="4"/>
      <c r="T1660" s="4">
        <v>99</v>
      </c>
      <c r="U1660" s="2"/>
      <c r="V1660" s="2"/>
      <c r="W1660" s="2"/>
      <c r="X1660" s="2"/>
      <c r="Y1660" s="4"/>
      <c r="Z1660" s="2"/>
      <c r="AA1660" s="2"/>
      <c r="AB1660" s="4"/>
      <c r="AC1660" s="4"/>
      <c r="AD1660" s="4"/>
      <c r="AE1660" s="4"/>
      <c r="AF1660" s="14"/>
    </row>
    <row r="1661" spans="1:32" x14ac:dyDescent="0.25">
      <c r="A1661" s="33" t="str">
        <f>CONCATENATE(D1661,".",F1661,"-",G1661,".",H1661,"")</f>
        <v>2.6-3.9</v>
      </c>
      <c r="C1661" s="39" t="s">
        <v>262</v>
      </c>
      <c r="D1661" s="33">
        <f>IF(C1661="ID",1,(IF(C1661="PR",2,(IF(C1661="DE",3,(IF(C1661="RS",4,(IF(C1661="RC",5,0)))))))))</f>
        <v>2</v>
      </c>
      <c r="E1661" s="33" t="s">
        <v>345</v>
      </c>
      <c r="F1661" s="33">
        <f>IF(E1661="AM",1,(IF(E1661="BE",2,(IF(E1661="GV",3,(IF(E1661="RA",4,(IF(E1661="RM",5,(IF(E1661="AC",1,(IF(E1661="AT",2,(IF(E1661="DS",3,(IF(E1661="IP",4,(IF(E1661="MA",5,(IF(E1661="PT",6,(IF(E1661="AE",1,(IF(E1661="CM",2,(IF(E1661="DP",3,(IF(E1661="AN",1,(IF(E1661="CO",2,(IF(E1661="IM",3,(IF(E1661="MI",4,(IF(E1661="RP",5,(IF(E1661="SC",6,0)))))))))))))))))))))))))))))))))))))))</f>
        <v>6</v>
      </c>
      <c r="G1661" s="170">
        <v>3</v>
      </c>
      <c r="H1661" s="38" t="s">
        <v>596</v>
      </c>
      <c r="I1661" s="3" t="s">
        <v>1449</v>
      </c>
      <c r="J1661" s="157" t="s">
        <v>2765</v>
      </c>
      <c r="K1661" s="34" t="s">
        <v>2766</v>
      </c>
      <c r="L1661" s="5">
        <f>IF(O1661="","",N1661*O1661*M1661)</f>
        <v>99</v>
      </c>
      <c r="M1661" s="8">
        <v>1</v>
      </c>
      <c r="N1661" s="1">
        <v>1</v>
      </c>
      <c r="O1661" s="15">
        <f>IF(SUM(Q1661:AF1661)&lt;1,"",SUM(Q1661:AF1661)/COUNTIF(Q1661:AF1661,"&gt;0"))</f>
        <v>99</v>
      </c>
      <c r="P1661" s="16"/>
      <c r="Q1661" s="13"/>
      <c r="R1661" s="4"/>
      <c r="S1661" s="4"/>
      <c r="T1661" s="4">
        <v>99</v>
      </c>
      <c r="U1661" s="2"/>
      <c r="V1661" s="2"/>
      <c r="W1661" s="2"/>
      <c r="X1661" s="2"/>
      <c r="Y1661" s="4"/>
      <c r="Z1661" s="2"/>
      <c r="AA1661" s="2"/>
      <c r="AB1661" s="4"/>
      <c r="AC1661" s="4"/>
      <c r="AD1661" s="4"/>
      <c r="AE1661" s="4"/>
      <c r="AF1661" s="14"/>
    </row>
    <row r="1662" spans="1:32" x14ac:dyDescent="0.25">
      <c r="A1662" s="33" t="str">
        <f>CONCATENATE(D1662,".",F1662,"-",G1662,".",H1662,"")</f>
        <v>2.6-3.9</v>
      </c>
      <c r="C1662" s="39" t="s">
        <v>262</v>
      </c>
      <c r="D1662" s="33">
        <f>IF(C1662="ID",1,(IF(C1662="PR",2,(IF(C1662="DE",3,(IF(C1662="RS",4,(IF(C1662="RC",5,0)))))))))</f>
        <v>2</v>
      </c>
      <c r="E1662" s="33" t="s">
        <v>345</v>
      </c>
      <c r="F1662" s="33">
        <f>IF(E1662="AM",1,(IF(E1662="BE",2,(IF(E1662="GV",3,(IF(E1662="RA",4,(IF(E1662="RM",5,(IF(E1662="AC",1,(IF(E1662="AT",2,(IF(E1662="DS",3,(IF(E1662="IP",4,(IF(E1662="MA",5,(IF(E1662="PT",6,(IF(E1662="AE",1,(IF(E1662="CM",2,(IF(E1662="DP",3,(IF(E1662="AN",1,(IF(E1662="CO",2,(IF(E1662="IM",3,(IF(E1662="MI",4,(IF(E1662="RP",5,(IF(E1662="SC",6,0)))))))))))))))))))))))))))))))))))))))</f>
        <v>6</v>
      </c>
      <c r="G1662" s="170">
        <v>3</v>
      </c>
      <c r="H1662" s="38" t="s">
        <v>596</v>
      </c>
      <c r="I1662" s="3" t="s">
        <v>1449</v>
      </c>
      <c r="J1662" s="157" t="s">
        <v>2771</v>
      </c>
      <c r="K1662" s="34" t="s">
        <v>2772</v>
      </c>
      <c r="L1662" s="5">
        <f>IF(O1662="","",N1662*O1662*M1662)</f>
        <v>99</v>
      </c>
      <c r="M1662" s="8">
        <v>1</v>
      </c>
      <c r="N1662" s="1">
        <v>1</v>
      </c>
      <c r="O1662" s="15">
        <f>IF(SUM(Q1662:AF1662)&lt;1,"",SUM(Q1662:AF1662)/COUNTIF(Q1662:AF1662,"&gt;0"))</f>
        <v>99</v>
      </c>
      <c r="P1662" s="16"/>
      <c r="Q1662" s="13"/>
      <c r="R1662" s="4"/>
      <c r="S1662" s="4"/>
      <c r="T1662" s="4">
        <v>99</v>
      </c>
      <c r="U1662" s="2"/>
      <c r="V1662" s="2"/>
      <c r="W1662" s="2"/>
      <c r="X1662" s="2"/>
      <c r="Y1662" s="4"/>
      <c r="Z1662" s="2"/>
      <c r="AA1662" s="2"/>
      <c r="AB1662" s="4"/>
      <c r="AC1662" s="4"/>
      <c r="AD1662" s="4"/>
      <c r="AE1662" s="4"/>
      <c r="AF1662" s="14"/>
    </row>
    <row r="1663" spans="1:32" x14ac:dyDescent="0.25">
      <c r="A1663" s="33" t="str">
        <f>CONCATENATE(D1663,".",F1663,"-",G1663,".",H1663,"")</f>
        <v>2.6-3.9</v>
      </c>
      <c r="C1663" s="39" t="s">
        <v>262</v>
      </c>
      <c r="D1663" s="33">
        <f>IF(C1663="ID",1,(IF(C1663="PR",2,(IF(C1663="DE",3,(IF(C1663="RS",4,(IF(C1663="RC",5,0)))))))))</f>
        <v>2</v>
      </c>
      <c r="E1663" s="33" t="s">
        <v>345</v>
      </c>
      <c r="F1663" s="33">
        <f>IF(E1663="AM",1,(IF(E1663="BE",2,(IF(E1663="GV",3,(IF(E1663="RA",4,(IF(E1663="RM",5,(IF(E1663="AC",1,(IF(E1663="AT",2,(IF(E1663="DS",3,(IF(E1663="IP",4,(IF(E1663="MA",5,(IF(E1663="PT",6,(IF(E1663="AE",1,(IF(E1663="CM",2,(IF(E1663="DP",3,(IF(E1663="AN",1,(IF(E1663="CO",2,(IF(E1663="IM",3,(IF(E1663="MI",4,(IF(E1663="RP",5,(IF(E1663="SC",6,0)))))))))))))))))))))))))))))))))))))))</f>
        <v>6</v>
      </c>
      <c r="G1663" s="170">
        <v>3</v>
      </c>
      <c r="H1663" s="38" t="s">
        <v>596</v>
      </c>
      <c r="I1663" s="3" t="s">
        <v>1449</v>
      </c>
      <c r="J1663" s="157" t="s">
        <v>2787</v>
      </c>
      <c r="K1663" s="34" t="s">
        <v>2788</v>
      </c>
      <c r="L1663" s="5">
        <f>IF(O1663="","",N1663*O1663*M1663)</f>
        <v>99</v>
      </c>
      <c r="M1663" s="8">
        <v>1</v>
      </c>
      <c r="N1663" s="1">
        <v>1</v>
      </c>
      <c r="O1663" s="15">
        <f>IF(SUM(Q1663:AF1663)&lt;1,"",SUM(Q1663:AF1663)/COUNTIF(Q1663:AF1663,"&gt;0"))</f>
        <v>99</v>
      </c>
      <c r="P1663" s="16"/>
      <c r="Q1663" s="13"/>
      <c r="R1663" s="4"/>
      <c r="S1663" s="4"/>
      <c r="T1663" s="4">
        <v>99</v>
      </c>
      <c r="U1663" s="2"/>
      <c r="V1663" s="2"/>
      <c r="W1663" s="2"/>
      <c r="X1663" s="2"/>
      <c r="Y1663" s="4"/>
      <c r="Z1663" s="2"/>
      <c r="AA1663" s="2"/>
      <c r="AB1663" s="4"/>
      <c r="AC1663" s="4"/>
      <c r="AD1663" s="4"/>
      <c r="AE1663" s="4"/>
      <c r="AF1663" s="14"/>
    </row>
    <row r="1664" spans="1:32" x14ac:dyDescent="0.25">
      <c r="A1664" s="33" t="str">
        <f>CONCATENATE(D1664,".",F1664,"-",G1664,".",H1664,"")</f>
        <v>2.6-3.9</v>
      </c>
      <c r="C1664" s="39" t="s">
        <v>262</v>
      </c>
      <c r="D1664" s="33">
        <f>IF(C1664="ID",1,(IF(C1664="PR",2,(IF(C1664="DE",3,(IF(C1664="RS",4,(IF(C1664="RC",5,0)))))))))</f>
        <v>2</v>
      </c>
      <c r="E1664" s="33" t="s">
        <v>345</v>
      </c>
      <c r="F1664" s="33">
        <f>IF(E1664="AM",1,(IF(E1664="BE",2,(IF(E1664="GV",3,(IF(E1664="RA",4,(IF(E1664="RM",5,(IF(E1664="AC",1,(IF(E1664="AT",2,(IF(E1664="DS",3,(IF(E1664="IP",4,(IF(E1664="MA",5,(IF(E1664="PT",6,(IF(E1664="AE",1,(IF(E1664="CM",2,(IF(E1664="DP",3,(IF(E1664="AN",1,(IF(E1664="CO",2,(IF(E1664="IM",3,(IF(E1664="MI",4,(IF(E1664="RP",5,(IF(E1664="SC",6,0)))))))))))))))))))))))))))))))))))))))</f>
        <v>6</v>
      </c>
      <c r="G1664" s="170">
        <v>3</v>
      </c>
      <c r="H1664" s="38" t="s">
        <v>596</v>
      </c>
      <c r="I1664" s="3" t="s">
        <v>1449</v>
      </c>
      <c r="J1664" s="157" t="s">
        <v>2789</v>
      </c>
      <c r="K1664" s="34" t="s">
        <v>2790</v>
      </c>
      <c r="L1664" s="5">
        <f>IF(O1664="","",N1664*O1664*M1664)</f>
        <v>99</v>
      </c>
      <c r="M1664" s="8">
        <v>1</v>
      </c>
      <c r="N1664" s="1">
        <v>1</v>
      </c>
      <c r="O1664" s="15">
        <f>IF(SUM(Q1664:AF1664)&lt;1,"",SUM(Q1664:AF1664)/COUNTIF(Q1664:AF1664,"&gt;0"))</f>
        <v>99</v>
      </c>
      <c r="P1664" s="16"/>
      <c r="Q1664" s="13"/>
      <c r="R1664" s="4"/>
      <c r="S1664" s="4"/>
      <c r="T1664" s="4">
        <v>99</v>
      </c>
      <c r="U1664" s="2"/>
      <c r="V1664" s="2"/>
      <c r="W1664" s="2"/>
      <c r="X1664" s="2"/>
      <c r="Y1664" s="4"/>
      <c r="Z1664" s="2"/>
      <c r="AA1664" s="2"/>
      <c r="AB1664" s="4"/>
      <c r="AC1664" s="4"/>
      <c r="AD1664" s="4"/>
      <c r="AE1664" s="4"/>
      <c r="AF1664" s="14"/>
    </row>
    <row r="1665" spans="1:32" x14ac:dyDescent="0.25">
      <c r="A1665" s="33" t="str">
        <f>CONCATENATE(D1665,".",F1665,"-",G1665,".",H1665,"")</f>
        <v>2.6-3.9</v>
      </c>
      <c r="C1665" s="39" t="s">
        <v>262</v>
      </c>
      <c r="D1665" s="33">
        <f>IF(C1665="ID",1,(IF(C1665="PR",2,(IF(C1665="DE",3,(IF(C1665="RS",4,(IF(C1665="RC",5,0)))))))))</f>
        <v>2</v>
      </c>
      <c r="E1665" s="33" t="s">
        <v>345</v>
      </c>
      <c r="F1665" s="33">
        <f>IF(E1665="AM",1,(IF(E1665="BE",2,(IF(E1665="GV",3,(IF(E1665="RA",4,(IF(E1665="RM",5,(IF(E1665="AC",1,(IF(E1665="AT",2,(IF(E1665="DS",3,(IF(E1665="IP",4,(IF(E1665="MA",5,(IF(E1665="PT",6,(IF(E1665="AE",1,(IF(E1665="CM",2,(IF(E1665="DP",3,(IF(E1665="AN",1,(IF(E1665="CO",2,(IF(E1665="IM",3,(IF(E1665="MI",4,(IF(E1665="RP",5,(IF(E1665="SC",6,0)))))))))))))))))))))))))))))))))))))))</f>
        <v>6</v>
      </c>
      <c r="G1665" s="170">
        <v>3</v>
      </c>
      <c r="H1665" s="38" t="s">
        <v>596</v>
      </c>
      <c r="I1665" s="3" t="s">
        <v>1449</v>
      </c>
      <c r="J1665" s="157" t="s">
        <v>2813</v>
      </c>
      <c r="K1665" s="34" t="s">
        <v>2814</v>
      </c>
      <c r="L1665" s="5">
        <f>IF(O1665="","",N1665*O1665*M1665)</f>
        <v>99</v>
      </c>
      <c r="M1665" s="8">
        <v>1</v>
      </c>
      <c r="N1665" s="1">
        <v>1</v>
      </c>
      <c r="O1665" s="15">
        <f>IF(SUM(Q1665:AF1665)&lt;1,"",SUM(Q1665:AF1665)/COUNTIF(Q1665:AF1665,"&gt;0"))</f>
        <v>99</v>
      </c>
      <c r="P1665" s="16"/>
      <c r="Q1665" s="13"/>
      <c r="R1665" s="4"/>
      <c r="S1665" s="4"/>
      <c r="T1665" s="4">
        <v>99</v>
      </c>
      <c r="U1665" s="2"/>
      <c r="V1665" s="2"/>
      <c r="W1665" s="2"/>
      <c r="X1665" s="2"/>
      <c r="Y1665" s="4"/>
      <c r="Z1665" s="2"/>
      <c r="AA1665" s="2"/>
      <c r="AB1665" s="4"/>
      <c r="AC1665" s="4"/>
      <c r="AD1665" s="4"/>
      <c r="AE1665" s="4"/>
      <c r="AF1665" s="14"/>
    </row>
    <row r="1666" spans="1:32" x14ac:dyDescent="0.25">
      <c r="A1666" s="33" t="str">
        <f>CONCATENATE(D1666,".",F1666,"-",G1666,".",H1666,"")</f>
        <v>2.6-3.9</v>
      </c>
      <c r="C1666" s="39" t="s">
        <v>262</v>
      </c>
      <c r="D1666" s="33">
        <f>IF(C1666="ID",1,(IF(C1666="PR",2,(IF(C1666="DE",3,(IF(C1666="RS",4,(IF(C1666="RC",5,0)))))))))</f>
        <v>2</v>
      </c>
      <c r="E1666" s="33" t="s">
        <v>345</v>
      </c>
      <c r="F1666" s="33">
        <f>IF(E1666="AM",1,(IF(E1666="BE",2,(IF(E1666="GV",3,(IF(E1666="RA",4,(IF(E1666="RM",5,(IF(E1666="AC",1,(IF(E1666="AT",2,(IF(E1666="DS",3,(IF(E1666="IP",4,(IF(E1666="MA",5,(IF(E1666="PT",6,(IF(E1666="AE",1,(IF(E1666="CM",2,(IF(E1666="DP",3,(IF(E1666="AN",1,(IF(E1666="CO",2,(IF(E1666="IM",3,(IF(E1666="MI",4,(IF(E1666="RP",5,(IF(E1666="SC",6,0)))))))))))))))))))))))))))))))))))))))</f>
        <v>6</v>
      </c>
      <c r="G1666" s="170">
        <v>3</v>
      </c>
      <c r="H1666" s="38" t="s">
        <v>596</v>
      </c>
      <c r="I1666" s="3" t="s">
        <v>1449</v>
      </c>
      <c r="J1666" s="157" t="s">
        <v>2855</v>
      </c>
      <c r="K1666" s="34" t="s">
        <v>2856</v>
      </c>
      <c r="L1666" s="5">
        <f>IF(O1666="","",N1666*O1666*M1666)</f>
        <v>99</v>
      </c>
      <c r="M1666" s="8">
        <v>1</v>
      </c>
      <c r="N1666" s="1">
        <v>1</v>
      </c>
      <c r="O1666" s="15">
        <f>IF(SUM(Q1666:AF1666)&lt;1,"",SUM(Q1666:AF1666)/COUNTIF(Q1666:AF1666,"&gt;0"))</f>
        <v>99</v>
      </c>
      <c r="P1666" s="16"/>
      <c r="Q1666" s="13"/>
      <c r="R1666" s="4"/>
      <c r="S1666" s="4"/>
      <c r="T1666" s="4">
        <v>99</v>
      </c>
      <c r="U1666" s="2"/>
      <c r="V1666" s="2"/>
      <c r="W1666" s="2"/>
      <c r="X1666" s="2"/>
      <c r="Y1666" s="4"/>
      <c r="Z1666" s="2"/>
      <c r="AA1666" s="2"/>
      <c r="AB1666" s="4"/>
      <c r="AC1666" s="4"/>
      <c r="AD1666" s="4"/>
      <c r="AE1666" s="4"/>
      <c r="AF1666" s="14"/>
    </row>
    <row r="1667" spans="1:32" x14ac:dyDescent="0.25">
      <c r="A1667" s="33" t="str">
        <f>CONCATENATE(D1667,".",F1667,"-",G1667,".",H1667,"")</f>
        <v>2.6-3.9</v>
      </c>
      <c r="C1667" s="39" t="s">
        <v>262</v>
      </c>
      <c r="D1667" s="33">
        <f>IF(C1667="ID",1,(IF(C1667="PR",2,(IF(C1667="DE",3,(IF(C1667="RS",4,(IF(C1667="RC",5,0)))))))))</f>
        <v>2</v>
      </c>
      <c r="E1667" s="33" t="s">
        <v>345</v>
      </c>
      <c r="F1667" s="33">
        <f>IF(E1667="AM",1,(IF(E1667="BE",2,(IF(E1667="GV",3,(IF(E1667="RA",4,(IF(E1667="RM",5,(IF(E1667="AC",1,(IF(E1667="AT",2,(IF(E1667="DS",3,(IF(E1667="IP",4,(IF(E1667="MA",5,(IF(E1667="PT",6,(IF(E1667="AE",1,(IF(E1667="CM",2,(IF(E1667="DP",3,(IF(E1667="AN",1,(IF(E1667="CO",2,(IF(E1667="IM",3,(IF(E1667="MI",4,(IF(E1667="RP",5,(IF(E1667="SC",6,0)))))))))))))))))))))))))))))))))))))))</f>
        <v>6</v>
      </c>
      <c r="G1667" s="170">
        <v>3</v>
      </c>
      <c r="H1667" s="38" t="s">
        <v>596</v>
      </c>
      <c r="I1667" s="3" t="s">
        <v>1449</v>
      </c>
      <c r="J1667" s="157" t="s">
        <v>2871</v>
      </c>
      <c r="K1667" s="34" t="s">
        <v>2872</v>
      </c>
      <c r="L1667" s="5">
        <f>IF(O1667="","",N1667*O1667*M1667)</f>
        <v>99</v>
      </c>
      <c r="M1667" s="8">
        <v>1</v>
      </c>
      <c r="N1667" s="1">
        <v>1</v>
      </c>
      <c r="O1667" s="15">
        <f>IF(SUM(Q1667:AF1667)&lt;1,"",SUM(Q1667:AF1667)/COUNTIF(Q1667:AF1667,"&gt;0"))</f>
        <v>99</v>
      </c>
      <c r="P1667" s="16"/>
      <c r="Q1667" s="13"/>
      <c r="R1667" s="4"/>
      <c r="S1667" s="4"/>
      <c r="T1667" s="4">
        <v>99</v>
      </c>
      <c r="U1667" s="2"/>
      <c r="V1667" s="2"/>
      <c r="W1667" s="2"/>
      <c r="X1667" s="2"/>
      <c r="Y1667" s="4"/>
      <c r="Z1667" s="2"/>
      <c r="AA1667" s="2"/>
      <c r="AB1667" s="4"/>
      <c r="AC1667" s="4"/>
      <c r="AD1667" s="4"/>
      <c r="AE1667" s="4"/>
      <c r="AF1667" s="14"/>
    </row>
    <row r="1668" spans="1:32" x14ac:dyDescent="0.25">
      <c r="A1668" s="33" t="str">
        <f>CONCATENATE(D1668,".",F1668,"-",G1668,".",H1668,"")</f>
        <v>2.6-3.9</v>
      </c>
      <c r="C1668" s="39" t="s">
        <v>262</v>
      </c>
      <c r="D1668" s="33">
        <f>IF(C1668="ID",1,(IF(C1668="PR",2,(IF(C1668="DE",3,(IF(C1668="RS",4,(IF(C1668="RC",5,0)))))))))</f>
        <v>2</v>
      </c>
      <c r="E1668" s="33" t="s">
        <v>345</v>
      </c>
      <c r="F1668" s="33">
        <f>IF(E1668="AM",1,(IF(E1668="BE",2,(IF(E1668="GV",3,(IF(E1668="RA",4,(IF(E1668="RM",5,(IF(E1668="AC",1,(IF(E1668="AT",2,(IF(E1668="DS",3,(IF(E1668="IP",4,(IF(E1668="MA",5,(IF(E1668="PT",6,(IF(E1668="AE",1,(IF(E1668="CM",2,(IF(E1668="DP",3,(IF(E1668="AN",1,(IF(E1668="CO",2,(IF(E1668="IM",3,(IF(E1668="MI",4,(IF(E1668="RP",5,(IF(E1668="SC",6,0)))))))))))))))))))))))))))))))))))))))</f>
        <v>6</v>
      </c>
      <c r="G1668" s="170">
        <v>3</v>
      </c>
      <c r="H1668" s="38" t="s">
        <v>596</v>
      </c>
      <c r="I1668" s="3" t="s">
        <v>1449</v>
      </c>
      <c r="J1668" s="157" t="s">
        <v>2873</v>
      </c>
      <c r="K1668" s="34" t="s">
        <v>2874</v>
      </c>
      <c r="L1668" s="5">
        <f>IF(O1668="","",N1668*O1668*M1668)</f>
        <v>99</v>
      </c>
      <c r="M1668" s="8">
        <v>1</v>
      </c>
      <c r="N1668" s="1">
        <v>1</v>
      </c>
      <c r="O1668" s="15">
        <f>IF(SUM(Q1668:AF1668)&lt;1,"",SUM(Q1668:AF1668)/COUNTIF(Q1668:AF1668,"&gt;0"))</f>
        <v>99</v>
      </c>
      <c r="P1668" s="16"/>
      <c r="Q1668" s="13"/>
      <c r="R1668" s="4"/>
      <c r="S1668" s="4"/>
      <c r="T1668" s="4">
        <v>99</v>
      </c>
      <c r="U1668" s="2"/>
      <c r="V1668" s="2"/>
      <c r="W1668" s="2"/>
      <c r="X1668" s="2"/>
      <c r="Y1668" s="4"/>
      <c r="Z1668" s="2"/>
      <c r="AA1668" s="2"/>
      <c r="AB1668" s="4"/>
      <c r="AC1668" s="4"/>
      <c r="AD1668" s="4"/>
      <c r="AE1668" s="4"/>
      <c r="AF1668" s="14"/>
    </row>
    <row r="1669" spans="1:32" x14ac:dyDescent="0.25">
      <c r="A1669" s="33" t="str">
        <f>CONCATENATE(D1669,".",F1669,"-",G1669,".",H1669,"")</f>
        <v>2.6-3.9</v>
      </c>
      <c r="C1669" s="39" t="s">
        <v>262</v>
      </c>
      <c r="D1669" s="33">
        <f>IF(C1669="ID",1,(IF(C1669="PR",2,(IF(C1669="DE",3,(IF(C1669="RS",4,(IF(C1669="RC",5,0)))))))))</f>
        <v>2</v>
      </c>
      <c r="E1669" s="33" t="s">
        <v>345</v>
      </c>
      <c r="F1669" s="33">
        <f>IF(E1669="AM",1,(IF(E1669="BE",2,(IF(E1669="GV",3,(IF(E1669="RA",4,(IF(E1669="RM",5,(IF(E1669="AC",1,(IF(E1669="AT",2,(IF(E1669="DS",3,(IF(E1669="IP",4,(IF(E1669="MA",5,(IF(E1669="PT",6,(IF(E1669="AE",1,(IF(E1669="CM",2,(IF(E1669="DP",3,(IF(E1669="AN",1,(IF(E1669="CO",2,(IF(E1669="IM",3,(IF(E1669="MI",4,(IF(E1669="RP",5,(IF(E1669="SC",6,0)))))))))))))))))))))))))))))))))))))))</f>
        <v>6</v>
      </c>
      <c r="G1669" s="170">
        <v>3</v>
      </c>
      <c r="H1669" s="38" t="s">
        <v>596</v>
      </c>
      <c r="I1669" s="3" t="s">
        <v>1449</v>
      </c>
      <c r="J1669" s="157" t="s">
        <v>2877</v>
      </c>
      <c r="K1669" s="34" t="s">
        <v>2878</v>
      </c>
      <c r="L1669" s="5">
        <f>IF(O1669="","",N1669*O1669*M1669)</f>
        <v>99</v>
      </c>
      <c r="M1669" s="8">
        <v>1</v>
      </c>
      <c r="N1669" s="1">
        <v>1</v>
      </c>
      <c r="O1669" s="15">
        <f>IF(SUM(Q1669:AF1669)&lt;1,"",SUM(Q1669:AF1669)/COUNTIF(Q1669:AF1669,"&gt;0"))</f>
        <v>99</v>
      </c>
      <c r="P1669" s="16"/>
      <c r="Q1669" s="13"/>
      <c r="R1669" s="4"/>
      <c r="S1669" s="4"/>
      <c r="T1669" s="4">
        <v>99</v>
      </c>
      <c r="U1669" s="2"/>
      <c r="V1669" s="2"/>
      <c r="W1669" s="2"/>
      <c r="X1669" s="2"/>
      <c r="Y1669" s="4"/>
      <c r="Z1669" s="2"/>
      <c r="AA1669" s="2"/>
      <c r="AB1669" s="4"/>
      <c r="AC1669" s="4"/>
      <c r="AD1669" s="4"/>
      <c r="AE1669" s="4"/>
      <c r="AF1669" s="14"/>
    </row>
    <row r="1670" spans="1:32" x14ac:dyDescent="0.25">
      <c r="A1670" s="33" t="str">
        <f>CONCATENATE(D1670,".",F1670,"-",G1670,".",H1670,"")</f>
        <v>2.6-3.9</v>
      </c>
      <c r="C1670" s="39" t="s">
        <v>262</v>
      </c>
      <c r="D1670" s="33">
        <f>IF(C1670="ID",1,(IF(C1670="PR",2,(IF(C1670="DE",3,(IF(C1670="RS",4,(IF(C1670="RC",5,0)))))))))</f>
        <v>2</v>
      </c>
      <c r="E1670" s="33" t="s">
        <v>345</v>
      </c>
      <c r="F1670" s="33">
        <f>IF(E1670="AM",1,(IF(E1670="BE",2,(IF(E1670="GV",3,(IF(E1670="RA",4,(IF(E1670="RM",5,(IF(E1670="AC",1,(IF(E1670="AT",2,(IF(E1670="DS",3,(IF(E1670="IP",4,(IF(E1670="MA",5,(IF(E1670="PT",6,(IF(E1670="AE",1,(IF(E1670="CM",2,(IF(E1670="DP",3,(IF(E1670="AN",1,(IF(E1670="CO",2,(IF(E1670="IM",3,(IF(E1670="MI",4,(IF(E1670="RP",5,(IF(E1670="SC",6,0)))))))))))))))))))))))))))))))))))))))</f>
        <v>6</v>
      </c>
      <c r="G1670" s="170">
        <v>3</v>
      </c>
      <c r="H1670" s="38" t="s">
        <v>596</v>
      </c>
      <c r="I1670" s="3" t="s">
        <v>1449</v>
      </c>
      <c r="J1670" s="157" t="s">
        <v>2879</v>
      </c>
      <c r="K1670" s="34" t="s">
        <v>2880</v>
      </c>
      <c r="L1670" s="5">
        <f>IF(O1670="","",N1670*O1670*M1670)</f>
        <v>99</v>
      </c>
      <c r="M1670" s="8">
        <v>1</v>
      </c>
      <c r="N1670" s="1">
        <v>1</v>
      </c>
      <c r="O1670" s="15">
        <f>IF(SUM(Q1670:AF1670)&lt;1,"",SUM(Q1670:AF1670)/COUNTIF(Q1670:AF1670,"&gt;0"))</f>
        <v>99</v>
      </c>
      <c r="P1670" s="16"/>
      <c r="Q1670" s="13"/>
      <c r="R1670" s="4"/>
      <c r="S1670" s="4"/>
      <c r="T1670" s="4">
        <v>99</v>
      </c>
      <c r="U1670" s="2"/>
      <c r="V1670" s="2"/>
      <c r="W1670" s="2"/>
      <c r="X1670" s="2"/>
      <c r="Y1670" s="4"/>
      <c r="Z1670" s="2"/>
      <c r="AA1670" s="2"/>
      <c r="AB1670" s="4"/>
      <c r="AC1670" s="4"/>
      <c r="AD1670" s="4"/>
      <c r="AE1670" s="4"/>
      <c r="AF1670" s="14"/>
    </row>
    <row r="1671" spans="1:32" x14ac:dyDescent="0.25">
      <c r="A1671" s="33" t="str">
        <f>CONCATENATE(D1671,".",F1671,"-",G1671,".",H1671,"")</f>
        <v>2.6-3.9</v>
      </c>
      <c r="C1671" s="39" t="s">
        <v>262</v>
      </c>
      <c r="D1671" s="33">
        <f>IF(C1671="ID",1,(IF(C1671="PR",2,(IF(C1671="DE",3,(IF(C1671="RS",4,(IF(C1671="RC",5,0)))))))))</f>
        <v>2</v>
      </c>
      <c r="E1671" s="33" t="s">
        <v>345</v>
      </c>
      <c r="F1671" s="33">
        <f>IF(E1671="AM",1,(IF(E1671="BE",2,(IF(E1671="GV",3,(IF(E1671="RA",4,(IF(E1671="RM",5,(IF(E1671="AC",1,(IF(E1671="AT",2,(IF(E1671="DS",3,(IF(E1671="IP",4,(IF(E1671="MA",5,(IF(E1671="PT",6,(IF(E1671="AE",1,(IF(E1671="CM",2,(IF(E1671="DP",3,(IF(E1671="AN",1,(IF(E1671="CO",2,(IF(E1671="IM",3,(IF(E1671="MI",4,(IF(E1671="RP",5,(IF(E1671="SC",6,0)))))))))))))))))))))))))))))))))))))))</f>
        <v>6</v>
      </c>
      <c r="G1671" s="170">
        <v>3</v>
      </c>
      <c r="H1671" s="38" t="s">
        <v>596</v>
      </c>
      <c r="I1671" s="3" t="s">
        <v>1449</v>
      </c>
      <c r="J1671" s="157" t="s">
        <v>2881</v>
      </c>
      <c r="K1671" s="34" t="s">
        <v>2882</v>
      </c>
      <c r="L1671" s="5">
        <f>IF(O1671="","",N1671*O1671*M1671)</f>
        <v>99</v>
      </c>
      <c r="M1671" s="8">
        <v>1</v>
      </c>
      <c r="N1671" s="1">
        <v>1</v>
      </c>
      <c r="O1671" s="15">
        <f>IF(SUM(Q1671:AF1671)&lt;1,"",SUM(Q1671:AF1671)/COUNTIF(Q1671:AF1671,"&gt;0"))</f>
        <v>99</v>
      </c>
      <c r="P1671" s="16"/>
      <c r="Q1671" s="13"/>
      <c r="R1671" s="4"/>
      <c r="S1671" s="4"/>
      <c r="T1671" s="4">
        <v>99</v>
      </c>
      <c r="U1671" s="2"/>
      <c r="V1671" s="2"/>
      <c r="W1671" s="2"/>
      <c r="X1671" s="2"/>
      <c r="Y1671" s="4"/>
      <c r="Z1671" s="2"/>
      <c r="AA1671" s="2"/>
      <c r="AB1671" s="4"/>
      <c r="AC1671" s="4"/>
      <c r="AD1671" s="4"/>
      <c r="AE1671" s="4"/>
      <c r="AF1671" s="14"/>
    </row>
    <row r="1672" spans="1:32" x14ac:dyDescent="0.25">
      <c r="A1672" s="33" t="str">
        <f>CONCATENATE(D1672,".",F1672,"-",G1672,".",H1672,"")</f>
        <v>2.6-3.9</v>
      </c>
      <c r="C1672" s="39" t="s">
        <v>262</v>
      </c>
      <c r="D1672" s="33">
        <f>IF(C1672="ID",1,(IF(C1672="PR",2,(IF(C1672="DE",3,(IF(C1672="RS",4,(IF(C1672="RC",5,0)))))))))</f>
        <v>2</v>
      </c>
      <c r="E1672" s="33" t="s">
        <v>345</v>
      </c>
      <c r="F1672" s="33">
        <f>IF(E1672="AM",1,(IF(E1672="BE",2,(IF(E1672="GV",3,(IF(E1672="RA",4,(IF(E1672="RM",5,(IF(E1672="AC",1,(IF(E1672="AT",2,(IF(E1672="DS",3,(IF(E1672="IP",4,(IF(E1672="MA",5,(IF(E1672="PT",6,(IF(E1672="AE",1,(IF(E1672="CM",2,(IF(E1672="DP",3,(IF(E1672="AN",1,(IF(E1672="CO",2,(IF(E1672="IM",3,(IF(E1672="MI",4,(IF(E1672="RP",5,(IF(E1672="SC",6,0)))))))))))))))))))))))))))))))))))))))</f>
        <v>6</v>
      </c>
      <c r="G1672" s="170">
        <v>3</v>
      </c>
      <c r="H1672" s="38" t="s">
        <v>596</v>
      </c>
      <c r="I1672" s="3" t="s">
        <v>1449</v>
      </c>
      <c r="J1672" s="157" t="s">
        <v>2883</v>
      </c>
      <c r="K1672" s="34" t="s">
        <v>2884</v>
      </c>
      <c r="L1672" s="5">
        <f>IF(O1672="","",N1672*O1672*M1672)</f>
        <v>99</v>
      </c>
      <c r="M1672" s="8">
        <v>1</v>
      </c>
      <c r="N1672" s="1">
        <v>1</v>
      </c>
      <c r="O1672" s="15">
        <f>IF(SUM(Q1672:AF1672)&lt;1,"",SUM(Q1672:AF1672)/COUNTIF(Q1672:AF1672,"&gt;0"))</f>
        <v>99</v>
      </c>
      <c r="P1672" s="16"/>
      <c r="Q1672" s="13"/>
      <c r="R1672" s="4"/>
      <c r="S1672" s="4"/>
      <c r="T1672" s="4">
        <v>99</v>
      </c>
      <c r="U1672" s="2"/>
      <c r="V1672" s="2"/>
      <c r="W1672" s="2"/>
      <c r="X1672" s="2"/>
      <c r="Y1672" s="4"/>
      <c r="Z1672" s="2"/>
      <c r="AA1672" s="2"/>
      <c r="AB1672" s="4"/>
      <c r="AC1672" s="4"/>
      <c r="AD1672" s="4"/>
      <c r="AE1672" s="4"/>
      <c r="AF1672" s="14"/>
    </row>
    <row r="1673" spans="1:32" x14ac:dyDescent="0.25">
      <c r="A1673" s="33" t="str">
        <f>CONCATENATE(D1673,".",F1673,"-",G1673,".",H1673,"")</f>
        <v>2.6-3.9</v>
      </c>
      <c r="C1673" s="39" t="s">
        <v>262</v>
      </c>
      <c r="D1673" s="33">
        <f>IF(C1673="ID",1,(IF(C1673="PR",2,(IF(C1673="DE",3,(IF(C1673="RS",4,(IF(C1673="RC",5,0)))))))))</f>
        <v>2</v>
      </c>
      <c r="E1673" s="33" t="s">
        <v>345</v>
      </c>
      <c r="F1673" s="33">
        <f>IF(E1673="AM",1,(IF(E1673="BE",2,(IF(E1673="GV",3,(IF(E1673="RA",4,(IF(E1673="RM",5,(IF(E1673="AC",1,(IF(E1673="AT",2,(IF(E1673="DS",3,(IF(E1673="IP",4,(IF(E1673="MA",5,(IF(E1673="PT",6,(IF(E1673="AE",1,(IF(E1673="CM",2,(IF(E1673="DP",3,(IF(E1673="AN",1,(IF(E1673="CO",2,(IF(E1673="IM",3,(IF(E1673="MI",4,(IF(E1673="RP",5,(IF(E1673="SC",6,0)))))))))))))))))))))))))))))))))))))))</f>
        <v>6</v>
      </c>
      <c r="G1673" s="170">
        <v>3</v>
      </c>
      <c r="H1673" s="38" t="s">
        <v>596</v>
      </c>
      <c r="I1673" s="3" t="s">
        <v>1449</v>
      </c>
      <c r="J1673" s="157" t="s">
        <v>2885</v>
      </c>
      <c r="K1673" s="34" t="s">
        <v>2886</v>
      </c>
      <c r="L1673" s="5">
        <f>IF(O1673="","",N1673*O1673*M1673)</f>
        <v>99</v>
      </c>
      <c r="M1673" s="8">
        <v>1</v>
      </c>
      <c r="N1673" s="1">
        <v>1</v>
      </c>
      <c r="O1673" s="15">
        <f>IF(SUM(Q1673:AF1673)&lt;1,"",SUM(Q1673:AF1673)/COUNTIF(Q1673:AF1673,"&gt;0"))</f>
        <v>99</v>
      </c>
      <c r="P1673" s="16"/>
      <c r="Q1673" s="13"/>
      <c r="R1673" s="4"/>
      <c r="S1673" s="4"/>
      <c r="T1673" s="4">
        <v>99</v>
      </c>
      <c r="U1673" s="2"/>
      <c r="V1673" s="2"/>
      <c r="W1673" s="2"/>
      <c r="X1673" s="2"/>
      <c r="Y1673" s="4"/>
      <c r="Z1673" s="2"/>
      <c r="AA1673" s="2"/>
      <c r="AB1673" s="4"/>
      <c r="AC1673" s="4"/>
      <c r="AD1673" s="4"/>
      <c r="AE1673" s="4"/>
      <c r="AF1673" s="14"/>
    </row>
    <row r="1674" spans="1:32" x14ac:dyDescent="0.25">
      <c r="A1674" s="33" t="str">
        <f>CONCATENATE(D1674,".",F1674,"-",G1674,".",H1674,"")</f>
        <v>2.6-3.9</v>
      </c>
      <c r="C1674" s="39" t="s">
        <v>262</v>
      </c>
      <c r="D1674" s="33">
        <f>IF(C1674="ID",1,(IF(C1674="PR",2,(IF(C1674="DE",3,(IF(C1674="RS",4,(IF(C1674="RC",5,0)))))))))</f>
        <v>2</v>
      </c>
      <c r="E1674" s="33" t="s">
        <v>345</v>
      </c>
      <c r="F1674" s="33">
        <f>IF(E1674="AM",1,(IF(E1674="BE",2,(IF(E1674="GV",3,(IF(E1674="RA",4,(IF(E1674="RM",5,(IF(E1674="AC",1,(IF(E1674="AT",2,(IF(E1674="DS",3,(IF(E1674="IP",4,(IF(E1674="MA",5,(IF(E1674="PT",6,(IF(E1674="AE",1,(IF(E1674="CM",2,(IF(E1674="DP",3,(IF(E1674="AN",1,(IF(E1674="CO",2,(IF(E1674="IM",3,(IF(E1674="MI",4,(IF(E1674="RP",5,(IF(E1674="SC",6,0)))))))))))))))))))))))))))))))))))))))</f>
        <v>6</v>
      </c>
      <c r="G1674" s="170">
        <v>3</v>
      </c>
      <c r="H1674" s="38" t="s">
        <v>596</v>
      </c>
      <c r="I1674" s="3" t="s">
        <v>1449</v>
      </c>
      <c r="J1674" s="157" t="s">
        <v>2903</v>
      </c>
      <c r="K1674" s="34" t="s">
        <v>2904</v>
      </c>
      <c r="L1674" s="5">
        <f>IF(O1674="","",N1674*O1674*M1674)</f>
        <v>99</v>
      </c>
      <c r="M1674" s="8">
        <v>1</v>
      </c>
      <c r="N1674" s="1">
        <v>1</v>
      </c>
      <c r="O1674" s="15">
        <f>IF(SUM(Q1674:AF1674)&lt;1,"",SUM(Q1674:AF1674)/COUNTIF(Q1674:AF1674,"&gt;0"))</f>
        <v>99</v>
      </c>
      <c r="P1674" s="16"/>
      <c r="Q1674" s="13"/>
      <c r="R1674" s="4"/>
      <c r="S1674" s="4"/>
      <c r="T1674" s="4">
        <v>99</v>
      </c>
      <c r="U1674" s="2"/>
      <c r="V1674" s="2"/>
      <c r="W1674" s="2"/>
      <c r="X1674" s="2"/>
      <c r="Y1674" s="4"/>
      <c r="Z1674" s="2"/>
      <c r="AA1674" s="2"/>
      <c r="AB1674" s="4"/>
      <c r="AC1674" s="4"/>
      <c r="AD1674" s="4"/>
      <c r="AE1674" s="4"/>
      <c r="AF1674" s="14"/>
    </row>
    <row r="1675" spans="1:32" x14ac:dyDescent="0.25">
      <c r="A1675" s="33" t="str">
        <f>CONCATENATE(D1675,".",F1675,"-",G1675,".",H1675,"")</f>
        <v>2.6-3.9</v>
      </c>
      <c r="C1675" s="39" t="s">
        <v>262</v>
      </c>
      <c r="D1675" s="33">
        <f>IF(C1675="ID",1,(IF(C1675="PR",2,(IF(C1675="DE",3,(IF(C1675="RS",4,(IF(C1675="RC",5,0)))))))))</f>
        <v>2</v>
      </c>
      <c r="E1675" s="33" t="s">
        <v>345</v>
      </c>
      <c r="F1675" s="33">
        <f>IF(E1675="AM",1,(IF(E1675="BE",2,(IF(E1675="GV",3,(IF(E1675="RA",4,(IF(E1675="RM",5,(IF(E1675="AC",1,(IF(E1675="AT",2,(IF(E1675="DS",3,(IF(E1675="IP",4,(IF(E1675="MA",5,(IF(E1675="PT",6,(IF(E1675="AE",1,(IF(E1675="CM",2,(IF(E1675="DP",3,(IF(E1675="AN",1,(IF(E1675="CO",2,(IF(E1675="IM",3,(IF(E1675="MI",4,(IF(E1675="RP",5,(IF(E1675="SC",6,0)))))))))))))))))))))))))))))))))))))))</f>
        <v>6</v>
      </c>
      <c r="G1675" s="170">
        <v>3</v>
      </c>
      <c r="H1675" s="38" t="s">
        <v>596</v>
      </c>
      <c r="I1675" s="3" t="s">
        <v>1449</v>
      </c>
      <c r="J1675" s="157" t="s">
        <v>2907</v>
      </c>
      <c r="K1675" s="34" t="s">
        <v>2908</v>
      </c>
      <c r="L1675" s="5">
        <f>IF(O1675="","",N1675*O1675*M1675)</f>
        <v>99</v>
      </c>
      <c r="M1675" s="8">
        <v>1</v>
      </c>
      <c r="N1675" s="1">
        <v>1</v>
      </c>
      <c r="O1675" s="15">
        <f>IF(SUM(Q1675:AF1675)&lt;1,"",SUM(Q1675:AF1675)/COUNTIF(Q1675:AF1675,"&gt;0"))</f>
        <v>99</v>
      </c>
      <c r="P1675" s="16"/>
      <c r="Q1675" s="13"/>
      <c r="R1675" s="4"/>
      <c r="S1675" s="4"/>
      <c r="T1675" s="4">
        <v>99</v>
      </c>
      <c r="U1675" s="2"/>
      <c r="V1675" s="2"/>
      <c r="W1675" s="2"/>
      <c r="X1675" s="2"/>
      <c r="Y1675" s="4"/>
      <c r="Z1675" s="2"/>
      <c r="AA1675" s="2"/>
      <c r="AB1675" s="4"/>
      <c r="AC1675" s="4"/>
      <c r="AD1675" s="4"/>
      <c r="AE1675" s="4"/>
      <c r="AF1675" s="14"/>
    </row>
    <row r="1676" spans="1:32" x14ac:dyDescent="0.25">
      <c r="A1676" s="33" t="str">
        <f>CONCATENATE(D1676,".",F1676,"-",G1676,".",H1676,"")</f>
        <v>2.6-4.0</v>
      </c>
      <c r="B1676" s="33" t="s">
        <v>814</v>
      </c>
      <c r="C1676" s="40" t="s">
        <v>262</v>
      </c>
      <c r="D1676" s="33">
        <f>IF(C1676="ID",1,(IF(C1676="PR",2,(IF(C1676="DE",3,(IF(C1676="RS",4,(IF(C1676="RC",5,0)))))))))</f>
        <v>2</v>
      </c>
      <c r="E1676" s="33" t="s">
        <v>345</v>
      </c>
      <c r="F1676" s="33">
        <f>IF(E1676="AM",1,(IF(E1676="BE",2,(IF(E1676="GV",3,(IF(E1676="RA",4,(IF(E1676="RM",5,(IF(E1676="AC",1,(IF(E1676="AT",2,(IF(E1676="DS",3,(IF(E1676="IP",4,(IF(E1676="MA",5,(IF(E1676="PT",6,(IF(E1676="AE",1,(IF(E1676="CM",2,(IF(E1676="DP",3,(IF(E1676="AN",1,(IF(E1676="CO",2,(IF(E1676="IM",3,(IF(E1676="MI",4,(IF(E1676="RP",5,(IF(E1676="SC",6,0)))))))))))))))))))))))))))))))))))))))</f>
        <v>6</v>
      </c>
      <c r="G1676" s="170">
        <v>4</v>
      </c>
      <c r="H1676" s="38" t="s">
        <v>597</v>
      </c>
      <c r="I1676" s="22" t="s">
        <v>1200</v>
      </c>
      <c r="J1676" s="149" t="s">
        <v>698</v>
      </c>
      <c r="K1676" s="98" t="s">
        <v>400</v>
      </c>
      <c r="L1676" s="5">
        <f>IF(O1676="","",N1676*O1676*M1676)</f>
        <v>75</v>
      </c>
      <c r="M1676" s="8">
        <v>1</v>
      </c>
      <c r="N1676" s="1">
        <v>1</v>
      </c>
      <c r="O1676" s="15">
        <f>IF(SUM(Q1676:AF1676)&lt;1,"",SUM(Q1676:AF1676)/COUNTIF(Q1676:AF1676,"&gt;0"))</f>
        <v>75</v>
      </c>
      <c r="P1676" s="16"/>
      <c r="Q1676" s="13"/>
      <c r="R1676" s="4"/>
      <c r="S1676" s="4"/>
      <c r="T1676" s="4">
        <v>75</v>
      </c>
      <c r="U1676" s="2"/>
      <c r="V1676" s="2"/>
      <c r="W1676" s="2"/>
      <c r="X1676" s="2"/>
      <c r="Y1676" s="4"/>
      <c r="Z1676" s="2"/>
      <c r="AA1676" s="2"/>
      <c r="AB1676" s="4"/>
      <c r="AC1676" s="4"/>
      <c r="AD1676" s="4"/>
      <c r="AE1676" s="4"/>
      <c r="AF1676" s="14"/>
    </row>
    <row r="1677" spans="1:32" x14ac:dyDescent="0.25">
      <c r="A1677" s="33" t="str">
        <f>CONCATENATE(D1677,".",F1677,"-",G1677,".",H1677,"")</f>
        <v>2.6-4.1</v>
      </c>
      <c r="B1677" s="33" t="s">
        <v>814</v>
      </c>
      <c r="C1677" s="39" t="s">
        <v>262</v>
      </c>
      <c r="D1677" s="33">
        <f>IF(C1677="ID",1,(IF(C1677="PR",2,(IF(C1677="DE",3,(IF(C1677="RS",4,(IF(C1677="RC",5,0)))))))))</f>
        <v>2</v>
      </c>
      <c r="E1677" s="33" t="s">
        <v>345</v>
      </c>
      <c r="F1677" s="33">
        <f>IF(E1677="AM",1,(IF(E1677="BE",2,(IF(E1677="GV",3,(IF(E1677="RA",4,(IF(E1677="RM",5,(IF(E1677="AC",1,(IF(E1677="AT",2,(IF(E1677="DS",3,(IF(E1677="IP",4,(IF(E1677="MA",5,(IF(E1677="PT",6,(IF(E1677="AE",1,(IF(E1677="CM",2,(IF(E1677="DP",3,(IF(E1677="AN",1,(IF(E1677="CO",2,(IF(E1677="IM",3,(IF(E1677="MI",4,(IF(E1677="RP",5,(IF(E1677="SC",6,0)))))))))))))))))))))))))))))))))))))))</f>
        <v>6</v>
      </c>
      <c r="G1677" s="170">
        <v>4</v>
      </c>
      <c r="H1677" s="38" t="s">
        <v>511</v>
      </c>
      <c r="I1677" s="3" t="s">
        <v>821</v>
      </c>
      <c r="J1677" s="150">
        <v>1.4</v>
      </c>
      <c r="K1677" s="79" t="s">
        <v>1283</v>
      </c>
      <c r="L1677" s="66">
        <f>IF(O1677="","",N1677*O1677*M1677)</f>
        <v>75</v>
      </c>
      <c r="M1677" s="8">
        <v>1</v>
      </c>
      <c r="N1677" s="3">
        <v>1</v>
      </c>
      <c r="O1677" s="15">
        <f>IF(SUM(Q1677:AF1677)&lt;1,"",SUM(Q1677:AF1677)/COUNTIF(Q1677:AF1677,"&gt;0"))</f>
        <v>75</v>
      </c>
      <c r="P1677" s="16"/>
      <c r="Q1677" s="13"/>
      <c r="R1677" s="4"/>
      <c r="S1677" s="4"/>
      <c r="T1677" s="4">
        <v>75</v>
      </c>
      <c r="U1677" s="2"/>
      <c r="V1677" s="2"/>
      <c r="W1677" s="2"/>
      <c r="X1677" s="2"/>
      <c r="Y1677" s="4"/>
      <c r="Z1677" s="2"/>
      <c r="AA1677" s="2"/>
      <c r="AB1677" s="4"/>
      <c r="AC1677" s="4"/>
      <c r="AD1677" s="4"/>
      <c r="AE1677" s="4"/>
      <c r="AF1677" s="14"/>
    </row>
    <row r="1678" spans="1:32" x14ac:dyDescent="0.25">
      <c r="A1678" s="33" t="str">
        <f>CONCATENATE(D1678,".",F1678,"-",G1678,".",H1678,"")</f>
        <v>2.6-4.1</v>
      </c>
      <c r="B1678" s="33" t="s">
        <v>814</v>
      </c>
      <c r="C1678" s="39" t="s">
        <v>262</v>
      </c>
      <c r="D1678" s="33">
        <f>IF(C1678="ID",1,(IF(C1678="PR",2,(IF(C1678="DE",3,(IF(C1678="RS",4,(IF(C1678="RC",5,0)))))))))</f>
        <v>2</v>
      </c>
      <c r="E1678" s="33" t="s">
        <v>345</v>
      </c>
      <c r="F1678" s="33">
        <f>IF(E1678="AM",1,(IF(E1678="BE",2,(IF(E1678="GV",3,(IF(E1678="RA",4,(IF(E1678="RM",5,(IF(E1678="AC",1,(IF(E1678="AT",2,(IF(E1678="DS",3,(IF(E1678="IP",4,(IF(E1678="MA",5,(IF(E1678="PT",6,(IF(E1678="AE",1,(IF(E1678="CM",2,(IF(E1678="DP",3,(IF(E1678="AN",1,(IF(E1678="CO",2,(IF(E1678="IM",3,(IF(E1678="MI",4,(IF(E1678="RP",5,(IF(E1678="SC",6,0)))))))))))))))))))))))))))))))))))))))</f>
        <v>6</v>
      </c>
      <c r="G1678" s="170">
        <v>4</v>
      </c>
      <c r="H1678" s="38" t="s">
        <v>511</v>
      </c>
      <c r="I1678" s="3" t="s">
        <v>821</v>
      </c>
      <c r="J1678" s="150">
        <v>4</v>
      </c>
      <c r="K1678" s="79" t="s">
        <v>1283</v>
      </c>
      <c r="L1678" s="66">
        <f>IF(O1678="","",N1678*O1678*M1678)</f>
        <v>75</v>
      </c>
      <c r="M1678" s="8">
        <v>1</v>
      </c>
      <c r="N1678" s="3">
        <v>1</v>
      </c>
      <c r="O1678" s="15">
        <f>IF(SUM(Q1678:AF1678)&lt;1,"",SUM(Q1678:AF1678)/COUNTIF(Q1678:AF1678,"&gt;0"))</f>
        <v>75</v>
      </c>
      <c r="P1678" s="16"/>
      <c r="Q1678" s="13"/>
      <c r="R1678" s="4"/>
      <c r="S1678" s="4"/>
      <c r="T1678" s="4">
        <v>75</v>
      </c>
      <c r="U1678" s="2"/>
      <c r="V1678" s="2"/>
      <c r="W1678" s="2"/>
      <c r="X1678" s="2"/>
      <c r="Y1678" s="4"/>
      <c r="Z1678" s="2"/>
      <c r="AA1678" s="2"/>
      <c r="AB1678" s="4"/>
      <c r="AC1678" s="4"/>
      <c r="AD1678" s="4"/>
      <c r="AE1678" s="4"/>
      <c r="AF1678" s="14"/>
    </row>
    <row r="1679" spans="1:32" x14ac:dyDescent="0.25">
      <c r="A1679" s="33" t="str">
        <f>CONCATENATE(D1679,".",F1679,"-",G1679,".",H1679,"")</f>
        <v>2.6-4.1</v>
      </c>
      <c r="B1679" s="33" t="s">
        <v>814</v>
      </c>
      <c r="C1679" s="40" t="s">
        <v>262</v>
      </c>
      <c r="D1679" s="33">
        <f>IF(C1679="ID",1,(IF(C1679="PR",2,(IF(C1679="DE",3,(IF(C1679="RS",4,(IF(C1679="RC",5,0)))))))))</f>
        <v>2</v>
      </c>
      <c r="E1679" s="33" t="s">
        <v>345</v>
      </c>
      <c r="F1679" s="33">
        <f>IF(E1679="AM",1,(IF(E1679="BE",2,(IF(E1679="GV",3,(IF(E1679="RA",4,(IF(E1679="RM",5,(IF(E1679="AC",1,(IF(E1679="AT",2,(IF(E1679="DS",3,(IF(E1679="IP",4,(IF(E1679="MA",5,(IF(E1679="PT",6,(IF(E1679="AE",1,(IF(E1679="CM",2,(IF(E1679="DP",3,(IF(E1679="AN",1,(IF(E1679="CO",2,(IF(E1679="IM",3,(IF(E1679="MI",4,(IF(E1679="RP",5,(IF(E1679="SC",6,0)))))))))))))))))))))))))))))))))))))))</f>
        <v>6</v>
      </c>
      <c r="G1679" s="171">
        <v>4</v>
      </c>
      <c r="H1679" s="38" t="s">
        <v>511</v>
      </c>
      <c r="I1679" s="3" t="s">
        <v>821</v>
      </c>
      <c r="J1679" s="149">
        <v>4.0999999999999996</v>
      </c>
      <c r="K1679" s="79" t="s">
        <v>1283</v>
      </c>
      <c r="L1679" s="66">
        <f>IF(O1679="","",N1679*O1679*M1679)</f>
        <v>75</v>
      </c>
      <c r="M1679" s="8">
        <v>1</v>
      </c>
      <c r="N1679" s="1">
        <v>1</v>
      </c>
      <c r="O1679" s="15">
        <f>IF(SUM(Q1679:AF1679)&lt;1,"",SUM(Q1679:AF1679)/COUNTIF(Q1679:AF1679,"&gt;0"))</f>
        <v>75</v>
      </c>
      <c r="P1679" s="16"/>
      <c r="Q1679" s="13"/>
      <c r="R1679" s="4"/>
      <c r="S1679" s="4"/>
      <c r="T1679" s="4">
        <v>75</v>
      </c>
      <c r="U1679" s="2"/>
      <c r="V1679" s="2"/>
      <c r="W1679" s="2"/>
      <c r="X1679" s="2"/>
      <c r="Y1679" s="4"/>
      <c r="Z1679" s="2"/>
      <c r="AA1679" s="2"/>
      <c r="AB1679" s="4"/>
      <c r="AC1679" s="4"/>
      <c r="AD1679" s="4"/>
      <c r="AE1679" s="4"/>
      <c r="AF1679" s="14"/>
    </row>
    <row r="1680" spans="1:32" x14ac:dyDescent="0.25">
      <c r="A1680" s="33" t="str">
        <f>CONCATENATE(D1680,".",F1680,"-",G1680,".",H1680,"")</f>
        <v>2.6-4.1</v>
      </c>
      <c r="B1680" s="33" t="s">
        <v>814</v>
      </c>
      <c r="C1680" s="40" t="s">
        <v>262</v>
      </c>
      <c r="D1680" s="33">
        <f>IF(C1680="ID",1,(IF(C1680="PR",2,(IF(C1680="DE",3,(IF(C1680="RS",4,(IF(C1680="RC",5,0)))))))))</f>
        <v>2</v>
      </c>
      <c r="E1680" s="33" t="s">
        <v>345</v>
      </c>
      <c r="F1680" s="33">
        <f>IF(E1680="AM",1,(IF(E1680="BE",2,(IF(E1680="GV",3,(IF(E1680="RA",4,(IF(E1680="RM",5,(IF(E1680="AC",1,(IF(E1680="AT",2,(IF(E1680="DS",3,(IF(E1680="IP",4,(IF(E1680="MA",5,(IF(E1680="PT",6,(IF(E1680="AE",1,(IF(E1680="CM",2,(IF(E1680="DP",3,(IF(E1680="AN",1,(IF(E1680="CO",2,(IF(E1680="IM",3,(IF(E1680="MI",4,(IF(E1680="RP",5,(IF(E1680="SC",6,0)))))))))))))))))))))))))))))))))))))))</f>
        <v>6</v>
      </c>
      <c r="G1680" s="171">
        <v>4</v>
      </c>
      <c r="H1680" s="38" t="s">
        <v>511</v>
      </c>
      <c r="I1680" s="3" t="s">
        <v>821</v>
      </c>
      <c r="J1680" s="149">
        <v>8.3000000000000007</v>
      </c>
      <c r="K1680" s="79" t="s">
        <v>1283</v>
      </c>
      <c r="L1680" s="66">
        <f>IF(O1680="","",N1680*O1680*M1680)</f>
        <v>75</v>
      </c>
      <c r="M1680" s="8">
        <v>1</v>
      </c>
      <c r="N1680" s="1">
        <v>1</v>
      </c>
      <c r="O1680" s="15">
        <f>IF(SUM(Q1680:AF1680)&lt;1,"",SUM(Q1680:AF1680)/COUNTIF(Q1680:AF1680,"&gt;0"))</f>
        <v>75</v>
      </c>
      <c r="P1680" s="16"/>
      <c r="Q1680" s="13"/>
      <c r="R1680" s="4"/>
      <c r="S1680" s="4"/>
      <c r="T1680" s="4">
        <v>75</v>
      </c>
      <c r="U1680" s="2"/>
      <c r="V1680" s="2"/>
      <c r="W1680" s="2"/>
      <c r="X1680" s="2"/>
      <c r="Y1680" s="4"/>
      <c r="Z1680" s="2"/>
      <c r="AA1680" s="2"/>
      <c r="AB1680" s="4"/>
      <c r="AC1680" s="4"/>
      <c r="AD1680" s="4"/>
      <c r="AE1680" s="4"/>
      <c r="AF1680" s="14"/>
    </row>
    <row r="1681" spans="1:32" x14ac:dyDescent="0.25">
      <c r="A1681" s="33" t="str">
        <f>CONCATENATE(D1681,".",F1681,"-",G1681,".",H1681,"")</f>
        <v>2.6-4.1</v>
      </c>
      <c r="B1681" s="33" t="s">
        <v>814</v>
      </c>
      <c r="C1681" s="40" t="s">
        <v>262</v>
      </c>
      <c r="D1681" s="33">
        <f>IF(C1681="ID",1,(IF(C1681="PR",2,(IF(C1681="DE",3,(IF(C1681="RS",4,(IF(C1681="RC",5,0)))))))))</f>
        <v>2</v>
      </c>
      <c r="E1681" s="33" t="s">
        <v>345</v>
      </c>
      <c r="F1681" s="33">
        <f>IF(E1681="AM",1,(IF(E1681="BE",2,(IF(E1681="GV",3,(IF(E1681="RA",4,(IF(E1681="RM",5,(IF(E1681="AC",1,(IF(E1681="AT",2,(IF(E1681="DS",3,(IF(E1681="IP",4,(IF(E1681="MA",5,(IF(E1681="PT",6,(IF(E1681="AE",1,(IF(E1681="CM",2,(IF(E1681="DP",3,(IF(E1681="AN",1,(IF(E1681="CO",2,(IF(E1681="IM",3,(IF(E1681="MI",4,(IF(E1681="RP",5,(IF(E1681="SC",6,0)))))))))))))))))))))))))))))))))))))))</f>
        <v>6</v>
      </c>
      <c r="G1681" s="171">
        <v>4</v>
      </c>
      <c r="H1681" s="38" t="s">
        <v>511</v>
      </c>
      <c r="I1681" s="3" t="s">
        <v>821</v>
      </c>
      <c r="J1681" s="150">
        <v>11.1</v>
      </c>
      <c r="K1681" s="79" t="s">
        <v>1283</v>
      </c>
      <c r="L1681" s="66">
        <f>IF(O1681="","",N1681*O1681*M1681)</f>
        <v>75</v>
      </c>
      <c r="M1681" s="8">
        <v>1</v>
      </c>
      <c r="N1681" s="3">
        <v>1</v>
      </c>
      <c r="O1681" s="15">
        <f>IF(SUM(Q1681:AF1681)&lt;1,"",SUM(Q1681:AF1681)/COUNTIF(Q1681:AF1681,"&gt;0"))</f>
        <v>75</v>
      </c>
      <c r="P1681" s="16"/>
      <c r="Q1681" s="13"/>
      <c r="R1681" s="4"/>
      <c r="S1681" s="4"/>
      <c r="T1681" s="4">
        <v>75</v>
      </c>
      <c r="U1681" s="2"/>
      <c r="V1681" s="2"/>
      <c r="W1681" s="2"/>
      <c r="X1681" s="2"/>
      <c r="Y1681" s="4"/>
      <c r="Z1681" s="2"/>
      <c r="AA1681" s="2"/>
      <c r="AB1681" s="4"/>
      <c r="AC1681" s="4"/>
      <c r="AD1681" s="4"/>
      <c r="AE1681" s="4"/>
      <c r="AF1681" s="14"/>
    </row>
    <row r="1682" spans="1:32" x14ac:dyDescent="0.25">
      <c r="A1682" s="33" t="str">
        <f>CONCATENATE(D1682,".",F1682,"-",G1682,".",H1682,"")</f>
        <v>2.6-4.1</v>
      </c>
      <c r="B1682" s="33" t="s">
        <v>814</v>
      </c>
      <c r="C1682" s="40" t="s">
        <v>262</v>
      </c>
      <c r="D1682" s="33">
        <f>IF(C1682="ID",1,(IF(C1682="PR",2,(IF(C1682="DE",3,(IF(C1682="RS",4,(IF(C1682="RC",5,0)))))))))</f>
        <v>2</v>
      </c>
      <c r="E1682" s="33" t="s">
        <v>345</v>
      </c>
      <c r="F1682" s="33">
        <f>IF(E1682="AM",1,(IF(E1682="BE",2,(IF(E1682="GV",3,(IF(E1682="RA",4,(IF(E1682="RM",5,(IF(E1682="AC",1,(IF(E1682="AT",2,(IF(E1682="DS",3,(IF(E1682="IP",4,(IF(E1682="MA",5,(IF(E1682="PT",6,(IF(E1682="AE",1,(IF(E1682="CM",2,(IF(E1682="DP",3,(IF(E1682="AN",1,(IF(E1682="CO",2,(IF(E1682="IM",3,(IF(E1682="MI",4,(IF(E1682="RP",5,(IF(E1682="SC",6,0)))))))))))))))))))))))))))))))))))))))</f>
        <v>6</v>
      </c>
      <c r="G1682" s="171">
        <v>4</v>
      </c>
      <c r="H1682" s="38" t="s">
        <v>511</v>
      </c>
      <c r="I1682" s="3" t="s">
        <v>821</v>
      </c>
      <c r="J1682" s="150" t="s">
        <v>90</v>
      </c>
      <c r="K1682" s="79" t="s">
        <v>1283</v>
      </c>
      <c r="L1682" s="66">
        <f>IF(O1682="","",N1682*O1682*M1682)</f>
        <v>75</v>
      </c>
      <c r="M1682" s="8">
        <v>1</v>
      </c>
      <c r="N1682" s="3">
        <v>1</v>
      </c>
      <c r="O1682" s="15">
        <f>IF(SUM(Q1682:AF1682)&lt;1,"",SUM(Q1682:AF1682)/COUNTIF(Q1682:AF1682,"&gt;0"))</f>
        <v>75</v>
      </c>
      <c r="P1682" s="16"/>
      <c r="Q1682" s="13"/>
      <c r="R1682" s="4"/>
      <c r="S1682" s="4"/>
      <c r="T1682" s="4">
        <v>75</v>
      </c>
      <c r="U1682" s="2"/>
      <c r="V1682" s="2"/>
      <c r="W1682" s="2"/>
      <c r="X1682" s="2"/>
      <c r="Y1682" s="4"/>
      <c r="Z1682" s="2"/>
      <c r="AA1682" s="2"/>
      <c r="AB1682" s="4"/>
      <c r="AC1682" s="4"/>
      <c r="AD1682" s="4"/>
      <c r="AE1682" s="4"/>
      <c r="AF1682" s="14"/>
    </row>
    <row r="1683" spans="1:32" x14ac:dyDescent="0.25">
      <c r="A1683" s="33" t="str">
        <f>CONCATENATE(D1683,".",F1683,"-",G1683,".",H1683,"")</f>
        <v>2.6-4.1</v>
      </c>
      <c r="B1683" s="33" t="s">
        <v>814</v>
      </c>
      <c r="C1683" s="39" t="s">
        <v>262</v>
      </c>
      <c r="D1683" s="33">
        <f>IF(C1683="ID",1,(IF(C1683="PR",2,(IF(C1683="DE",3,(IF(C1683="RS",4,(IF(C1683="RC",5,0)))))))))</f>
        <v>2</v>
      </c>
      <c r="E1683" s="33" t="s">
        <v>345</v>
      </c>
      <c r="F1683" s="33">
        <f>IF(E1683="AM",1,(IF(E1683="BE",2,(IF(E1683="GV",3,(IF(E1683="RA",4,(IF(E1683="RM",5,(IF(E1683="AC",1,(IF(E1683="AT",2,(IF(E1683="DS",3,(IF(E1683="IP",4,(IF(E1683="MA",5,(IF(E1683="PT",6,(IF(E1683="AE",1,(IF(E1683="CM",2,(IF(E1683="DP",3,(IF(E1683="AN",1,(IF(E1683="CO",2,(IF(E1683="IM",3,(IF(E1683="MI",4,(IF(E1683="RP",5,(IF(E1683="SC",6,0)))))))))))))))))))))))))))))))))))))))</f>
        <v>6</v>
      </c>
      <c r="G1683" s="170">
        <v>4</v>
      </c>
      <c r="H1683" s="38" t="s">
        <v>511</v>
      </c>
      <c r="I1683" s="3" t="s">
        <v>821</v>
      </c>
      <c r="J1683" s="150" t="s">
        <v>112</v>
      </c>
      <c r="K1683" s="79" t="s">
        <v>1283</v>
      </c>
      <c r="L1683" s="66">
        <f>IF(O1683="","",N1683*O1683*M1683)</f>
        <v>75</v>
      </c>
      <c r="M1683" s="8">
        <v>1</v>
      </c>
      <c r="N1683" s="3">
        <v>1</v>
      </c>
      <c r="O1683" s="15">
        <f>IF(SUM(Q1683:AF1683)&lt;1,"",SUM(Q1683:AF1683)/COUNTIF(Q1683:AF1683,"&gt;0"))</f>
        <v>75</v>
      </c>
      <c r="P1683" s="16"/>
      <c r="Q1683" s="13"/>
      <c r="R1683" s="4"/>
      <c r="S1683" s="4"/>
      <c r="T1683" s="4">
        <v>75</v>
      </c>
      <c r="U1683" s="2"/>
      <c r="V1683" s="2"/>
      <c r="W1683" s="2"/>
      <c r="X1683" s="2"/>
      <c r="Y1683" s="4"/>
      <c r="Z1683" s="2"/>
      <c r="AA1683" s="2"/>
      <c r="AB1683" s="4"/>
      <c r="AC1683" s="4"/>
      <c r="AD1683" s="4"/>
      <c r="AE1683" s="4"/>
      <c r="AF1683" s="14"/>
    </row>
    <row r="1684" spans="1:32" x14ac:dyDescent="0.25">
      <c r="A1684" s="33" t="str">
        <f>CONCATENATE(D1684,".",F1684,"-",G1684,".",H1684,"")</f>
        <v>2.6-4.1</v>
      </c>
      <c r="B1684" s="33" t="s">
        <v>814</v>
      </c>
      <c r="C1684" s="40" t="s">
        <v>262</v>
      </c>
      <c r="D1684" s="33">
        <f>IF(C1684="ID",1,(IF(C1684="PR",2,(IF(C1684="DE",3,(IF(C1684="RS",4,(IF(C1684="RC",5,0)))))))))</f>
        <v>2</v>
      </c>
      <c r="E1684" s="33" t="s">
        <v>345</v>
      </c>
      <c r="F1684" s="33">
        <f>IF(E1684="AM",1,(IF(E1684="BE",2,(IF(E1684="GV",3,(IF(E1684="RA",4,(IF(E1684="RM",5,(IF(E1684="AC",1,(IF(E1684="AT",2,(IF(E1684="DS",3,(IF(E1684="IP",4,(IF(E1684="MA",5,(IF(E1684="PT",6,(IF(E1684="AE",1,(IF(E1684="CM",2,(IF(E1684="DP",3,(IF(E1684="AN",1,(IF(E1684="CO",2,(IF(E1684="IM",3,(IF(E1684="MI",4,(IF(E1684="RP",5,(IF(E1684="SC",6,0)))))))))))))))))))))))))))))))))))))))</f>
        <v>6</v>
      </c>
      <c r="G1684" s="171">
        <v>4</v>
      </c>
      <c r="H1684" s="38" t="s">
        <v>511</v>
      </c>
      <c r="I1684" s="3" t="s">
        <v>821</v>
      </c>
      <c r="J1684" s="150" t="s">
        <v>113</v>
      </c>
      <c r="K1684" s="79" t="s">
        <v>1283</v>
      </c>
      <c r="L1684" s="66">
        <f>IF(O1684="","",N1684*O1684*M1684)</f>
        <v>75</v>
      </c>
      <c r="M1684" s="8">
        <v>1</v>
      </c>
      <c r="N1684" s="3">
        <v>1</v>
      </c>
      <c r="O1684" s="15">
        <f>IF(SUM(Q1684:AF1684)&lt;1,"",SUM(Q1684:AF1684)/COUNTIF(Q1684:AF1684,"&gt;0"))</f>
        <v>75</v>
      </c>
      <c r="P1684" s="16"/>
      <c r="Q1684" s="13"/>
      <c r="R1684" s="4"/>
      <c r="S1684" s="4"/>
      <c r="T1684" s="4">
        <v>75</v>
      </c>
      <c r="U1684" s="2"/>
      <c r="V1684" s="2"/>
      <c r="W1684" s="2"/>
      <c r="X1684" s="2"/>
      <c r="Y1684" s="4"/>
      <c r="Z1684" s="2"/>
      <c r="AA1684" s="2"/>
      <c r="AB1684" s="4"/>
      <c r="AC1684" s="4"/>
      <c r="AD1684" s="4"/>
      <c r="AE1684" s="4"/>
      <c r="AF1684" s="14"/>
    </row>
    <row r="1685" spans="1:32" x14ac:dyDescent="0.25">
      <c r="A1685" s="33" t="str">
        <f>CONCATENATE(D1685,".",F1685,"-",G1685,".",H1685,"")</f>
        <v>2.6-4.1</v>
      </c>
      <c r="B1685" s="33" t="s">
        <v>814</v>
      </c>
      <c r="C1685" s="40" t="s">
        <v>262</v>
      </c>
      <c r="D1685" s="33">
        <f>IF(C1685="ID",1,(IF(C1685="PR",2,(IF(C1685="DE",3,(IF(C1685="RS",4,(IF(C1685="RC",5,0)))))))))</f>
        <v>2</v>
      </c>
      <c r="E1685" s="33" t="s">
        <v>345</v>
      </c>
      <c r="F1685" s="33">
        <f>IF(E1685="AM",1,(IF(E1685="BE",2,(IF(E1685="GV",3,(IF(E1685="RA",4,(IF(E1685="RM",5,(IF(E1685="AC",1,(IF(E1685="AT",2,(IF(E1685="DS",3,(IF(E1685="IP",4,(IF(E1685="MA",5,(IF(E1685="PT",6,(IF(E1685="AE",1,(IF(E1685="CM",2,(IF(E1685="DP",3,(IF(E1685="AN",1,(IF(E1685="CO",2,(IF(E1685="IM",3,(IF(E1685="MI",4,(IF(E1685="RP",5,(IF(E1685="SC",6,0)))))))))))))))))))))))))))))))))))))))</f>
        <v>6</v>
      </c>
      <c r="G1685" s="171">
        <v>4</v>
      </c>
      <c r="H1685" s="38" t="s">
        <v>511</v>
      </c>
      <c r="I1685" s="3" t="s">
        <v>821</v>
      </c>
      <c r="J1685" s="150" t="s">
        <v>114</v>
      </c>
      <c r="K1685" s="79" t="s">
        <v>1283</v>
      </c>
      <c r="L1685" s="66">
        <f>IF(O1685="","",N1685*O1685*M1685)</f>
        <v>75</v>
      </c>
      <c r="M1685" s="8">
        <v>1</v>
      </c>
      <c r="N1685" s="3">
        <v>1</v>
      </c>
      <c r="O1685" s="15">
        <f>IF(SUM(Q1685:AF1685)&lt;1,"",SUM(Q1685:AF1685)/COUNTIF(Q1685:AF1685,"&gt;0"))</f>
        <v>75</v>
      </c>
      <c r="P1685" s="16"/>
      <c r="Q1685" s="13"/>
      <c r="R1685" s="4"/>
      <c r="S1685" s="4"/>
      <c r="T1685" s="4">
        <v>75</v>
      </c>
      <c r="U1685" s="2"/>
      <c r="V1685" s="2"/>
      <c r="W1685" s="2"/>
      <c r="X1685" s="2"/>
      <c r="Y1685" s="4"/>
      <c r="Z1685" s="2"/>
      <c r="AA1685" s="2"/>
      <c r="AB1685" s="4"/>
      <c r="AC1685" s="4"/>
      <c r="AD1685" s="4"/>
      <c r="AE1685" s="4"/>
      <c r="AF1685" s="14"/>
    </row>
    <row r="1686" spans="1:32" x14ac:dyDescent="0.25">
      <c r="A1686" s="33" t="str">
        <f>CONCATENATE(D1686,".",F1686,"-",G1686,".",H1686,"")</f>
        <v>2.6-4.1</v>
      </c>
      <c r="B1686" s="33" t="s">
        <v>814</v>
      </c>
      <c r="C1686" s="40" t="s">
        <v>262</v>
      </c>
      <c r="D1686" s="33">
        <f>IF(C1686="ID",1,(IF(C1686="PR",2,(IF(C1686="DE",3,(IF(C1686="RS",4,(IF(C1686="RC",5,0)))))))))</f>
        <v>2</v>
      </c>
      <c r="E1686" s="33" t="s">
        <v>345</v>
      </c>
      <c r="F1686" s="33">
        <f>IF(E1686="AM",1,(IF(E1686="BE",2,(IF(E1686="GV",3,(IF(E1686="RA",4,(IF(E1686="RM",5,(IF(E1686="AC",1,(IF(E1686="AT",2,(IF(E1686="DS",3,(IF(E1686="IP",4,(IF(E1686="MA",5,(IF(E1686="PT",6,(IF(E1686="AE",1,(IF(E1686="CM",2,(IF(E1686="DP",3,(IF(E1686="AN",1,(IF(E1686="CO",2,(IF(E1686="IM",3,(IF(E1686="MI",4,(IF(E1686="RP",5,(IF(E1686="SC",6,0)))))))))))))))))))))))))))))))))))))))</f>
        <v>6</v>
      </c>
      <c r="G1686" s="171">
        <v>4</v>
      </c>
      <c r="H1686" s="38" t="s">
        <v>511</v>
      </c>
      <c r="I1686" s="3" t="s">
        <v>821</v>
      </c>
      <c r="J1686" s="150" t="s">
        <v>115</v>
      </c>
      <c r="K1686" s="79" t="s">
        <v>1283</v>
      </c>
      <c r="L1686" s="66">
        <f>IF(O1686="","",N1686*O1686*M1686)</f>
        <v>75</v>
      </c>
      <c r="M1686" s="8">
        <v>1</v>
      </c>
      <c r="N1686" s="1">
        <v>1</v>
      </c>
      <c r="O1686" s="15">
        <f>IF(SUM(Q1686:AF1686)&lt;1,"",SUM(Q1686:AF1686)/COUNTIF(Q1686:AF1686,"&gt;0"))</f>
        <v>75</v>
      </c>
      <c r="P1686" s="16"/>
      <c r="Q1686" s="13"/>
      <c r="R1686" s="4"/>
      <c r="S1686" s="4"/>
      <c r="T1686" s="4">
        <v>75</v>
      </c>
      <c r="U1686" s="2"/>
      <c r="V1686" s="2"/>
      <c r="W1686" s="2"/>
      <c r="X1686" s="2"/>
      <c r="Y1686" s="4"/>
      <c r="Z1686" s="2"/>
      <c r="AA1686" s="2"/>
      <c r="AB1686" s="4"/>
      <c r="AC1686" s="4"/>
      <c r="AD1686" s="4"/>
      <c r="AE1686" s="4"/>
      <c r="AF1686" s="14"/>
    </row>
    <row r="1687" spans="1:32" x14ac:dyDescent="0.25">
      <c r="A1687" s="33" t="str">
        <f>CONCATENATE(D1687,".",F1687,"-",G1687,".",H1687,"")</f>
        <v>2.6-4.1</v>
      </c>
      <c r="B1687" s="33" t="s">
        <v>814</v>
      </c>
      <c r="C1687" s="40" t="s">
        <v>262</v>
      </c>
      <c r="D1687" s="33">
        <f>IF(C1687="ID",1,(IF(C1687="PR",2,(IF(C1687="DE",3,(IF(C1687="RS",4,(IF(C1687="RC",5,0)))))))))</f>
        <v>2</v>
      </c>
      <c r="E1687" s="33" t="s">
        <v>345</v>
      </c>
      <c r="F1687" s="33">
        <f>IF(E1687="AM",1,(IF(E1687="BE",2,(IF(E1687="GV",3,(IF(E1687="RA",4,(IF(E1687="RM",5,(IF(E1687="AC",1,(IF(E1687="AT",2,(IF(E1687="DS",3,(IF(E1687="IP",4,(IF(E1687="MA",5,(IF(E1687="PT",6,(IF(E1687="AE",1,(IF(E1687="CM",2,(IF(E1687="DP",3,(IF(E1687="AN",1,(IF(E1687="CO",2,(IF(E1687="IM",3,(IF(E1687="MI",4,(IF(E1687="RP",5,(IF(E1687="SC",6,0)))))))))))))))))))))))))))))))))))))))</f>
        <v>6</v>
      </c>
      <c r="G1687" s="171">
        <v>4</v>
      </c>
      <c r="H1687" s="38" t="s">
        <v>511</v>
      </c>
      <c r="I1687" s="3" t="s">
        <v>821</v>
      </c>
      <c r="J1687" s="150" t="s">
        <v>116</v>
      </c>
      <c r="K1687" s="79" t="s">
        <v>1283</v>
      </c>
      <c r="L1687" s="66">
        <f>IF(O1687="","",N1687*O1687*M1687)</f>
        <v>75</v>
      </c>
      <c r="M1687" s="8">
        <v>1</v>
      </c>
      <c r="N1687" s="3">
        <v>1</v>
      </c>
      <c r="O1687" s="15">
        <f>IF(SUM(Q1687:AF1687)&lt;1,"",SUM(Q1687:AF1687)/COUNTIF(Q1687:AF1687,"&gt;0"))</f>
        <v>75</v>
      </c>
      <c r="P1687" s="16"/>
      <c r="Q1687" s="13"/>
      <c r="R1687" s="4"/>
      <c r="S1687" s="4"/>
      <c r="T1687" s="4">
        <v>75</v>
      </c>
      <c r="U1687" s="2"/>
      <c r="V1687" s="2"/>
      <c r="W1687" s="2"/>
      <c r="X1687" s="2"/>
      <c r="Y1687" s="4"/>
      <c r="Z1687" s="2"/>
      <c r="AA1687" s="2"/>
      <c r="AB1687" s="4"/>
      <c r="AC1687" s="4"/>
      <c r="AD1687" s="4"/>
      <c r="AE1687" s="4"/>
      <c r="AF1687" s="14"/>
    </row>
    <row r="1688" spans="1:32" x14ac:dyDescent="0.25">
      <c r="A1688" s="33" t="str">
        <f>CONCATENATE(D1688,".",F1688,"-",G1688,".",H1688,"")</f>
        <v>2.6-4.1</v>
      </c>
      <c r="B1688" s="33" t="s">
        <v>814</v>
      </c>
      <c r="C1688" s="39" t="s">
        <v>262</v>
      </c>
      <c r="D1688" s="33">
        <f>IF(C1688="ID",1,(IF(C1688="PR",2,(IF(C1688="DE",3,(IF(C1688="RS",4,(IF(C1688="RC",5,0)))))))))</f>
        <v>2</v>
      </c>
      <c r="E1688" s="33" t="s">
        <v>345</v>
      </c>
      <c r="F1688" s="33">
        <f>IF(E1688="AM",1,(IF(E1688="BE",2,(IF(E1688="GV",3,(IF(E1688="RA",4,(IF(E1688="RM",5,(IF(E1688="AC",1,(IF(E1688="AT",2,(IF(E1688="DS",3,(IF(E1688="IP",4,(IF(E1688="MA",5,(IF(E1688="PT",6,(IF(E1688="AE",1,(IF(E1688="CM",2,(IF(E1688="DP",3,(IF(E1688="AN",1,(IF(E1688="CO",2,(IF(E1688="IM",3,(IF(E1688="MI",4,(IF(E1688="RP",5,(IF(E1688="SC",6,0)))))))))))))))))))))))))))))))))))))))</f>
        <v>6</v>
      </c>
      <c r="G1688" s="170">
        <v>4</v>
      </c>
      <c r="H1688" s="38" t="s">
        <v>511</v>
      </c>
      <c r="I1688" s="3" t="s">
        <v>821</v>
      </c>
      <c r="J1688" s="150" t="s">
        <v>117</v>
      </c>
      <c r="K1688" s="79" t="s">
        <v>1283</v>
      </c>
      <c r="L1688" s="66">
        <f>IF(O1688="","",N1688*O1688*M1688)</f>
        <v>75</v>
      </c>
      <c r="M1688" s="8">
        <v>1</v>
      </c>
      <c r="N1688" s="3">
        <v>1</v>
      </c>
      <c r="O1688" s="15">
        <f>IF(SUM(Q1688:AF1688)&lt;1,"",SUM(Q1688:AF1688)/COUNTIF(Q1688:AF1688,"&gt;0"))</f>
        <v>75</v>
      </c>
      <c r="P1688" s="16"/>
      <c r="Q1688" s="13"/>
      <c r="R1688" s="4"/>
      <c r="S1688" s="4"/>
      <c r="T1688" s="4">
        <v>75</v>
      </c>
      <c r="U1688" s="2"/>
      <c r="V1688" s="2"/>
      <c r="W1688" s="2"/>
      <c r="X1688" s="2"/>
      <c r="Y1688" s="4"/>
      <c r="Z1688" s="2"/>
      <c r="AA1688" s="2"/>
      <c r="AB1688" s="4"/>
      <c r="AC1688" s="4"/>
      <c r="AD1688" s="4"/>
      <c r="AE1688" s="4"/>
      <c r="AF1688" s="14"/>
    </row>
    <row r="1689" spans="1:32" x14ac:dyDescent="0.25">
      <c r="A1689" s="33" t="str">
        <f>CONCATENATE(D1689,".",F1689,"-",G1689,".",H1689,"")</f>
        <v>2.6-4.1</v>
      </c>
      <c r="B1689" s="33" t="s">
        <v>814</v>
      </c>
      <c r="C1689" s="39" t="s">
        <v>262</v>
      </c>
      <c r="D1689" s="33">
        <f>IF(C1689="ID",1,(IF(C1689="PR",2,(IF(C1689="DE",3,(IF(C1689="RS",4,(IF(C1689="RC",5,0)))))))))</f>
        <v>2</v>
      </c>
      <c r="E1689" s="33" t="s">
        <v>345</v>
      </c>
      <c r="F1689" s="33">
        <f>IF(E1689="AM",1,(IF(E1689="BE",2,(IF(E1689="GV",3,(IF(E1689="RA",4,(IF(E1689="RM",5,(IF(E1689="AC",1,(IF(E1689="AT",2,(IF(E1689="DS",3,(IF(E1689="IP",4,(IF(E1689="MA",5,(IF(E1689="PT",6,(IF(E1689="AE",1,(IF(E1689="CM",2,(IF(E1689="DP",3,(IF(E1689="AN",1,(IF(E1689="CO",2,(IF(E1689="IM",3,(IF(E1689="MI",4,(IF(E1689="RP",5,(IF(E1689="SC",6,0)))))))))))))))))))))))))))))))))))))))</f>
        <v>6</v>
      </c>
      <c r="G1689" s="170">
        <v>4</v>
      </c>
      <c r="H1689" s="38" t="s">
        <v>511</v>
      </c>
      <c r="I1689" s="3" t="s">
        <v>821</v>
      </c>
      <c r="J1689" s="150" t="s">
        <v>118</v>
      </c>
      <c r="K1689" s="79" t="s">
        <v>1283</v>
      </c>
      <c r="L1689" s="66">
        <f>IF(O1689="","",N1689*O1689*M1689)</f>
        <v>75</v>
      </c>
      <c r="M1689" s="8">
        <v>1</v>
      </c>
      <c r="N1689" s="3">
        <v>1</v>
      </c>
      <c r="O1689" s="15">
        <f>IF(SUM(Q1689:AF1689)&lt;1,"",SUM(Q1689:AF1689)/COUNTIF(Q1689:AF1689,"&gt;0"))</f>
        <v>75</v>
      </c>
      <c r="P1689" s="16"/>
      <c r="Q1689" s="13"/>
      <c r="R1689" s="4"/>
      <c r="S1689" s="4"/>
      <c r="T1689" s="4">
        <v>75</v>
      </c>
      <c r="U1689" s="2"/>
      <c r="V1689" s="2"/>
      <c r="W1689" s="2"/>
      <c r="X1689" s="2"/>
      <c r="Y1689" s="4"/>
      <c r="Z1689" s="2"/>
      <c r="AA1689" s="2"/>
      <c r="AB1689" s="4"/>
      <c r="AC1689" s="4"/>
      <c r="AD1689" s="4"/>
      <c r="AE1689" s="4"/>
      <c r="AF1689" s="14"/>
    </row>
    <row r="1690" spans="1:32" x14ac:dyDescent="0.25">
      <c r="A1690" s="33" t="str">
        <f>CONCATENATE(D1690,".",F1690,"-",G1690,".",H1690,"")</f>
        <v>2.6-4.1</v>
      </c>
      <c r="B1690" s="33" t="s">
        <v>814</v>
      </c>
      <c r="C1690" s="39" t="s">
        <v>262</v>
      </c>
      <c r="D1690" s="33">
        <f>IF(C1690="ID",1,(IF(C1690="PR",2,(IF(C1690="DE",3,(IF(C1690="RS",4,(IF(C1690="RC",5,0)))))))))</f>
        <v>2</v>
      </c>
      <c r="E1690" s="33" t="s">
        <v>345</v>
      </c>
      <c r="F1690" s="33">
        <f>IF(E1690="AM",1,(IF(E1690="BE",2,(IF(E1690="GV",3,(IF(E1690="RA",4,(IF(E1690="RM",5,(IF(E1690="AC",1,(IF(E1690="AT",2,(IF(E1690="DS",3,(IF(E1690="IP",4,(IF(E1690="MA",5,(IF(E1690="PT",6,(IF(E1690="AE",1,(IF(E1690="CM",2,(IF(E1690="DP",3,(IF(E1690="AN",1,(IF(E1690="CO",2,(IF(E1690="IM",3,(IF(E1690="MI",4,(IF(E1690="RP",5,(IF(E1690="SC",6,0)))))))))))))))))))))))))))))))))))))))</f>
        <v>6</v>
      </c>
      <c r="G1690" s="170">
        <v>4</v>
      </c>
      <c r="H1690" s="38" t="s">
        <v>511</v>
      </c>
      <c r="I1690" s="22" t="s">
        <v>266</v>
      </c>
      <c r="J1690" s="149" t="s">
        <v>464</v>
      </c>
      <c r="K1690" s="79" t="s">
        <v>1329</v>
      </c>
      <c r="L1690" s="66">
        <f>IF(O1690="","",N1690*O1690*M1690)</f>
        <v>75</v>
      </c>
      <c r="M1690" s="8">
        <v>1</v>
      </c>
      <c r="N1690" s="1">
        <v>1</v>
      </c>
      <c r="O1690" s="15">
        <f>IF(SUM(Q1690:AF1690)&lt;1,"",SUM(Q1690:AF1690)/COUNTIF(Q1690:AF1690,"&gt;0"))</f>
        <v>75</v>
      </c>
      <c r="P1690" s="16"/>
      <c r="Q1690" s="13"/>
      <c r="R1690" s="4"/>
      <c r="S1690" s="4"/>
      <c r="T1690" s="4">
        <v>75</v>
      </c>
      <c r="U1690" s="2"/>
      <c r="V1690" s="2"/>
      <c r="W1690" s="2"/>
      <c r="X1690" s="2"/>
      <c r="Y1690" s="4"/>
      <c r="Z1690" s="2"/>
      <c r="AA1690" s="2"/>
      <c r="AB1690" s="4"/>
      <c r="AC1690" s="4"/>
      <c r="AD1690" s="4"/>
      <c r="AE1690" s="4"/>
      <c r="AF1690" s="14"/>
    </row>
    <row r="1691" spans="1:32" x14ac:dyDescent="0.25">
      <c r="A1691" s="33" t="str">
        <f>CONCATENATE(D1691,".",F1691,"-",G1691,".",H1691,"")</f>
        <v>2.6-4.1</v>
      </c>
      <c r="B1691" s="33" t="s">
        <v>814</v>
      </c>
      <c r="C1691" s="39" t="s">
        <v>262</v>
      </c>
      <c r="D1691" s="33">
        <f>IF(C1691="ID",1,(IF(C1691="PR",2,(IF(C1691="DE",3,(IF(C1691="RS",4,(IF(C1691="RC",5,0)))))))))</f>
        <v>2</v>
      </c>
      <c r="E1691" s="33" t="s">
        <v>345</v>
      </c>
      <c r="F1691" s="33">
        <f>IF(E1691="AM",1,(IF(E1691="BE",2,(IF(E1691="GV",3,(IF(E1691="RA",4,(IF(E1691="RM",5,(IF(E1691="AC",1,(IF(E1691="AT",2,(IF(E1691="DS",3,(IF(E1691="IP",4,(IF(E1691="MA",5,(IF(E1691="PT",6,(IF(E1691="AE",1,(IF(E1691="CM",2,(IF(E1691="DP",3,(IF(E1691="AN",1,(IF(E1691="CO",2,(IF(E1691="IM",3,(IF(E1691="MI",4,(IF(E1691="RP",5,(IF(E1691="SC",6,0)))))))))))))))))))))))))))))))))))))))</f>
        <v>6</v>
      </c>
      <c r="G1691" s="170">
        <v>4</v>
      </c>
      <c r="H1691" s="33">
        <v>1</v>
      </c>
      <c r="I1691" s="22" t="s">
        <v>266</v>
      </c>
      <c r="J1691" s="149" t="s">
        <v>465</v>
      </c>
      <c r="K1691" s="79" t="s">
        <v>1330</v>
      </c>
      <c r="L1691" s="66">
        <f>IF(O1691="","",N1691*O1691*M1691)</f>
        <v>75</v>
      </c>
      <c r="M1691" s="8">
        <v>1</v>
      </c>
      <c r="N1691" s="1">
        <v>1</v>
      </c>
      <c r="O1691" s="15">
        <f>IF(SUM(Q1691:AF1691)&lt;1,"",SUM(Q1691:AF1691)/COUNTIF(Q1691:AF1691,"&gt;0"))</f>
        <v>75</v>
      </c>
      <c r="P1691" s="16"/>
      <c r="Q1691" s="13"/>
      <c r="R1691" s="4"/>
      <c r="S1691" s="4"/>
      <c r="T1691" s="4">
        <v>75</v>
      </c>
      <c r="U1691" s="2"/>
      <c r="V1691" s="2"/>
      <c r="W1691" s="2"/>
      <c r="X1691" s="2"/>
      <c r="Y1691" s="4"/>
      <c r="Z1691" s="2"/>
      <c r="AA1691" s="2"/>
      <c r="AB1691" s="4"/>
      <c r="AC1691" s="4"/>
      <c r="AD1691" s="4"/>
      <c r="AE1691" s="4"/>
      <c r="AF1691" s="14"/>
    </row>
    <row r="1692" spans="1:32" x14ac:dyDescent="0.25">
      <c r="A1692" s="33" t="str">
        <f>CONCATENATE(D1692,".",F1692,"-",G1692,".",H1692,"")</f>
        <v>2.6-4.1</v>
      </c>
      <c r="B1692" s="33" t="s">
        <v>814</v>
      </c>
      <c r="C1692" s="41" t="s">
        <v>262</v>
      </c>
      <c r="D1692" s="33">
        <f>IF(C1692="ID",1,(IF(C1692="PR",2,(IF(C1692="DE",3,(IF(C1692="RS",4,(IF(C1692="RC",5,0)))))))))</f>
        <v>2</v>
      </c>
      <c r="E1692" s="33" t="s">
        <v>345</v>
      </c>
      <c r="F1692" s="33">
        <f>IF(E1692="AM",1,(IF(E1692="BE",2,(IF(E1692="GV",3,(IF(E1692="RA",4,(IF(E1692="RM",5,(IF(E1692="AC",1,(IF(E1692="AT",2,(IF(E1692="DS",3,(IF(E1692="IP",4,(IF(E1692="MA",5,(IF(E1692="PT",6,(IF(E1692="AE",1,(IF(E1692="CM",2,(IF(E1692="DP",3,(IF(E1692="AN",1,(IF(E1692="CO",2,(IF(E1692="IM",3,(IF(E1692="MI",4,(IF(E1692="RP",5,(IF(E1692="SC",6,0)))))))))))))))))))))))))))))))))))))))</f>
        <v>6</v>
      </c>
      <c r="G1692" s="170">
        <v>4</v>
      </c>
      <c r="H1692" s="38" t="s">
        <v>511</v>
      </c>
      <c r="I1692" s="22" t="s">
        <v>266</v>
      </c>
      <c r="J1692" s="149" t="s">
        <v>7</v>
      </c>
      <c r="K1692" s="79" t="s">
        <v>1331</v>
      </c>
      <c r="L1692" s="5">
        <f>IF(O1692="","",N1692*O1692*M1692)</f>
        <v>75</v>
      </c>
      <c r="M1692" s="8">
        <v>1</v>
      </c>
      <c r="N1692" s="1">
        <v>1</v>
      </c>
      <c r="O1692" s="15">
        <f>IF(SUM(Q1692:AF1692)&lt;1,"",SUM(Q1692:AF1692)/COUNTIF(Q1692:AF1692,"&gt;0"))</f>
        <v>75</v>
      </c>
      <c r="P1692" s="16"/>
      <c r="Q1692" s="13"/>
      <c r="R1692" s="4"/>
      <c r="S1692" s="4"/>
      <c r="T1692" s="4">
        <v>75</v>
      </c>
      <c r="U1692" s="2"/>
      <c r="V1692" s="2"/>
      <c r="W1692" s="2"/>
      <c r="X1692" s="2"/>
      <c r="Y1692" s="4"/>
      <c r="Z1692" s="2"/>
      <c r="AA1692" s="2"/>
      <c r="AB1692" s="4"/>
      <c r="AC1692" s="4"/>
      <c r="AD1692" s="4"/>
      <c r="AE1692" s="4"/>
      <c r="AF1692" s="14"/>
    </row>
    <row r="1693" spans="1:32" x14ac:dyDescent="0.25">
      <c r="A1693" s="33" t="str">
        <f>CONCATENATE(D1693,".",F1693,"-",G1693,".",H1693,"")</f>
        <v>2.6-4.1</v>
      </c>
      <c r="B1693" s="33" t="s">
        <v>814</v>
      </c>
      <c r="C1693" s="39" t="s">
        <v>262</v>
      </c>
      <c r="D1693" s="33">
        <f>IF(C1693="ID",1,(IF(C1693="PR",2,(IF(C1693="DE",3,(IF(C1693="RS",4,(IF(C1693="RC",5,0)))))))))</f>
        <v>2</v>
      </c>
      <c r="E1693" s="33" t="s">
        <v>345</v>
      </c>
      <c r="F1693" s="33">
        <f>IF(E1693="AM",1,(IF(E1693="BE",2,(IF(E1693="GV",3,(IF(E1693="RA",4,(IF(E1693="RM",5,(IF(E1693="AC",1,(IF(E1693="AT",2,(IF(E1693="DS",3,(IF(E1693="IP",4,(IF(E1693="MA",5,(IF(E1693="PT",6,(IF(E1693="AE",1,(IF(E1693="CM",2,(IF(E1693="DP",3,(IF(E1693="AN",1,(IF(E1693="CO",2,(IF(E1693="IM",3,(IF(E1693="MI",4,(IF(E1693="RP",5,(IF(E1693="SC",6,0)))))))))))))))))))))))))))))))))))))))</f>
        <v>6</v>
      </c>
      <c r="G1693" s="170">
        <v>4</v>
      </c>
      <c r="H1693" s="33">
        <v>1</v>
      </c>
      <c r="I1693" s="22" t="s">
        <v>266</v>
      </c>
      <c r="J1693" s="150" t="s">
        <v>2</v>
      </c>
      <c r="K1693" s="79" t="s">
        <v>1335</v>
      </c>
      <c r="L1693" s="5">
        <f>IF(O1693="","",N1693*O1693*M1693)</f>
        <v>75</v>
      </c>
      <c r="M1693" s="8">
        <v>1</v>
      </c>
      <c r="N1693" s="1">
        <v>1</v>
      </c>
      <c r="O1693" s="15">
        <f>IF(SUM(Q1693:AF1693)&lt;1,"",SUM(Q1693:AF1693)/COUNTIF(Q1693:AF1693,"&gt;0"))</f>
        <v>75</v>
      </c>
      <c r="P1693" s="16"/>
      <c r="Q1693" s="13"/>
      <c r="T1693" s="4">
        <v>75</v>
      </c>
      <c r="AF1693" s="104"/>
    </row>
    <row r="1694" spans="1:32" x14ac:dyDescent="0.25">
      <c r="A1694" s="33" t="str">
        <f>CONCATENATE(D1694,".",F1694,"-",G1694,".",H1694,"")</f>
        <v>2.6-4.1</v>
      </c>
      <c r="B1694" s="33" t="s">
        <v>814</v>
      </c>
      <c r="C1694" s="39" t="s">
        <v>262</v>
      </c>
      <c r="D1694" s="33">
        <f>IF(C1694="ID",1,(IF(C1694="PR",2,(IF(C1694="DE",3,(IF(C1694="RS",4,(IF(C1694="RC",5,0)))))))))</f>
        <v>2</v>
      </c>
      <c r="E1694" s="33" t="s">
        <v>345</v>
      </c>
      <c r="F1694" s="33">
        <f>IF(E1694="AM",1,(IF(E1694="BE",2,(IF(E1694="GV",3,(IF(E1694="RA",4,(IF(E1694="RM",5,(IF(E1694="AC",1,(IF(E1694="AT",2,(IF(E1694="DS",3,(IF(E1694="IP",4,(IF(E1694="MA",5,(IF(E1694="PT",6,(IF(E1694="AE",1,(IF(E1694="CM",2,(IF(E1694="DP",3,(IF(E1694="AN",1,(IF(E1694="CO",2,(IF(E1694="IM",3,(IF(E1694="MI",4,(IF(E1694="RP",5,(IF(E1694="SC",6,0)))))))))))))))))))))))))))))))))))))))</f>
        <v>6</v>
      </c>
      <c r="G1694" s="170">
        <v>4</v>
      </c>
      <c r="H1694" s="38" t="s">
        <v>511</v>
      </c>
      <c r="I1694" s="22" t="s">
        <v>266</v>
      </c>
      <c r="J1694" s="149" t="s">
        <v>20</v>
      </c>
      <c r="K1694" s="79" t="s">
        <v>1343</v>
      </c>
      <c r="L1694" s="66">
        <f>IF(O1694="","",N1694*O1694*M1694)</f>
        <v>75</v>
      </c>
      <c r="M1694" s="8">
        <v>1</v>
      </c>
      <c r="N1694" s="1">
        <v>1</v>
      </c>
      <c r="O1694" s="15">
        <f>IF(SUM(Q1694:AF1694)&lt;1,"",SUM(Q1694:AF1694)/COUNTIF(Q1694:AF1694,"&gt;0"))</f>
        <v>75</v>
      </c>
      <c r="P1694" s="16"/>
      <c r="Q1694" s="13"/>
      <c r="R1694" s="4"/>
      <c r="S1694" s="4"/>
      <c r="T1694" s="4">
        <v>75</v>
      </c>
      <c r="U1694" s="2"/>
      <c r="V1694" s="2"/>
      <c r="W1694" s="2"/>
      <c r="X1694" s="2"/>
      <c r="Y1694" s="4"/>
      <c r="Z1694" s="2"/>
      <c r="AA1694" s="2"/>
      <c r="AB1694" s="4"/>
      <c r="AC1694" s="4"/>
      <c r="AD1694" s="4"/>
      <c r="AE1694" s="4"/>
      <c r="AF1694" s="14"/>
    </row>
    <row r="1695" spans="1:32" x14ac:dyDescent="0.25">
      <c r="A1695" s="33" t="str">
        <f>CONCATENATE(D1695,".",F1695,"-",G1695,".",H1695,"")</f>
        <v>2.6-4.1</v>
      </c>
      <c r="B1695" s="33" t="s">
        <v>814</v>
      </c>
      <c r="C1695" s="39" t="s">
        <v>262</v>
      </c>
      <c r="D1695" s="33">
        <f>IF(C1695="ID",1,(IF(C1695="PR",2,(IF(C1695="DE",3,(IF(C1695="RS",4,(IF(C1695="RC",5,0)))))))))</f>
        <v>2</v>
      </c>
      <c r="E1695" s="33" t="s">
        <v>345</v>
      </c>
      <c r="F1695" s="33">
        <f>IF(E1695="AM",1,(IF(E1695="BE",2,(IF(E1695="GV",3,(IF(E1695="RA",4,(IF(E1695="RM",5,(IF(E1695="AC",1,(IF(E1695="AT",2,(IF(E1695="DS",3,(IF(E1695="IP",4,(IF(E1695="MA",5,(IF(E1695="PT",6,(IF(E1695="AE",1,(IF(E1695="CM",2,(IF(E1695="DP",3,(IF(E1695="AN",1,(IF(E1695="CO",2,(IF(E1695="IM",3,(IF(E1695="MI",4,(IF(E1695="RP",5,(IF(E1695="SC",6,0)))))))))))))))))))))))))))))))))))))))</f>
        <v>6</v>
      </c>
      <c r="G1695" s="170">
        <v>4</v>
      </c>
      <c r="H1695" s="38" t="s">
        <v>511</v>
      </c>
      <c r="I1695" s="79" t="s">
        <v>1176</v>
      </c>
      <c r="J1695" s="162">
        <v>11</v>
      </c>
      <c r="K1695" s="4" t="s">
        <v>1091</v>
      </c>
      <c r="L1695" s="66">
        <f>IF(O1695="","",N1695*O1695*M1695)</f>
        <v>75</v>
      </c>
      <c r="M1695" s="8">
        <v>1</v>
      </c>
      <c r="N1695" s="3">
        <v>1</v>
      </c>
      <c r="O1695" s="15">
        <f>IF(SUM(Q1695:AF1695)&lt;1,"",SUM(Q1695:AF1695)/COUNTIF(Q1695:AF1695,"&gt;0"))</f>
        <v>75</v>
      </c>
      <c r="P1695" s="16"/>
      <c r="Q1695" s="13"/>
      <c r="R1695" s="4"/>
      <c r="S1695" s="4"/>
      <c r="T1695" s="4">
        <v>75</v>
      </c>
      <c r="U1695" s="2"/>
      <c r="V1695" s="2"/>
      <c r="W1695" s="2"/>
      <c r="X1695" s="2"/>
      <c r="Y1695" s="4"/>
      <c r="Z1695" s="2"/>
      <c r="AA1695" s="2"/>
      <c r="AB1695" s="4"/>
      <c r="AC1695" s="4"/>
      <c r="AD1695" s="4"/>
      <c r="AE1695" s="4"/>
      <c r="AF1695" s="14"/>
    </row>
    <row r="1696" spans="1:32" x14ac:dyDescent="0.25">
      <c r="A1696" s="33" t="str">
        <f>CONCATENATE(D1696,".",F1696,"-",G1696,".",H1696,"")</f>
        <v>2.6-4.1</v>
      </c>
      <c r="B1696" s="33" t="s">
        <v>814</v>
      </c>
      <c r="C1696" s="39" t="s">
        <v>262</v>
      </c>
      <c r="D1696" s="33">
        <f>IF(C1696="ID",1,(IF(C1696="PR",2,(IF(C1696="DE",3,(IF(C1696="RS",4,(IF(C1696="RC",5,0)))))))))</f>
        <v>2</v>
      </c>
      <c r="E1696" s="33" t="s">
        <v>345</v>
      </c>
      <c r="F1696" s="33">
        <f>IF(E1696="AM",1,(IF(E1696="BE",2,(IF(E1696="GV",3,(IF(E1696="RA",4,(IF(E1696="RM",5,(IF(E1696="AC",1,(IF(E1696="AT",2,(IF(E1696="DS",3,(IF(E1696="IP",4,(IF(E1696="MA",5,(IF(E1696="PT",6,(IF(E1696="AE",1,(IF(E1696="CM",2,(IF(E1696="DP",3,(IF(E1696="AN",1,(IF(E1696="CO",2,(IF(E1696="IM",3,(IF(E1696="MI",4,(IF(E1696="RP",5,(IF(E1696="SC",6,0)))))))))))))))))))))))))))))))))))))))</f>
        <v>6</v>
      </c>
      <c r="G1696" s="170">
        <v>4</v>
      </c>
      <c r="H1696" s="38" t="s">
        <v>511</v>
      </c>
      <c r="I1696" s="79" t="s">
        <v>1176</v>
      </c>
      <c r="J1696" s="162">
        <v>12.1</v>
      </c>
      <c r="K1696" s="80" t="s">
        <v>1100</v>
      </c>
      <c r="L1696" s="66">
        <f>IF(O1696="","",N1696*O1696*M1696)</f>
        <v>75</v>
      </c>
      <c r="M1696" s="8">
        <v>1</v>
      </c>
      <c r="N1696" s="3">
        <v>1</v>
      </c>
      <c r="O1696" s="15">
        <f>IF(SUM(Q1696:AF1696)&lt;1,"",SUM(Q1696:AF1696)/COUNTIF(Q1696:AF1696,"&gt;0"))</f>
        <v>75</v>
      </c>
      <c r="P1696" s="16"/>
      <c r="Q1696" s="13"/>
      <c r="R1696" s="4"/>
      <c r="S1696" s="4"/>
      <c r="T1696" s="4">
        <v>75</v>
      </c>
      <c r="U1696" s="2"/>
      <c r="V1696" s="2"/>
      <c r="W1696" s="2"/>
      <c r="X1696" s="2"/>
      <c r="Y1696" s="4"/>
      <c r="Z1696" s="2"/>
      <c r="AA1696" s="2"/>
      <c r="AB1696" s="4"/>
      <c r="AC1696" s="4"/>
      <c r="AD1696" s="4"/>
      <c r="AE1696" s="4"/>
      <c r="AF1696" s="14"/>
    </row>
    <row r="1697" spans="1:32" x14ac:dyDescent="0.25">
      <c r="A1697" s="33" t="str">
        <f>CONCATENATE(D1697,".",F1697,"-",G1697,".",H1697,"")</f>
        <v>2.6-4.1</v>
      </c>
      <c r="B1697" s="33" t="s">
        <v>814</v>
      </c>
      <c r="C1697" s="39" t="s">
        <v>262</v>
      </c>
      <c r="D1697" s="33">
        <f>IF(C1697="ID",1,(IF(C1697="PR",2,(IF(C1697="DE",3,(IF(C1697="RS",4,(IF(C1697="RC",5,0)))))))))</f>
        <v>2</v>
      </c>
      <c r="E1697" s="33" t="s">
        <v>345</v>
      </c>
      <c r="F1697" s="33">
        <f>IF(E1697="AM",1,(IF(E1697="BE",2,(IF(E1697="GV",3,(IF(E1697="RA",4,(IF(E1697="RM",5,(IF(E1697="AC",1,(IF(E1697="AT",2,(IF(E1697="DS",3,(IF(E1697="IP",4,(IF(E1697="MA",5,(IF(E1697="PT",6,(IF(E1697="AE",1,(IF(E1697="CM",2,(IF(E1697="DP",3,(IF(E1697="AN",1,(IF(E1697="CO",2,(IF(E1697="IM",3,(IF(E1697="MI",4,(IF(E1697="RP",5,(IF(E1697="SC",6,0)))))))))))))))))))))))))))))))))))))))</f>
        <v>6</v>
      </c>
      <c r="G1697" s="170">
        <v>4</v>
      </c>
      <c r="H1697" s="38" t="s">
        <v>511</v>
      </c>
      <c r="I1697" s="79" t="s">
        <v>1176</v>
      </c>
      <c r="J1697" s="162">
        <v>12.2</v>
      </c>
      <c r="K1697" s="80" t="s">
        <v>1101</v>
      </c>
      <c r="L1697" s="66">
        <f>IF(O1697="","",N1697*O1697*M1697)</f>
        <v>75</v>
      </c>
      <c r="M1697" s="8">
        <v>1</v>
      </c>
      <c r="N1697" s="3">
        <v>1</v>
      </c>
      <c r="O1697" s="15">
        <f>IF(SUM(Q1697:AF1697)&lt;1,"",SUM(Q1697:AF1697)/COUNTIF(Q1697:AF1697,"&gt;0"))</f>
        <v>75</v>
      </c>
      <c r="P1697" s="16"/>
      <c r="Q1697" s="13"/>
      <c r="R1697" s="4"/>
      <c r="S1697" s="4"/>
      <c r="T1697" s="4">
        <v>75</v>
      </c>
      <c r="U1697" s="2"/>
      <c r="V1697" s="2"/>
      <c r="W1697" s="2"/>
      <c r="X1697" s="2"/>
      <c r="Y1697" s="4"/>
      <c r="Z1697" s="2"/>
      <c r="AA1697" s="2"/>
      <c r="AB1697" s="4"/>
      <c r="AC1697" s="4"/>
      <c r="AD1697" s="4"/>
      <c r="AE1697" s="4"/>
      <c r="AF1697" s="14"/>
    </row>
    <row r="1698" spans="1:32" x14ac:dyDescent="0.25">
      <c r="A1698" s="33" t="str">
        <f>CONCATENATE(D1698,".",F1698,"-",G1698,".",H1698,"")</f>
        <v>2.6-4.1</v>
      </c>
      <c r="B1698" s="33" t="s">
        <v>814</v>
      </c>
      <c r="C1698" s="39" t="s">
        <v>262</v>
      </c>
      <c r="D1698" s="33">
        <f>IF(C1698="ID",1,(IF(C1698="PR",2,(IF(C1698="DE",3,(IF(C1698="RS",4,(IF(C1698="RC",5,0)))))))))</f>
        <v>2</v>
      </c>
      <c r="E1698" s="33" t="s">
        <v>345</v>
      </c>
      <c r="F1698" s="33">
        <f>IF(E1698="AM",1,(IF(E1698="BE",2,(IF(E1698="GV",3,(IF(E1698="RA",4,(IF(E1698="RM",5,(IF(E1698="AC",1,(IF(E1698="AT",2,(IF(E1698="DS",3,(IF(E1698="IP",4,(IF(E1698="MA",5,(IF(E1698="PT",6,(IF(E1698="AE",1,(IF(E1698="CM",2,(IF(E1698="DP",3,(IF(E1698="AN",1,(IF(E1698="CO",2,(IF(E1698="IM",3,(IF(E1698="MI",4,(IF(E1698="RP",5,(IF(E1698="SC",6,0)))))))))))))))))))))))))))))))))))))))</f>
        <v>6</v>
      </c>
      <c r="G1698" s="170">
        <v>4</v>
      </c>
      <c r="H1698" s="38" t="s">
        <v>511</v>
      </c>
      <c r="I1698" s="79" t="s">
        <v>1176</v>
      </c>
      <c r="J1698" s="162">
        <v>12.5</v>
      </c>
      <c r="K1698" s="80" t="s">
        <v>1104</v>
      </c>
      <c r="L1698" s="66">
        <f>IF(O1698="","",N1698*O1698*M1698)</f>
        <v>75</v>
      </c>
      <c r="M1698" s="8">
        <v>1</v>
      </c>
      <c r="N1698" s="3">
        <v>1</v>
      </c>
      <c r="O1698" s="15">
        <f>IF(SUM(Q1698:AF1698)&lt;1,"",SUM(Q1698:AF1698)/COUNTIF(Q1698:AF1698,"&gt;0"))</f>
        <v>75</v>
      </c>
      <c r="P1698" s="16"/>
      <c r="Q1698" s="13"/>
      <c r="R1698" s="4"/>
      <c r="S1698" s="4"/>
      <c r="T1698" s="4">
        <v>75</v>
      </c>
      <c r="U1698" s="2"/>
      <c r="V1698" s="2"/>
      <c r="W1698" s="2"/>
      <c r="X1698" s="2"/>
      <c r="Y1698" s="4"/>
      <c r="Z1698" s="2"/>
      <c r="AA1698" s="2"/>
      <c r="AB1698" s="4"/>
      <c r="AC1698" s="4"/>
      <c r="AD1698" s="4"/>
      <c r="AE1698" s="4"/>
      <c r="AF1698" s="14"/>
    </row>
    <row r="1699" spans="1:32" x14ac:dyDescent="0.25">
      <c r="A1699" s="33" t="str">
        <f>CONCATENATE(D1699,".",F1699,"-",G1699,".",H1699,"")</f>
        <v>2.6-4.1</v>
      </c>
      <c r="B1699" s="33" t="s">
        <v>814</v>
      </c>
      <c r="C1699" s="39" t="s">
        <v>262</v>
      </c>
      <c r="D1699" s="33">
        <f>IF(C1699="ID",1,(IF(C1699="PR",2,(IF(C1699="DE",3,(IF(C1699="RS",4,(IF(C1699="RC",5,0)))))))))</f>
        <v>2</v>
      </c>
      <c r="E1699" s="33" t="s">
        <v>345</v>
      </c>
      <c r="F1699" s="33">
        <f>IF(E1699="AM",1,(IF(E1699="BE",2,(IF(E1699="GV",3,(IF(E1699="RA",4,(IF(E1699="RM",5,(IF(E1699="AC",1,(IF(E1699="AT",2,(IF(E1699="DS",3,(IF(E1699="IP",4,(IF(E1699="MA",5,(IF(E1699="PT",6,(IF(E1699="AE",1,(IF(E1699="CM",2,(IF(E1699="DP",3,(IF(E1699="AN",1,(IF(E1699="CO",2,(IF(E1699="IM",3,(IF(E1699="MI",4,(IF(E1699="RP",5,(IF(E1699="SC",6,0)))))))))))))))))))))))))))))))))))))))</f>
        <v>6</v>
      </c>
      <c r="G1699" s="170">
        <v>4</v>
      </c>
      <c r="H1699" s="38" t="s">
        <v>511</v>
      </c>
      <c r="I1699" s="79" t="s">
        <v>1176</v>
      </c>
      <c r="J1699" s="162">
        <v>12.9</v>
      </c>
      <c r="K1699" s="80" t="s">
        <v>1108</v>
      </c>
      <c r="L1699" s="66">
        <f>IF(O1699="","",N1699*O1699*M1699)</f>
        <v>75</v>
      </c>
      <c r="M1699" s="8">
        <v>1</v>
      </c>
      <c r="N1699" s="3">
        <v>1</v>
      </c>
      <c r="O1699" s="15">
        <f>IF(SUM(Q1699:AF1699)&lt;1,"",SUM(Q1699:AF1699)/COUNTIF(Q1699:AF1699,"&gt;0"))</f>
        <v>75</v>
      </c>
      <c r="P1699" s="16"/>
      <c r="Q1699" s="13"/>
      <c r="R1699" s="4"/>
      <c r="S1699" s="4"/>
      <c r="T1699" s="4">
        <v>75</v>
      </c>
      <c r="U1699" s="2"/>
      <c r="V1699" s="2"/>
      <c r="W1699" s="2"/>
      <c r="X1699" s="2"/>
      <c r="Y1699" s="4"/>
      <c r="Z1699" s="2"/>
      <c r="AA1699" s="2"/>
      <c r="AB1699" s="4"/>
      <c r="AC1699" s="4"/>
      <c r="AD1699" s="4"/>
      <c r="AE1699" s="4"/>
      <c r="AF1699" s="14"/>
    </row>
    <row r="1700" spans="1:32" x14ac:dyDescent="0.25">
      <c r="A1700" s="33" t="str">
        <f>CONCATENATE(D1700,".",F1700,"-",G1700,".",H1700,"")</f>
        <v>2.6-4.1</v>
      </c>
      <c r="B1700" s="33" t="s">
        <v>814</v>
      </c>
      <c r="C1700" s="39" t="s">
        <v>262</v>
      </c>
      <c r="D1700" s="33">
        <f>IF(C1700="ID",1,(IF(C1700="PR",2,(IF(C1700="DE",3,(IF(C1700="RS",4,(IF(C1700="RC",5,0)))))))))</f>
        <v>2</v>
      </c>
      <c r="E1700" s="33" t="s">
        <v>345</v>
      </c>
      <c r="F1700" s="33">
        <f>IF(E1700="AM",1,(IF(E1700="BE",2,(IF(E1700="GV",3,(IF(E1700="RA",4,(IF(E1700="RM",5,(IF(E1700="AC",1,(IF(E1700="AT",2,(IF(E1700="DS",3,(IF(E1700="IP",4,(IF(E1700="MA",5,(IF(E1700="PT",6,(IF(E1700="AE",1,(IF(E1700="CM",2,(IF(E1700="DP",3,(IF(E1700="AN",1,(IF(E1700="CO",2,(IF(E1700="IM",3,(IF(E1700="MI",4,(IF(E1700="RP",5,(IF(E1700="SC",6,0)))))))))))))))))))))))))))))))))))))))</f>
        <v>6</v>
      </c>
      <c r="G1700" s="170">
        <v>4</v>
      </c>
      <c r="H1700" s="38" t="s">
        <v>511</v>
      </c>
      <c r="I1700" s="79" t="s">
        <v>1176</v>
      </c>
      <c r="J1700" s="162">
        <v>15</v>
      </c>
      <c r="K1700" s="80" t="s">
        <v>1126</v>
      </c>
      <c r="L1700" s="66">
        <f>IF(O1700="","",N1700*O1700*M1700)</f>
        <v>75</v>
      </c>
      <c r="M1700" s="8">
        <v>1</v>
      </c>
      <c r="N1700" s="3">
        <v>1</v>
      </c>
      <c r="O1700" s="15">
        <f>IF(SUM(Q1700:AF1700)&lt;1,"",SUM(Q1700:AF1700)/COUNTIF(Q1700:AF1700,"&gt;0"))</f>
        <v>75</v>
      </c>
      <c r="P1700" s="16"/>
      <c r="Q1700" s="13"/>
      <c r="R1700" s="4"/>
      <c r="S1700" s="4"/>
      <c r="T1700" s="4">
        <v>75</v>
      </c>
      <c r="U1700" s="2"/>
      <c r="V1700" s="2"/>
      <c r="W1700" s="2"/>
      <c r="X1700" s="2"/>
      <c r="Y1700" s="4"/>
      <c r="Z1700" s="2"/>
      <c r="AA1700" s="2"/>
      <c r="AB1700" s="4"/>
      <c r="AC1700" s="4"/>
      <c r="AD1700" s="4"/>
      <c r="AE1700" s="4"/>
      <c r="AF1700" s="14"/>
    </row>
    <row r="1701" spans="1:32" x14ac:dyDescent="0.25">
      <c r="A1701" s="33" t="str">
        <f>CONCATENATE(D1701,".",F1701,"-",G1701,".",H1701,"")</f>
        <v>2.6-4.1</v>
      </c>
      <c r="B1701" s="33" t="s">
        <v>814</v>
      </c>
      <c r="C1701" s="39" t="s">
        <v>262</v>
      </c>
      <c r="D1701" s="33">
        <f>IF(C1701="ID",1,(IF(C1701="PR",2,(IF(C1701="DE",3,(IF(C1701="RS",4,(IF(C1701="RC",5,0)))))))))</f>
        <v>2</v>
      </c>
      <c r="E1701" s="33" t="s">
        <v>345</v>
      </c>
      <c r="F1701" s="33">
        <f>IF(E1701="AM",1,(IF(E1701="BE",2,(IF(E1701="GV",3,(IF(E1701="RA",4,(IF(E1701="RM",5,(IF(E1701="AC",1,(IF(E1701="AT",2,(IF(E1701="DS",3,(IF(E1701="IP",4,(IF(E1701="MA",5,(IF(E1701="PT",6,(IF(E1701="AE",1,(IF(E1701="CM",2,(IF(E1701="DP",3,(IF(E1701="AN",1,(IF(E1701="CO",2,(IF(E1701="IM",3,(IF(E1701="MI",4,(IF(E1701="RP",5,(IF(E1701="SC",6,0)))))))))))))))))))))))))))))))))))))))</f>
        <v>6</v>
      </c>
      <c r="G1701" s="170">
        <v>4</v>
      </c>
      <c r="H1701" s="38" t="s">
        <v>511</v>
      </c>
      <c r="I1701" s="3" t="s">
        <v>1449</v>
      </c>
      <c r="J1701" s="157" t="s">
        <v>1490</v>
      </c>
      <c r="K1701" s="34" t="s">
        <v>1491</v>
      </c>
      <c r="L1701" s="5">
        <f>IF(O1701="","",N1701*O1701*M1701)</f>
        <v>99</v>
      </c>
      <c r="M1701" s="8">
        <v>1</v>
      </c>
      <c r="N1701" s="1">
        <v>1</v>
      </c>
      <c r="O1701" s="15">
        <f>IF(SUM(Q1701:AF1701)&lt;1,"",SUM(Q1701:AF1701)/COUNTIF(Q1701:AF1701,"&gt;0"))</f>
        <v>99</v>
      </c>
      <c r="P1701" s="16"/>
      <c r="Q1701" s="13"/>
      <c r="R1701" s="4"/>
      <c r="S1701" s="4"/>
      <c r="T1701" s="4">
        <v>99</v>
      </c>
      <c r="U1701" s="2"/>
      <c r="V1701" s="2"/>
      <c r="W1701" s="2"/>
      <c r="X1701" s="2"/>
      <c r="Y1701" s="4"/>
      <c r="Z1701" s="2"/>
      <c r="AA1701" s="2"/>
      <c r="AB1701" s="4"/>
      <c r="AC1701" s="4"/>
      <c r="AD1701" s="4"/>
      <c r="AE1701" s="4"/>
      <c r="AF1701" s="14"/>
    </row>
    <row r="1702" spans="1:32" x14ac:dyDescent="0.25">
      <c r="A1702" s="33" t="str">
        <f>CONCATENATE(D1702,".",F1702,"-",G1702,".",H1702,"")</f>
        <v>2.6-4.1</v>
      </c>
      <c r="B1702" s="33" t="s">
        <v>814</v>
      </c>
      <c r="C1702" s="39" t="s">
        <v>262</v>
      </c>
      <c r="D1702" s="33">
        <f>IF(C1702="ID",1,(IF(C1702="PR",2,(IF(C1702="DE",3,(IF(C1702="RS",4,(IF(C1702="RC",5,0)))))))))</f>
        <v>2</v>
      </c>
      <c r="E1702" s="33" t="s">
        <v>345</v>
      </c>
      <c r="F1702" s="33">
        <f>IF(E1702="AM",1,(IF(E1702="BE",2,(IF(E1702="GV",3,(IF(E1702="RA",4,(IF(E1702="RM",5,(IF(E1702="AC",1,(IF(E1702="AT",2,(IF(E1702="DS",3,(IF(E1702="IP",4,(IF(E1702="MA",5,(IF(E1702="PT",6,(IF(E1702="AE",1,(IF(E1702="CM",2,(IF(E1702="DP",3,(IF(E1702="AN",1,(IF(E1702="CO",2,(IF(E1702="IM",3,(IF(E1702="MI",4,(IF(E1702="RP",5,(IF(E1702="SC",6,0)))))))))))))))))))))))))))))))))))))))</f>
        <v>6</v>
      </c>
      <c r="G1702" s="170">
        <v>4</v>
      </c>
      <c r="H1702" s="38" t="s">
        <v>511</v>
      </c>
      <c r="I1702" s="3" t="s">
        <v>1449</v>
      </c>
      <c r="J1702" s="157" t="s">
        <v>1624</v>
      </c>
      <c r="K1702" s="34" t="s">
        <v>1625</v>
      </c>
      <c r="L1702" s="5">
        <f>IF(O1702="","",N1702*O1702*M1702)</f>
        <v>99</v>
      </c>
      <c r="M1702" s="8">
        <v>1</v>
      </c>
      <c r="N1702" s="1">
        <v>1</v>
      </c>
      <c r="O1702" s="15">
        <f>IF(SUM(Q1702:AF1702)&lt;1,"",SUM(Q1702:AF1702)/COUNTIF(Q1702:AF1702,"&gt;0"))</f>
        <v>99</v>
      </c>
      <c r="P1702" s="16"/>
      <c r="Q1702" s="13"/>
      <c r="R1702" s="4"/>
      <c r="S1702" s="4"/>
      <c r="T1702" s="4">
        <v>99</v>
      </c>
      <c r="U1702" s="2"/>
      <c r="V1702" s="2"/>
      <c r="W1702" s="2"/>
      <c r="X1702" s="2"/>
      <c r="Y1702" s="4"/>
      <c r="Z1702" s="2"/>
      <c r="AA1702" s="2"/>
      <c r="AB1702" s="4"/>
      <c r="AC1702" s="4"/>
      <c r="AD1702" s="4"/>
      <c r="AE1702" s="4"/>
      <c r="AF1702" s="14"/>
    </row>
    <row r="1703" spans="1:32" x14ac:dyDescent="0.25">
      <c r="A1703" s="33" t="str">
        <f>CONCATENATE(D1703,".",F1703,"-",G1703,".",H1703,"")</f>
        <v>2.6-4.1</v>
      </c>
      <c r="B1703" s="33" t="s">
        <v>814</v>
      </c>
      <c r="C1703" s="39" t="s">
        <v>262</v>
      </c>
      <c r="D1703" s="33">
        <f>IF(C1703="ID",1,(IF(C1703="PR",2,(IF(C1703="DE",3,(IF(C1703="RS",4,(IF(C1703="RC",5,0)))))))))</f>
        <v>2</v>
      </c>
      <c r="E1703" s="33" t="s">
        <v>345</v>
      </c>
      <c r="F1703" s="33">
        <f>IF(E1703="AM",1,(IF(E1703="BE",2,(IF(E1703="GV",3,(IF(E1703="RA",4,(IF(E1703="RM",5,(IF(E1703="AC",1,(IF(E1703="AT",2,(IF(E1703="DS",3,(IF(E1703="IP",4,(IF(E1703="MA",5,(IF(E1703="PT",6,(IF(E1703="AE",1,(IF(E1703="CM",2,(IF(E1703="DP",3,(IF(E1703="AN",1,(IF(E1703="CO",2,(IF(E1703="IM",3,(IF(E1703="MI",4,(IF(E1703="RP",5,(IF(E1703="SC",6,0)))))))))))))))))))))))))))))))))))))))</f>
        <v>6</v>
      </c>
      <c r="G1703" s="170">
        <v>4</v>
      </c>
      <c r="H1703" s="38" t="s">
        <v>511</v>
      </c>
      <c r="I1703" s="3" t="s">
        <v>1449</v>
      </c>
      <c r="J1703" s="157" t="s">
        <v>1640</v>
      </c>
      <c r="K1703" s="34" t="s">
        <v>1641</v>
      </c>
      <c r="L1703" s="5">
        <f>IF(O1703="","",N1703*O1703*M1703)</f>
        <v>99</v>
      </c>
      <c r="M1703" s="8">
        <v>1</v>
      </c>
      <c r="N1703" s="1">
        <v>1</v>
      </c>
      <c r="O1703" s="15">
        <f>IF(SUM(Q1703:AF1703)&lt;1,"",SUM(Q1703:AF1703)/COUNTIF(Q1703:AF1703,"&gt;0"))</f>
        <v>99</v>
      </c>
      <c r="P1703" s="16"/>
      <c r="Q1703" s="13"/>
      <c r="R1703" s="4"/>
      <c r="S1703" s="4"/>
      <c r="T1703" s="4">
        <v>99</v>
      </c>
      <c r="U1703" s="2"/>
      <c r="V1703" s="2"/>
      <c r="W1703" s="2"/>
      <c r="X1703" s="2"/>
      <c r="Y1703" s="4"/>
      <c r="Z1703" s="2"/>
      <c r="AA1703" s="2"/>
      <c r="AB1703" s="4"/>
      <c r="AC1703" s="4"/>
      <c r="AD1703" s="4"/>
      <c r="AE1703" s="4"/>
      <c r="AF1703" s="14"/>
    </row>
    <row r="1704" spans="1:32" x14ac:dyDescent="0.25">
      <c r="A1704" s="33" t="str">
        <f>CONCATENATE(D1704,".",F1704,"-",G1704,".",H1704,"")</f>
        <v>2.6-4.1</v>
      </c>
      <c r="C1704" s="39" t="s">
        <v>262</v>
      </c>
      <c r="D1704" s="33">
        <f>IF(C1704="ID",1,(IF(C1704="PR",2,(IF(C1704="DE",3,(IF(C1704="RS",4,(IF(C1704="RC",5,0)))))))))</f>
        <v>2</v>
      </c>
      <c r="E1704" s="33" t="s">
        <v>345</v>
      </c>
      <c r="F1704" s="33">
        <f>IF(E1704="AM",1,(IF(E1704="BE",2,(IF(E1704="GV",3,(IF(E1704="RA",4,(IF(E1704="RM",5,(IF(E1704="AC",1,(IF(E1704="AT",2,(IF(E1704="DS",3,(IF(E1704="IP",4,(IF(E1704="MA",5,(IF(E1704="PT",6,(IF(E1704="AE",1,(IF(E1704="CM",2,(IF(E1704="DP",3,(IF(E1704="AN",1,(IF(E1704="CO",2,(IF(E1704="IM",3,(IF(E1704="MI",4,(IF(E1704="RP",5,(IF(E1704="SC",6,0)))))))))))))))))))))))))))))))))))))))</f>
        <v>6</v>
      </c>
      <c r="G1704" s="170">
        <v>4</v>
      </c>
      <c r="H1704" s="38" t="s">
        <v>511</v>
      </c>
      <c r="I1704" s="3" t="s">
        <v>1449</v>
      </c>
      <c r="J1704" s="157" t="s">
        <v>2041</v>
      </c>
      <c r="K1704" s="34" t="s">
        <v>2042</v>
      </c>
      <c r="L1704" s="5">
        <f>IF(O1704="","",N1704*O1704*M1704)</f>
        <v>99</v>
      </c>
      <c r="M1704" s="8">
        <v>1</v>
      </c>
      <c r="N1704" s="1">
        <v>1</v>
      </c>
      <c r="O1704" s="15">
        <f>IF(SUM(Q1704:AF1704)&lt;1,"",SUM(Q1704:AF1704)/COUNTIF(Q1704:AF1704,"&gt;0"))</f>
        <v>99</v>
      </c>
      <c r="P1704" s="16"/>
      <c r="Q1704" s="13"/>
      <c r="R1704" s="4"/>
      <c r="S1704" s="4"/>
      <c r="T1704" s="4">
        <v>99</v>
      </c>
      <c r="U1704" s="2"/>
      <c r="V1704" s="2"/>
      <c r="W1704" s="2"/>
      <c r="X1704" s="2"/>
      <c r="Y1704" s="4"/>
      <c r="Z1704" s="2"/>
      <c r="AA1704" s="2"/>
      <c r="AB1704" s="4"/>
      <c r="AC1704" s="4"/>
      <c r="AD1704" s="4"/>
      <c r="AE1704" s="4"/>
      <c r="AF1704" s="14"/>
    </row>
    <row r="1705" spans="1:32" x14ac:dyDescent="0.25">
      <c r="A1705" s="33" t="str">
        <f>CONCATENATE(D1705,".",F1705,"-",G1705,".",H1705,"")</f>
        <v>2.6-4.1</v>
      </c>
      <c r="C1705" s="39" t="s">
        <v>262</v>
      </c>
      <c r="D1705" s="33">
        <f>IF(C1705="ID",1,(IF(C1705="PR",2,(IF(C1705="DE",3,(IF(C1705="RS",4,(IF(C1705="RC",5,0)))))))))</f>
        <v>2</v>
      </c>
      <c r="E1705" s="33" t="s">
        <v>345</v>
      </c>
      <c r="F1705" s="33">
        <f>IF(E1705="AM",1,(IF(E1705="BE",2,(IF(E1705="GV",3,(IF(E1705="RA",4,(IF(E1705="RM",5,(IF(E1705="AC",1,(IF(E1705="AT",2,(IF(E1705="DS",3,(IF(E1705="IP",4,(IF(E1705="MA",5,(IF(E1705="PT",6,(IF(E1705="AE",1,(IF(E1705="CM",2,(IF(E1705="DP",3,(IF(E1705="AN",1,(IF(E1705="CO",2,(IF(E1705="IM",3,(IF(E1705="MI",4,(IF(E1705="RP",5,(IF(E1705="SC",6,0)))))))))))))))))))))))))))))))))))))))</f>
        <v>6</v>
      </c>
      <c r="G1705" s="170">
        <v>4</v>
      </c>
      <c r="H1705" s="38" t="s">
        <v>511</v>
      </c>
      <c r="I1705" s="3" t="s">
        <v>1449</v>
      </c>
      <c r="J1705" s="157" t="s">
        <v>2043</v>
      </c>
      <c r="K1705" s="34" t="s">
        <v>2044</v>
      </c>
      <c r="L1705" s="5">
        <f>IF(O1705="","",N1705*O1705*M1705)</f>
        <v>99</v>
      </c>
      <c r="M1705" s="8">
        <v>1</v>
      </c>
      <c r="N1705" s="1">
        <v>1</v>
      </c>
      <c r="O1705" s="15">
        <f>IF(SUM(Q1705:AF1705)&lt;1,"",SUM(Q1705:AF1705)/COUNTIF(Q1705:AF1705,"&gt;0"))</f>
        <v>99</v>
      </c>
      <c r="P1705" s="16"/>
      <c r="Q1705" s="13"/>
      <c r="R1705" s="4"/>
      <c r="S1705" s="4"/>
      <c r="T1705" s="4">
        <v>99</v>
      </c>
      <c r="U1705" s="2"/>
      <c r="V1705" s="2"/>
      <c r="W1705" s="2"/>
      <c r="X1705" s="2"/>
      <c r="Y1705" s="4"/>
      <c r="Z1705" s="2"/>
      <c r="AA1705" s="2"/>
      <c r="AB1705" s="4"/>
      <c r="AC1705" s="4"/>
      <c r="AD1705" s="4"/>
      <c r="AE1705" s="4"/>
      <c r="AF1705" s="14"/>
    </row>
    <row r="1706" spans="1:32" x14ac:dyDescent="0.25">
      <c r="A1706" s="33" t="str">
        <f>CONCATENATE(D1706,".",F1706,"-",G1706,".",H1706,"")</f>
        <v>2.6-4.1</v>
      </c>
      <c r="C1706" s="39" t="s">
        <v>262</v>
      </c>
      <c r="D1706" s="33">
        <f>IF(C1706="ID",1,(IF(C1706="PR",2,(IF(C1706="DE",3,(IF(C1706="RS",4,(IF(C1706="RC",5,0)))))))))</f>
        <v>2</v>
      </c>
      <c r="E1706" s="33" t="s">
        <v>345</v>
      </c>
      <c r="F1706" s="33">
        <f>IF(E1706="AM",1,(IF(E1706="BE",2,(IF(E1706="GV",3,(IF(E1706="RA",4,(IF(E1706="RM",5,(IF(E1706="AC",1,(IF(E1706="AT",2,(IF(E1706="DS",3,(IF(E1706="IP",4,(IF(E1706="MA",5,(IF(E1706="PT",6,(IF(E1706="AE",1,(IF(E1706="CM",2,(IF(E1706="DP",3,(IF(E1706="AN",1,(IF(E1706="CO",2,(IF(E1706="IM",3,(IF(E1706="MI",4,(IF(E1706="RP",5,(IF(E1706="SC",6,0)))))))))))))))))))))))))))))))))))))))</f>
        <v>6</v>
      </c>
      <c r="G1706" s="170">
        <v>4</v>
      </c>
      <c r="H1706" s="38" t="s">
        <v>511</v>
      </c>
      <c r="I1706" s="3" t="s">
        <v>1449</v>
      </c>
      <c r="J1706" s="157" t="s">
        <v>2045</v>
      </c>
      <c r="K1706" s="34" t="s">
        <v>2046</v>
      </c>
      <c r="L1706" s="5">
        <f>IF(O1706="","",N1706*O1706*M1706)</f>
        <v>99</v>
      </c>
      <c r="M1706" s="8">
        <v>1</v>
      </c>
      <c r="N1706" s="1">
        <v>1</v>
      </c>
      <c r="O1706" s="15">
        <f>IF(SUM(Q1706:AF1706)&lt;1,"",SUM(Q1706:AF1706)/COUNTIF(Q1706:AF1706,"&gt;0"))</f>
        <v>99</v>
      </c>
      <c r="P1706" s="16"/>
      <c r="Q1706" s="13"/>
      <c r="R1706" s="4"/>
      <c r="S1706" s="4"/>
      <c r="T1706" s="4">
        <v>99</v>
      </c>
      <c r="U1706" s="2"/>
      <c r="V1706" s="2"/>
      <c r="W1706" s="2"/>
      <c r="X1706" s="2"/>
      <c r="Y1706" s="4"/>
      <c r="Z1706" s="2"/>
      <c r="AA1706" s="2"/>
      <c r="AB1706" s="4"/>
      <c r="AC1706" s="4"/>
      <c r="AD1706" s="4"/>
      <c r="AE1706" s="4"/>
      <c r="AF1706" s="14"/>
    </row>
    <row r="1707" spans="1:32" x14ac:dyDescent="0.25">
      <c r="A1707" s="33" t="str">
        <f>CONCATENATE(D1707,".",F1707,"-",G1707,".",H1707,"")</f>
        <v>2.6-4.1</v>
      </c>
      <c r="C1707" s="39" t="s">
        <v>262</v>
      </c>
      <c r="D1707" s="33">
        <f>IF(C1707="ID",1,(IF(C1707="PR",2,(IF(C1707="DE",3,(IF(C1707="RS",4,(IF(C1707="RC",5,0)))))))))</f>
        <v>2</v>
      </c>
      <c r="E1707" s="33" t="s">
        <v>345</v>
      </c>
      <c r="F1707" s="33">
        <f>IF(E1707="AM",1,(IF(E1707="BE",2,(IF(E1707="GV",3,(IF(E1707="RA",4,(IF(E1707="RM",5,(IF(E1707="AC",1,(IF(E1707="AT",2,(IF(E1707="DS",3,(IF(E1707="IP",4,(IF(E1707="MA",5,(IF(E1707="PT",6,(IF(E1707="AE",1,(IF(E1707="CM",2,(IF(E1707="DP",3,(IF(E1707="AN",1,(IF(E1707="CO",2,(IF(E1707="IM",3,(IF(E1707="MI",4,(IF(E1707="RP",5,(IF(E1707="SC",6,0)))))))))))))))))))))))))))))))))))))))</f>
        <v>6</v>
      </c>
      <c r="G1707" s="170">
        <v>4</v>
      </c>
      <c r="H1707" s="38" t="s">
        <v>511</v>
      </c>
      <c r="I1707" s="3" t="s">
        <v>1449</v>
      </c>
      <c r="J1707" s="157" t="s">
        <v>2047</v>
      </c>
      <c r="K1707" s="34" t="s">
        <v>2048</v>
      </c>
      <c r="L1707" s="5">
        <f>IF(O1707="","",N1707*O1707*M1707)</f>
        <v>99</v>
      </c>
      <c r="M1707" s="8">
        <v>1</v>
      </c>
      <c r="N1707" s="1">
        <v>1</v>
      </c>
      <c r="O1707" s="15">
        <f>IF(SUM(Q1707:AF1707)&lt;1,"",SUM(Q1707:AF1707)/COUNTIF(Q1707:AF1707,"&gt;0"))</f>
        <v>99</v>
      </c>
      <c r="P1707" s="16"/>
      <c r="Q1707" s="13"/>
      <c r="R1707" s="4"/>
      <c r="S1707" s="4"/>
      <c r="T1707" s="4">
        <v>99</v>
      </c>
      <c r="U1707" s="2"/>
      <c r="V1707" s="2"/>
      <c r="W1707" s="2"/>
      <c r="X1707" s="2"/>
      <c r="Y1707" s="4"/>
      <c r="Z1707" s="2"/>
      <c r="AA1707" s="2"/>
      <c r="AB1707" s="4"/>
      <c r="AC1707" s="4"/>
      <c r="AD1707" s="4"/>
      <c r="AE1707" s="4"/>
      <c r="AF1707" s="14"/>
    </row>
    <row r="1708" spans="1:32" x14ac:dyDescent="0.25">
      <c r="A1708" s="33" t="str">
        <f>CONCATENATE(D1708,".",F1708,"-",G1708,".",H1708,"")</f>
        <v>2.6-4.1</v>
      </c>
      <c r="C1708" s="39" t="s">
        <v>262</v>
      </c>
      <c r="D1708" s="33">
        <f>IF(C1708="ID",1,(IF(C1708="PR",2,(IF(C1708="DE",3,(IF(C1708="RS",4,(IF(C1708="RC",5,0)))))))))</f>
        <v>2</v>
      </c>
      <c r="E1708" s="33" t="s">
        <v>345</v>
      </c>
      <c r="F1708" s="33">
        <f>IF(E1708="AM",1,(IF(E1708="BE",2,(IF(E1708="GV",3,(IF(E1708="RA",4,(IF(E1708="RM",5,(IF(E1708="AC",1,(IF(E1708="AT",2,(IF(E1708="DS",3,(IF(E1708="IP",4,(IF(E1708="MA",5,(IF(E1708="PT",6,(IF(E1708="AE",1,(IF(E1708="CM",2,(IF(E1708="DP",3,(IF(E1708="AN",1,(IF(E1708="CO",2,(IF(E1708="IM",3,(IF(E1708="MI",4,(IF(E1708="RP",5,(IF(E1708="SC",6,0)))))))))))))))))))))))))))))))))))))))</f>
        <v>6</v>
      </c>
      <c r="G1708" s="170">
        <v>4</v>
      </c>
      <c r="H1708" s="38" t="s">
        <v>511</v>
      </c>
      <c r="I1708" s="3" t="s">
        <v>1449</v>
      </c>
      <c r="J1708" s="157" t="s">
        <v>2049</v>
      </c>
      <c r="K1708" s="34" t="s">
        <v>2050</v>
      </c>
      <c r="L1708" s="5">
        <f>IF(O1708="","",N1708*O1708*M1708)</f>
        <v>99</v>
      </c>
      <c r="M1708" s="8">
        <v>1</v>
      </c>
      <c r="N1708" s="1">
        <v>1</v>
      </c>
      <c r="O1708" s="15">
        <f>IF(SUM(Q1708:AF1708)&lt;1,"",SUM(Q1708:AF1708)/COUNTIF(Q1708:AF1708,"&gt;0"))</f>
        <v>99</v>
      </c>
      <c r="P1708" s="16"/>
      <c r="Q1708" s="13"/>
      <c r="R1708" s="4"/>
      <c r="S1708" s="4"/>
      <c r="T1708" s="4">
        <v>99</v>
      </c>
      <c r="U1708" s="2"/>
      <c r="V1708" s="2"/>
      <c r="W1708" s="2"/>
      <c r="X1708" s="2"/>
      <c r="Y1708" s="4"/>
      <c r="Z1708" s="2"/>
      <c r="AA1708" s="2"/>
      <c r="AB1708" s="4"/>
      <c r="AC1708" s="4"/>
      <c r="AD1708" s="4"/>
      <c r="AE1708" s="4"/>
      <c r="AF1708" s="14"/>
    </row>
    <row r="1709" spans="1:32" x14ac:dyDescent="0.25">
      <c r="A1709" s="33" t="str">
        <f>CONCATENATE(D1709,".",F1709,"-",G1709,".",H1709,"")</f>
        <v>2.6-4.1</v>
      </c>
      <c r="C1709" s="39" t="s">
        <v>262</v>
      </c>
      <c r="D1709" s="33">
        <f>IF(C1709="ID",1,(IF(C1709="PR",2,(IF(C1709="DE",3,(IF(C1709="RS",4,(IF(C1709="RC",5,0)))))))))</f>
        <v>2</v>
      </c>
      <c r="E1709" s="33" t="s">
        <v>345</v>
      </c>
      <c r="F1709" s="33">
        <f>IF(E1709="AM",1,(IF(E1709="BE",2,(IF(E1709="GV",3,(IF(E1709="RA",4,(IF(E1709="RM",5,(IF(E1709="AC",1,(IF(E1709="AT",2,(IF(E1709="DS",3,(IF(E1709="IP",4,(IF(E1709="MA",5,(IF(E1709="PT",6,(IF(E1709="AE",1,(IF(E1709="CM",2,(IF(E1709="DP",3,(IF(E1709="AN",1,(IF(E1709="CO",2,(IF(E1709="IM",3,(IF(E1709="MI",4,(IF(E1709="RP",5,(IF(E1709="SC",6,0)))))))))))))))))))))))))))))))))))))))</f>
        <v>6</v>
      </c>
      <c r="G1709" s="170">
        <v>4</v>
      </c>
      <c r="H1709" s="38" t="s">
        <v>511</v>
      </c>
      <c r="I1709" s="3" t="s">
        <v>1449</v>
      </c>
      <c r="J1709" s="157" t="s">
        <v>2791</v>
      </c>
      <c r="K1709" s="34" t="s">
        <v>2792</v>
      </c>
      <c r="L1709" s="5">
        <f>IF(O1709="","",N1709*O1709*M1709)</f>
        <v>99</v>
      </c>
      <c r="M1709" s="8">
        <v>1</v>
      </c>
      <c r="N1709" s="1">
        <v>1</v>
      </c>
      <c r="O1709" s="15">
        <f>IF(SUM(Q1709:AF1709)&lt;1,"",SUM(Q1709:AF1709)/COUNTIF(Q1709:AF1709,"&gt;0"))</f>
        <v>99</v>
      </c>
      <c r="P1709" s="16"/>
      <c r="Q1709" s="13"/>
      <c r="R1709" s="4"/>
      <c r="S1709" s="4"/>
      <c r="T1709" s="4">
        <v>99</v>
      </c>
      <c r="U1709" s="2"/>
      <c r="V1709" s="2"/>
      <c r="W1709" s="2"/>
      <c r="X1709" s="2"/>
      <c r="Y1709" s="4"/>
      <c r="Z1709" s="2"/>
      <c r="AA1709" s="2"/>
      <c r="AB1709" s="4"/>
      <c r="AC1709" s="4"/>
      <c r="AD1709" s="4"/>
      <c r="AE1709" s="4"/>
      <c r="AF1709" s="14"/>
    </row>
    <row r="1710" spans="1:32" x14ac:dyDescent="0.25">
      <c r="A1710" s="33" t="str">
        <f>CONCATENATE(D1710,".",F1710,"-",G1710,".",H1710,"")</f>
        <v>2.6-4.1</v>
      </c>
      <c r="C1710" s="39" t="s">
        <v>262</v>
      </c>
      <c r="D1710" s="33">
        <f>IF(C1710="ID",1,(IF(C1710="PR",2,(IF(C1710="DE",3,(IF(C1710="RS",4,(IF(C1710="RC",5,0)))))))))</f>
        <v>2</v>
      </c>
      <c r="E1710" s="33" t="s">
        <v>345</v>
      </c>
      <c r="F1710" s="33">
        <f>IF(E1710="AM",1,(IF(E1710="BE",2,(IF(E1710="GV",3,(IF(E1710="RA",4,(IF(E1710="RM",5,(IF(E1710="AC",1,(IF(E1710="AT",2,(IF(E1710="DS",3,(IF(E1710="IP",4,(IF(E1710="MA",5,(IF(E1710="PT",6,(IF(E1710="AE",1,(IF(E1710="CM",2,(IF(E1710="DP",3,(IF(E1710="AN",1,(IF(E1710="CO",2,(IF(E1710="IM",3,(IF(E1710="MI",4,(IF(E1710="RP",5,(IF(E1710="SC",6,0)))))))))))))))))))))))))))))))))))))))</f>
        <v>6</v>
      </c>
      <c r="G1710" s="170">
        <v>4</v>
      </c>
      <c r="H1710" s="38" t="s">
        <v>511</v>
      </c>
      <c r="I1710" s="3" t="s">
        <v>1449</v>
      </c>
      <c r="J1710" s="157" t="s">
        <v>2921</v>
      </c>
      <c r="K1710" s="34" t="s">
        <v>2922</v>
      </c>
      <c r="L1710" s="5">
        <f>IF(O1710="","",N1710*O1710*M1710)</f>
        <v>99</v>
      </c>
      <c r="M1710" s="8">
        <v>1</v>
      </c>
      <c r="N1710" s="1">
        <v>1</v>
      </c>
      <c r="O1710" s="15">
        <f>IF(SUM(Q1710:AF1710)&lt;1,"",SUM(Q1710:AF1710)/COUNTIF(Q1710:AF1710,"&gt;0"))</f>
        <v>99</v>
      </c>
      <c r="P1710" s="16"/>
      <c r="Q1710" s="13"/>
      <c r="R1710" s="4"/>
      <c r="S1710" s="4"/>
      <c r="T1710" s="4">
        <v>99</v>
      </c>
      <c r="U1710" s="2"/>
      <c r="V1710" s="2"/>
      <c r="W1710" s="2"/>
      <c r="X1710" s="2"/>
      <c r="Y1710" s="4"/>
      <c r="Z1710" s="2"/>
      <c r="AA1710" s="2"/>
      <c r="AB1710" s="4"/>
      <c r="AC1710" s="4"/>
      <c r="AD1710" s="4"/>
      <c r="AE1710" s="4"/>
      <c r="AF1710" s="14"/>
    </row>
    <row r="1711" spans="1:32" x14ac:dyDescent="0.25">
      <c r="A1711" s="33" t="str">
        <f>CONCATENATE(D1711,".",F1711,"-",G1711,".",H1711,"")</f>
        <v>2.6-4.1</v>
      </c>
      <c r="C1711" s="39" t="s">
        <v>262</v>
      </c>
      <c r="D1711" s="33">
        <f>IF(C1711="ID",1,(IF(C1711="PR",2,(IF(C1711="DE",3,(IF(C1711="RS",4,(IF(C1711="RC",5,0)))))))))</f>
        <v>2</v>
      </c>
      <c r="E1711" s="33" t="s">
        <v>345</v>
      </c>
      <c r="F1711" s="33">
        <f>IF(E1711="AM",1,(IF(E1711="BE",2,(IF(E1711="GV",3,(IF(E1711="RA",4,(IF(E1711="RM",5,(IF(E1711="AC",1,(IF(E1711="AT",2,(IF(E1711="DS",3,(IF(E1711="IP",4,(IF(E1711="MA",5,(IF(E1711="PT",6,(IF(E1711="AE",1,(IF(E1711="CM",2,(IF(E1711="DP",3,(IF(E1711="AN",1,(IF(E1711="CO",2,(IF(E1711="IM",3,(IF(E1711="MI",4,(IF(E1711="RP",5,(IF(E1711="SC",6,0)))))))))))))))))))))))))))))))))))))))</f>
        <v>6</v>
      </c>
      <c r="G1711" s="170">
        <v>4</v>
      </c>
      <c r="H1711" s="38" t="s">
        <v>511</v>
      </c>
      <c r="I1711" s="3" t="s">
        <v>1449</v>
      </c>
      <c r="J1711" s="157" t="s">
        <v>2923</v>
      </c>
      <c r="K1711" s="34" t="s">
        <v>2924</v>
      </c>
      <c r="L1711" s="5">
        <f>IF(O1711="","",N1711*O1711*M1711)</f>
        <v>99</v>
      </c>
      <c r="M1711" s="8">
        <v>1</v>
      </c>
      <c r="N1711" s="1">
        <v>1</v>
      </c>
      <c r="O1711" s="15">
        <f>IF(SUM(Q1711:AF1711)&lt;1,"",SUM(Q1711:AF1711)/COUNTIF(Q1711:AF1711,"&gt;0"))</f>
        <v>99</v>
      </c>
      <c r="P1711" s="16"/>
      <c r="Q1711" s="13"/>
      <c r="R1711" s="4"/>
      <c r="S1711" s="4"/>
      <c r="T1711" s="4">
        <v>99</v>
      </c>
      <c r="U1711" s="2"/>
      <c r="V1711" s="2"/>
      <c r="W1711" s="2"/>
      <c r="X1711" s="2"/>
      <c r="Y1711" s="4"/>
      <c r="Z1711" s="2"/>
      <c r="AA1711" s="2"/>
      <c r="AB1711" s="4"/>
      <c r="AC1711" s="4"/>
      <c r="AD1711" s="4"/>
      <c r="AE1711" s="4"/>
      <c r="AF1711" s="14"/>
    </row>
    <row r="1712" spans="1:32" x14ac:dyDescent="0.25">
      <c r="A1712" s="33" t="str">
        <f>CONCATENATE(D1712,".",F1712,"-",G1712,".",H1712,"")</f>
        <v>2.6-4.1</v>
      </c>
      <c r="C1712" s="39" t="s">
        <v>262</v>
      </c>
      <c r="D1712" s="33">
        <f>IF(C1712="ID",1,(IF(C1712="PR",2,(IF(C1712="DE",3,(IF(C1712="RS",4,(IF(C1712="RC",5,0)))))))))</f>
        <v>2</v>
      </c>
      <c r="E1712" s="33" t="s">
        <v>345</v>
      </c>
      <c r="F1712" s="33">
        <f>IF(E1712="AM",1,(IF(E1712="BE",2,(IF(E1712="GV",3,(IF(E1712="RA",4,(IF(E1712="RM",5,(IF(E1712="AC",1,(IF(E1712="AT",2,(IF(E1712="DS",3,(IF(E1712="IP",4,(IF(E1712="MA",5,(IF(E1712="PT",6,(IF(E1712="AE",1,(IF(E1712="CM",2,(IF(E1712="DP",3,(IF(E1712="AN",1,(IF(E1712="CO",2,(IF(E1712="IM",3,(IF(E1712="MI",4,(IF(E1712="RP",5,(IF(E1712="SC",6,0)))))))))))))))))))))))))))))))))))))))</f>
        <v>6</v>
      </c>
      <c r="G1712" s="170">
        <v>4</v>
      </c>
      <c r="H1712" s="38" t="s">
        <v>511</v>
      </c>
      <c r="I1712" s="3" t="s">
        <v>1449</v>
      </c>
      <c r="J1712" s="157" t="s">
        <v>2945</v>
      </c>
      <c r="K1712" s="34" t="s">
        <v>2946</v>
      </c>
      <c r="L1712" s="5">
        <f>IF(O1712="","",N1712*O1712*M1712)</f>
        <v>99</v>
      </c>
      <c r="M1712" s="8">
        <v>1</v>
      </c>
      <c r="N1712" s="1">
        <v>1</v>
      </c>
      <c r="O1712" s="15">
        <f>IF(SUM(Q1712:AF1712)&lt;1,"",SUM(Q1712:AF1712)/COUNTIF(Q1712:AF1712,"&gt;0"))</f>
        <v>99</v>
      </c>
      <c r="P1712" s="16"/>
      <c r="Q1712" s="13"/>
      <c r="R1712" s="4"/>
      <c r="S1712" s="4"/>
      <c r="T1712" s="4">
        <v>99</v>
      </c>
      <c r="U1712" s="2"/>
      <c r="V1712" s="2"/>
      <c r="W1712" s="2"/>
      <c r="X1712" s="2"/>
      <c r="Y1712" s="4"/>
      <c r="Z1712" s="2"/>
      <c r="AA1712" s="2"/>
      <c r="AB1712" s="4"/>
      <c r="AC1712" s="4"/>
      <c r="AD1712" s="4"/>
      <c r="AE1712" s="4"/>
      <c r="AF1712" s="14"/>
    </row>
    <row r="1713" spans="1:32" x14ac:dyDescent="0.25">
      <c r="A1713" s="33" t="str">
        <f>CONCATENATE(D1713,".",F1713,"-",G1713,".",H1713,"")</f>
        <v>2.6-4.1</v>
      </c>
      <c r="C1713" s="39" t="s">
        <v>262</v>
      </c>
      <c r="D1713" s="33">
        <f>IF(C1713="ID",1,(IF(C1713="PR",2,(IF(C1713="DE",3,(IF(C1713="RS",4,(IF(C1713="RC",5,0)))))))))</f>
        <v>2</v>
      </c>
      <c r="E1713" s="33" t="s">
        <v>345</v>
      </c>
      <c r="F1713" s="33">
        <f>IF(E1713="AM",1,(IF(E1713="BE",2,(IF(E1713="GV",3,(IF(E1713="RA",4,(IF(E1713="RM",5,(IF(E1713="AC",1,(IF(E1713="AT",2,(IF(E1713="DS",3,(IF(E1713="IP",4,(IF(E1713="MA",5,(IF(E1713="PT",6,(IF(E1713="AE",1,(IF(E1713="CM",2,(IF(E1713="DP",3,(IF(E1713="AN",1,(IF(E1713="CO",2,(IF(E1713="IM",3,(IF(E1713="MI",4,(IF(E1713="RP",5,(IF(E1713="SC",6,0)))))))))))))))))))))))))))))))))))))))</f>
        <v>6</v>
      </c>
      <c r="G1713" s="170">
        <v>4</v>
      </c>
      <c r="H1713" s="38" t="s">
        <v>511</v>
      </c>
      <c r="I1713" s="3" t="s">
        <v>1449</v>
      </c>
      <c r="J1713" s="157" t="s">
        <v>2961</v>
      </c>
      <c r="K1713" s="34" t="s">
        <v>2962</v>
      </c>
      <c r="L1713" s="5">
        <f>IF(O1713="","",N1713*O1713*M1713)</f>
        <v>99</v>
      </c>
      <c r="M1713" s="8">
        <v>1</v>
      </c>
      <c r="N1713" s="1">
        <v>1</v>
      </c>
      <c r="O1713" s="15">
        <f>IF(SUM(Q1713:AF1713)&lt;1,"",SUM(Q1713:AF1713)/COUNTIF(Q1713:AF1713,"&gt;0"))</f>
        <v>99</v>
      </c>
      <c r="P1713" s="16"/>
      <c r="Q1713" s="13"/>
      <c r="R1713" s="4"/>
      <c r="S1713" s="4"/>
      <c r="T1713" s="4">
        <v>99</v>
      </c>
      <c r="U1713" s="2"/>
      <c r="V1713" s="2"/>
      <c r="W1713" s="2"/>
      <c r="X1713" s="2"/>
      <c r="Y1713" s="4"/>
      <c r="Z1713" s="2"/>
      <c r="AA1713" s="2"/>
      <c r="AB1713" s="4"/>
      <c r="AC1713" s="4"/>
      <c r="AD1713" s="4"/>
      <c r="AE1713" s="4"/>
      <c r="AF1713" s="14"/>
    </row>
    <row r="1714" spans="1:32" x14ac:dyDescent="0.25">
      <c r="A1714" s="33" t="str">
        <f>CONCATENATE(D1714,".",F1714,"-",G1714,".",H1714,"")</f>
        <v>2.6-4.9</v>
      </c>
      <c r="C1714" s="39" t="s">
        <v>262</v>
      </c>
      <c r="D1714" s="33">
        <f>IF(C1714="ID",1,(IF(C1714="PR",2,(IF(C1714="DE",3,(IF(C1714="RS",4,(IF(C1714="RC",5,0)))))))))</f>
        <v>2</v>
      </c>
      <c r="E1714" s="33" t="s">
        <v>345</v>
      </c>
      <c r="F1714" s="33">
        <f>IF(E1714="AM",1,(IF(E1714="BE",2,(IF(E1714="GV",3,(IF(E1714="RA",4,(IF(E1714="RM",5,(IF(E1714="AC",1,(IF(E1714="AT",2,(IF(E1714="DS",3,(IF(E1714="IP",4,(IF(E1714="MA",5,(IF(E1714="PT",6,(IF(E1714="AE",1,(IF(E1714="CM",2,(IF(E1714="DP",3,(IF(E1714="AN",1,(IF(E1714="CO",2,(IF(E1714="IM",3,(IF(E1714="MI",4,(IF(E1714="RP",5,(IF(E1714="SC",6,0)))))))))))))))))))))))))))))))))))))))</f>
        <v>6</v>
      </c>
      <c r="G1714" s="170">
        <v>4</v>
      </c>
      <c r="H1714" s="38" t="s">
        <v>596</v>
      </c>
      <c r="I1714" s="3" t="s">
        <v>1449</v>
      </c>
      <c r="J1714" s="157" t="s">
        <v>2785</v>
      </c>
      <c r="K1714" s="34" t="s">
        <v>2786</v>
      </c>
      <c r="L1714" s="5">
        <f>IF(O1714="","",N1714*O1714*M1714)</f>
        <v>99</v>
      </c>
      <c r="M1714" s="8">
        <v>1</v>
      </c>
      <c r="N1714" s="1">
        <v>1</v>
      </c>
      <c r="O1714" s="15">
        <f>IF(SUM(Q1714:AF1714)&lt;1,"",SUM(Q1714:AF1714)/COUNTIF(Q1714:AF1714,"&gt;0"))</f>
        <v>99</v>
      </c>
      <c r="P1714" s="16"/>
      <c r="Q1714" s="13"/>
      <c r="R1714" s="4"/>
      <c r="S1714" s="4"/>
      <c r="T1714" s="4">
        <v>99</v>
      </c>
      <c r="U1714" s="2"/>
      <c r="V1714" s="2"/>
      <c r="W1714" s="2"/>
      <c r="X1714" s="2"/>
      <c r="Y1714" s="4"/>
      <c r="Z1714" s="2"/>
      <c r="AA1714" s="2"/>
      <c r="AB1714" s="4"/>
      <c r="AC1714" s="4"/>
      <c r="AD1714" s="4"/>
      <c r="AE1714" s="4"/>
      <c r="AF1714" s="14"/>
    </row>
    <row r="1715" spans="1:32" x14ac:dyDescent="0.25">
      <c r="A1715" s="33" t="str">
        <f>CONCATENATE(D1715,".",F1715,"-",G1715,".",H1715,"")</f>
        <v>2.6-4.9</v>
      </c>
      <c r="C1715" s="39" t="s">
        <v>262</v>
      </c>
      <c r="D1715" s="33">
        <f>IF(C1715="ID",1,(IF(C1715="PR",2,(IF(C1715="DE",3,(IF(C1715="RS",4,(IF(C1715="RC",5,0)))))))))</f>
        <v>2</v>
      </c>
      <c r="E1715" s="33" t="s">
        <v>345</v>
      </c>
      <c r="F1715" s="33">
        <f>IF(E1715="AM",1,(IF(E1715="BE",2,(IF(E1715="GV",3,(IF(E1715="RA",4,(IF(E1715="RM",5,(IF(E1715="AC",1,(IF(E1715="AT",2,(IF(E1715="DS",3,(IF(E1715="IP",4,(IF(E1715="MA",5,(IF(E1715="PT",6,(IF(E1715="AE",1,(IF(E1715="CM",2,(IF(E1715="DP",3,(IF(E1715="AN",1,(IF(E1715="CO",2,(IF(E1715="IM",3,(IF(E1715="MI",4,(IF(E1715="RP",5,(IF(E1715="SC",6,0)))))))))))))))))))))))))))))))))))))))</f>
        <v>6</v>
      </c>
      <c r="G1715" s="170">
        <v>4</v>
      </c>
      <c r="H1715" s="38" t="s">
        <v>596</v>
      </c>
      <c r="I1715" s="3" t="s">
        <v>1449</v>
      </c>
      <c r="J1715" s="157" t="s">
        <v>2887</v>
      </c>
      <c r="K1715" s="34" t="s">
        <v>2888</v>
      </c>
      <c r="L1715" s="5">
        <f>IF(O1715="","",N1715*O1715*M1715)</f>
        <v>99</v>
      </c>
      <c r="M1715" s="8">
        <v>1</v>
      </c>
      <c r="N1715" s="1">
        <v>1</v>
      </c>
      <c r="O1715" s="15">
        <f>IF(SUM(Q1715:AF1715)&lt;1,"",SUM(Q1715:AF1715)/COUNTIF(Q1715:AF1715,"&gt;0"))</f>
        <v>99</v>
      </c>
      <c r="P1715" s="16"/>
      <c r="Q1715" s="13"/>
      <c r="R1715" s="4"/>
      <c r="S1715" s="4"/>
      <c r="T1715" s="4">
        <v>99</v>
      </c>
      <c r="U1715" s="2"/>
      <c r="V1715" s="2"/>
      <c r="W1715" s="2"/>
      <c r="X1715" s="2"/>
      <c r="Y1715" s="4"/>
      <c r="Z1715" s="2"/>
      <c r="AA1715" s="2"/>
      <c r="AB1715" s="4"/>
      <c r="AC1715" s="4"/>
      <c r="AD1715" s="4"/>
      <c r="AE1715" s="4"/>
      <c r="AF1715" s="14"/>
    </row>
    <row r="1716" spans="1:32" x14ac:dyDescent="0.25">
      <c r="A1716" s="33" t="str">
        <f>CONCATENATE(D1716,".",F1716,"-",G1716,".",H1716,"")</f>
        <v>2.6-4.9</v>
      </c>
      <c r="C1716" s="39" t="s">
        <v>262</v>
      </c>
      <c r="D1716" s="33">
        <f>IF(C1716="ID",1,(IF(C1716="PR",2,(IF(C1716="DE",3,(IF(C1716="RS",4,(IF(C1716="RC",5,0)))))))))</f>
        <v>2</v>
      </c>
      <c r="E1716" s="33" t="s">
        <v>345</v>
      </c>
      <c r="F1716" s="33">
        <f>IF(E1716="AM",1,(IF(E1716="BE",2,(IF(E1716="GV",3,(IF(E1716="RA",4,(IF(E1716="RM",5,(IF(E1716="AC",1,(IF(E1716="AT",2,(IF(E1716="DS",3,(IF(E1716="IP",4,(IF(E1716="MA",5,(IF(E1716="PT",6,(IF(E1716="AE",1,(IF(E1716="CM",2,(IF(E1716="DP",3,(IF(E1716="AN",1,(IF(E1716="CO",2,(IF(E1716="IM",3,(IF(E1716="MI",4,(IF(E1716="RP",5,(IF(E1716="SC",6,0)))))))))))))))))))))))))))))))))))))))</f>
        <v>6</v>
      </c>
      <c r="G1716" s="170">
        <v>4</v>
      </c>
      <c r="H1716" s="38" t="s">
        <v>596</v>
      </c>
      <c r="I1716" s="3" t="s">
        <v>1449</v>
      </c>
      <c r="J1716" s="157" t="s">
        <v>2889</v>
      </c>
      <c r="K1716" s="34" t="s">
        <v>2890</v>
      </c>
      <c r="L1716" s="5">
        <f>IF(O1716="","",N1716*O1716*M1716)</f>
        <v>99</v>
      </c>
      <c r="M1716" s="8">
        <v>1</v>
      </c>
      <c r="N1716" s="1">
        <v>1</v>
      </c>
      <c r="O1716" s="15">
        <f>IF(SUM(Q1716:AF1716)&lt;1,"",SUM(Q1716:AF1716)/COUNTIF(Q1716:AF1716,"&gt;0"))</f>
        <v>99</v>
      </c>
      <c r="P1716" s="16"/>
      <c r="Q1716" s="13"/>
      <c r="R1716" s="4"/>
      <c r="S1716" s="4"/>
      <c r="T1716" s="4">
        <v>99</v>
      </c>
      <c r="U1716" s="2"/>
      <c r="V1716" s="2"/>
      <c r="W1716" s="2"/>
      <c r="X1716" s="2"/>
      <c r="Y1716" s="4"/>
      <c r="Z1716" s="2"/>
      <c r="AA1716" s="2"/>
      <c r="AB1716" s="4"/>
      <c r="AC1716" s="4"/>
      <c r="AD1716" s="4"/>
      <c r="AE1716" s="4"/>
      <c r="AF1716" s="14"/>
    </row>
    <row r="1717" spans="1:32" x14ac:dyDescent="0.25">
      <c r="A1717" s="33" t="str">
        <f>CONCATENATE(D1717,".",F1717,"-",G1717,".",H1717,"")</f>
        <v>2.6-4.9</v>
      </c>
      <c r="C1717" s="39" t="s">
        <v>262</v>
      </c>
      <c r="D1717" s="33">
        <f>IF(C1717="ID",1,(IF(C1717="PR",2,(IF(C1717="DE",3,(IF(C1717="RS",4,(IF(C1717="RC",5,0)))))))))</f>
        <v>2</v>
      </c>
      <c r="E1717" s="33" t="s">
        <v>345</v>
      </c>
      <c r="F1717" s="33">
        <f>IF(E1717="AM",1,(IF(E1717="BE",2,(IF(E1717="GV",3,(IF(E1717="RA",4,(IF(E1717="RM",5,(IF(E1717="AC",1,(IF(E1717="AT",2,(IF(E1717="DS",3,(IF(E1717="IP",4,(IF(E1717="MA",5,(IF(E1717="PT",6,(IF(E1717="AE",1,(IF(E1717="CM",2,(IF(E1717="DP",3,(IF(E1717="AN",1,(IF(E1717="CO",2,(IF(E1717="IM",3,(IF(E1717="MI",4,(IF(E1717="RP",5,(IF(E1717="SC",6,0)))))))))))))))))))))))))))))))))))))))</f>
        <v>6</v>
      </c>
      <c r="G1717" s="170">
        <v>4</v>
      </c>
      <c r="H1717" s="38" t="s">
        <v>596</v>
      </c>
      <c r="I1717" s="3" t="s">
        <v>1449</v>
      </c>
      <c r="J1717" s="157" t="s">
        <v>2891</v>
      </c>
      <c r="K1717" s="34" t="s">
        <v>2892</v>
      </c>
      <c r="L1717" s="5">
        <f>IF(O1717="","",N1717*O1717*M1717)</f>
        <v>99</v>
      </c>
      <c r="M1717" s="8">
        <v>1</v>
      </c>
      <c r="N1717" s="1">
        <v>1</v>
      </c>
      <c r="O1717" s="15">
        <f>IF(SUM(Q1717:AF1717)&lt;1,"",SUM(Q1717:AF1717)/COUNTIF(Q1717:AF1717,"&gt;0"))</f>
        <v>99</v>
      </c>
      <c r="P1717" s="16"/>
      <c r="Q1717" s="13"/>
      <c r="R1717" s="4"/>
      <c r="S1717" s="4"/>
      <c r="T1717" s="4">
        <v>99</v>
      </c>
      <c r="U1717" s="2"/>
      <c r="V1717" s="2"/>
      <c r="W1717" s="2"/>
      <c r="X1717" s="2"/>
      <c r="Y1717" s="4"/>
      <c r="Z1717" s="2"/>
      <c r="AA1717" s="2"/>
      <c r="AB1717" s="4"/>
      <c r="AC1717" s="4"/>
      <c r="AD1717" s="4"/>
      <c r="AE1717" s="4"/>
      <c r="AF1717" s="14"/>
    </row>
    <row r="1718" spans="1:32" x14ac:dyDescent="0.25">
      <c r="A1718" s="33" t="str">
        <f>CONCATENATE(D1718,".",F1718,"-",G1718,".",H1718,"")</f>
        <v>2.6-4.9</v>
      </c>
      <c r="C1718" s="39" t="s">
        <v>262</v>
      </c>
      <c r="D1718" s="33">
        <f>IF(C1718="ID",1,(IF(C1718="PR",2,(IF(C1718="DE",3,(IF(C1718="RS",4,(IF(C1718="RC",5,0)))))))))</f>
        <v>2</v>
      </c>
      <c r="E1718" s="33" t="s">
        <v>345</v>
      </c>
      <c r="F1718" s="33">
        <f>IF(E1718="AM",1,(IF(E1718="BE",2,(IF(E1718="GV",3,(IF(E1718="RA",4,(IF(E1718="RM",5,(IF(E1718="AC",1,(IF(E1718="AT",2,(IF(E1718="DS",3,(IF(E1718="IP",4,(IF(E1718="MA",5,(IF(E1718="PT",6,(IF(E1718="AE",1,(IF(E1718="CM",2,(IF(E1718="DP",3,(IF(E1718="AN",1,(IF(E1718="CO",2,(IF(E1718="IM",3,(IF(E1718="MI",4,(IF(E1718="RP",5,(IF(E1718="SC",6,0)))))))))))))))))))))))))))))))))))))))</f>
        <v>6</v>
      </c>
      <c r="G1718" s="170">
        <v>4</v>
      </c>
      <c r="H1718" s="38" t="s">
        <v>596</v>
      </c>
      <c r="I1718" s="3" t="s">
        <v>1449</v>
      </c>
      <c r="J1718" s="157" t="s">
        <v>2893</v>
      </c>
      <c r="K1718" s="34" t="s">
        <v>2894</v>
      </c>
      <c r="L1718" s="5">
        <f>IF(O1718="","",N1718*O1718*M1718)</f>
        <v>99</v>
      </c>
      <c r="M1718" s="8">
        <v>1</v>
      </c>
      <c r="N1718" s="1">
        <v>1</v>
      </c>
      <c r="O1718" s="15">
        <f>IF(SUM(Q1718:AF1718)&lt;1,"",SUM(Q1718:AF1718)/COUNTIF(Q1718:AF1718,"&gt;0"))</f>
        <v>99</v>
      </c>
      <c r="P1718" s="16"/>
      <c r="Q1718" s="13"/>
      <c r="R1718" s="4"/>
      <c r="S1718" s="4"/>
      <c r="T1718" s="4">
        <v>99</v>
      </c>
      <c r="U1718" s="2"/>
      <c r="V1718" s="2"/>
      <c r="W1718" s="2"/>
      <c r="X1718" s="2"/>
      <c r="Y1718" s="4"/>
      <c r="Z1718" s="2"/>
      <c r="AA1718" s="2"/>
      <c r="AB1718" s="4"/>
      <c r="AC1718" s="4"/>
      <c r="AD1718" s="4"/>
      <c r="AE1718" s="4"/>
      <c r="AF1718" s="14"/>
    </row>
    <row r="1719" spans="1:32" x14ac:dyDescent="0.25">
      <c r="A1719" s="33" t="str">
        <f>CONCATENATE(D1719,".",F1719,"-",G1719,".",H1719,"")</f>
        <v>2.6-4.9</v>
      </c>
      <c r="C1719" s="39" t="s">
        <v>262</v>
      </c>
      <c r="D1719" s="33">
        <f>IF(C1719="ID",1,(IF(C1719="PR",2,(IF(C1719="DE",3,(IF(C1719="RS",4,(IF(C1719="RC",5,0)))))))))</f>
        <v>2</v>
      </c>
      <c r="E1719" s="33" t="s">
        <v>345</v>
      </c>
      <c r="F1719" s="33">
        <f>IF(E1719="AM",1,(IF(E1719="BE",2,(IF(E1719="GV",3,(IF(E1719="RA",4,(IF(E1719="RM",5,(IF(E1719="AC",1,(IF(E1719="AT",2,(IF(E1719="DS",3,(IF(E1719="IP",4,(IF(E1719="MA",5,(IF(E1719="PT",6,(IF(E1719="AE",1,(IF(E1719="CM",2,(IF(E1719="DP",3,(IF(E1719="AN",1,(IF(E1719="CO",2,(IF(E1719="IM",3,(IF(E1719="MI",4,(IF(E1719="RP",5,(IF(E1719="SC",6,0)))))))))))))))))))))))))))))))))))))))</f>
        <v>6</v>
      </c>
      <c r="G1719" s="170">
        <v>4</v>
      </c>
      <c r="H1719" s="38" t="s">
        <v>596</v>
      </c>
      <c r="I1719" s="3" t="s">
        <v>1449</v>
      </c>
      <c r="J1719" s="157" t="s">
        <v>2895</v>
      </c>
      <c r="K1719" s="34" t="s">
        <v>2896</v>
      </c>
      <c r="L1719" s="5">
        <f>IF(O1719="","",N1719*O1719*M1719)</f>
        <v>99</v>
      </c>
      <c r="M1719" s="8">
        <v>1</v>
      </c>
      <c r="N1719" s="1">
        <v>1</v>
      </c>
      <c r="O1719" s="15">
        <f>IF(SUM(Q1719:AF1719)&lt;1,"",SUM(Q1719:AF1719)/COUNTIF(Q1719:AF1719,"&gt;0"))</f>
        <v>99</v>
      </c>
      <c r="P1719" s="16"/>
      <c r="Q1719" s="13"/>
      <c r="R1719" s="4"/>
      <c r="S1719" s="4"/>
      <c r="T1719" s="4">
        <v>99</v>
      </c>
      <c r="U1719" s="2"/>
      <c r="V1719" s="2"/>
      <c r="W1719" s="2"/>
      <c r="X1719" s="2"/>
      <c r="Y1719" s="4"/>
      <c r="Z1719" s="2"/>
      <c r="AA1719" s="2"/>
      <c r="AB1719" s="4"/>
      <c r="AC1719" s="4"/>
      <c r="AD1719" s="4"/>
      <c r="AE1719" s="4"/>
      <c r="AF1719" s="14"/>
    </row>
    <row r="1720" spans="1:32" x14ac:dyDescent="0.25">
      <c r="A1720" s="33" t="str">
        <f>CONCATENATE(D1720,".",F1720,"-",G1720,".",H1720,"")</f>
        <v>2.6-4.9</v>
      </c>
      <c r="C1720" s="39" t="s">
        <v>262</v>
      </c>
      <c r="D1720" s="33">
        <f>IF(C1720="ID",1,(IF(C1720="PR",2,(IF(C1720="DE",3,(IF(C1720="RS",4,(IF(C1720="RC",5,0)))))))))</f>
        <v>2</v>
      </c>
      <c r="E1720" s="33" t="s">
        <v>345</v>
      </c>
      <c r="F1720" s="33">
        <f>IF(E1720="AM",1,(IF(E1720="BE",2,(IF(E1720="GV",3,(IF(E1720="RA",4,(IF(E1720="RM",5,(IF(E1720="AC",1,(IF(E1720="AT",2,(IF(E1720="DS",3,(IF(E1720="IP",4,(IF(E1720="MA",5,(IF(E1720="PT",6,(IF(E1720="AE",1,(IF(E1720="CM",2,(IF(E1720="DP",3,(IF(E1720="AN",1,(IF(E1720="CO",2,(IF(E1720="IM",3,(IF(E1720="MI",4,(IF(E1720="RP",5,(IF(E1720="SC",6,0)))))))))))))))))))))))))))))))))))))))</f>
        <v>6</v>
      </c>
      <c r="G1720" s="170">
        <v>4</v>
      </c>
      <c r="H1720" s="38" t="s">
        <v>596</v>
      </c>
      <c r="I1720" s="3" t="s">
        <v>1449</v>
      </c>
      <c r="J1720" s="157" t="s">
        <v>2899</v>
      </c>
      <c r="K1720" s="34" t="s">
        <v>2900</v>
      </c>
      <c r="L1720" s="5">
        <f>IF(O1720="","",N1720*O1720*M1720)</f>
        <v>99</v>
      </c>
      <c r="M1720" s="8">
        <v>1</v>
      </c>
      <c r="N1720" s="1">
        <v>1</v>
      </c>
      <c r="O1720" s="15">
        <f>IF(SUM(Q1720:AF1720)&lt;1,"",SUM(Q1720:AF1720)/COUNTIF(Q1720:AF1720,"&gt;0"))</f>
        <v>99</v>
      </c>
      <c r="P1720" s="16"/>
      <c r="Q1720" s="13"/>
      <c r="R1720" s="4"/>
      <c r="S1720" s="4"/>
      <c r="T1720" s="4">
        <v>99</v>
      </c>
      <c r="U1720" s="2"/>
      <c r="V1720" s="2"/>
      <c r="W1720" s="2"/>
      <c r="X1720" s="2"/>
      <c r="Y1720" s="4"/>
      <c r="Z1720" s="2"/>
      <c r="AA1720" s="2"/>
      <c r="AB1720" s="4"/>
      <c r="AC1720" s="4"/>
      <c r="AD1720" s="4"/>
      <c r="AE1720" s="4"/>
      <c r="AF1720" s="14"/>
    </row>
    <row r="1721" spans="1:32" x14ac:dyDescent="0.25">
      <c r="A1721" s="33" t="str">
        <f>CONCATENATE(D1721,".",F1721,"-",G1721,".",H1721,"")</f>
        <v>2.6-5.0</v>
      </c>
      <c r="B1721" s="33" t="s">
        <v>814</v>
      </c>
      <c r="C1721" s="40" t="s">
        <v>262</v>
      </c>
      <c r="D1721" s="33">
        <f>IF(C1721="ID",1,(IF(C1721="PR",2,(IF(C1721="DE",3,(IF(C1721="RS",4,(IF(C1721="RC",5,0)))))))))</f>
        <v>2</v>
      </c>
      <c r="E1721" s="33" t="s">
        <v>345</v>
      </c>
      <c r="F1721" s="33">
        <f>IF(E1721="AM",1,(IF(E1721="BE",2,(IF(E1721="GV",3,(IF(E1721="RA",4,(IF(E1721="RM",5,(IF(E1721="AC",1,(IF(E1721="AT",2,(IF(E1721="DS",3,(IF(E1721="IP",4,(IF(E1721="MA",5,(IF(E1721="PT",6,(IF(E1721="AE",1,(IF(E1721="CM",2,(IF(E1721="DP",3,(IF(E1721="AN",1,(IF(E1721="CO",2,(IF(E1721="IM",3,(IF(E1721="MI",4,(IF(E1721="RP",5,(IF(E1721="SC",6,0)))))))))))))))))))))))))))))))))))))))</f>
        <v>6</v>
      </c>
      <c r="G1721" s="170">
        <v>5</v>
      </c>
      <c r="H1721" s="38" t="s">
        <v>597</v>
      </c>
      <c r="I1721" s="22" t="s">
        <v>1200</v>
      </c>
      <c r="J1721" s="157" t="s">
        <v>1196</v>
      </c>
      <c r="K1721" s="98" t="s">
        <v>1197</v>
      </c>
      <c r="L1721" s="5">
        <f>IF(O1721="","",N1721*O1721*M1721)</f>
        <v>75</v>
      </c>
      <c r="M1721" s="8">
        <v>1</v>
      </c>
      <c r="N1721" s="1">
        <v>1</v>
      </c>
      <c r="O1721" s="15">
        <f>IF(SUM(Q1721:AF1721)&lt;1,"",SUM(Q1721:AF1721)/COUNTIF(Q1721:AF1721,"&gt;0"))</f>
        <v>75</v>
      </c>
      <c r="P1721" s="16"/>
      <c r="Q1721" s="13"/>
      <c r="R1721" s="4"/>
      <c r="S1721" s="4"/>
      <c r="T1721" s="4">
        <v>75</v>
      </c>
      <c r="U1721" s="2"/>
      <c r="V1721" s="2"/>
      <c r="W1721" s="2"/>
      <c r="X1721" s="2"/>
      <c r="Y1721" s="4"/>
      <c r="Z1721" s="2"/>
      <c r="AA1721" s="2"/>
      <c r="AB1721" s="4"/>
      <c r="AC1721" s="4"/>
      <c r="AD1721" s="4"/>
      <c r="AE1721" s="4"/>
      <c r="AF1721" s="14"/>
    </row>
    <row r="1722" spans="1:32" x14ac:dyDescent="0.25">
      <c r="A1722" s="33" t="str">
        <f>CONCATENATE(D1722,".",F1722,"-",G1722,".",H1722,"")</f>
        <v>2.6-5.1</v>
      </c>
      <c r="B1722" s="33" t="s">
        <v>814</v>
      </c>
      <c r="C1722" s="40" t="s">
        <v>262</v>
      </c>
      <c r="D1722" s="33">
        <f>IF(C1722="ID",1,(IF(C1722="PR",2,(IF(C1722="DE",3,(IF(C1722="RS",4,(IF(C1722="RC",5,0)))))))))</f>
        <v>2</v>
      </c>
      <c r="E1722" s="33" t="s">
        <v>345</v>
      </c>
      <c r="F1722" s="33">
        <f>IF(E1722="AM",1,(IF(E1722="BE",2,(IF(E1722="GV",3,(IF(E1722="RA",4,(IF(E1722="RM",5,(IF(E1722="AC",1,(IF(E1722="AT",2,(IF(E1722="DS",3,(IF(E1722="IP",4,(IF(E1722="MA",5,(IF(E1722="PT",6,(IF(E1722="AE",1,(IF(E1722="CM",2,(IF(E1722="DP",3,(IF(E1722="AN",1,(IF(E1722="CO",2,(IF(E1722="IM",3,(IF(E1722="MI",4,(IF(E1722="RP",5,(IF(E1722="SC",6,0)))))))))))))))))))))))))))))))))))))))</f>
        <v>6</v>
      </c>
      <c r="G1722" s="171">
        <v>5</v>
      </c>
      <c r="H1722" s="38" t="s">
        <v>511</v>
      </c>
      <c r="I1722" s="22" t="s">
        <v>936</v>
      </c>
      <c r="J1722" s="163" t="s">
        <v>877</v>
      </c>
      <c r="K1722" s="34" t="s">
        <v>989</v>
      </c>
      <c r="L1722" s="66">
        <f>IF(O1722="","",N1722*O1722*M1722)</f>
        <v>75</v>
      </c>
      <c r="M1722" s="8">
        <v>1</v>
      </c>
      <c r="N1722" s="3">
        <v>1</v>
      </c>
      <c r="O1722" s="15">
        <f>IF(SUM(Q1722:AF1722)&lt;1,"",SUM(Q1722:AF1722)/COUNTIF(Q1722:AF1722,"&gt;0"))</f>
        <v>75</v>
      </c>
      <c r="P1722" s="16"/>
      <c r="Q1722" s="13"/>
      <c r="R1722" s="4"/>
      <c r="S1722" s="4"/>
      <c r="T1722" s="4">
        <v>75</v>
      </c>
      <c r="U1722" s="2"/>
      <c r="V1722" s="2"/>
      <c r="W1722" s="2"/>
      <c r="X1722" s="2"/>
      <c r="Y1722" s="4"/>
      <c r="Z1722" s="2"/>
      <c r="AA1722" s="2"/>
      <c r="AB1722" s="4"/>
      <c r="AC1722" s="4"/>
      <c r="AD1722" s="4"/>
      <c r="AE1722" s="4"/>
      <c r="AF1722" s="14"/>
    </row>
    <row r="1723" spans="1:32" x14ac:dyDescent="0.25">
      <c r="A1723" s="33" t="str">
        <f>CONCATENATE(D1723,".",F1723,"-",G1723,".",H1723,"")</f>
        <v>2.6-5.1</v>
      </c>
      <c r="B1723" s="33" t="s">
        <v>1232</v>
      </c>
      <c r="C1723" s="40" t="s">
        <v>262</v>
      </c>
      <c r="D1723" s="33">
        <f>IF(C1723="ID",1,(IF(C1723="PR",2,(IF(C1723="DE",3,(IF(C1723="RS",4,(IF(C1723="RC",5,0)))))))))</f>
        <v>2</v>
      </c>
      <c r="E1723" s="33" t="s">
        <v>345</v>
      </c>
      <c r="F1723" s="33">
        <f>IF(E1723="AM",1,(IF(E1723="BE",2,(IF(E1723="GV",3,(IF(E1723="RA",4,(IF(E1723="RM",5,(IF(E1723="AC",1,(IF(E1723="AT",2,(IF(E1723="DS",3,(IF(E1723="IP",4,(IF(E1723="MA",5,(IF(E1723="PT",6,(IF(E1723="AE",1,(IF(E1723="CM",2,(IF(E1723="DP",3,(IF(E1723="AN",1,(IF(E1723="CO",2,(IF(E1723="IM",3,(IF(E1723="MI",4,(IF(E1723="RP",5,(IF(E1723="SC",6,0)))))))))))))))))))))))))))))))))))))))</f>
        <v>6</v>
      </c>
      <c r="G1723" s="170">
        <v>5</v>
      </c>
      <c r="H1723" s="38" t="s">
        <v>511</v>
      </c>
      <c r="I1723" s="3" t="s">
        <v>821</v>
      </c>
      <c r="J1723" s="150" t="s">
        <v>855</v>
      </c>
      <c r="K1723" s="79" t="s">
        <v>1283</v>
      </c>
      <c r="L1723" s="66">
        <f>IF(O1723="","",N1723*O1723*M1723)</f>
        <v>75</v>
      </c>
      <c r="M1723" s="8">
        <v>1</v>
      </c>
      <c r="N1723" s="3">
        <v>1</v>
      </c>
      <c r="O1723" s="15">
        <f>IF(SUM(Q1723:AF1723)&lt;1,"",SUM(Q1723:AF1723)/COUNTIF(Q1723:AF1723,"&gt;0"))</f>
        <v>75</v>
      </c>
      <c r="P1723" s="16"/>
      <c r="Q1723" s="13"/>
      <c r="R1723" s="4"/>
      <c r="S1723" s="4"/>
      <c r="T1723" s="4">
        <v>75</v>
      </c>
      <c r="U1723" s="2"/>
      <c r="V1723" s="2"/>
      <c r="W1723" s="2"/>
      <c r="X1723" s="2"/>
      <c r="Y1723" s="4"/>
      <c r="Z1723" s="2"/>
      <c r="AA1723" s="2"/>
      <c r="AB1723" s="4"/>
      <c r="AC1723" s="4"/>
      <c r="AD1723" s="4"/>
      <c r="AE1723" s="4"/>
      <c r="AF1723" s="14"/>
    </row>
    <row r="1724" spans="1:32" x14ac:dyDescent="0.25">
      <c r="A1724" s="33" t="str">
        <f>CONCATENATE(D1724,".",F1724,"-",G1724,".",H1724,"")</f>
        <v>2.6-5.1</v>
      </c>
      <c r="B1724" s="33" t="s">
        <v>814</v>
      </c>
      <c r="C1724" s="40" t="s">
        <v>262</v>
      </c>
      <c r="D1724" s="33">
        <f>IF(C1724="ID",1,(IF(C1724="PR",2,(IF(C1724="DE",3,(IF(C1724="RS",4,(IF(C1724="RC",5,0)))))))))</f>
        <v>2</v>
      </c>
      <c r="E1724" s="37" t="s">
        <v>345</v>
      </c>
      <c r="F1724" s="33">
        <f>IF(E1724="AM",1,(IF(E1724="BE",2,(IF(E1724="GV",3,(IF(E1724="RA",4,(IF(E1724="RM",5,(IF(E1724="AC",1,(IF(E1724="AT",2,(IF(E1724="DS",3,(IF(E1724="IP",4,(IF(E1724="MA",5,(IF(E1724="PT",6,(IF(E1724="AE",1,(IF(E1724="CM",2,(IF(E1724="DP",3,(IF(E1724="AN",1,(IF(E1724="CO",2,(IF(E1724="IM",3,(IF(E1724="MI",4,(IF(E1724="RP",5,(IF(E1724="SC",6,0)))))))))))))))))))))))))))))))))))))))</f>
        <v>6</v>
      </c>
      <c r="G1724" s="170">
        <v>5</v>
      </c>
      <c r="H1724" s="38" t="s">
        <v>511</v>
      </c>
      <c r="I1724" s="79" t="s">
        <v>1176</v>
      </c>
      <c r="J1724" s="162">
        <v>9.5</v>
      </c>
      <c r="K1724" s="80" t="s">
        <v>1085</v>
      </c>
      <c r="L1724" s="66">
        <f>IF(O1724="","",N1724*O1724*M1724)</f>
        <v>75</v>
      </c>
      <c r="M1724" s="8">
        <v>1</v>
      </c>
      <c r="N1724" s="3">
        <v>1</v>
      </c>
      <c r="O1724" s="15">
        <f>IF(SUM(Q1724:AF1724)&lt;1,"",SUM(Q1724:AF1724)/COUNTIF(Q1724:AF1724,"&gt;0"))</f>
        <v>75</v>
      </c>
      <c r="P1724" s="16"/>
      <c r="Q1724" s="13"/>
      <c r="R1724" s="4"/>
      <c r="S1724" s="4"/>
      <c r="T1724" s="4">
        <v>75</v>
      </c>
      <c r="U1724" s="2"/>
      <c r="V1724" s="2"/>
      <c r="W1724" s="2"/>
      <c r="X1724" s="2"/>
      <c r="Y1724" s="4"/>
      <c r="Z1724" s="2"/>
      <c r="AA1724" s="2"/>
      <c r="AB1724" s="4"/>
      <c r="AC1724" s="4"/>
      <c r="AD1724" s="4"/>
      <c r="AE1724" s="4"/>
      <c r="AF1724" s="14"/>
    </row>
    <row r="1725" spans="1:32" x14ac:dyDescent="0.25">
      <c r="A1725" s="33" t="str">
        <f>CONCATENATE(D1725,".",F1725,"-",G1725,".",H1725,"")</f>
        <v>2.6-5.1</v>
      </c>
      <c r="B1725" s="33" t="s">
        <v>814</v>
      </c>
      <c r="C1725" s="39" t="s">
        <v>262</v>
      </c>
      <c r="D1725" s="33">
        <f>IF(C1725="ID",1,(IF(C1725="PR",2,(IF(C1725="DE",3,(IF(C1725="RS",4,(IF(C1725="RC",5,0)))))))))</f>
        <v>2</v>
      </c>
      <c r="E1725" s="33" t="s">
        <v>345</v>
      </c>
      <c r="F1725" s="33">
        <f>IF(E1725="AM",1,(IF(E1725="BE",2,(IF(E1725="GV",3,(IF(E1725="RA",4,(IF(E1725="RM",5,(IF(E1725="AC",1,(IF(E1725="AT",2,(IF(E1725="DS",3,(IF(E1725="IP",4,(IF(E1725="MA",5,(IF(E1725="PT",6,(IF(E1725="AE",1,(IF(E1725="CM",2,(IF(E1725="DP",3,(IF(E1725="AN",1,(IF(E1725="CO",2,(IF(E1725="IM",3,(IF(E1725="MI",4,(IF(E1725="RP",5,(IF(E1725="SC",6,0)))))))))))))))))))))))))))))))))))))))</f>
        <v>6</v>
      </c>
      <c r="G1725" s="170">
        <v>5</v>
      </c>
      <c r="H1725" s="38" t="s">
        <v>511</v>
      </c>
      <c r="I1725" s="3" t="s">
        <v>1449</v>
      </c>
      <c r="J1725" s="157" t="s">
        <v>1779</v>
      </c>
      <c r="K1725" s="34" t="s">
        <v>1780</v>
      </c>
      <c r="L1725" s="5">
        <f>IF(O1725="","",N1725*O1725*M1725)</f>
        <v>99</v>
      </c>
      <c r="M1725" s="8">
        <v>1</v>
      </c>
      <c r="N1725" s="1">
        <v>1</v>
      </c>
      <c r="O1725" s="15">
        <f>IF(SUM(Q1725:AF1725)&lt;1,"",SUM(Q1725:AF1725)/COUNTIF(Q1725:AF1725,"&gt;0"))</f>
        <v>99</v>
      </c>
      <c r="P1725" s="16"/>
      <c r="Q1725" s="13"/>
      <c r="R1725" s="4"/>
      <c r="S1725" s="4"/>
      <c r="T1725" s="4">
        <v>99</v>
      </c>
      <c r="U1725" s="2"/>
      <c r="V1725" s="2"/>
      <c r="W1725" s="2"/>
      <c r="X1725" s="2"/>
      <c r="Y1725" s="4"/>
      <c r="Z1725" s="2"/>
      <c r="AA1725" s="2"/>
      <c r="AB1725" s="4"/>
      <c r="AC1725" s="4"/>
      <c r="AD1725" s="4"/>
      <c r="AE1725" s="4"/>
      <c r="AF1725" s="14"/>
    </row>
    <row r="1726" spans="1:32" x14ac:dyDescent="0.25">
      <c r="A1726" s="33" t="str">
        <f>CONCATENATE(D1726,".",F1726,"-",G1726,".",H1726,"")</f>
        <v>3.1-0.0</v>
      </c>
      <c r="B1726" s="33" t="s">
        <v>1229</v>
      </c>
      <c r="C1726" s="40" t="s">
        <v>336</v>
      </c>
      <c r="D1726" s="33">
        <f>IF(C1726="ID",1,(IF(C1726="PR",2,(IF(C1726="DE",3,(IF(C1726="RS",4,(IF(C1726="RC",5,0)))))))))</f>
        <v>3</v>
      </c>
      <c r="E1726" s="33" t="s">
        <v>346</v>
      </c>
      <c r="F1726" s="33">
        <f>IF(E1726="AM",1,(IF(E1726="BE",2,(IF(E1726="GV",3,(IF(E1726="RA",4,(IF(E1726="RM",5,(IF(E1726="AC",1,(IF(E1726="AT",2,(IF(E1726="DS",3,(IF(E1726="IP",4,(IF(E1726="MA",5,(IF(E1726="PT",6,(IF(E1726="AE",1,(IF(E1726="CM",2,(IF(E1726="DP",3,(IF(E1726="AN",1,(IF(E1726="CO",2,(IF(E1726="IM",3,(IF(E1726="MI",4,(IF(E1726="RP",5,(IF(E1726="SC",6,0)))))))))))))))))))))))))))))))))))))))</f>
        <v>1</v>
      </c>
      <c r="G1726" s="170">
        <v>0</v>
      </c>
      <c r="H1726" s="38" t="s">
        <v>597</v>
      </c>
      <c r="I1726" s="22" t="s">
        <v>1200</v>
      </c>
      <c r="J1726" s="153" t="s">
        <v>624</v>
      </c>
      <c r="K1726" s="99" t="s">
        <v>738</v>
      </c>
      <c r="L1726" s="66" t="str">
        <f>IF(O1726="","",N1726*O1726*M1726)</f>
        <v/>
      </c>
      <c r="M1726" s="8">
        <v>1</v>
      </c>
      <c r="N1726" s="1">
        <v>1</v>
      </c>
      <c r="O1726" s="15" t="str">
        <f>IF(SUM(Q1726:AF1726)&lt;1,"",SUM(Q1726:AF1726)/COUNTIF(Q1726:AF1726,"&gt;0"))</f>
        <v/>
      </c>
      <c r="P1726" s="16"/>
      <c r="Q1726" s="13"/>
      <c r="R1726" s="4"/>
      <c r="S1726" s="4"/>
      <c r="T1726" s="2"/>
      <c r="U1726" s="2"/>
      <c r="V1726" s="2"/>
      <c r="W1726" s="2"/>
      <c r="X1726" s="2"/>
      <c r="Y1726" s="4"/>
      <c r="Z1726" s="2"/>
      <c r="AA1726" s="2"/>
      <c r="AB1726" s="4"/>
      <c r="AC1726" s="4"/>
      <c r="AD1726" s="4"/>
      <c r="AE1726" s="4"/>
      <c r="AF1726" s="14"/>
    </row>
    <row r="1727" spans="1:32" x14ac:dyDescent="0.25">
      <c r="A1727" s="33" t="str">
        <f>CONCATENATE(D1727,".",F1727,"-",G1727,".",H1727,"")</f>
        <v>3.1-0.1</v>
      </c>
      <c r="B1727" s="33" t="s">
        <v>1229</v>
      </c>
      <c r="C1727" s="40" t="s">
        <v>336</v>
      </c>
      <c r="D1727" s="33">
        <f>IF(C1727="ID",1,(IF(C1727="PR",2,(IF(C1727="DE",3,(IF(C1727="RS",4,(IF(C1727="RC",5,0)))))))))</f>
        <v>3</v>
      </c>
      <c r="E1727" s="33" t="s">
        <v>346</v>
      </c>
      <c r="F1727" s="33">
        <f>IF(E1727="AM",1,(IF(E1727="BE",2,(IF(E1727="GV",3,(IF(E1727="RA",4,(IF(E1727="RM",5,(IF(E1727="AC",1,(IF(E1727="AT",2,(IF(E1727="DS",3,(IF(E1727="IP",4,(IF(E1727="MA",5,(IF(E1727="PT",6,(IF(E1727="AE",1,(IF(E1727="CM",2,(IF(E1727="DP",3,(IF(E1727="AN",1,(IF(E1727="CO",2,(IF(E1727="IM",3,(IF(E1727="MI",4,(IF(E1727="RP",5,(IF(E1727="SC",6,0)))))))))))))))))))))))))))))))))))))))</f>
        <v>1</v>
      </c>
      <c r="G1727" s="170">
        <v>0</v>
      </c>
      <c r="H1727" s="38" t="s">
        <v>511</v>
      </c>
      <c r="I1727" s="22" t="s">
        <v>1200</v>
      </c>
      <c r="J1727" s="153" t="s">
        <v>624</v>
      </c>
      <c r="K1727" s="99" t="s">
        <v>755</v>
      </c>
      <c r="L1727" s="5" t="str">
        <f>IF(O1727="","",N1727*O1727*M1727)</f>
        <v/>
      </c>
      <c r="M1727" s="8">
        <v>1</v>
      </c>
      <c r="N1727" s="1">
        <v>1</v>
      </c>
      <c r="O1727" s="15" t="str">
        <f>IF(SUM(Q1727:AF1727)&lt;1,"",SUM(Q1727:AF1727)/COUNTIF(Q1727:AF1727,"&gt;0"))</f>
        <v/>
      </c>
      <c r="P1727" s="16"/>
      <c r="Q1727" s="13"/>
      <c r="R1727" s="4"/>
      <c r="S1727" s="4"/>
      <c r="T1727" s="2"/>
      <c r="U1727" s="2"/>
      <c r="V1727" s="2"/>
      <c r="W1727" s="2"/>
      <c r="X1727" s="2"/>
      <c r="Y1727" s="4"/>
      <c r="Z1727" s="2"/>
      <c r="AA1727" s="2"/>
      <c r="AB1727" s="4"/>
      <c r="AC1727" s="4"/>
      <c r="AD1727" s="4"/>
      <c r="AE1727" s="4"/>
      <c r="AF1727" s="14"/>
    </row>
    <row r="1728" spans="1:32" x14ac:dyDescent="0.25">
      <c r="A1728" s="33" t="str">
        <f>CONCATENATE(D1728,".",F1728,"-",G1728,".",H1728,"")</f>
        <v>3.1-1.0</v>
      </c>
      <c r="B1728" s="33" t="s">
        <v>814</v>
      </c>
      <c r="C1728" s="40" t="s">
        <v>336</v>
      </c>
      <c r="D1728" s="33">
        <f>IF(C1728="ID",1,(IF(C1728="PR",2,(IF(C1728="DE",3,(IF(C1728="RS",4,(IF(C1728="RC",5,0)))))))))</f>
        <v>3</v>
      </c>
      <c r="E1728" s="33" t="s">
        <v>346</v>
      </c>
      <c r="F1728" s="33">
        <f>IF(E1728="AM",1,(IF(E1728="BE",2,(IF(E1728="GV",3,(IF(E1728="RA",4,(IF(E1728="RM",5,(IF(E1728="AC",1,(IF(E1728="AT",2,(IF(E1728="DS",3,(IF(E1728="IP",4,(IF(E1728="MA",5,(IF(E1728="PT",6,(IF(E1728="AE",1,(IF(E1728="CM",2,(IF(E1728="DP",3,(IF(E1728="AN",1,(IF(E1728="CO",2,(IF(E1728="IM",3,(IF(E1728="MI",4,(IF(E1728="RP",5,(IF(E1728="SC",6,0)))))))))))))))))))))))))))))))))))))))</f>
        <v>1</v>
      </c>
      <c r="G1728" s="170">
        <v>1</v>
      </c>
      <c r="H1728" s="38" t="s">
        <v>597</v>
      </c>
      <c r="I1728" s="22" t="s">
        <v>1200</v>
      </c>
      <c r="J1728" s="149" t="s">
        <v>617</v>
      </c>
      <c r="K1728" s="99" t="s">
        <v>401</v>
      </c>
      <c r="L1728" s="66">
        <f>IF(O1728="","",N1728*O1728*M1728)</f>
        <v>75</v>
      </c>
      <c r="M1728" s="8">
        <v>1</v>
      </c>
      <c r="N1728" s="1">
        <v>1</v>
      </c>
      <c r="O1728" s="15">
        <f>IF(SUM(Q1728:AF1728)&lt;1,"",SUM(Q1728:AF1728)/COUNTIF(Q1728:AF1728,"&gt;0"))</f>
        <v>75</v>
      </c>
      <c r="P1728" s="16"/>
      <c r="Q1728" s="13"/>
      <c r="R1728" s="4"/>
      <c r="S1728" s="4"/>
      <c r="T1728" s="4">
        <v>75</v>
      </c>
      <c r="U1728" s="2"/>
      <c r="V1728" s="2"/>
      <c r="W1728" s="2"/>
      <c r="X1728" s="2"/>
      <c r="Y1728" s="4"/>
      <c r="Z1728" s="2"/>
      <c r="AA1728" s="2"/>
      <c r="AB1728" s="4"/>
      <c r="AC1728" s="4"/>
      <c r="AD1728" s="4"/>
      <c r="AE1728" s="4"/>
      <c r="AF1728" s="14"/>
    </row>
    <row r="1729" spans="1:32" x14ac:dyDescent="0.25">
      <c r="A1729" s="33" t="str">
        <f>CONCATENATE(D1729,".",F1729,"-",G1729,".",H1729,"")</f>
        <v>3.1-1.1</v>
      </c>
      <c r="B1729" s="33" t="s">
        <v>814</v>
      </c>
      <c r="C1729" s="40" t="s">
        <v>336</v>
      </c>
      <c r="D1729" s="33">
        <f>IF(C1729="ID",1,(IF(C1729="PR",2,(IF(C1729="DE",3,(IF(C1729="RS",4,(IF(C1729="RC",5,0)))))))))</f>
        <v>3</v>
      </c>
      <c r="E1729" s="33" t="s">
        <v>346</v>
      </c>
      <c r="F1729" s="33">
        <f>IF(E1729="AM",1,(IF(E1729="BE",2,(IF(E1729="GV",3,(IF(E1729="RA",4,(IF(E1729="RM",5,(IF(E1729="AC",1,(IF(E1729="AT",2,(IF(E1729="DS",3,(IF(E1729="IP",4,(IF(E1729="MA",5,(IF(E1729="PT",6,(IF(E1729="AE",1,(IF(E1729="CM",2,(IF(E1729="DP",3,(IF(E1729="AN",1,(IF(E1729="CO",2,(IF(E1729="IM",3,(IF(E1729="MI",4,(IF(E1729="RP",5,(IF(E1729="SC",6,0)))))))))))))))))))))))))))))))))))))))</f>
        <v>1</v>
      </c>
      <c r="G1729" s="171">
        <v>1</v>
      </c>
      <c r="H1729" s="38" t="s">
        <v>511</v>
      </c>
      <c r="I1729" s="3" t="s">
        <v>821</v>
      </c>
      <c r="J1729" s="149">
        <v>11.1</v>
      </c>
      <c r="K1729" s="79" t="s">
        <v>1283</v>
      </c>
      <c r="L1729" s="66">
        <f>IF(O1729="","",N1729*O1729*M1729)</f>
        <v>75</v>
      </c>
      <c r="M1729" s="8">
        <v>1</v>
      </c>
      <c r="N1729" s="1">
        <v>1</v>
      </c>
      <c r="O1729" s="15">
        <f>IF(SUM(Q1729:AF1729)&lt;1,"",SUM(Q1729:AF1729)/COUNTIF(Q1729:AF1729,"&gt;0"))</f>
        <v>75</v>
      </c>
      <c r="P1729" s="16"/>
      <c r="Q1729" s="13"/>
      <c r="R1729" s="4"/>
      <c r="S1729" s="4"/>
      <c r="T1729" s="4">
        <v>75</v>
      </c>
      <c r="U1729" s="2"/>
      <c r="V1729" s="2"/>
      <c r="W1729" s="2"/>
      <c r="X1729" s="2"/>
      <c r="Y1729" s="4"/>
      <c r="Z1729" s="2"/>
      <c r="AA1729" s="2"/>
      <c r="AB1729" s="4"/>
      <c r="AC1729" s="4"/>
      <c r="AD1729" s="4"/>
      <c r="AE1729" s="4"/>
      <c r="AF1729" s="14"/>
    </row>
    <row r="1730" spans="1:32" x14ac:dyDescent="0.25">
      <c r="A1730" s="33" t="str">
        <f>CONCATENATE(D1730,".",F1730,"-",G1730,".",H1730,"")</f>
        <v>3.1-1.1</v>
      </c>
      <c r="B1730" s="33" t="s">
        <v>814</v>
      </c>
      <c r="C1730" s="39" t="s">
        <v>336</v>
      </c>
      <c r="D1730" s="33">
        <f>IF(C1730="ID",1,(IF(C1730="PR",2,(IF(C1730="DE",3,(IF(C1730="RS",4,(IF(C1730="RC",5,0)))))))))</f>
        <v>3</v>
      </c>
      <c r="E1730" s="33" t="s">
        <v>346</v>
      </c>
      <c r="F1730" s="33">
        <f>IF(E1730="AM",1,(IF(E1730="BE",2,(IF(E1730="GV",3,(IF(E1730="RA",4,(IF(E1730="RM",5,(IF(E1730="AC",1,(IF(E1730="AT",2,(IF(E1730="DS",3,(IF(E1730="IP",4,(IF(E1730="MA",5,(IF(E1730="PT",6,(IF(E1730="AE",1,(IF(E1730="CM",2,(IF(E1730="DP",3,(IF(E1730="AN",1,(IF(E1730="CO",2,(IF(E1730="IM",3,(IF(E1730="MI",4,(IF(E1730="RP",5,(IF(E1730="SC",6,0)))))))))))))))))))))))))))))))))))))))</f>
        <v>1</v>
      </c>
      <c r="G1730" s="170">
        <v>1</v>
      </c>
      <c r="H1730" s="33">
        <v>1</v>
      </c>
      <c r="I1730" s="22" t="s">
        <v>266</v>
      </c>
      <c r="J1730" s="150" t="s">
        <v>305</v>
      </c>
      <c r="K1730" s="79" t="s">
        <v>1314</v>
      </c>
      <c r="L1730" s="5">
        <f>IF(O1730="","",N1730*O1730*M1730)</f>
        <v>75</v>
      </c>
      <c r="M1730" s="8">
        <v>1</v>
      </c>
      <c r="N1730" s="1">
        <v>1</v>
      </c>
      <c r="O1730" s="15">
        <f>IF(SUM(Q1730:AF1730)&lt;1,"",SUM(Q1730:AF1730)/COUNTIF(Q1730:AF1730,"&gt;0"))</f>
        <v>75</v>
      </c>
      <c r="P1730" s="16"/>
      <c r="Q1730" s="13"/>
      <c r="T1730" s="4">
        <v>75</v>
      </c>
      <c r="AF1730" s="104"/>
    </row>
    <row r="1731" spans="1:32" x14ac:dyDescent="0.25">
      <c r="A1731" s="33" t="str">
        <f>CONCATENATE(D1731,".",F1731,"-",G1731,".",H1731,"")</f>
        <v>3.1-1.1</v>
      </c>
      <c r="B1731" s="33" t="s">
        <v>814</v>
      </c>
      <c r="C1731" s="39" t="s">
        <v>336</v>
      </c>
      <c r="D1731" s="33">
        <f>IF(C1731="ID",1,(IF(C1731="PR",2,(IF(C1731="DE",3,(IF(C1731="RS",4,(IF(C1731="RC",5,0)))))))))</f>
        <v>3</v>
      </c>
      <c r="E1731" s="33" t="s">
        <v>346</v>
      </c>
      <c r="F1731" s="33">
        <f>IF(E1731="AM",1,(IF(E1731="BE",2,(IF(E1731="GV",3,(IF(E1731="RA",4,(IF(E1731="RM",5,(IF(E1731="AC",1,(IF(E1731="AT",2,(IF(E1731="DS",3,(IF(E1731="IP",4,(IF(E1731="MA",5,(IF(E1731="PT",6,(IF(E1731="AE",1,(IF(E1731="CM",2,(IF(E1731="DP",3,(IF(E1731="AN",1,(IF(E1731="CO",2,(IF(E1731="IM",3,(IF(E1731="MI",4,(IF(E1731="RP",5,(IF(E1731="SC",6,0)))))))))))))))))))))))))))))))))))))))</f>
        <v>1</v>
      </c>
      <c r="G1731" s="170">
        <v>1</v>
      </c>
      <c r="H1731" s="38" t="s">
        <v>511</v>
      </c>
      <c r="I1731" s="79" t="s">
        <v>1176</v>
      </c>
      <c r="J1731" s="162">
        <v>7.6</v>
      </c>
      <c r="K1731" s="80" t="s">
        <v>1074</v>
      </c>
      <c r="L1731" s="66">
        <f>IF(O1731="","",N1731*O1731*M1731)</f>
        <v>75</v>
      </c>
      <c r="M1731" s="8">
        <v>1</v>
      </c>
      <c r="N1731" s="3">
        <v>1</v>
      </c>
      <c r="O1731" s="15">
        <f>IF(SUM(Q1731:AF1731)&lt;1,"",SUM(Q1731:AF1731)/COUNTIF(Q1731:AF1731,"&gt;0"))</f>
        <v>75</v>
      </c>
      <c r="P1731" s="16"/>
      <c r="Q1731" s="13"/>
      <c r="R1731" s="4"/>
      <c r="S1731" s="4"/>
      <c r="T1731" s="4">
        <v>75</v>
      </c>
      <c r="U1731" s="2"/>
      <c r="V1731" s="2"/>
      <c r="W1731" s="2"/>
      <c r="X1731" s="2"/>
      <c r="Y1731" s="4"/>
      <c r="Z1731" s="2"/>
      <c r="AA1731" s="2"/>
      <c r="AB1731" s="4"/>
      <c r="AC1731" s="4"/>
      <c r="AD1731" s="4"/>
      <c r="AE1731" s="4"/>
      <c r="AF1731" s="14"/>
    </row>
    <row r="1732" spans="1:32" x14ac:dyDescent="0.25">
      <c r="A1732" s="33" t="str">
        <f>CONCATENATE(D1732,".",F1732,"-",G1732,".",H1732,"")</f>
        <v>3.1-1.1</v>
      </c>
      <c r="B1732" s="33" t="s">
        <v>814</v>
      </c>
      <c r="C1732" s="39" t="s">
        <v>336</v>
      </c>
      <c r="D1732" s="33">
        <f>IF(C1732="ID",1,(IF(C1732="PR",2,(IF(C1732="DE",3,(IF(C1732="RS",4,(IF(C1732="RC",5,0)))))))))</f>
        <v>3</v>
      </c>
      <c r="E1732" s="33" t="s">
        <v>346</v>
      </c>
      <c r="F1732" s="33">
        <f>IF(E1732="AM",1,(IF(E1732="BE",2,(IF(E1732="GV",3,(IF(E1732="RA",4,(IF(E1732="RM",5,(IF(E1732="AC",1,(IF(E1732="AT",2,(IF(E1732="DS",3,(IF(E1732="IP",4,(IF(E1732="MA",5,(IF(E1732="PT",6,(IF(E1732="AE",1,(IF(E1732="CM",2,(IF(E1732="DP",3,(IF(E1732="AN",1,(IF(E1732="CO",2,(IF(E1732="IM",3,(IF(E1732="MI",4,(IF(E1732="RP",5,(IF(E1732="SC",6,0)))))))))))))))))))))))))))))))))))))))</f>
        <v>1</v>
      </c>
      <c r="G1732" s="170">
        <v>1</v>
      </c>
      <c r="H1732" s="38" t="s">
        <v>511</v>
      </c>
      <c r="I1732" s="3" t="s">
        <v>1449</v>
      </c>
      <c r="J1732" s="157" t="s">
        <v>1586</v>
      </c>
      <c r="K1732" s="34" t="s">
        <v>1587</v>
      </c>
      <c r="L1732" s="5">
        <f>IF(O1732="","",N1732*O1732*M1732)</f>
        <v>99</v>
      </c>
      <c r="M1732" s="8">
        <v>1</v>
      </c>
      <c r="N1732" s="1">
        <v>1</v>
      </c>
      <c r="O1732" s="15">
        <f>IF(SUM(Q1732:AF1732)&lt;1,"",SUM(Q1732:AF1732)/COUNTIF(Q1732:AF1732,"&gt;0"))</f>
        <v>99</v>
      </c>
      <c r="P1732" s="16"/>
      <c r="Q1732" s="13"/>
      <c r="R1732" s="4"/>
      <c r="S1732" s="4"/>
      <c r="T1732" s="4">
        <v>99</v>
      </c>
      <c r="U1732" s="2"/>
      <c r="V1732" s="2"/>
      <c r="W1732" s="2"/>
      <c r="X1732" s="2"/>
      <c r="Y1732" s="4"/>
      <c r="Z1732" s="2"/>
      <c r="AA1732" s="2"/>
      <c r="AB1732" s="4"/>
      <c r="AC1732" s="4"/>
      <c r="AD1732" s="4"/>
      <c r="AE1732" s="4"/>
      <c r="AF1732" s="14"/>
    </row>
    <row r="1733" spans="1:32" x14ac:dyDescent="0.25">
      <c r="A1733" s="33" t="str">
        <f>CONCATENATE(D1733,".",F1733,"-",G1733,".",H1733,"")</f>
        <v>3.1-1.1</v>
      </c>
      <c r="B1733" s="33" t="s">
        <v>814</v>
      </c>
      <c r="C1733" s="39" t="s">
        <v>336</v>
      </c>
      <c r="D1733" s="33">
        <f>IF(C1733="ID",1,(IF(C1733="PR",2,(IF(C1733="DE",3,(IF(C1733="RS",4,(IF(C1733="RC",5,0)))))))))</f>
        <v>3</v>
      </c>
      <c r="E1733" s="33" t="s">
        <v>346</v>
      </c>
      <c r="F1733" s="33">
        <f>IF(E1733="AM",1,(IF(E1733="BE",2,(IF(E1733="GV",3,(IF(E1733="RA",4,(IF(E1733="RM",5,(IF(E1733="AC",1,(IF(E1733="AT",2,(IF(E1733="DS",3,(IF(E1733="IP",4,(IF(E1733="MA",5,(IF(E1733="PT",6,(IF(E1733="AE",1,(IF(E1733="CM",2,(IF(E1733="DP",3,(IF(E1733="AN",1,(IF(E1733="CO",2,(IF(E1733="IM",3,(IF(E1733="MI",4,(IF(E1733="RP",5,(IF(E1733="SC",6,0)))))))))))))))))))))))))))))))))))))))</f>
        <v>1</v>
      </c>
      <c r="G1733" s="170">
        <v>1</v>
      </c>
      <c r="H1733" s="38" t="s">
        <v>511</v>
      </c>
      <c r="I1733" s="3" t="s">
        <v>1449</v>
      </c>
      <c r="J1733" s="157" t="s">
        <v>1709</v>
      </c>
      <c r="K1733" s="34" t="s">
        <v>1710</v>
      </c>
      <c r="L1733" s="5">
        <f>IF(O1733="","",N1733*O1733*M1733)</f>
        <v>99</v>
      </c>
      <c r="M1733" s="8">
        <v>1</v>
      </c>
      <c r="N1733" s="1">
        <v>1</v>
      </c>
      <c r="O1733" s="15">
        <f>IF(SUM(Q1733:AF1733)&lt;1,"",SUM(Q1733:AF1733)/COUNTIF(Q1733:AF1733,"&gt;0"))</f>
        <v>99</v>
      </c>
      <c r="P1733" s="16"/>
      <c r="Q1733" s="13"/>
      <c r="R1733" s="4"/>
      <c r="S1733" s="4"/>
      <c r="T1733" s="4">
        <v>99</v>
      </c>
      <c r="U1733" s="2"/>
      <c r="V1733" s="2"/>
      <c r="W1733" s="2"/>
      <c r="X1733" s="2"/>
      <c r="Y1733" s="4"/>
      <c r="Z1733" s="2"/>
      <c r="AA1733" s="2"/>
      <c r="AB1733" s="4"/>
      <c r="AC1733" s="4"/>
      <c r="AD1733" s="4"/>
      <c r="AE1733" s="4"/>
      <c r="AF1733" s="14"/>
    </row>
    <row r="1734" spans="1:32" x14ac:dyDescent="0.25">
      <c r="A1734" s="33" t="str">
        <f>CONCATENATE(D1734,".",F1734,"-",G1734,".",H1734,"")</f>
        <v>3.1-1.9</v>
      </c>
      <c r="B1734" s="33" t="s">
        <v>814</v>
      </c>
      <c r="C1734" s="39" t="s">
        <v>336</v>
      </c>
      <c r="D1734" s="33">
        <f>IF(C1734="ID",1,(IF(C1734="PR",2,(IF(C1734="DE",3,(IF(C1734="RS",4,(IF(C1734="RC",5,0)))))))))</f>
        <v>3</v>
      </c>
      <c r="E1734" s="33" t="s">
        <v>257</v>
      </c>
      <c r="F1734" s="33">
        <f>IF(E1734="AM",1,(IF(E1734="BE",2,(IF(E1734="GV",3,(IF(E1734="RA",4,(IF(E1734="RM",5,(IF(E1734="AC",1,(IF(E1734="AT",2,(IF(E1734="DS",3,(IF(E1734="IP",4,(IF(E1734="MA",5,(IF(E1734="PT",6,(IF(E1734="AE",1,(IF(E1734="CM",2,(IF(E1734="DP",3,(IF(E1734="AN",1,(IF(E1734="CO",2,(IF(E1734="IM",3,(IF(E1734="MI",4,(IF(E1734="RP",5,(IF(E1734="SC",6,0)))))))))))))))))))))))))))))))))))))))</f>
        <v>1</v>
      </c>
      <c r="G1734" s="170">
        <v>1</v>
      </c>
      <c r="H1734" s="38" t="s">
        <v>596</v>
      </c>
      <c r="I1734" s="3" t="s">
        <v>1449</v>
      </c>
      <c r="J1734" s="157" t="s">
        <v>1528</v>
      </c>
      <c r="K1734" s="34" t="s">
        <v>1529</v>
      </c>
      <c r="L1734" s="5">
        <f>IF(O1734="","",N1734*O1734*M1734)</f>
        <v>99</v>
      </c>
      <c r="M1734" s="8">
        <v>1</v>
      </c>
      <c r="N1734" s="1">
        <v>1</v>
      </c>
      <c r="O1734" s="15">
        <f>IF(SUM(Q1734:AF1734)&lt;1,"",SUM(Q1734:AF1734)/COUNTIF(Q1734:AF1734,"&gt;0"))</f>
        <v>99</v>
      </c>
      <c r="P1734" s="16"/>
      <c r="Q1734" s="13"/>
      <c r="R1734" s="4"/>
      <c r="S1734" s="4"/>
      <c r="T1734" s="4">
        <v>99</v>
      </c>
      <c r="U1734" s="2"/>
      <c r="V1734" s="2"/>
      <c r="W1734" s="2"/>
      <c r="X1734" s="2"/>
      <c r="Y1734" s="4"/>
      <c r="Z1734" s="2"/>
      <c r="AA1734" s="2"/>
      <c r="AB1734" s="4"/>
      <c r="AC1734" s="4"/>
      <c r="AD1734" s="4"/>
      <c r="AE1734" s="4"/>
      <c r="AF1734" s="14"/>
    </row>
    <row r="1735" spans="1:32" x14ac:dyDescent="0.25">
      <c r="A1735" s="33" t="str">
        <f>CONCATENATE(D1735,".",F1735,"-",G1735,".",H1735,"")</f>
        <v>3.1-1.9</v>
      </c>
      <c r="C1735" s="39" t="s">
        <v>336</v>
      </c>
      <c r="D1735" s="33">
        <f>IF(C1735="ID",1,(IF(C1735="PR",2,(IF(C1735="DE",3,(IF(C1735="RS",4,(IF(C1735="RC",5,0)))))))))</f>
        <v>3</v>
      </c>
      <c r="E1735" s="33" t="s">
        <v>346</v>
      </c>
      <c r="F1735" s="33">
        <f>IF(E1735="AM",1,(IF(E1735="BE",2,(IF(E1735="GV",3,(IF(E1735="RA",4,(IF(E1735="RM",5,(IF(E1735="AC",1,(IF(E1735="AT",2,(IF(E1735="DS",3,(IF(E1735="IP",4,(IF(E1735="MA",5,(IF(E1735="PT",6,(IF(E1735="AE",1,(IF(E1735="CM",2,(IF(E1735="DP",3,(IF(E1735="AN",1,(IF(E1735="CO",2,(IF(E1735="IM",3,(IF(E1735="MI",4,(IF(E1735="RP",5,(IF(E1735="SC",6,0)))))))))))))))))))))))))))))))))))))))</f>
        <v>1</v>
      </c>
      <c r="G1735" s="170">
        <v>1</v>
      </c>
      <c r="H1735" s="38" t="s">
        <v>596</v>
      </c>
      <c r="I1735" s="3" t="s">
        <v>1449</v>
      </c>
      <c r="J1735" s="157" t="s">
        <v>3101</v>
      </c>
      <c r="K1735" s="34" t="s">
        <v>3102</v>
      </c>
      <c r="L1735" s="5">
        <f>IF(O1735="","",N1735*O1735*M1735)</f>
        <v>99</v>
      </c>
      <c r="M1735" s="8">
        <v>1</v>
      </c>
      <c r="N1735" s="1">
        <v>1</v>
      </c>
      <c r="O1735" s="15">
        <f>IF(SUM(Q1735:AF1735)&lt;1,"",SUM(Q1735:AF1735)/COUNTIF(Q1735:AF1735,"&gt;0"))</f>
        <v>99</v>
      </c>
      <c r="P1735" s="16"/>
      <c r="Q1735" s="13"/>
      <c r="R1735" s="4"/>
      <c r="S1735" s="4"/>
      <c r="T1735" s="4">
        <v>99</v>
      </c>
      <c r="U1735" s="2"/>
      <c r="V1735" s="2"/>
      <c r="W1735" s="2"/>
      <c r="X1735" s="2"/>
      <c r="Y1735" s="4"/>
      <c r="Z1735" s="2"/>
      <c r="AA1735" s="2"/>
      <c r="AB1735" s="4"/>
      <c r="AC1735" s="4"/>
      <c r="AD1735" s="4"/>
      <c r="AE1735" s="4"/>
      <c r="AF1735" s="14"/>
    </row>
    <row r="1736" spans="1:32" x14ac:dyDescent="0.25">
      <c r="A1736" s="33" t="str">
        <f>CONCATENATE(D1736,".",F1736,"-",G1736,".",H1736,"")</f>
        <v>3.1-2.0</v>
      </c>
      <c r="B1736" s="33" t="s">
        <v>814</v>
      </c>
      <c r="C1736" s="40" t="s">
        <v>336</v>
      </c>
      <c r="D1736" s="33">
        <f>IF(C1736="ID",1,(IF(C1736="PR",2,(IF(C1736="DE",3,(IF(C1736="RS",4,(IF(C1736="RC",5,0)))))))))</f>
        <v>3</v>
      </c>
      <c r="E1736" s="33" t="s">
        <v>346</v>
      </c>
      <c r="F1736" s="33">
        <f>IF(E1736="AM",1,(IF(E1736="BE",2,(IF(E1736="GV",3,(IF(E1736="RA",4,(IF(E1736="RM",5,(IF(E1736="AC",1,(IF(E1736="AT",2,(IF(E1736="DS",3,(IF(E1736="IP",4,(IF(E1736="MA",5,(IF(E1736="PT",6,(IF(E1736="AE",1,(IF(E1736="CM",2,(IF(E1736="DP",3,(IF(E1736="AN",1,(IF(E1736="CO",2,(IF(E1736="IM",3,(IF(E1736="MI",4,(IF(E1736="RP",5,(IF(E1736="SC",6,0)))))))))))))))))))))))))))))))))))))))</f>
        <v>1</v>
      </c>
      <c r="G1736" s="170">
        <v>2</v>
      </c>
      <c r="H1736" s="38" t="s">
        <v>597</v>
      </c>
      <c r="I1736" s="22" t="s">
        <v>1200</v>
      </c>
      <c r="J1736" s="149" t="s">
        <v>625</v>
      </c>
      <c r="K1736" s="99" t="s">
        <v>402</v>
      </c>
      <c r="L1736" s="66">
        <f>IF(O1736="","",N1736*O1736*M1736)</f>
        <v>75</v>
      </c>
      <c r="M1736" s="8">
        <v>1</v>
      </c>
      <c r="N1736" s="1">
        <v>1</v>
      </c>
      <c r="O1736" s="15">
        <f>IF(SUM(Q1736:AF1736)&lt;1,"",SUM(Q1736:AF1736)/COUNTIF(Q1736:AF1736,"&gt;0"))</f>
        <v>75</v>
      </c>
      <c r="P1736" s="16"/>
      <c r="Q1736" s="13"/>
      <c r="R1736" s="4"/>
      <c r="S1736" s="4"/>
      <c r="T1736" s="4">
        <v>75</v>
      </c>
      <c r="U1736" s="2"/>
      <c r="V1736" s="2"/>
      <c r="W1736" s="2"/>
      <c r="X1736" s="2"/>
      <c r="Y1736" s="4"/>
      <c r="Z1736" s="2"/>
      <c r="AA1736" s="2"/>
      <c r="AB1736" s="4"/>
      <c r="AC1736" s="4"/>
      <c r="AD1736" s="4"/>
      <c r="AE1736" s="4"/>
      <c r="AF1736" s="14"/>
    </row>
    <row r="1737" spans="1:32" x14ac:dyDescent="0.25">
      <c r="A1737" s="33" t="str">
        <f>CONCATENATE(D1737,".",F1737,"-",G1737,".",H1737,"")</f>
        <v>3.1-2.1</v>
      </c>
      <c r="B1737" s="33" t="s">
        <v>814</v>
      </c>
      <c r="C1737" s="40" t="s">
        <v>336</v>
      </c>
      <c r="D1737" s="33">
        <f>IF(C1737="ID",1,(IF(C1737="PR",2,(IF(C1737="DE",3,(IF(C1737="RS",4,(IF(C1737="RC",5,0)))))))))</f>
        <v>3</v>
      </c>
      <c r="E1737" s="33" t="s">
        <v>346</v>
      </c>
      <c r="F1737" s="33">
        <f>IF(E1737="AM",1,(IF(E1737="BE",2,(IF(E1737="GV",3,(IF(E1737="RA",4,(IF(E1737="RM",5,(IF(E1737="AC",1,(IF(E1737="AT",2,(IF(E1737="DS",3,(IF(E1737="IP",4,(IF(E1737="MA",5,(IF(E1737="PT",6,(IF(E1737="AE",1,(IF(E1737="CM",2,(IF(E1737="DP",3,(IF(E1737="AN",1,(IF(E1737="CO",2,(IF(E1737="IM",3,(IF(E1737="MI",4,(IF(E1737="RP",5,(IF(E1737="SC",6,0)))))))))))))))))))))))))))))))))))))))</f>
        <v>1</v>
      </c>
      <c r="G1737" s="171">
        <v>2</v>
      </c>
      <c r="H1737" s="38" t="s">
        <v>511</v>
      </c>
      <c r="I1737" s="3" t="s">
        <v>821</v>
      </c>
      <c r="J1737" s="149">
        <v>10.6</v>
      </c>
      <c r="K1737" s="79" t="s">
        <v>1283</v>
      </c>
      <c r="L1737" s="66">
        <f>IF(O1737="","",N1737*O1737*M1737)</f>
        <v>75</v>
      </c>
      <c r="M1737" s="8">
        <v>1</v>
      </c>
      <c r="N1737" s="1">
        <v>1</v>
      </c>
      <c r="O1737" s="15">
        <f>IF(SUM(Q1737:AF1737)&lt;1,"",SUM(Q1737:AF1737)/COUNTIF(Q1737:AF1737,"&gt;0"))</f>
        <v>75</v>
      </c>
      <c r="P1737" s="16"/>
      <c r="Q1737" s="13"/>
      <c r="R1737" s="4"/>
      <c r="S1737" s="4"/>
      <c r="T1737" s="4">
        <v>75</v>
      </c>
      <c r="U1737" s="2"/>
      <c r="V1737" s="2"/>
      <c r="W1737" s="2"/>
      <c r="X1737" s="2"/>
      <c r="Y1737" s="4"/>
      <c r="Z1737" s="2"/>
      <c r="AA1737" s="2"/>
      <c r="AB1737" s="4"/>
      <c r="AC1737" s="4"/>
      <c r="AD1737" s="4"/>
      <c r="AE1737" s="4"/>
      <c r="AF1737" s="14"/>
    </row>
    <row r="1738" spans="1:32" x14ac:dyDescent="0.25">
      <c r="A1738" s="33" t="str">
        <f>CONCATENATE(D1738,".",F1738,"-",G1738,".",H1738,"")</f>
        <v>3.1-2.1</v>
      </c>
      <c r="B1738" s="33" t="s">
        <v>814</v>
      </c>
      <c r="C1738" s="40" t="s">
        <v>336</v>
      </c>
      <c r="D1738" s="33">
        <f>IF(C1738="ID",1,(IF(C1738="PR",2,(IF(C1738="DE",3,(IF(C1738="RS",4,(IF(C1738="RC",5,0)))))))))</f>
        <v>3</v>
      </c>
      <c r="E1738" s="33" t="s">
        <v>346</v>
      </c>
      <c r="F1738" s="33">
        <f>IF(E1738="AM",1,(IF(E1738="BE",2,(IF(E1738="GV",3,(IF(E1738="RA",4,(IF(E1738="RM",5,(IF(E1738="AC",1,(IF(E1738="AT",2,(IF(E1738="DS",3,(IF(E1738="IP",4,(IF(E1738="MA",5,(IF(E1738="PT",6,(IF(E1738="AE",1,(IF(E1738="CM",2,(IF(E1738="DP",3,(IF(E1738="AN",1,(IF(E1738="CO",2,(IF(E1738="IM",3,(IF(E1738="MI",4,(IF(E1738="RP",5,(IF(E1738="SC",6,0)))))))))))))))))))))))))))))))))))))))</f>
        <v>1</v>
      </c>
      <c r="G1738" s="171">
        <v>2</v>
      </c>
      <c r="H1738" s="38" t="s">
        <v>511</v>
      </c>
      <c r="I1738" s="3" t="s">
        <v>821</v>
      </c>
      <c r="J1738" s="149">
        <v>11.4</v>
      </c>
      <c r="K1738" s="79" t="s">
        <v>1283</v>
      </c>
      <c r="L1738" s="66">
        <f>IF(O1738="","",N1738*O1738*M1738)</f>
        <v>75</v>
      </c>
      <c r="M1738" s="8">
        <v>1</v>
      </c>
      <c r="N1738" s="1">
        <v>1</v>
      </c>
      <c r="O1738" s="15">
        <f>IF(SUM(Q1738:AF1738)&lt;1,"",SUM(Q1738:AF1738)/COUNTIF(Q1738:AF1738,"&gt;0"))</f>
        <v>75</v>
      </c>
      <c r="P1738" s="16"/>
      <c r="Q1738" s="13"/>
      <c r="R1738" s="4"/>
      <c r="S1738" s="4"/>
      <c r="T1738" s="4">
        <v>75</v>
      </c>
      <c r="U1738" s="2"/>
      <c r="V1738" s="2"/>
      <c r="W1738" s="2"/>
      <c r="X1738" s="2"/>
      <c r="Y1738" s="4"/>
      <c r="Z1738" s="2"/>
      <c r="AA1738" s="2"/>
      <c r="AB1738" s="4"/>
      <c r="AC1738" s="4"/>
      <c r="AD1738" s="4"/>
      <c r="AE1738" s="4"/>
      <c r="AF1738" s="14"/>
    </row>
    <row r="1739" spans="1:32" x14ac:dyDescent="0.25">
      <c r="A1739" s="33" t="str">
        <f>CONCATENATE(D1739,".",F1739,"-",G1739,".",H1739,"")</f>
        <v>3.1-2.1</v>
      </c>
      <c r="B1739" s="33" t="s">
        <v>814</v>
      </c>
      <c r="C1739" s="40" t="s">
        <v>336</v>
      </c>
      <c r="D1739" s="33">
        <f>IF(C1739="ID",1,(IF(C1739="PR",2,(IF(C1739="DE",3,(IF(C1739="RS",4,(IF(C1739="RC",5,0)))))))))</f>
        <v>3</v>
      </c>
      <c r="E1739" s="33" t="s">
        <v>346</v>
      </c>
      <c r="F1739" s="33">
        <f>IF(E1739="AM",1,(IF(E1739="BE",2,(IF(E1739="GV",3,(IF(E1739="RA",4,(IF(E1739="RM",5,(IF(E1739="AC",1,(IF(E1739="AT",2,(IF(E1739="DS",3,(IF(E1739="IP",4,(IF(E1739="MA",5,(IF(E1739="PT",6,(IF(E1739="AE",1,(IF(E1739="CM",2,(IF(E1739="DP",3,(IF(E1739="AN",1,(IF(E1739="CO",2,(IF(E1739="IM",3,(IF(E1739="MI",4,(IF(E1739="RP",5,(IF(E1739="SC",6,0)))))))))))))))))))))))))))))))))))))))</f>
        <v>1</v>
      </c>
      <c r="G1739" s="171">
        <v>2</v>
      </c>
      <c r="H1739" s="38" t="s">
        <v>511</v>
      </c>
      <c r="I1739" s="3" t="s">
        <v>821</v>
      </c>
      <c r="J1739" s="149">
        <v>11.5</v>
      </c>
      <c r="K1739" s="79" t="s">
        <v>1283</v>
      </c>
      <c r="L1739" s="66">
        <f>IF(O1739="","",N1739*O1739*M1739)</f>
        <v>75</v>
      </c>
      <c r="M1739" s="8">
        <v>1</v>
      </c>
      <c r="N1739" s="1">
        <v>1</v>
      </c>
      <c r="O1739" s="15">
        <f>IF(SUM(Q1739:AF1739)&lt;1,"",SUM(Q1739:AF1739)/COUNTIF(Q1739:AF1739,"&gt;0"))</f>
        <v>75</v>
      </c>
      <c r="P1739" s="16"/>
      <c r="Q1739" s="13"/>
      <c r="R1739" s="4"/>
      <c r="S1739" s="4"/>
      <c r="T1739" s="4">
        <v>75</v>
      </c>
      <c r="U1739" s="2"/>
      <c r="V1739" s="2"/>
      <c r="W1739" s="2"/>
      <c r="X1739" s="2"/>
      <c r="Y1739" s="4"/>
      <c r="Z1739" s="2"/>
      <c r="AA1739" s="2"/>
      <c r="AB1739" s="4"/>
      <c r="AC1739" s="4"/>
      <c r="AD1739" s="4"/>
      <c r="AE1739" s="4"/>
      <c r="AF1739" s="14"/>
    </row>
    <row r="1740" spans="1:32" x14ac:dyDescent="0.25">
      <c r="A1740" s="33" t="str">
        <f>CONCATENATE(D1740,".",F1740,"-",G1740,".",H1740,"")</f>
        <v>3.1-2.1</v>
      </c>
      <c r="B1740" s="33" t="s">
        <v>814</v>
      </c>
      <c r="C1740" s="39" t="s">
        <v>336</v>
      </c>
      <c r="D1740" s="33">
        <f>IF(C1740="ID",1,(IF(C1740="PR",2,(IF(C1740="DE",3,(IF(C1740="RS",4,(IF(C1740="RC",5,0)))))))))</f>
        <v>3</v>
      </c>
      <c r="E1740" s="33" t="s">
        <v>346</v>
      </c>
      <c r="F1740" s="33">
        <f>IF(E1740="AM",1,(IF(E1740="BE",2,(IF(E1740="GV",3,(IF(E1740="RA",4,(IF(E1740="RM",5,(IF(E1740="AC",1,(IF(E1740="AT",2,(IF(E1740="DS",3,(IF(E1740="IP",4,(IF(E1740="MA",5,(IF(E1740="PT",6,(IF(E1740="AE",1,(IF(E1740="CM",2,(IF(E1740="DP",3,(IF(E1740="AN",1,(IF(E1740="CO",2,(IF(E1740="IM",3,(IF(E1740="MI",4,(IF(E1740="RP",5,(IF(E1740="SC",6,0)))))))))))))))))))))))))))))))))))))))</f>
        <v>1</v>
      </c>
      <c r="G1740" s="170">
        <v>2</v>
      </c>
      <c r="H1740" s="38" t="s">
        <v>511</v>
      </c>
      <c r="I1740" s="3" t="s">
        <v>821</v>
      </c>
      <c r="J1740" s="150" t="s">
        <v>208</v>
      </c>
      <c r="K1740" s="79" t="s">
        <v>1283</v>
      </c>
      <c r="L1740" s="66">
        <f>IF(O1740="","",N1740*O1740*M1740)</f>
        <v>75</v>
      </c>
      <c r="M1740" s="8">
        <v>1</v>
      </c>
      <c r="N1740" s="3">
        <v>1</v>
      </c>
      <c r="O1740" s="15">
        <f>IF(SUM(Q1740:AF1740)&lt;1,"",SUM(Q1740:AF1740)/COUNTIF(Q1740:AF1740,"&gt;0"))</f>
        <v>75</v>
      </c>
      <c r="P1740" s="16"/>
      <c r="Q1740" s="13"/>
      <c r="R1740" s="4"/>
      <c r="S1740" s="4"/>
      <c r="T1740" s="4">
        <v>75</v>
      </c>
      <c r="U1740" s="2"/>
      <c r="V1740" s="2"/>
      <c r="W1740" s="2"/>
      <c r="X1740" s="2"/>
      <c r="Y1740" s="4"/>
      <c r="Z1740" s="2"/>
      <c r="AA1740" s="2"/>
      <c r="AB1740" s="4"/>
      <c r="AC1740" s="4"/>
      <c r="AD1740" s="4"/>
      <c r="AE1740" s="4"/>
      <c r="AF1740" s="14"/>
    </row>
    <row r="1741" spans="1:32" x14ac:dyDescent="0.25">
      <c r="A1741" s="33" t="str">
        <f>CONCATENATE(D1741,".",F1741,"-",G1741,".",H1741,"")</f>
        <v>3.1-2.1</v>
      </c>
      <c r="B1741" s="33" t="s">
        <v>814</v>
      </c>
      <c r="C1741" s="39" t="s">
        <v>336</v>
      </c>
      <c r="D1741" s="33">
        <f>IF(C1741="ID",1,(IF(C1741="PR",2,(IF(C1741="DE",3,(IF(C1741="RS",4,(IF(C1741="RC",5,0)))))))))</f>
        <v>3</v>
      </c>
      <c r="E1741" s="33" t="s">
        <v>346</v>
      </c>
      <c r="F1741" s="33">
        <f>IF(E1741="AM",1,(IF(E1741="BE",2,(IF(E1741="GV",3,(IF(E1741="RA",4,(IF(E1741="RM",5,(IF(E1741="AC",1,(IF(E1741="AT",2,(IF(E1741="DS",3,(IF(E1741="IP",4,(IF(E1741="MA",5,(IF(E1741="PT",6,(IF(E1741="AE",1,(IF(E1741="CM",2,(IF(E1741="DP",3,(IF(E1741="AN",1,(IF(E1741="CO",2,(IF(E1741="IM",3,(IF(E1741="MI",4,(IF(E1741="RP",5,(IF(E1741="SC",6,0)))))))))))))))))))))))))))))))))))))))</f>
        <v>1</v>
      </c>
      <c r="G1741" s="170">
        <v>2</v>
      </c>
      <c r="H1741" s="38" t="s">
        <v>511</v>
      </c>
      <c r="I1741" s="3" t="s">
        <v>821</v>
      </c>
      <c r="J1741" s="149" t="s">
        <v>227</v>
      </c>
      <c r="K1741" s="79" t="s">
        <v>1283</v>
      </c>
      <c r="L1741" s="66">
        <f>IF(O1741="","",N1741*O1741*M1741)</f>
        <v>75</v>
      </c>
      <c r="M1741" s="8">
        <v>1</v>
      </c>
      <c r="N1741" s="1">
        <v>1</v>
      </c>
      <c r="O1741" s="15">
        <f>IF(SUM(Q1741:AF1741)&lt;1,"",SUM(Q1741:AF1741)/COUNTIF(Q1741:AF1741,"&gt;0"))</f>
        <v>75</v>
      </c>
      <c r="P1741" s="16"/>
      <c r="Q1741" s="13"/>
      <c r="R1741" s="4"/>
      <c r="S1741" s="4"/>
      <c r="T1741" s="4">
        <v>75</v>
      </c>
      <c r="U1741" s="2"/>
      <c r="V1741" s="2"/>
      <c r="W1741" s="2"/>
      <c r="X1741" s="2"/>
      <c r="Y1741" s="4"/>
      <c r="Z1741" s="2"/>
      <c r="AA1741" s="2"/>
      <c r="AB1741" s="4"/>
      <c r="AC1741" s="4"/>
      <c r="AD1741" s="4"/>
      <c r="AE1741" s="4"/>
      <c r="AF1741" s="14"/>
    </row>
    <row r="1742" spans="1:32" x14ac:dyDescent="0.25">
      <c r="A1742" s="33" t="str">
        <f>CONCATENATE(D1742,".",F1742,"-",G1742,".",H1742,"")</f>
        <v>3.1-2.1</v>
      </c>
      <c r="B1742" s="33" t="s">
        <v>814</v>
      </c>
      <c r="C1742" s="40" t="s">
        <v>336</v>
      </c>
      <c r="D1742" s="33">
        <f>IF(C1742="ID",1,(IF(C1742="PR",2,(IF(C1742="DE",3,(IF(C1742="RS",4,(IF(C1742="RC",5,0)))))))))</f>
        <v>3</v>
      </c>
      <c r="E1742" s="33" t="s">
        <v>346</v>
      </c>
      <c r="F1742" s="33">
        <f>IF(E1742="AM",1,(IF(E1742="BE",2,(IF(E1742="GV",3,(IF(E1742="RA",4,(IF(E1742="RM",5,(IF(E1742="AC",1,(IF(E1742="AT",2,(IF(E1742="DS",3,(IF(E1742="IP",4,(IF(E1742="MA",5,(IF(E1742="PT",6,(IF(E1742="AE",1,(IF(E1742="CM",2,(IF(E1742="DP",3,(IF(E1742="AN",1,(IF(E1742="CO",2,(IF(E1742="IM",3,(IF(E1742="MI",4,(IF(E1742="RP",5,(IF(E1742="SC",6,0)))))))))))))))))))))))))))))))))))))))</f>
        <v>1</v>
      </c>
      <c r="G1742" s="171">
        <v>2</v>
      </c>
      <c r="H1742" s="38" t="s">
        <v>511</v>
      </c>
      <c r="I1742" s="22" t="s">
        <v>936</v>
      </c>
      <c r="J1742" s="163" t="s">
        <v>891</v>
      </c>
      <c r="K1742" s="34" t="s">
        <v>975</v>
      </c>
      <c r="L1742" s="66">
        <f>IF(O1742="","",N1742*O1742*M1742)</f>
        <v>75</v>
      </c>
      <c r="M1742" s="8">
        <v>1</v>
      </c>
      <c r="N1742" s="3">
        <v>1</v>
      </c>
      <c r="O1742" s="15">
        <f>IF(SUM(Q1742:AF1742)&lt;1,"",SUM(Q1742:AF1742)/COUNTIF(Q1742:AF1742,"&gt;0"))</f>
        <v>75</v>
      </c>
      <c r="P1742" s="16"/>
      <c r="Q1742" s="13"/>
      <c r="R1742" s="4"/>
      <c r="S1742" s="4"/>
      <c r="T1742" s="4">
        <v>75</v>
      </c>
      <c r="U1742" s="2"/>
      <c r="V1742" s="2"/>
      <c r="W1742" s="2"/>
      <c r="X1742" s="2"/>
      <c r="Y1742" s="4"/>
      <c r="Z1742" s="2"/>
      <c r="AA1742" s="2"/>
      <c r="AB1742" s="4"/>
      <c r="AC1742" s="4"/>
      <c r="AD1742" s="4"/>
      <c r="AE1742" s="4"/>
      <c r="AF1742" s="14"/>
    </row>
    <row r="1743" spans="1:32" x14ac:dyDescent="0.25">
      <c r="A1743" s="33" t="str">
        <f>CONCATENATE(D1743,".",F1743,"-",G1743,".",H1743,"")</f>
        <v>3.1-2.1</v>
      </c>
      <c r="B1743" s="33" t="s">
        <v>814</v>
      </c>
      <c r="C1743" s="40" t="s">
        <v>336</v>
      </c>
      <c r="D1743" s="33">
        <f>IF(C1743="ID",1,(IF(C1743="PR",2,(IF(C1743="DE",3,(IF(C1743="RS",4,(IF(C1743="RC",5,0)))))))))</f>
        <v>3</v>
      </c>
      <c r="E1743" s="33" t="s">
        <v>346</v>
      </c>
      <c r="F1743" s="33">
        <f>IF(E1743="AM",1,(IF(E1743="BE",2,(IF(E1743="GV",3,(IF(E1743="RA",4,(IF(E1743="RM",5,(IF(E1743="AC",1,(IF(E1743="AT",2,(IF(E1743="DS",3,(IF(E1743="IP",4,(IF(E1743="MA",5,(IF(E1743="PT",6,(IF(E1743="AE",1,(IF(E1743="CM",2,(IF(E1743="DP",3,(IF(E1743="AN",1,(IF(E1743="CO",2,(IF(E1743="IM",3,(IF(E1743="MI",4,(IF(E1743="RP",5,(IF(E1743="SC",6,0)))))))))))))))))))))))))))))))))))))))</f>
        <v>1</v>
      </c>
      <c r="G1743" s="171">
        <v>2</v>
      </c>
      <c r="H1743" s="38" t="s">
        <v>511</v>
      </c>
      <c r="I1743" s="22" t="s">
        <v>936</v>
      </c>
      <c r="J1743" s="163" t="s">
        <v>934</v>
      </c>
      <c r="K1743" s="34" t="s">
        <v>970</v>
      </c>
      <c r="L1743" s="66">
        <f>IF(O1743="","",N1743*O1743*M1743)</f>
        <v>75</v>
      </c>
      <c r="M1743" s="8">
        <v>1</v>
      </c>
      <c r="N1743" s="3">
        <v>1</v>
      </c>
      <c r="O1743" s="15">
        <f>IF(SUM(Q1743:AF1743)&lt;1,"",SUM(Q1743:AF1743)/COUNTIF(Q1743:AF1743,"&gt;0"))</f>
        <v>75</v>
      </c>
      <c r="P1743" s="16"/>
      <c r="Q1743" s="13"/>
      <c r="R1743" s="4"/>
      <c r="S1743" s="4"/>
      <c r="T1743" s="4">
        <v>75</v>
      </c>
      <c r="U1743" s="2"/>
      <c r="V1743" s="2"/>
      <c r="W1743" s="2"/>
      <c r="X1743" s="2"/>
      <c r="Y1743" s="4"/>
      <c r="Z1743" s="2"/>
      <c r="AA1743" s="2"/>
      <c r="AB1743" s="4"/>
      <c r="AC1743" s="4"/>
      <c r="AD1743" s="4"/>
      <c r="AE1743" s="4"/>
      <c r="AF1743" s="14"/>
    </row>
    <row r="1744" spans="1:32" x14ac:dyDescent="0.25">
      <c r="A1744" s="33" t="str">
        <f>CONCATENATE(D1744,".",F1744,"-",G1744,".",H1744,"")</f>
        <v>3.1-2.1</v>
      </c>
      <c r="B1744" s="33" t="s">
        <v>814</v>
      </c>
      <c r="C1744" s="39" t="s">
        <v>336</v>
      </c>
      <c r="D1744" s="33">
        <f>IF(C1744="ID",1,(IF(C1744="PR",2,(IF(C1744="DE",3,(IF(C1744="RS",4,(IF(C1744="RC",5,0)))))))))</f>
        <v>3</v>
      </c>
      <c r="E1744" s="33" t="s">
        <v>346</v>
      </c>
      <c r="F1744" s="33">
        <f>IF(E1744="AM",1,(IF(E1744="BE",2,(IF(E1744="GV",3,(IF(E1744="RA",4,(IF(E1744="RM",5,(IF(E1744="AC",1,(IF(E1744="AT",2,(IF(E1744="DS",3,(IF(E1744="IP",4,(IF(E1744="MA",5,(IF(E1744="PT",6,(IF(E1744="AE",1,(IF(E1744="CM",2,(IF(E1744="DP",3,(IF(E1744="AN",1,(IF(E1744="CO",2,(IF(E1744="IM",3,(IF(E1744="MI",4,(IF(E1744="RP",5,(IF(E1744="SC",6,0)))))))))))))))))))))))))))))))))))))))</f>
        <v>1</v>
      </c>
      <c r="G1744" s="170">
        <v>2</v>
      </c>
      <c r="H1744" s="33">
        <v>1</v>
      </c>
      <c r="I1744" s="22" t="s">
        <v>266</v>
      </c>
      <c r="J1744" s="150" t="s">
        <v>272</v>
      </c>
      <c r="K1744" s="79" t="s">
        <v>1325</v>
      </c>
      <c r="L1744" s="5">
        <f>IF(O1744="","",N1744*O1744*M1744)</f>
        <v>75</v>
      </c>
      <c r="M1744" s="8">
        <v>1</v>
      </c>
      <c r="N1744" s="1">
        <v>1</v>
      </c>
      <c r="O1744" s="15">
        <f>IF(SUM(Q1744:AF1744)&lt;1,"",SUM(Q1744:AF1744)/COUNTIF(Q1744:AF1744,"&gt;0"))</f>
        <v>75</v>
      </c>
      <c r="P1744" s="16"/>
      <c r="Q1744" s="13"/>
      <c r="T1744" s="4">
        <v>75</v>
      </c>
      <c r="AF1744" s="104"/>
    </row>
    <row r="1745" spans="1:32" x14ac:dyDescent="0.25">
      <c r="A1745" s="33" t="str">
        <f>CONCATENATE(D1745,".",F1745,"-",G1745,".",H1745,"")</f>
        <v>3.1-2.1</v>
      </c>
      <c r="B1745" s="33" t="s">
        <v>814</v>
      </c>
      <c r="C1745" s="39" t="s">
        <v>336</v>
      </c>
      <c r="D1745" s="33">
        <f>IF(C1745="ID",1,(IF(C1745="PR",2,(IF(C1745="DE",3,(IF(C1745="RS",4,(IF(C1745="RC",5,0)))))))))</f>
        <v>3</v>
      </c>
      <c r="E1745" s="33" t="s">
        <v>346</v>
      </c>
      <c r="F1745" s="33">
        <f>IF(E1745="AM",1,(IF(E1745="BE",2,(IF(E1745="GV",3,(IF(E1745="RA",4,(IF(E1745="RM",5,(IF(E1745="AC",1,(IF(E1745="AT",2,(IF(E1745="DS",3,(IF(E1745="IP",4,(IF(E1745="MA",5,(IF(E1745="PT",6,(IF(E1745="AE",1,(IF(E1745="CM",2,(IF(E1745="DP",3,(IF(E1745="AN",1,(IF(E1745="CO",2,(IF(E1745="IM",3,(IF(E1745="MI",4,(IF(E1745="RP",5,(IF(E1745="SC",6,0)))))))))))))))))))))))))))))))))))))))</f>
        <v>1</v>
      </c>
      <c r="G1745" s="170">
        <v>2</v>
      </c>
      <c r="H1745" s="33">
        <v>1</v>
      </c>
      <c r="I1745" s="22" t="s">
        <v>266</v>
      </c>
      <c r="J1745" s="149" t="s">
        <v>482</v>
      </c>
      <c r="K1745" s="79" t="s">
        <v>1368</v>
      </c>
      <c r="L1745" s="66">
        <f>IF(O1745="","",N1745*O1745*M1745)</f>
        <v>75</v>
      </c>
      <c r="M1745" s="8">
        <v>1</v>
      </c>
      <c r="N1745" s="1">
        <v>1</v>
      </c>
      <c r="O1745" s="15">
        <f>IF(SUM(Q1745:AF1745)&lt;1,"",SUM(Q1745:AF1745)/COUNTIF(Q1745:AF1745,"&gt;0"))</f>
        <v>75</v>
      </c>
      <c r="P1745" s="16"/>
      <c r="Q1745" s="13"/>
      <c r="R1745" s="4"/>
      <c r="S1745" s="4"/>
      <c r="T1745" s="4">
        <v>75</v>
      </c>
      <c r="U1745" s="2"/>
      <c r="V1745" s="2"/>
      <c r="W1745" s="2"/>
      <c r="X1745" s="2"/>
      <c r="Y1745" s="4"/>
      <c r="Z1745" s="2"/>
      <c r="AA1745" s="2"/>
      <c r="AB1745" s="4"/>
      <c r="AC1745" s="4"/>
      <c r="AD1745" s="4"/>
      <c r="AE1745" s="4"/>
      <c r="AF1745" s="14"/>
    </row>
    <row r="1746" spans="1:32" x14ac:dyDescent="0.25">
      <c r="A1746" s="33" t="str">
        <f>CONCATENATE(D1746,".",F1746,"-",G1746,".",H1746,"")</f>
        <v>3.1-2.1</v>
      </c>
      <c r="B1746" s="33" t="s">
        <v>1232</v>
      </c>
      <c r="C1746" s="40" t="s">
        <v>336</v>
      </c>
      <c r="D1746" s="33">
        <f>IF(C1746="ID",1,(IF(C1746="PR",2,(IF(C1746="DE",3,(IF(C1746="RS",4,(IF(C1746="RC",5,0)))))))))</f>
        <v>3</v>
      </c>
      <c r="E1746" s="33" t="s">
        <v>346</v>
      </c>
      <c r="F1746" s="33">
        <f>IF(E1746="AM",1,(IF(E1746="BE",2,(IF(E1746="GV",3,(IF(E1746="RA",4,(IF(E1746="RM",5,(IF(E1746="AC",1,(IF(E1746="AT",2,(IF(E1746="DS",3,(IF(E1746="IP",4,(IF(E1746="MA",5,(IF(E1746="PT",6,(IF(E1746="AE",1,(IF(E1746="CM",2,(IF(E1746="DP",3,(IF(E1746="AN",1,(IF(E1746="CO",2,(IF(E1746="IM",3,(IF(E1746="MI",4,(IF(E1746="RP",5,(IF(E1746="SC",6,0)))))))))))))))))))))))))))))))))))))))</f>
        <v>1</v>
      </c>
      <c r="G1746" s="170">
        <v>2</v>
      </c>
      <c r="H1746" s="38" t="s">
        <v>511</v>
      </c>
      <c r="I1746" s="3" t="s">
        <v>821</v>
      </c>
      <c r="J1746" s="150" t="s">
        <v>862</v>
      </c>
      <c r="K1746" s="79" t="s">
        <v>1283</v>
      </c>
      <c r="L1746" s="66">
        <f>IF(O1746="","",N1746*O1746*M1746)</f>
        <v>75</v>
      </c>
      <c r="M1746" s="8">
        <v>1</v>
      </c>
      <c r="N1746" s="3">
        <v>1</v>
      </c>
      <c r="O1746" s="15">
        <f>IF(SUM(Q1746:AF1746)&lt;1,"",SUM(Q1746:AF1746)/COUNTIF(Q1746:AF1746,"&gt;0"))</f>
        <v>75</v>
      </c>
      <c r="P1746" s="16"/>
      <c r="Q1746" s="13"/>
      <c r="R1746" s="4"/>
      <c r="S1746" s="4"/>
      <c r="T1746" s="4">
        <v>75</v>
      </c>
      <c r="U1746" s="2"/>
      <c r="V1746" s="2"/>
      <c r="W1746" s="2"/>
      <c r="X1746" s="2"/>
      <c r="Y1746" s="4"/>
      <c r="Z1746" s="2"/>
      <c r="AA1746" s="2"/>
      <c r="AB1746" s="4"/>
      <c r="AC1746" s="4"/>
      <c r="AD1746" s="4"/>
      <c r="AE1746" s="4"/>
      <c r="AF1746" s="14"/>
    </row>
    <row r="1747" spans="1:32" x14ac:dyDescent="0.25">
      <c r="A1747" s="33" t="str">
        <f>CONCATENATE(D1747,".",F1747,"-",G1747,".",H1747,"")</f>
        <v>3.1-2.1</v>
      </c>
      <c r="B1747" s="33" t="s">
        <v>814</v>
      </c>
      <c r="C1747" s="39" t="s">
        <v>336</v>
      </c>
      <c r="D1747" s="33">
        <f>IF(C1747="ID",1,(IF(C1747="PR",2,(IF(C1747="DE",3,(IF(C1747="RS",4,(IF(C1747="RC",5,0)))))))))</f>
        <v>3</v>
      </c>
      <c r="E1747" s="33" t="s">
        <v>346</v>
      </c>
      <c r="F1747" s="33">
        <f>IF(E1747="AM",1,(IF(E1747="BE",2,(IF(E1747="GV",3,(IF(E1747="RA",4,(IF(E1747="RM",5,(IF(E1747="AC",1,(IF(E1747="AT",2,(IF(E1747="DS",3,(IF(E1747="IP",4,(IF(E1747="MA",5,(IF(E1747="PT",6,(IF(E1747="AE",1,(IF(E1747="CM",2,(IF(E1747="DP",3,(IF(E1747="AN",1,(IF(E1747="CO",2,(IF(E1747="IM",3,(IF(E1747="MI",4,(IF(E1747="RP",5,(IF(E1747="SC",6,0)))))))))))))))))))))))))))))))))))))))</f>
        <v>1</v>
      </c>
      <c r="G1747" s="170">
        <v>2</v>
      </c>
      <c r="H1747" s="38" t="s">
        <v>511</v>
      </c>
      <c r="I1747" s="79" t="s">
        <v>1176</v>
      </c>
      <c r="J1747" s="162">
        <v>6</v>
      </c>
      <c r="K1747" s="80" t="s">
        <v>1070</v>
      </c>
      <c r="L1747" s="66">
        <f>IF(O1747="","",N1747*O1747*M1747)</f>
        <v>75</v>
      </c>
      <c r="M1747" s="8">
        <v>1</v>
      </c>
      <c r="N1747" s="3">
        <v>1</v>
      </c>
      <c r="O1747" s="15">
        <f>IF(SUM(Q1747:AF1747)&lt;1,"",SUM(Q1747:AF1747)/COUNTIF(Q1747:AF1747,"&gt;0"))</f>
        <v>75</v>
      </c>
      <c r="P1747" s="16"/>
      <c r="Q1747" s="13"/>
      <c r="R1747" s="4"/>
      <c r="S1747" s="4"/>
      <c r="T1747" s="4">
        <v>75</v>
      </c>
      <c r="U1747" s="2"/>
      <c r="V1747" s="2"/>
      <c r="W1747" s="2"/>
      <c r="X1747" s="2"/>
      <c r="Y1747" s="4"/>
      <c r="Z1747" s="2"/>
      <c r="AA1747" s="2"/>
      <c r="AB1747" s="4"/>
      <c r="AC1747" s="4"/>
      <c r="AD1747" s="4"/>
      <c r="AE1747" s="4"/>
      <c r="AF1747" s="14"/>
    </row>
    <row r="1748" spans="1:32" x14ac:dyDescent="0.25">
      <c r="A1748" s="33" t="str">
        <f>CONCATENATE(D1748,".",F1748,"-",G1748,".",H1748,"")</f>
        <v>3.1-2.1</v>
      </c>
      <c r="B1748" s="33" t="s">
        <v>814</v>
      </c>
      <c r="C1748" s="39" t="s">
        <v>336</v>
      </c>
      <c r="D1748" s="33">
        <f>IF(C1748="ID",1,(IF(C1748="PR",2,(IF(C1748="DE",3,(IF(C1748="RS",4,(IF(C1748="RC",5,0)))))))))</f>
        <v>3</v>
      </c>
      <c r="E1748" s="33" t="s">
        <v>346</v>
      </c>
      <c r="F1748" s="33">
        <f>IF(E1748="AM",1,(IF(E1748="BE",2,(IF(E1748="GV",3,(IF(E1748="RA",4,(IF(E1748="RM",5,(IF(E1748="AC",1,(IF(E1748="AT",2,(IF(E1748="DS",3,(IF(E1748="IP",4,(IF(E1748="MA",5,(IF(E1748="PT",6,(IF(E1748="AE",1,(IF(E1748="CM",2,(IF(E1748="DP",3,(IF(E1748="AN",1,(IF(E1748="CO",2,(IF(E1748="IM",3,(IF(E1748="MI",4,(IF(E1748="RP",5,(IF(E1748="SC",6,0)))))))))))))))))))))))))))))))))))))))</f>
        <v>1</v>
      </c>
      <c r="G1748" s="170">
        <v>2</v>
      </c>
      <c r="H1748" s="38" t="s">
        <v>511</v>
      </c>
      <c r="I1748" s="3" t="s">
        <v>1449</v>
      </c>
      <c r="J1748" s="157" t="s">
        <v>1707</v>
      </c>
      <c r="K1748" s="34" t="s">
        <v>1708</v>
      </c>
      <c r="L1748" s="5">
        <f>IF(O1748="","",N1748*O1748*M1748)</f>
        <v>99</v>
      </c>
      <c r="M1748" s="8">
        <v>1</v>
      </c>
      <c r="N1748" s="1">
        <v>1</v>
      </c>
      <c r="O1748" s="15">
        <f>IF(SUM(Q1748:AF1748)&lt;1,"",SUM(Q1748:AF1748)/COUNTIF(Q1748:AF1748,"&gt;0"))</f>
        <v>99</v>
      </c>
      <c r="P1748" s="16"/>
      <c r="Q1748" s="13"/>
      <c r="R1748" s="4"/>
      <c r="S1748" s="4"/>
      <c r="T1748" s="4">
        <v>99</v>
      </c>
      <c r="U1748" s="2"/>
      <c r="V1748" s="2"/>
      <c r="W1748" s="2"/>
      <c r="X1748" s="2"/>
      <c r="Y1748" s="4"/>
      <c r="Z1748" s="2"/>
      <c r="AA1748" s="2"/>
      <c r="AB1748" s="4"/>
      <c r="AC1748" s="4"/>
      <c r="AD1748" s="4"/>
      <c r="AE1748" s="4"/>
      <c r="AF1748" s="14"/>
    </row>
    <row r="1749" spans="1:32" x14ac:dyDescent="0.25">
      <c r="A1749" s="33" t="str">
        <f>CONCATENATE(D1749,".",F1749,"-",G1749,".",H1749,"")</f>
        <v>3.1-2.1</v>
      </c>
      <c r="C1749" s="39" t="s">
        <v>336</v>
      </c>
      <c r="D1749" s="33">
        <f>IF(C1749="ID",1,(IF(C1749="PR",2,(IF(C1749="DE",3,(IF(C1749="RS",4,(IF(C1749="RC",5,0)))))))))</f>
        <v>3</v>
      </c>
      <c r="E1749" s="33" t="s">
        <v>346</v>
      </c>
      <c r="F1749" s="33">
        <f>IF(E1749="AM",1,(IF(E1749="BE",2,(IF(E1749="GV",3,(IF(E1749="RA",4,(IF(E1749="RM",5,(IF(E1749="AC",1,(IF(E1749="AT",2,(IF(E1749="DS",3,(IF(E1749="IP",4,(IF(E1749="MA",5,(IF(E1749="PT",6,(IF(E1749="AE",1,(IF(E1749="CM",2,(IF(E1749="DP",3,(IF(E1749="AN",1,(IF(E1749="CO",2,(IF(E1749="IM",3,(IF(E1749="MI",4,(IF(E1749="RP",5,(IF(E1749="SC",6,0)))))))))))))))))))))))))))))))))))))))</f>
        <v>1</v>
      </c>
      <c r="G1749" s="170">
        <v>2</v>
      </c>
      <c r="H1749" s="38" t="s">
        <v>511</v>
      </c>
      <c r="I1749" s="3" t="s">
        <v>1449</v>
      </c>
      <c r="J1749" s="157" t="s">
        <v>2213</v>
      </c>
      <c r="K1749" s="34" t="s">
        <v>2214</v>
      </c>
      <c r="L1749" s="5">
        <f>IF(O1749="","",N1749*O1749*M1749)</f>
        <v>99</v>
      </c>
      <c r="M1749" s="8">
        <v>1</v>
      </c>
      <c r="N1749" s="1">
        <v>1</v>
      </c>
      <c r="O1749" s="15">
        <f>IF(SUM(Q1749:AF1749)&lt;1,"",SUM(Q1749:AF1749)/COUNTIF(Q1749:AF1749,"&gt;0"))</f>
        <v>99</v>
      </c>
      <c r="P1749" s="16"/>
      <c r="Q1749" s="13"/>
      <c r="R1749" s="4"/>
      <c r="S1749" s="4"/>
      <c r="T1749" s="4">
        <v>99</v>
      </c>
      <c r="U1749" s="2"/>
      <c r="V1749" s="2"/>
      <c r="W1749" s="2"/>
      <c r="X1749" s="2"/>
      <c r="Y1749" s="4"/>
      <c r="Z1749" s="2"/>
      <c r="AA1749" s="2"/>
      <c r="AB1749" s="4"/>
      <c r="AC1749" s="4"/>
      <c r="AD1749" s="4"/>
      <c r="AE1749" s="4"/>
      <c r="AF1749" s="14"/>
    </row>
    <row r="1750" spans="1:32" x14ac:dyDescent="0.25">
      <c r="A1750" s="33" t="str">
        <f>CONCATENATE(D1750,".",F1750,"-",G1750,".",H1750,"")</f>
        <v>3.1-2.1</v>
      </c>
      <c r="C1750" s="39" t="s">
        <v>336</v>
      </c>
      <c r="D1750" s="33">
        <f>IF(C1750="ID",1,(IF(C1750="PR",2,(IF(C1750="DE",3,(IF(C1750="RS",4,(IF(C1750="RC",5,0)))))))))</f>
        <v>3</v>
      </c>
      <c r="E1750" s="33" t="s">
        <v>346</v>
      </c>
      <c r="F1750" s="33">
        <f>IF(E1750="AM",1,(IF(E1750="BE",2,(IF(E1750="GV",3,(IF(E1750="RA",4,(IF(E1750="RM",5,(IF(E1750="AC",1,(IF(E1750="AT",2,(IF(E1750="DS",3,(IF(E1750="IP",4,(IF(E1750="MA",5,(IF(E1750="PT",6,(IF(E1750="AE",1,(IF(E1750="CM",2,(IF(E1750="DP",3,(IF(E1750="AN",1,(IF(E1750="CO",2,(IF(E1750="IM",3,(IF(E1750="MI",4,(IF(E1750="RP",5,(IF(E1750="SC",6,0)))))))))))))))))))))))))))))))))))))))</f>
        <v>1</v>
      </c>
      <c r="G1750" s="170">
        <v>2</v>
      </c>
      <c r="H1750" s="38" t="s">
        <v>511</v>
      </c>
      <c r="I1750" s="3" t="s">
        <v>1449</v>
      </c>
      <c r="J1750" s="157" t="s">
        <v>2215</v>
      </c>
      <c r="K1750" s="34" t="s">
        <v>2216</v>
      </c>
      <c r="L1750" s="5">
        <f>IF(O1750="","",N1750*O1750*M1750)</f>
        <v>99</v>
      </c>
      <c r="M1750" s="8">
        <v>1</v>
      </c>
      <c r="N1750" s="1">
        <v>1</v>
      </c>
      <c r="O1750" s="15">
        <f>IF(SUM(Q1750:AF1750)&lt;1,"",SUM(Q1750:AF1750)/COUNTIF(Q1750:AF1750,"&gt;0"))</f>
        <v>99</v>
      </c>
      <c r="P1750" s="16"/>
      <c r="Q1750" s="13"/>
      <c r="R1750" s="4"/>
      <c r="S1750" s="4"/>
      <c r="T1750" s="4">
        <v>99</v>
      </c>
      <c r="U1750" s="2"/>
      <c r="V1750" s="2"/>
      <c r="W1750" s="2"/>
      <c r="X1750" s="2"/>
      <c r="Y1750" s="4"/>
      <c r="Z1750" s="2"/>
      <c r="AA1750" s="2"/>
      <c r="AB1750" s="4"/>
      <c r="AC1750" s="4"/>
      <c r="AD1750" s="4"/>
      <c r="AE1750" s="4"/>
      <c r="AF1750" s="14"/>
    </row>
    <row r="1751" spans="1:32" x14ac:dyDescent="0.25">
      <c r="A1751" s="33" t="str">
        <f>CONCATENATE(D1751,".",F1751,"-",G1751,".",H1751,"")</f>
        <v>3.1-2.1</v>
      </c>
      <c r="C1751" s="39" t="s">
        <v>336</v>
      </c>
      <c r="D1751" s="33">
        <f>IF(C1751="ID",1,(IF(C1751="PR",2,(IF(C1751="DE",3,(IF(C1751="RS",4,(IF(C1751="RC",5,0)))))))))</f>
        <v>3</v>
      </c>
      <c r="E1751" s="33" t="s">
        <v>346</v>
      </c>
      <c r="F1751" s="33">
        <f>IF(E1751="AM",1,(IF(E1751="BE",2,(IF(E1751="GV",3,(IF(E1751="RA",4,(IF(E1751="RM",5,(IF(E1751="AC",1,(IF(E1751="AT",2,(IF(E1751="DS",3,(IF(E1751="IP",4,(IF(E1751="MA",5,(IF(E1751="PT",6,(IF(E1751="AE",1,(IF(E1751="CM",2,(IF(E1751="DP",3,(IF(E1751="AN",1,(IF(E1751="CO",2,(IF(E1751="IM",3,(IF(E1751="MI",4,(IF(E1751="RP",5,(IF(E1751="SC",6,0)))))))))))))))))))))))))))))))))))))))</f>
        <v>1</v>
      </c>
      <c r="G1751" s="170">
        <v>2</v>
      </c>
      <c r="H1751" s="38" t="s">
        <v>511</v>
      </c>
      <c r="I1751" s="3" t="s">
        <v>1449</v>
      </c>
      <c r="J1751" s="157" t="s">
        <v>2217</v>
      </c>
      <c r="K1751" s="34" t="s">
        <v>2218</v>
      </c>
      <c r="L1751" s="5">
        <f>IF(O1751="","",N1751*O1751*M1751)</f>
        <v>99</v>
      </c>
      <c r="M1751" s="8">
        <v>1</v>
      </c>
      <c r="N1751" s="1">
        <v>1</v>
      </c>
      <c r="O1751" s="15">
        <f>IF(SUM(Q1751:AF1751)&lt;1,"",SUM(Q1751:AF1751)/COUNTIF(Q1751:AF1751,"&gt;0"))</f>
        <v>99</v>
      </c>
      <c r="P1751" s="16"/>
      <c r="Q1751" s="13"/>
      <c r="R1751" s="4"/>
      <c r="S1751" s="4"/>
      <c r="T1751" s="4">
        <v>99</v>
      </c>
      <c r="U1751" s="2"/>
      <c r="V1751" s="2"/>
      <c r="W1751" s="2"/>
      <c r="X1751" s="2"/>
      <c r="Y1751" s="4"/>
      <c r="Z1751" s="2"/>
      <c r="AA1751" s="2"/>
      <c r="AB1751" s="4"/>
      <c r="AC1751" s="4"/>
      <c r="AD1751" s="4"/>
      <c r="AE1751" s="4"/>
      <c r="AF1751" s="14"/>
    </row>
    <row r="1752" spans="1:32" x14ac:dyDescent="0.25">
      <c r="A1752" s="33" t="str">
        <f>CONCATENATE(D1752,".",F1752,"-",G1752,".",H1752,"")</f>
        <v>3.1-2.1</v>
      </c>
      <c r="C1752" s="39" t="s">
        <v>336</v>
      </c>
      <c r="D1752" s="33">
        <f>IF(C1752="ID",1,(IF(C1752="PR",2,(IF(C1752="DE",3,(IF(C1752="RS",4,(IF(C1752="RC",5,0)))))))))</f>
        <v>3</v>
      </c>
      <c r="E1752" s="33" t="s">
        <v>346</v>
      </c>
      <c r="F1752" s="33">
        <f>IF(E1752="AM",1,(IF(E1752="BE",2,(IF(E1752="GV",3,(IF(E1752="RA",4,(IF(E1752="RM",5,(IF(E1752="AC",1,(IF(E1752="AT",2,(IF(E1752="DS",3,(IF(E1752="IP",4,(IF(E1752="MA",5,(IF(E1752="PT",6,(IF(E1752="AE",1,(IF(E1752="CM",2,(IF(E1752="DP",3,(IF(E1752="AN",1,(IF(E1752="CO",2,(IF(E1752="IM",3,(IF(E1752="MI",4,(IF(E1752="RP",5,(IF(E1752="SC",6,0)))))))))))))))))))))))))))))))))))))))</f>
        <v>1</v>
      </c>
      <c r="G1752" s="170">
        <v>2</v>
      </c>
      <c r="H1752" s="38" t="s">
        <v>511</v>
      </c>
      <c r="I1752" s="3" t="s">
        <v>1449</v>
      </c>
      <c r="J1752" s="157" t="s">
        <v>2219</v>
      </c>
      <c r="K1752" s="34" t="s">
        <v>2220</v>
      </c>
      <c r="L1752" s="5">
        <f>IF(O1752="","",N1752*O1752*M1752)</f>
        <v>99</v>
      </c>
      <c r="M1752" s="8">
        <v>1</v>
      </c>
      <c r="N1752" s="1">
        <v>1</v>
      </c>
      <c r="O1752" s="15">
        <f>IF(SUM(Q1752:AF1752)&lt;1,"",SUM(Q1752:AF1752)/COUNTIF(Q1752:AF1752,"&gt;0"))</f>
        <v>99</v>
      </c>
      <c r="P1752" s="16"/>
      <c r="Q1752" s="13"/>
      <c r="R1752" s="4"/>
      <c r="S1752" s="4"/>
      <c r="T1752" s="4">
        <v>99</v>
      </c>
      <c r="U1752" s="2"/>
      <c r="V1752" s="2"/>
      <c r="W1752" s="2"/>
      <c r="X1752" s="2"/>
      <c r="Y1752" s="4"/>
      <c r="Z1752" s="2"/>
      <c r="AA1752" s="2"/>
      <c r="AB1752" s="4"/>
      <c r="AC1752" s="4"/>
      <c r="AD1752" s="4"/>
      <c r="AE1752" s="4"/>
      <c r="AF1752" s="14"/>
    </row>
    <row r="1753" spans="1:32" x14ac:dyDescent="0.25">
      <c r="A1753" s="33" t="str">
        <f>CONCATENATE(D1753,".",F1753,"-",G1753,".",H1753,"")</f>
        <v>3.1-2.1</v>
      </c>
      <c r="C1753" s="39" t="s">
        <v>336</v>
      </c>
      <c r="D1753" s="33">
        <f>IF(C1753="ID",1,(IF(C1753="PR",2,(IF(C1753="DE",3,(IF(C1753="RS",4,(IF(C1753="RC",5,0)))))))))</f>
        <v>3</v>
      </c>
      <c r="E1753" s="33" t="s">
        <v>346</v>
      </c>
      <c r="F1753" s="33">
        <f>IF(E1753="AM",1,(IF(E1753="BE",2,(IF(E1753="GV",3,(IF(E1753="RA",4,(IF(E1753="RM",5,(IF(E1753="AC",1,(IF(E1753="AT",2,(IF(E1753="DS",3,(IF(E1753="IP",4,(IF(E1753="MA",5,(IF(E1753="PT",6,(IF(E1753="AE",1,(IF(E1753="CM",2,(IF(E1753="DP",3,(IF(E1753="AN",1,(IF(E1753="CO",2,(IF(E1753="IM",3,(IF(E1753="MI",4,(IF(E1753="RP",5,(IF(E1753="SC",6,0)))))))))))))))))))))))))))))))))))))))</f>
        <v>1</v>
      </c>
      <c r="G1753" s="170">
        <v>2</v>
      </c>
      <c r="H1753" s="38" t="s">
        <v>511</v>
      </c>
      <c r="I1753" s="3" t="s">
        <v>1449</v>
      </c>
      <c r="J1753" s="157" t="s">
        <v>2221</v>
      </c>
      <c r="K1753" s="34" t="s">
        <v>2222</v>
      </c>
      <c r="L1753" s="5">
        <f>IF(O1753="","",N1753*O1753*M1753)</f>
        <v>99</v>
      </c>
      <c r="M1753" s="8">
        <v>1</v>
      </c>
      <c r="N1753" s="1">
        <v>1</v>
      </c>
      <c r="O1753" s="15">
        <f>IF(SUM(Q1753:AF1753)&lt;1,"",SUM(Q1753:AF1753)/COUNTIF(Q1753:AF1753,"&gt;0"))</f>
        <v>99</v>
      </c>
      <c r="P1753" s="16"/>
      <c r="Q1753" s="13"/>
      <c r="R1753" s="4"/>
      <c r="S1753" s="4"/>
      <c r="T1753" s="4">
        <v>99</v>
      </c>
      <c r="U1753" s="2"/>
      <c r="V1753" s="2"/>
      <c r="W1753" s="2"/>
      <c r="X1753" s="2"/>
      <c r="Y1753" s="4"/>
      <c r="Z1753" s="2"/>
      <c r="AA1753" s="2"/>
      <c r="AB1753" s="4"/>
      <c r="AC1753" s="4"/>
      <c r="AD1753" s="4"/>
      <c r="AE1753" s="4"/>
      <c r="AF1753" s="14"/>
    </row>
    <row r="1754" spans="1:32" x14ac:dyDescent="0.25">
      <c r="A1754" s="33" t="str">
        <f>CONCATENATE(D1754,".",F1754,"-",G1754,".",H1754,"")</f>
        <v>3.1-2.1</v>
      </c>
      <c r="C1754" s="39" t="s">
        <v>336</v>
      </c>
      <c r="D1754" s="33">
        <f>IF(C1754="ID",1,(IF(C1754="PR",2,(IF(C1754="DE",3,(IF(C1754="RS",4,(IF(C1754="RC",5,0)))))))))</f>
        <v>3</v>
      </c>
      <c r="E1754" s="33" t="s">
        <v>346</v>
      </c>
      <c r="F1754" s="33">
        <f>IF(E1754="AM",1,(IF(E1754="BE",2,(IF(E1754="GV",3,(IF(E1754="RA",4,(IF(E1754="RM",5,(IF(E1754="AC",1,(IF(E1754="AT",2,(IF(E1754="DS",3,(IF(E1754="IP",4,(IF(E1754="MA",5,(IF(E1754="PT",6,(IF(E1754="AE",1,(IF(E1754="CM",2,(IF(E1754="DP",3,(IF(E1754="AN",1,(IF(E1754="CO",2,(IF(E1754="IM",3,(IF(E1754="MI",4,(IF(E1754="RP",5,(IF(E1754="SC",6,0)))))))))))))))))))))))))))))))))))))))</f>
        <v>1</v>
      </c>
      <c r="G1754" s="170">
        <v>2</v>
      </c>
      <c r="H1754" s="38" t="s">
        <v>511</v>
      </c>
      <c r="I1754" s="3" t="s">
        <v>1449</v>
      </c>
      <c r="J1754" s="157" t="s">
        <v>2233</v>
      </c>
      <c r="K1754" s="34" t="s">
        <v>2234</v>
      </c>
      <c r="L1754" s="5">
        <f>IF(O1754="","",N1754*O1754*M1754)</f>
        <v>99</v>
      </c>
      <c r="M1754" s="8">
        <v>1</v>
      </c>
      <c r="N1754" s="1">
        <v>1</v>
      </c>
      <c r="O1754" s="15">
        <f>IF(SUM(Q1754:AF1754)&lt;1,"",SUM(Q1754:AF1754)/COUNTIF(Q1754:AF1754,"&gt;0"))</f>
        <v>99</v>
      </c>
      <c r="P1754" s="16"/>
      <c r="Q1754" s="13"/>
      <c r="R1754" s="4"/>
      <c r="S1754" s="4"/>
      <c r="T1754" s="4">
        <v>99</v>
      </c>
      <c r="U1754" s="2"/>
      <c r="V1754" s="2"/>
      <c r="W1754" s="2"/>
      <c r="X1754" s="2"/>
      <c r="Y1754" s="4"/>
      <c r="Z1754" s="2"/>
      <c r="AA1754" s="2"/>
      <c r="AB1754" s="4"/>
      <c r="AC1754" s="4"/>
      <c r="AD1754" s="4"/>
      <c r="AE1754" s="4"/>
      <c r="AF1754" s="14"/>
    </row>
    <row r="1755" spans="1:32" x14ac:dyDescent="0.25">
      <c r="A1755" s="33" t="str">
        <f>CONCATENATE(D1755,".",F1755,"-",G1755,".",H1755,"")</f>
        <v>3.1-2.1</v>
      </c>
      <c r="C1755" s="39" t="s">
        <v>336</v>
      </c>
      <c r="D1755" s="33">
        <f>IF(C1755="ID",1,(IF(C1755="PR",2,(IF(C1755="DE",3,(IF(C1755="RS",4,(IF(C1755="RC",5,0)))))))))</f>
        <v>3</v>
      </c>
      <c r="E1755" s="33" t="s">
        <v>346</v>
      </c>
      <c r="F1755" s="33">
        <f>IF(E1755="AM",1,(IF(E1755="BE",2,(IF(E1755="GV",3,(IF(E1755="RA",4,(IF(E1755="RM",5,(IF(E1755="AC",1,(IF(E1755="AT",2,(IF(E1755="DS",3,(IF(E1755="IP",4,(IF(E1755="MA",5,(IF(E1755="PT",6,(IF(E1755="AE",1,(IF(E1755="CM",2,(IF(E1755="DP",3,(IF(E1755="AN",1,(IF(E1755="CO",2,(IF(E1755="IM",3,(IF(E1755="MI",4,(IF(E1755="RP",5,(IF(E1755="SC",6,0)))))))))))))))))))))))))))))))))))))))</f>
        <v>1</v>
      </c>
      <c r="G1755" s="170">
        <v>2</v>
      </c>
      <c r="H1755" s="38" t="s">
        <v>511</v>
      </c>
      <c r="I1755" s="3" t="s">
        <v>1449</v>
      </c>
      <c r="J1755" s="157" t="s">
        <v>3095</v>
      </c>
      <c r="K1755" s="34" t="s">
        <v>3096</v>
      </c>
      <c r="L1755" s="5">
        <f>IF(O1755="","",N1755*O1755*M1755)</f>
        <v>99</v>
      </c>
      <c r="M1755" s="8">
        <v>1</v>
      </c>
      <c r="N1755" s="1">
        <v>1</v>
      </c>
      <c r="O1755" s="15">
        <f>IF(SUM(Q1755:AF1755)&lt;1,"",SUM(Q1755:AF1755)/COUNTIF(Q1755:AF1755,"&gt;0"))</f>
        <v>99</v>
      </c>
      <c r="P1755" s="16"/>
      <c r="Q1755" s="13"/>
      <c r="R1755" s="4"/>
      <c r="S1755" s="4"/>
      <c r="T1755" s="4">
        <v>99</v>
      </c>
      <c r="U1755" s="2"/>
      <c r="V1755" s="2"/>
      <c r="W1755" s="2"/>
      <c r="X1755" s="2"/>
      <c r="Y1755" s="4"/>
      <c r="Z1755" s="2"/>
      <c r="AA1755" s="2"/>
      <c r="AB1755" s="4"/>
      <c r="AC1755" s="4"/>
      <c r="AD1755" s="4"/>
      <c r="AE1755" s="4"/>
      <c r="AF1755" s="14"/>
    </row>
    <row r="1756" spans="1:32" x14ac:dyDescent="0.25">
      <c r="A1756" s="33" t="str">
        <f>CONCATENATE(D1756,".",F1756,"-",G1756,".",H1756,"")</f>
        <v>3.1-2.9</v>
      </c>
      <c r="C1756" s="39" t="s">
        <v>336</v>
      </c>
      <c r="D1756" s="33">
        <f>IF(C1756="ID",1,(IF(C1756="PR",2,(IF(C1756="DE",3,(IF(C1756="RS",4,(IF(C1756="RC",5,0)))))))))</f>
        <v>3</v>
      </c>
      <c r="E1756" s="33" t="s">
        <v>346</v>
      </c>
      <c r="F1756" s="33">
        <f>IF(E1756="AM",1,(IF(E1756="BE",2,(IF(E1756="GV",3,(IF(E1756="RA",4,(IF(E1756="RM",5,(IF(E1756="AC",1,(IF(E1756="AT",2,(IF(E1756="DS",3,(IF(E1756="IP",4,(IF(E1756="MA",5,(IF(E1756="PT",6,(IF(E1756="AE",1,(IF(E1756="CM",2,(IF(E1756="DP",3,(IF(E1756="AN",1,(IF(E1756="CO",2,(IF(E1756="IM",3,(IF(E1756="MI",4,(IF(E1756="RP",5,(IF(E1756="SC",6,0)))))))))))))))))))))))))))))))))))))))</f>
        <v>1</v>
      </c>
      <c r="G1756" s="170">
        <v>2</v>
      </c>
      <c r="H1756" s="38" t="s">
        <v>596</v>
      </c>
      <c r="I1756" s="3" t="s">
        <v>1449</v>
      </c>
      <c r="J1756" s="157" t="s">
        <v>2811</v>
      </c>
      <c r="K1756" s="34" t="s">
        <v>2812</v>
      </c>
      <c r="L1756" s="5">
        <f>IF(O1756="","",N1756*O1756*M1756)</f>
        <v>99</v>
      </c>
      <c r="M1756" s="8">
        <v>1</v>
      </c>
      <c r="N1756" s="1">
        <v>1</v>
      </c>
      <c r="O1756" s="15">
        <f>IF(SUM(Q1756:AF1756)&lt;1,"",SUM(Q1756:AF1756)/COUNTIF(Q1756:AF1756,"&gt;0"))</f>
        <v>99</v>
      </c>
      <c r="P1756" s="16"/>
      <c r="Q1756" s="13"/>
      <c r="R1756" s="4"/>
      <c r="S1756" s="4"/>
      <c r="T1756" s="4">
        <v>99</v>
      </c>
      <c r="U1756" s="2"/>
      <c r="V1756" s="2"/>
      <c r="W1756" s="2"/>
      <c r="X1756" s="2"/>
      <c r="Y1756" s="4"/>
      <c r="Z1756" s="2"/>
      <c r="AA1756" s="2"/>
      <c r="AB1756" s="4"/>
      <c r="AC1756" s="4"/>
      <c r="AD1756" s="4"/>
      <c r="AE1756" s="4"/>
      <c r="AF1756" s="14"/>
    </row>
    <row r="1757" spans="1:32" x14ac:dyDescent="0.25">
      <c r="A1757" s="33" t="str">
        <f>CONCATENATE(D1757,".",F1757,"-",G1757,".",H1757,"")</f>
        <v>3.1-2.9</v>
      </c>
      <c r="C1757" s="39" t="s">
        <v>336</v>
      </c>
      <c r="D1757" s="33">
        <f>IF(C1757="ID",1,(IF(C1757="PR",2,(IF(C1757="DE",3,(IF(C1757="RS",4,(IF(C1757="RC",5,0)))))))))</f>
        <v>3</v>
      </c>
      <c r="E1757" s="33" t="s">
        <v>346</v>
      </c>
      <c r="F1757" s="33">
        <f>IF(E1757="AM",1,(IF(E1757="BE",2,(IF(E1757="GV",3,(IF(E1757="RA",4,(IF(E1757="RM",5,(IF(E1757="AC",1,(IF(E1757="AT",2,(IF(E1757="DS",3,(IF(E1757="IP",4,(IF(E1757="MA",5,(IF(E1757="PT",6,(IF(E1757="AE",1,(IF(E1757="CM",2,(IF(E1757="DP",3,(IF(E1757="AN",1,(IF(E1757="CO",2,(IF(E1757="IM",3,(IF(E1757="MI",4,(IF(E1757="RP",5,(IF(E1757="SC",6,0)))))))))))))))))))))))))))))))))))))))</f>
        <v>1</v>
      </c>
      <c r="G1757" s="170">
        <v>2</v>
      </c>
      <c r="H1757" s="38" t="s">
        <v>596</v>
      </c>
      <c r="I1757" s="3" t="s">
        <v>1449</v>
      </c>
      <c r="J1757" s="157" t="s">
        <v>3139</v>
      </c>
      <c r="K1757" s="34" t="s">
        <v>3140</v>
      </c>
      <c r="L1757" s="5">
        <f>IF(O1757="","",N1757*O1757*M1757)</f>
        <v>99</v>
      </c>
      <c r="M1757" s="8">
        <v>1</v>
      </c>
      <c r="N1757" s="1">
        <v>1</v>
      </c>
      <c r="O1757" s="15">
        <f>IF(SUM(Q1757:AF1757)&lt;1,"",SUM(Q1757:AF1757)/COUNTIF(Q1757:AF1757,"&gt;0"))</f>
        <v>99</v>
      </c>
      <c r="P1757" s="16"/>
      <c r="Q1757" s="13"/>
      <c r="R1757" s="4"/>
      <c r="S1757" s="4"/>
      <c r="T1757" s="4">
        <v>99</v>
      </c>
      <c r="U1757" s="2"/>
      <c r="V1757" s="2"/>
      <c r="W1757" s="2"/>
      <c r="X1757" s="2"/>
      <c r="Y1757" s="4"/>
      <c r="Z1757" s="2"/>
      <c r="AA1757" s="2"/>
      <c r="AB1757" s="4"/>
      <c r="AC1757" s="4"/>
      <c r="AD1757" s="4"/>
      <c r="AE1757" s="4"/>
      <c r="AF1757" s="14"/>
    </row>
    <row r="1758" spans="1:32" x14ac:dyDescent="0.25">
      <c r="A1758" s="33" t="str">
        <f>CONCATENATE(D1758,".",F1758,"-",G1758,".",H1758,"")</f>
        <v>3.1-2.9</v>
      </c>
      <c r="C1758" s="39" t="s">
        <v>336</v>
      </c>
      <c r="D1758" s="33">
        <f>IF(C1758="ID",1,(IF(C1758="PR",2,(IF(C1758="DE",3,(IF(C1758="RS",4,(IF(C1758="RC",5,0)))))))))</f>
        <v>3</v>
      </c>
      <c r="E1758" s="33" t="s">
        <v>346</v>
      </c>
      <c r="F1758" s="33">
        <f>IF(E1758="AM",1,(IF(E1758="BE",2,(IF(E1758="GV",3,(IF(E1758="RA",4,(IF(E1758="RM",5,(IF(E1758="AC",1,(IF(E1758="AT",2,(IF(E1758="DS",3,(IF(E1758="IP",4,(IF(E1758="MA",5,(IF(E1758="PT",6,(IF(E1758="AE",1,(IF(E1758="CM",2,(IF(E1758="DP",3,(IF(E1758="AN",1,(IF(E1758="CO",2,(IF(E1758="IM",3,(IF(E1758="MI",4,(IF(E1758="RP",5,(IF(E1758="SC",6,0)))))))))))))))))))))))))))))))))))))))</f>
        <v>1</v>
      </c>
      <c r="G1758" s="170">
        <v>2</v>
      </c>
      <c r="H1758" s="38" t="s">
        <v>596</v>
      </c>
      <c r="I1758" s="3" t="s">
        <v>1449</v>
      </c>
      <c r="J1758" s="157" t="s">
        <v>3143</v>
      </c>
      <c r="K1758" s="34" t="s">
        <v>3144</v>
      </c>
      <c r="L1758" s="5">
        <f>IF(O1758="","",N1758*O1758*M1758)</f>
        <v>99</v>
      </c>
      <c r="M1758" s="8">
        <v>1</v>
      </c>
      <c r="N1758" s="1">
        <v>1</v>
      </c>
      <c r="O1758" s="15">
        <f>IF(SUM(Q1758:AF1758)&lt;1,"",SUM(Q1758:AF1758)/COUNTIF(Q1758:AF1758,"&gt;0"))</f>
        <v>99</v>
      </c>
      <c r="P1758" s="16"/>
      <c r="Q1758" s="13"/>
      <c r="R1758" s="4"/>
      <c r="S1758" s="4"/>
      <c r="T1758" s="4">
        <v>99</v>
      </c>
      <c r="U1758" s="2"/>
      <c r="V1758" s="2"/>
      <c r="W1758" s="2"/>
      <c r="X1758" s="2"/>
      <c r="Y1758" s="4"/>
      <c r="Z1758" s="2"/>
      <c r="AA1758" s="2"/>
      <c r="AB1758" s="4"/>
      <c r="AC1758" s="4"/>
      <c r="AD1758" s="4"/>
      <c r="AE1758" s="4"/>
      <c r="AF1758" s="14"/>
    </row>
    <row r="1759" spans="1:32" x14ac:dyDescent="0.25">
      <c r="A1759" s="33" t="str">
        <f>CONCATENATE(D1759,".",F1759,"-",G1759,".",H1759,"")</f>
        <v>3.1-2.9</v>
      </c>
      <c r="C1759" s="39" t="s">
        <v>336</v>
      </c>
      <c r="D1759" s="33">
        <f>IF(C1759="ID",1,(IF(C1759="PR",2,(IF(C1759="DE",3,(IF(C1759="RS",4,(IF(C1759="RC",5,0)))))))))</f>
        <v>3</v>
      </c>
      <c r="E1759" s="33" t="s">
        <v>346</v>
      </c>
      <c r="F1759" s="33">
        <f>IF(E1759="AM",1,(IF(E1759="BE",2,(IF(E1759="GV",3,(IF(E1759="RA",4,(IF(E1759="RM",5,(IF(E1759="AC",1,(IF(E1759="AT",2,(IF(E1759="DS",3,(IF(E1759="IP",4,(IF(E1759="MA",5,(IF(E1759="PT",6,(IF(E1759="AE",1,(IF(E1759="CM",2,(IF(E1759="DP",3,(IF(E1759="AN",1,(IF(E1759="CO",2,(IF(E1759="IM",3,(IF(E1759="MI",4,(IF(E1759="RP",5,(IF(E1759="SC",6,0)))))))))))))))))))))))))))))))))))))))</f>
        <v>1</v>
      </c>
      <c r="G1759" s="170">
        <v>2</v>
      </c>
      <c r="H1759" s="38" t="s">
        <v>596</v>
      </c>
      <c r="I1759" s="3" t="s">
        <v>1449</v>
      </c>
      <c r="J1759" s="157" t="s">
        <v>3145</v>
      </c>
      <c r="K1759" s="34" t="s">
        <v>3146</v>
      </c>
      <c r="L1759" s="5">
        <f>IF(O1759="","",N1759*O1759*M1759)</f>
        <v>99</v>
      </c>
      <c r="M1759" s="8">
        <v>1</v>
      </c>
      <c r="N1759" s="1">
        <v>1</v>
      </c>
      <c r="O1759" s="15">
        <f>IF(SUM(Q1759:AF1759)&lt;1,"",SUM(Q1759:AF1759)/COUNTIF(Q1759:AF1759,"&gt;0"))</f>
        <v>99</v>
      </c>
      <c r="P1759" s="16"/>
      <c r="Q1759" s="13"/>
      <c r="R1759" s="4"/>
      <c r="S1759" s="4"/>
      <c r="T1759" s="4">
        <v>99</v>
      </c>
      <c r="U1759" s="2"/>
      <c r="V1759" s="2"/>
      <c r="W1759" s="2"/>
      <c r="X1759" s="2"/>
      <c r="Y1759" s="4"/>
      <c r="Z1759" s="2"/>
      <c r="AA1759" s="2"/>
      <c r="AB1759" s="4"/>
      <c r="AC1759" s="4"/>
      <c r="AD1759" s="4"/>
      <c r="AE1759" s="4"/>
      <c r="AF1759" s="14"/>
    </row>
    <row r="1760" spans="1:32" x14ac:dyDescent="0.25">
      <c r="A1760" s="33" t="str">
        <f>CONCATENATE(D1760,".",F1760,"-",G1760,".",H1760,"")</f>
        <v>3.1-3.0</v>
      </c>
      <c r="B1760" s="33" t="s">
        <v>814</v>
      </c>
      <c r="C1760" s="40" t="s">
        <v>336</v>
      </c>
      <c r="D1760" s="33">
        <f>IF(C1760="ID",1,(IF(C1760="PR",2,(IF(C1760="DE",3,(IF(C1760="RS",4,(IF(C1760="RC",5,0)))))))))</f>
        <v>3</v>
      </c>
      <c r="E1760" s="33" t="s">
        <v>346</v>
      </c>
      <c r="F1760" s="33">
        <f>IF(E1760="AM",1,(IF(E1760="BE",2,(IF(E1760="GV",3,(IF(E1760="RA",4,(IF(E1760="RM",5,(IF(E1760="AC",1,(IF(E1760="AT",2,(IF(E1760="DS",3,(IF(E1760="IP",4,(IF(E1760="MA",5,(IF(E1760="PT",6,(IF(E1760="AE",1,(IF(E1760="CM",2,(IF(E1760="DP",3,(IF(E1760="AN",1,(IF(E1760="CO",2,(IF(E1760="IM",3,(IF(E1760="MI",4,(IF(E1760="RP",5,(IF(E1760="SC",6,0)))))))))))))))))))))))))))))))))))))))</f>
        <v>1</v>
      </c>
      <c r="G1760" s="170">
        <v>3</v>
      </c>
      <c r="H1760" s="38" t="s">
        <v>597</v>
      </c>
      <c r="I1760" s="22" t="s">
        <v>1200</v>
      </c>
      <c r="J1760" s="149" t="s">
        <v>626</v>
      </c>
      <c r="K1760" s="99" t="s">
        <v>403</v>
      </c>
      <c r="L1760" s="66">
        <f>IF(O1760="","",N1760*O1760*M1760)</f>
        <v>75</v>
      </c>
      <c r="M1760" s="8">
        <v>1</v>
      </c>
      <c r="N1760" s="1">
        <v>1</v>
      </c>
      <c r="O1760" s="15">
        <f>IF(SUM(Q1760:AF1760)&lt;1,"",SUM(Q1760:AF1760)/COUNTIF(Q1760:AF1760,"&gt;0"))</f>
        <v>75</v>
      </c>
      <c r="P1760" s="16"/>
      <c r="Q1760" s="13"/>
      <c r="R1760" s="4"/>
      <c r="S1760" s="4"/>
      <c r="T1760" s="4">
        <v>75</v>
      </c>
      <c r="U1760" s="4"/>
      <c r="V1760" s="4"/>
      <c r="W1760" s="4"/>
      <c r="X1760" s="2"/>
      <c r="Y1760" s="4"/>
      <c r="Z1760" s="2"/>
      <c r="AA1760" s="2"/>
      <c r="AB1760" s="4"/>
      <c r="AC1760" s="4"/>
      <c r="AD1760" s="4"/>
      <c r="AE1760" s="4"/>
      <c r="AF1760" s="14"/>
    </row>
    <row r="1761" spans="1:32" x14ac:dyDescent="0.25">
      <c r="A1761" s="33" t="str">
        <f>CONCATENATE(D1761,".",F1761,"-",G1761,".",H1761,"")</f>
        <v>3.1-3.1</v>
      </c>
      <c r="B1761" s="33" t="s">
        <v>814</v>
      </c>
      <c r="C1761" s="40" t="s">
        <v>336</v>
      </c>
      <c r="D1761" s="33">
        <f>IF(C1761="ID",1,(IF(C1761="PR",2,(IF(C1761="DE",3,(IF(C1761="RS",4,(IF(C1761="RC",5,0)))))))))</f>
        <v>3</v>
      </c>
      <c r="E1761" s="33" t="s">
        <v>346</v>
      </c>
      <c r="F1761" s="33">
        <f>IF(E1761="AM",1,(IF(E1761="BE",2,(IF(E1761="GV",3,(IF(E1761="RA",4,(IF(E1761="RM",5,(IF(E1761="AC",1,(IF(E1761="AT",2,(IF(E1761="DS",3,(IF(E1761="IP",4,(IF(E1761="MA",5,(IF(E1761="PT",6,(IF(E1761="AE",1,(IF(E1761="CM",2,(IF(E1761="DP",3,(IF(E1761="AN",1,(IF(E1761="CO",2,(IF(E1761="IM",3,(IF(E1761="MI",4,(IF(E1761="RP",5,(IF(E1761="SC",6,0)))))))))))))))))))))))))))))))))))))))</f>
        <v>1</v>
      </c>
      <c r="G1761" s="171">
        <v>3</v>
      </c>
      <c r="H1761" s="38" t="s">
        <v>511</v>
      </c>
      <c r="I1761" s="3" t="s">
        <v>821</v>
      </c>
      <c r="J1761" s="149">
        <v>10.6</v>
      </c>
      <c r="K1761" s="79" t="s">
        <v>1283</v>
      </c>
      <c r="L1761" s="66">
        <f>IF(O1761="","",N1761*O1761*M1761)</f>
        <v>75</v>
      </c>
      <c r="M1761" s="8">
        <v>1</v>
      </c>
      <c r="N1761" s="1">
        <v>1</v>
      </c>
      <c r="O1761" s="15">
        <f>IF(SUM(Q1761:AF1761)&lt;1,"",SUM(Q1761:AF1761)/COUNTIF(Q1761:AF1761,"&gt;0"))</f>
        <v>75</v>
      </c>
      <c r="P1761" s="16"/>
      <c r="Q1761" s="13"/>
      <c r="R1761" s="4"/>
      <c r="S1761" s="4"/>
      <c r="T1761" s="4">
        <v>75</v>
      </c>
      <c r="U1761" s="2"/>
      <c r="V1761" s="2"/>
      <c r="W1761" s="2"/>
      <c r="X1761" s="2"/>
      <c r="Y1761" s="4"/>
      <c r="Z1761" s="2"/>
      <c r="AA1761" s="2"/>
      <c r="AB1761" s="4"/>
      <c r="AC1761" s="4"/>
      <c r="AD1761" s="4"/>
      <c r="AE1761" s="4"/>
      <c r="AF1761" s="14"/>
    </row>
    <row r="1762" spans="1:32" x14ac:dyDescent="0.25">
      <c r="A1762" s="33" t="str">
        <f>CONCATENATE(D1762,".",F1762,"-",G1762,".",H1762,"")</f>
        <v>3.1-3.1</v>
      </c>
      <c r="B1762" s="33" t="s">
        <v>814</v>
      </c>
      <c r="C1762" s="40" t="s">
        <v>336</v>
      </c>
      <c r="D1762" s="33">
        <f>IF(C1762="ID",1,(IF(C1762="PR",2,(IF(C1762="DE",3,(IF(C1762="RS",4,(IF(C1762="RC",5,0)))))))))</f>
        <v>3</v>
      </c>
      <c r="E1762" s="33" t="s">
        <v>346</v>
      </c>
      <c r="F1762" s="33">
        <f>IF(E1762="AM",1,(IF(E1762="BE",2,(IF(E1762="GV",3,(IF(E1762="RA",4,(IF(E1762="RM",5,(IF(E1762="AC",1,(IF(E1762="AT",2,(IF(E1762="DS",3,(IF(E1762="IP",4,(IF(E1762="MA",5,(IF(E1762="PT",6,(IF(E1762="AE",1,(IF(E1762="CM",2,(IF(E1762="DP",3,(IF(E1762="AN",1,(IF(E1762="CO",2,(IF(E1762="IM",3,(IF(E1762="MI",4,(IF(E1762="RP",5,(IF(E1762="SC",6,0)))))))))))))))))))))))))))))))))))))))</f>
        <v>1</v>
      </c>
      <c r="G1762" s="171">
        <v>3</v>
      </c>
      <c r="H1762" s="38" t="s">
        <v>511</v>
      </c>
      <c r="I1762" s="3" t="s">
        <v>821</v>
      </c>
      <c r="J1762" s="149">
        <v>11.4</v>
      </c>
      <c r="K1762" s="79" t="s">
        <v>1283</v>
      </c>
      <c r="L1762" s="66">
        <f>IF(O1762="","",N1762*O1762*M1762)</f>
        <v>75</v>
      </c>
      <c r="M1762" s="8">
        <v>1</v>
      </c>
      <c r="N1762" s="1">
        <v>1</v>
      </c>
      <c r="O1762" s="15">
        <f>IF(SUM(Q1762:AF1762)&lt;1,"",SUM(Q1762:AF1762)/COUNTIF(Q1762:AF1762,"&gt;0"))</f>
        <v>75</v>
      </c>
      <c r="P1762" s="16"/>
      <c r="Q1762" s="13"/>
      <c r="R1762" s="4"/>
      <c r="S1762" s="4"/>
      <c r="T1762" s="4">
        <v>75</v>
      </c>
      <c r="U1762" s="2"/>
      <c r="V1762" s="2"/>
      <c r="W1762" s="2"/>
      <c r="X1762" s="2"/>
      <c r="Y1762" s="4"/>
      <c r="Z1762" s="2"/>
      <c r="AA1762" s="2"/>
      <c r="AB1762" s="4"/>
      <c r="AC1762" s="4"/>
      <c r="AD1762" s="4"/>
      <c r="AE1762" s="4"/>
      <c r="AF1762" s="14"/>
    </row>
    <row r="1763" spans="1:32" x14ac:dyDescent="0.25">
      <c r="A1763" s="33" t="str">
        <f>CONCATENATE(D1763,".",F1763,"-",G1763,".",H1763,"")</f>
        <v>3.1-3.1</v>
      </c>
      <c r="B1763" s="33" t="s">
        <v>814</v>
      </c>
      <c r="C1763" s="40" t="s">
        <v>336</v>
      </c>
      <c r="D1763" s="33">
        <f>IF(C1763="ID",1,(IF(C1763="PR",2,(IF(C1763="DE",3,(IF(C1763="RS",4,(IF(C1763="RC",5,0)))))))))</f>
        <v>3</v>
      </c>
      <c r="E1763" s="33" t="s">
        <v>346</v>
      </c>
      <c r="F1763" s="33">
        <f>IF(E1763="AM",1,(IF(E1763="BE",2,(IF(E1763="GV",3,(IF(E1763="RA",4,(IF(E1763="RM",5,(IF(E1763="AC",1,(IF(E1763="AT",2,(IF(E1763="DS",3,(IF(E1763="IP",4,(IF(E1763="MA",5,(IF(E1763="PT",6,(IF(E1763="AE",1,(IF(E1763="CM",2,(IF(E1763="DP",3,(IF(E1763="AN",1,(IF(E1763="CO",2,(IF(E1763="IM",3,(IF(E1763="MI",4,(IF(E1763="RP",5,(IF(E1763="SC",6,0)))))))))))))))))))))))))))))))))))))))</f>
        <v>1</v>
      </c>
      <c r="G1763" s="171">
        <v>3</v>
      </c>
      <c r="H1763" s="38" t="s">
        <v>511</v>
      </c>
      <c r="I1763" s="3" t="s">
        <v>821</v>
      </c>
      <c r="J1763" s="149" t="s">
        <v>227</v>
      </c>
      <c r="K1763" s="79" t="s">
        <v>1283</v>
      </c>
      <c r="L1763" s="66">
        <f>IF(O1763="","",N1763*O1763*M1763)</f>
        <v>75</v>
      </c>
      <c r="M1763" s="8">
        <v>1</v>
      </c>
      <c r="N1763" s="1">
        <v>1</v>
      </c>
      <c r="O1763" s="15">
        <f>IF(SUM(Q1763:AF1763)&lt;1,"",SUM(Q1763:AF1763)/COUNTIF(Q1763:AF1763,"&gt;0"))</f>
        <v>75</v>
      </c>
      <c r="P1763" s="16"/>
      <c r="Q1763" s="13"/>
      <c r="R1763" s="4"/>
      <c r="S1763" s="4"/>
      <c r="T1763" s="4">
        <v>75</v>
      </c>
      <c r="U1763" s="2"/>
      <c r="V1763" s="2"/>
      <c r="W1763" s="2"/>
      <c r="X1763" s="2"/>
      <c r="Y1763" s="4"/>
      <c r="Z1763" s="2"/>
      <c r="AA1763" s="2"/>
      <c r="AB1763" s="4"/>
      <c r="AC1763" s="4"/>
      <c r="AD1763" s="4"/>
      <c r="AE1763" s="4"/>
      <c r="AF1763" s="14"/>
    </row>
    <row r="1764" spans="1:32" x14ac:dyDescent="0.25">
      <c r="A1764" s="33" t="str">
        <f>CONCATENATE(D1764,".",F1764,"-",G1764,".",H1764,"")</f>
        <v>3.1-3.1</v>
      </c>
      <c r="B1764" s="33" t="s">
        <v>814</v>
      </c>
      <c r="C1764" s="40" t="s">
        <v>336</v>
      </c>
      <c r="D1764" s="33">
        <f>IF(C1764="ID",1,(IF(C1764="PR",2,(IF(C1764="DE",3,(IF(C1764="RS",4,(IF(C1764="RC",5,0)))))))))</f>
        <v>3</v>
      </c>
      <c r="E1764" s="33" t="s">
        <v>346</v>
      </c>
      <c r="F1764" s="33">
        <f>IF(E1764="AM",1,(IF(E1764="BE",2,(IF(E1764="GV",3,(IF(E1764="RA",4,(IF(E1764="RM",5,(IF(E1764="AC",1,(IF(E1764="AT",2,(IF(E1764="DS",3,(IF(E1764="IP",4,(IF(E1764="MA",5,(IF(E1764="PT",6,(IF(E1764="AE",1,(IF(E1764="CM",2,(IF(E1764="DP",3,(IF(E1764="AN",1,(IF(E1764="CO",2,(IF(E1764="IM",3,(IF(E1764="MI",4,(IF(E1764="RP",5,(IF(E1764="SC",6,0)))))))))))))))))))))))))))))))))))))))</f>
        <v>1</v>
      </c>
      <c r="G1764" s="171">
        <v>3</v>
      </c>
      <c r="H1764" s="38" t="s">
        <v>511</v>
      </c>
      <c r="I1764" s="22" t="s">
        <v>936</v>
      </c>
      <c r="J1764" s="163" t="s">
        <v>885</v>
      </c>
      <c r="K1764" s="34" t="s">
        <v>985</v>
      </c>
      <c r="L1764" s="66">
        <f>IF(O1764="","",N1764*O1764*M1764)</f>
        <v>75</v>
      </c>
      <c r="M1764" s="8">
        <v>1</v>
      </c>
      <c r="N1764" s="3">
        <v>1</v>
      </c>
      <c r="O1764" s="15">
        <f>IF(SUM(Q1764:AF1764)&lt;1,"",SUM(Q1764:AF1764)/COUNTIF(Q1764:AF1764,"&gt;0"))</f>
        <v>75</v>
      </c>
      <c r="P1764" s="16"/>
      <c r="Q1764" s="13"/>
      <c r="R1764" s="4"/>
      <c r="S1764" s="4"/>
      <c r="T1764" s="4">
        <v>75</v>
      </c>
      <c r="U1764" s="2"/>
      <c r="V1764" s="2"/>
      <c r="W1764" s="2"/>
      <c r="X1764" s="2"/>
      <c r="Y1764" s="4"/>
      <c r="Z1764" s="2"/>
      <c r="AA1764" s="2"/>
      <c r="AB1764" s="4"/>
      <c r="AC1764" s="4"/>
      <c r="AD1764" s="4"/>
      <c r="AE1764" s="4"/>
      <c r="AF1764" s="14"/>
    </row>
    <row r="1765" spans="1:32" x14ac:dyDescent="0.25">
      <c r="A1765" s="33" t="str">
        <f>CONCATENATE(D1765,".",F1765,"-",G1765,".",H1765,"")</f>
        <v>3.1-3.1</v>
      </c>
      <c r="B1765" s="33" t="s">
        <v>814</v>
      </c>
      <c r="C1765" s="40" t="s">
        <v>336</v>
      </c>
      <c r="D1765" s="33">
        <f>IF(C1765="ID",1,(IF(C1765="PR",2,(IF(C1765="DE",3,(IF(C1765="RS",4,(IF(C1765="RC",5,0)))))))))</f>
        <v>3</v>
      </c>
      <c r="E1765" s="33" t="s">
        <v>346</v>
      </c>
      <c r="F1765" s="33">
        <f>IF(E1765="AM",1,(IF(E1765="BE",2,(IF(E1765="GV",3,(IF(E1765="RA",4,(IF(E1765="RM",5,(IF(E1765="AC",1,(IF(E1765="AT",2,(IF(E1765="DS",3,(IF(E1765="IP",4,(IF(E1765="MA",5,(IF(E1765="PT",6,(IF(E1765="AE",1,(IF(E1765="CM",2,(IF(E1765="DP",3,(IF(E1765="AN",1,(IF(E1765="CO",2,(IF(E1765="IM",3,(IF(E1765="MI",4,(IF(E1765="RP",5,(IF(E1765="SC",6,0)))))))))))))))))))))))))))))))))))))))</f>
        <v>1</v>
      </c>
      <c r="G1765" s="171">
        <v>3</v>
      </c>
      <c r="H1765" s="38" t="s">
        <v>511</v>
      </c>
      <c r="I1765" s="22" t="s">
        <v>936</v>
      </c>
      <c r="J1765" s="163" t="s">
        <v>869</v>
      </c>
      <c r="K1765" s="34" t="s">
        <v>992</v>
      </c>
      <c r="L1765" s="66">
        <f>IF(O1765="","",N1765*O1765*M1765)</f>
        <v>75</v>
      </c>
      <c r="M1765" s="8">
        <v>1</v>
      </c>
      <c r="N1765" s="3">
        <v>1</v>
      </c>
      <c r="O1765" s="15">
        <f>IF(SUM(Q1765:AF1765)&lt;1,"",SUM(Q1765:AF1765)/COUNTIF(Q1765:AF1765,"&gt;0"))</f>
        <v>75</v>
      </c>
      <c r="P1765" s="16"/>
      <c r="Q1765" s="13"/>
      <c r="R1765" s="4"/>
      <c r="S1765" s="4"/>
      <c r="T1765" s="4">
        <v>75</v>
      </c>
      <c r="U1765" s="2"/>
      <c r="V1765" s="2"/>
      <c r="W1765" s="2"/>
      <c r="X1765" s="2"/>
      <c r="Y1765" s="4"/>
      <c r="Z1765" s="2"/>
      <c r="AA1765" s="2"/>
      <c r="AB1765" s="4"/>
      <c r="AC1765" s="4"/>
      <c r="AD1765" s="4"/>
      <c r="AE1765" s="4"/>
      <c r="AF1765" s="14"/>
    </row>
    <row r="1766" spans="1:32" x14ac:dyDescent="0.25">
      <c r="A1766" s="33" t="str">
        <f>CONCATENATE(D1766,".",F1766,"-",G1766,".",H1766,"")</f>
        <v>3.1-3.1</v>
      </c>
      <c r="B1766" s="33" t="s">
        <v>814</v>
      </c>
      <c r="C1766" s="40" t="s">
        <v>336</v>
      </c>
      <c r="D1766" s="33">
        <f>IF(C1766="ID",1,(IF(C1766="PR",2,(IF(C1766="DE",3,(IF(C1766="RS",4,(IF(C1766="RC",5,0)))))))))</f>
        <v>3</v>
      </c>
      <c r="E1766" s="33" t="s">
        <v>346</v>
      </c>
      <c r="F1766" s="33">
        <f>IF(E1766="AM",1,(IF(E1766="BE",2,(IF(E1766="GV",3,(IF(E1766="RA",4,(IF(E1766="RM",5,(IF(E1766="AC",1,(IF(E1766="AT",2,(IF(E1766="DS",3,(IF(E1766="IP",4,(IF(E1766="MA",5,(IF(E1766="PT",6,(IF(E1766="AE",1,(IF(E1766="CM",2,(IF(E1766="DP",3,(IF(E1766="AN",1,(IF(E1766="CO",2,(IF(E1766="IM",3,(IF(E1766="MI",4,(IF(E1766="RP",5,(IF(E1766="SC",6,0)))))))))))))))))))))))))))))))))))))))</f>
        <v>1</v>
      </c>
      <c r="G1766" s="171">
        <v>3</v>
      </c>
      <c r="H1766" s="38" t="s">
        <v>511</v>
      </c>
      <c r="I1766" s="22" t="s">
        <v>936</v>
      </c>
      <c r="J1766" s="163" t="s">
        <v>913</v>
      </c>
      <c r="K1766" s="34" t="s">
        <v>954</v>
      </c>
      <c r="L1766" s="66">
        <f>IF(O1766="","",N1766*O1766*M1766)</f>
        <v>75</v>
      </c>
      <c r="M1766" s="8">
        <v>1</v>
      </c>
      <c r="N1766" s="3">
        <v>1</v>
      </c>
      <c r="O1766" s="15">
        <f>IF(SUM(Q1766:AF1766)&lt;1,"",SUM(Q1766:AF1766)/COUNTIF(Q1766:AF1766,"&gt;0"))</f>
        <v>75</v>
      </c>
      <c r="P1766" s="16"/>
      <c r="Q1766" s="13"/>
      <c r="R1766" s="4"/>
      <c r="S1766" s="4"/>
      <c r="T1766" s="4">
        <v>75</v>
      </c>
      <c r="U1766" s="2"/>
      <c r="V1766" s="2"/>
      <c r="W1766" s="2"/>
      <c r="X1766" s="2"/>
      <c r="Y1766" s="4"/>
      <c r="Z1766" s="2"/>
      <c r="AA1766" s="2"/>
      <c r="AB1766" s="4"/>
      <c r="AC1766" s="4"/>
      <c r="AD1766" s="4"/>
      <c r="AE1766" s="4"/>
      <c r="AF1766" s="14"/>
    </row>
    <row r="1767" spans="1:32" x14ac:dyDescent="0.25">
      <c r="A1767" s="33" t="str">
        <f>CONCATENATE(D1767,".",F1767,"-",G1767,".",H1767,"")</f>
        <v>3.1-3.1</v>
      </c>
      <c r="B1767" s="33" t="s">
        <v>814</v>
      </c>
      <c r="C1767" s="41" t="s">
        <v>336</v>
      </c>
      <c r="D1767" s="33">
        <f>IF(C1767="ID",1,(IF(C1767="PR",2,(IF(C1767="DE",3,(IF(C1767="RS",4,(IF(C1767="RC",5,0)))))))))</f>
        <v>3</v>
      </c>
      <c r="E1767" s="33" t="s">
        <v>346</v>
      </c>
      <c r="F1767" s="33">
        <f>IF(E1767="AM",1,(IF(E1767="BE",2,(IF(E1767="GV",3,(IF(E1767="RA",4,(IF(E1767="RM",5,(IF(E1767="AC",1,(IF(E1767="AT",2,(IF(E1767="DS",3,(IF(E1767="IP",4,(IF(E1767="MA",5,(IF(E1767="PT",6,(IF(E1767="AE",1,(IF(E1767="CM",2,(IF(E1767="DP",3,(IF(E1767="AN",1,(IF(E1767="CO",2,(IF(E1767="IM",3,(IF(E1767="MI",4,(IF(E1767="RP",5,(IF(E1767="SC",6,0)))))))))))))))))))))))))))))))))))))))</f>
        <v>1</v>
      </c>
      <c r="G1767" s="170">
        <v>3</v>
      </c>
      <c r="H1767" s="38" t="s">
        <v>511</v>
      </c>
      <c r="I1767" s="22" t="s">
        <v>266</v>
      </c>
      <c r="J1767" s="149" t="s">
        <v>271</v>
      </c>
      <c r="K1767" s="79" t="s">
        <v>1318</v>
      </c>
      <c r="L1767" s="5">
        <f>IF(O1767="","",N1767*O1767*M1767)</f>
        <v>75</v>
      </c>
      <c r="M1767" s="8">
        <v>1</v>
      </c>
      <c r="N1767" s="1">
        <v>1</v>
      </c>
      <c r="O1767" s="15">
        <f>IF(SUM(Q1767:AF1767)&lt;1,"",SUM(Q1767:AF1767)/COUNTIF(Q1767:AF1767,"&gt;0"))</f>
        <v>75</v>
      </c>
      <c r="P1767" s="16"/>
      <c r="Q1767" s="13"/>
      <c r="R1767" s="4"/>
      <c r="S1767" s="4"/>
      <c r="T1767" s="4">
        <v>75</v>
      </c>
      <c r="U1767" s="2"/>
      <c r="V1767" s="2"/>
      <c r="W1767" s="2"/>
      <c r="X1767" s="2"/>
      <c r="Y1767" s="4"/>
      <c r="Z1767" s="2"/>
      <c r="AA1767" s="2"/>
      <c r="AB1767" s="4"/>
      <c r="AC1767" s="4"/>
      <c r="AD1767" s="4"/>
      <c r="AE1767" s="4"/>
      <c r="AF1767" s="14"/>
    </row>
    <row r="1768" spans="1:32" x14ac:dyDescent="0.25">
      <c r="A1768" s="33" t="str">
        <f>CONCATENATE(D1768,".",F1768,"-",G1768,".",H1768,"")</f>
        <v>3.1-3.1</v>
      </c>
      <c r="B1768" s="33" t="s">
        <v>814</v>
      </c>
      <c r="C1768" s="39" t="s">
        <v>336</v>
      </c>
      <c r="D1768" s="33">
        <f>IF(C1768="ID",1,(IF(C1768="PR",2,(IF(C1768="DE",3,(IF(C1768="RS",4,(IF(C1768="RC",5,0)))))))))</f>
        <v>3</v>
      </c>
      <c r="E1768" s="33" t="s">
        <v>346</v>
      </c>
      <c r="F1768" s="33">
        <f>IF(E1768="AM",1,(IF(E1768="BE",2,(IF(E1768="GV",3,(IF(E1768="RA",4,(IF(E1768="RM",5,(IF(E1768="AC",1,(IF(E1768="AT",2,(IF(E1768="DS",3,(IF(E1768="IP",4,(IF(E1768="MA",5,(IF(E1768="PT",6,(IF(E1768="AE",1,(IF(E1768="CM",2,(IF(E1768="DP",3,(IF(E1768="AN",1,(IF(E1768="CO",2,(IF(E1768="IM",3,(IF(E1768="MI",4,(IF(E1768="RP",5,(IF(E1768="SC",6,0)))))))))))))))))))))))))))))))))))))))</f>
        <v>1</v>
      </c>
      <c r="G1768" s="170">
        <v>3</v>
      </c>
      <c r="H1768" s="33">
        <v>1</v>
      </c>
      <c r="I1768" s="22" t="s">
        <v>266</v>
      </c>
      <c r="J1768" s="150" t="s">
        <v>278</v>
      </c>
      <c r="K1768" s="79" t="s">
        <v>1367</v>
      </c>
      <c r="L1768" s="5">
        <f>IF(O1768="","",N1768*O1768*M1768)</f>
        <v>75</v>
      </c>
      <c r="M1768" s="8">
        <v>1</v>
      </c>
      <c r="N1768" s="1">
        <v>1</v>
      </c>
      <c r="O1768" s="15">
        <f>IF(SUM(Q1768:AF1768)&lt;1,"",SUM(Q1768:AF1768)/COUNTIF(Q1768:AF1768,"&gt;0"))</f>
        <v>75</v>
      </c>
      <c r="P1768" s="16"/>
      <c r="Q1768" s="13"/>
      <c r="T1768" s="4">
        <v>75</v>
      </c>
      <c r="AF1768" s="104"/>
    </row>
    <row r="1769" spans="1:32" x14ac:dyDescent="0.25">
      <c r="A1769" s="33" t="str">
        <f>CONCATENATE(D1769,".",F1769,"-",G1769,".",H1769,"")</f>
        <v>3.1-3.1</v>
      </c>
      <c r="B1769" s="33" t="s">
        <v>814</v>
      </c>
      <c r="C1769" s="39" t="s">
        <v>336</v>
      </c>
      <c r="D1769" s="33">
        <f>IF(C1769="ID",1,(IF(C1769="PR",2,(IF(C1769="DE",3,(IF(C1769="RS",4,(IF(C1769="RC",5,0)))))))))</f>
        <v>3</v>
      </c>
      <c r="E1769" s="33" t="s">
        <v>346</v>
      </c>
      <c r="F1769" s="33">
        <f>IF(E1769="AM",1,(IF(E1769="BE",2,(IF(E1769="GV",3,(IF(E1769="RA",4,(IF(E1769="RM",5,(IF(E1769="AC",1,(IF(E1769="AT",2,(IF(E1769="DS",3,(IF(E1769="IP",4,(IF(E1769="MA",5,(IF(E1769="PT",6,(IF(E1769="AE",1,(IF(E1769="CM",2,(IF(E1769="DP",3,(IF(E1769="AN",1,(IF(E1769="CO",2,(IF(E1769="IM",3,(IF(E1769="MI",4,(IF(E1769="RP",5,(IF(E1769="SC",6,0)))))))))))))))))))))))))))))))))))))))</f>
        <v>1</v>
      </c>
      <c r="G1769" s="170">
        <v>3</v>
      </c>
      <c r="H1769" s="38" t="s">
        <v>511</v>
      </c>
      <c r="I1769" s="79" t="s">
        <v>1176</v>
      </c>
      <c r="J1769" s="162">
        <v>4.2</v>
      </c>
      <c r="K1769" t="s">
        <v>1234</v>
      </c>
      <c r="L1769" s="66">
        <f>IF(O1769="","",N1769*O1769*M1769)</f>
        <v>75</v>
      </c>
      <c r="M1769" s="8">
        <v>1</v>
      </c>
      <c r="N1769" s="3">
        <v>1</v>
      </c>
      <c r="O1769" s="15">
        <f>IF(SUM(Q1769:AF1769)&lt;1,"",SUM(Q1769:AF1769)/COUNTIF(Q1769:AF1769,"&gt;0"))</f>
        <v>75</v>
      </c>
      <c r="P1769" s="16"/>
      <c r="Q1769" s="13"/>
      <c r="R1769" s="4"/>
      <c r="S1769" s="4"/>
      <c r="T1769" s="4">
        <v>75</v>
      </c>
      <c r="U1769" s="2"/>
      <c r="V1769" s="2"/>
      <c r="W1769" s="2"/>
      <c r="X1769" s="2"/>
      <c r="Y1769" s="4"/>
      <c r="Z1769" s="2"/>
      <c r="AA1769" s="2"/>
      <c r="AB1769" s="4"/>
      <c r="AC1769" s="4"/>
      <c r="AD1769" s="4"/>
      <c r="AE1769" s="4"/>
      <c r="AF1769" s="14"/>
    </row>
    <row r="1770" spans="1:32" x14ac:dyDescent="0.25">
      <c r="A1770" s="33" t="str">
        <f>CONCATENATE(D1770,".",F1770,"-",G1770,".",H1770,"")</f>
        <v>3.1-3.1</v>
      </c>
      <c r="B1770" s="33" t="s">
        <v>814</v>
      </c>
      <c r="C1770" s="39" t="s">
        <v>336</v>
      </c>
      <c r="D1770" s="33">
        <f>IF(C1770="ID",1,(IF(C1770="PR",2,(IF(C1770="DE",3,(IF(C1770="RS",4,(IF(C1770="RC",5,0)))))))))</f>
        <v>3</v>
      </c>
      <c r="E1770" s="33" t="s">
        <v>346</v>
      </c>
      <c r="F1770" s="33">
        <f>IF(E1770="AM",1,(IF(E1770="BE",2,(IF(E1770="GV",3,(IF(E1770="RA",4,(IF(E1770="RM",5,(IF(E1770="AC",1,(IF(E1770="AT",2,(IF(E1770="DS",3,(IF(E1770="IP",4,(IF(E1770="MA",5,(IF(E1770="PT",6,(IF(E1770="AE",1,(IF(E1770="CM",2,(IF(E1770="DP",3,(IF(E1770="AN",1,(IF(E1770="CO",2,(IF(E1770="IM",3,(IF(E1770="MI",4,(IF(E1770="RP",5,(IF(E1770="SC",6,0)))))))))))))))))))))))))))))))))))))))</f>
        <v>1</v>
      </c>
      <c r="G1770" s="170">
        <v>3</v>
      </c>
      <c r="H1770" s="38" t="s">
        <v>511</v>
      </c>
      <c r="I1770" s="79" t="s">
        <v>1176</v>
      </c>
      <c r="J1770" s="162">
        <v>6.5</v>
      </c>
      <c r="K1770" s="80" t="s">
        <v>799</v>
      </c>
      <c r="L1770" s="66">
        <f>IF(O1770="","",N1770*O1770*M1770)</f>
        <v>75</v>
      </c>
      <c r="M1770" s="8">
        <v>1</v>
      </c>
      <c r="N1770" s="3">
        <v>1</v>
      </c>
      <c r="O1770" s="15">
        <f>IF(SUM(Q1770:AF1770)&lt;1,"",SUM(Q1770:AF1770)/COUNTIF(Q1770:AF1770,"&gt;0"))</f>
        <v>75</v>
      </c>
      <c r="P1770" s="16"/>
      <c r="Q1770" s="13"/>
      <c r="R1770" s="4"/>
      <c r="S1770" s="4"/>
      <c r="T1770" s="4">
        <v>75</v>
      </c>
      <c r="U1770" s="2"/>
      <c r="V1770" s="2"/>
      <c r="W1770" s="2"/>
      <c r="X1770" s="2"/>
      <c r="Y1770" s="4"/>
      <c r="Z1770" s="2"/>
      <c r="AA1770" s="2"/>
      <c r="AB1770" s="4"/>
      <c r="AC1770" s="4"/>
      <c r="AD1770" s="4"/>
      <c r="AE1770" s="4"/>
      <c r="AF1770" s="14"/>
    </row>
    <row r="1771" spans="1:32" x14ac:dyDescent="0.25">
      <c r="A1771" s="33" t="str">
        <f>CONCATENATE(D1771,".",F1771,"-",G1771,".",H1771,"")</f>
        <v>3.1-3.1</v>
      </c>
      <c r="B1771" s="33" t="s">
        <v>814</v>
      </c>
      <c r="C1771" s="39" t="s">
        <v>336</v>
      </c>
      <c r="D1771" s="33">
        <f>IF(C1771="ID",1,(IF(C1771="PR",2,(IF(C1771="DE",3,(IF(C1771="RS",4,(IF(C1771="RC",5,0)))))))))</f>
        <v>3</v>
      </c>
      <c r="E1771" s="33" t="s">
        <v>346</v>
      </c>
      <c r="F1771" s="33">
        <f>IF(E1771="AM",1,(IF(E1771="BE",2,(IF(E1771="GV",3,(IF(E1771="RA",4,(IF(E1771="RM",5,(IF(E1771="AC",1,(IF(E1771="AT",2,(IF(E1771="DS",3,(IF(E1771="IP",4,(IF(E1771="MA",5,(IF(E1771="PT",6,(IF(E1771="AE",1,(IF(E1771="CM",2,(IF(E1771="DP",3,(IF(E1771="AN",1,(IF(E1771="CO",2,(IF(E1771="IM",3,(IF(E1771="MI",4,(IF(E1771="RP",5,(IF(E1771="SC",6,0)))))))))))))))))))))))))))))))))))))))</f>
        <v>1</v>
      </c>
      <c r="G1771" s="170">
        <v>3</v>
      </c>
      <c r="H1771" s="38" t="s">
        <v>511</v>
      </c>
      <c r="I1771" s="79" t="s">
        <v>1176</v>
      </c>
      <c r="J1771" s="162">
        <v>6.6</v>
      </c>
      <c r="K1771" s="80" t="s">
        <v>1243</v>
      </c>
      <c r="L1771" s="66">
        <f>IF(O1771="","",N1771*O1771*M1771)</f>
        <v>75</v>
      </c>
      <c r="M1771" s="8">
        <v>1</v>
      </c>
      <c r="N1771" s="3">
        <v>1</v>
      </c>
      <c r="O1771" s="15">
        <f>IF(SUM(Q1771:AF1771)&lt;1,"",SUM(Q1771:AF1771)/COUNTIF(Q1771:AF1771,"&gt;0"))</f>
        <v>75</v>
      </c>
      <c r="P1771" s="16"/>
      <c r="Q1771" s="13"/>
      <c r="R1771" s="4"/>
      <c r="S1771" s="4"/>
      <c r="T1771" s="4">
        <v>75</v>
      </c>
      <c r="U1771" s="2"/>
      <c r="V1771" s="2"/>
      <c r="W1771" s="2"/>
      <c r="X1771" s="2"/>
      <c r="Y1771" s="4"/>
      <c r="Z1771" s="2"/>
      <c r="AA1771" s="2"/>
      <c r="AB1771" s="4"/>
      <c r="AC1771" s="4"/>
      <c r="AD1771" s="4"/>
      <c r="AE1771" s="4"/>
      <c r="AF1771" s="14"/>
    </row>
    <row r="1772" spans="1:32" x14ac:dyDescent="0.25">
      <c r="A1772" s="33" t="str">
        <f>CONCATENATE(D1772,".",F1772,"-",G1772,".",H1772,"")</f>
        <v>3.1-3.1</v>
      </c>
      <c r="B1772" s="33" t="s">
        <v>814</v>
      </c>
      <c r="C1772" s="39" t="s">
        <v>336</v>
      </c>
      <c r="D1772" s="33">
        <f>IF(C1772="ID",1,(IF(C1772="PR",2,(IF(C1772="DE",3,(IF(C1772="RS",4,(IF(C1772="RC",5,0)))))))))</f>
        <v>3</v>
      </c>
      <c r="E1772" s="33" t="s">
        <v>346</v>
      </c>
      <c r="F1772" s="33">
        <f>IF(E1772="AM",1,(IF(E1772="BE",2,(IF(E1772="GV",3,(IF(E1772="RA",4,(IF(E1772="RM",5,(IF(E1772="AC",1,(IF(E1772="AT",2,(IF(E1772="DS",3,(IF(E1772="IP",4,(IF(E1772="MA",5,(IF(E1772="PT",6,(IF(E1772="AE",1,(IF(E1772="CM",2,(IF(E1772="DP",3,(IF(E1772="AN",1,(IF(E1772="CO",2,(IF(E1772="IM",3,(IF(E1772="MI",4,(IF(E1772="RP",5,(IF(E1772="SC",6,0)))))))))))))))))))))))))))))))))))))))</f>
        <v>1</v>
      </c>
      <c r="G1772" s="170">
        <v>3</v>
      </c>
      <c r="H1772" s="38" t="s">
        <v>511</v>
      </c>
      <c r="I1772" s="79" t="s">
        <v>1176</v>
      </c>
      <c r="J1772" s="162">
        <v>8.1</v>
      </c>
      <c r="K1772" s="80" t="s">
        <v>809</v>
      </c>
      <c r="L1772" s="66">
        <f>IF(O1772="","",N1772*O1772*M1772)</f>
        <v>75</v>
      </c>
      <c r="M1772" s="8">
        <v>1</v>
      </c>
      <c r="N1772" s="3">
        <v>1</v>
      </c>
      <c r="O1772" s="15">
        <f>IF(SUM(Q1772:AF1772)&lt;1,"",SUM(Q1772:AF1772)/COUNTIF(Q1772:AF1772,"&gt;0"))</f>
        <v>75</v>
      </c>
      <c r="P1772" s="16"/>
      <c r="Q1772" s="13"/>
      <c r="R1772" s="4"/>
      <c r="S1772" s="4"/>
      <c r="T1772" s="4">
        <v>75</v>
      </c>
      <c r="U1772" s="2"/>
      <c r="V1772" s="2"/>
      <c r="W1772" s="2"/>
      <c r="X1772" s="2"/>
      <c r="Y1772" s="4"/>
      <c r="Z1772" s="2"/>
      <c r="AA1772" s="2"/>
      <c r="AB1772" s="4"/>
      <c r="AC1772" s="4"/>
      <c r="AD1772" s="4"/>
      <c r="AE1772" s="4"/>
      <c r="AF1772" s="14"/>
    </row>
    <row r="1773" spans="1:32" x14ac:dyDescent="0.25">
      <c r="A1773" s="33" t="str">
        <f>CONCATENATE(D1773,".",F1773,"-",G1773,".",H1773,"")</f>
        <v>3.1-3.1</v>
      </c>
      <c r="B1773" s="33" t="s">
        <v>814</v>
      </c>
      <c r="C1773" s="39" t="s">
        <v>336</v>
      </c>
      <c r="D1773" s="33">
        <f>IF(C1773="ID",1,(IF(C1773="PR",2,(IF(C1773="DE",3,(IF(C1773="RS",4,(IF(C1773="RC",5,0)))))))))</f>
        <v>3</v>
      </c>
      <c r="E1773" s="33" t="s">
        <v>346</v>
      </c>
      <c r="F1773" s="33">
        <f>IF(E1773="AM",1,(IF(E1773="BE",2,(IF(E1773="GV",3,(IF(E1773="RA",4,(IF(E1773="RM",5,(IF(E1773="AC",1,(IF(E1773="AT",2,(IF(E1773="DS",3,(IF(E1773="IP",4,(IF(E1773="MA",5,(IF(E1773="PT",6,(IF(E1773="AE",1,(IF(E1773="CM",2,(IF(E1773="DP",3,(IF(E1773="AN",1,(IF(E1773="CO",2,(IF(E1773="IM",3,(IF(E1773="MI",4,(IF(E1773="RP",5,(IF(E1773="SC",6,0)))))))))))))))))))))))))))))))))))))))</f>
        <v>1</v>
      </c>
      <c r="G1773" s="170">
        <v>3</v>
      </c>
      <c r="H1773" s="38" t="s">
        <v>511</v>
      </c>
      <c r="I1773" s="79" t="s">
        <v>1176</v>
      </c>
      <c r="J1773" s="162">
        <v>12.2</v>
      </c>
      <c r="K1773" s="80" t="s">
        <v>1101</v>
      </c>
      <c r="L1773" s="66">
        <f>IF(O1773="","",N1773*O1773*M1773)</f>
        <v>75</v>
      </c>
      <c r="M1773" s="8">
        <v>1</v>
      </c>
      <c r="N1773" s="3">
        <v>1</v>
      </c>
      <c r="O1773" s="15">
        <f>IF(SUM(Q1773:AF1773)&lt;1,"",SUM(Q1773:AF1773)/COUNTIF(Q1773:AF1773,"&gt;0"))</f>
        <v>75</v>
      </c>
      <c r="P1773" s="16"/>
      <c r="Q1773" s="13"/>
      <c r="R1773" s="4"/>
      <c r="S1773" s="4"/>
      <c r="T1773" s="4">
        <v>75</v>
      </c>
      <c r="U1773" s="2"/>
      <c r="V1773" s="2"/>
      <c r="W1773" s="2"/>
      <c r="X1773" s="2"/>
      <c r="Y1773" s="4"/>
      <c r="Z1773" s="2"/>
      <c r="AA1773" s="2"/>
      <c r="AB1773" s="4"/>
      <c r="AC1773" s="4"/>
      <c r="AD1773" s="4"/>
      <c r="AE1773" s="4"/>
      <c r="AF1773" s="14"/>
    </row>
    <row r="1774" spans="1:32" x14ac:dyDescent="0.25">
      <c r="A1774" s="33" t="str">
        <f>CONCATENATE(D1774,".",F1774,"-",G1774,".",H1774,"")</f>
        <v>3.1-3.1</v>
      </c>
      <c r="B1774" s="33" t="s">
        <v>814</v>
      </c>
      <c r="C1774" s="39" t="s">
        <v>336</v>
      </c>
      <c r="D1774" s="33">
        <f>IF(C1774="ID",1,(IF(C1774="PR",2,(IF(C1774="DE",3,(IF(C1774="RS",4,(IF(C1774="RC",5,0)))))))))</f>
        <v>3</v>
      </c>
      <c r="E1774" s="33" t="s">
        <v>346</v>
      </c>
      <c r="F1774" s="33">
        <f>IF(E1774="AM",1,(IF(E1774="BE",2,(IF(E1774="GV",3,(IF(E1774="RA",4,(IF(E1774="RM",5,(IF(E1774="AC",1,(IF(E1774="AT",2,(IF(E1774="DS",3,(IF(E1774="IP",4,(IF(E1774="MA",5,(IF(E1774="PT",6,(IF(E1774="AE",1,(IF(E1774="CM",2,(IF(E1774="DP",3,(IF(E1774="AN",1,(IF(E1774="CO",2,(IF(E1774="IM",3,(IF(E1774="MI",4,(IF(E1774="RP",5,(IF(E1774="SC",6,0)))))))))))))))))))))))))))))))))))))))</f>
        <v>1</v>
      </c>
      <c r="G1774" s="170">
        <v>3</v>
      </c>
      <c r="H1774" s="38" t="s">
        <v>511</v>
      </c>
      <c r="I1774" s="3" t="s">
        <v>1449</v>
      </c>
      <c r="J1774" s="157" t="s">
        <v>1731</v>
      </c>
      <c r="K1774" s="34" t="s">
        <v>1732</v>
      </c>
      <c r="L1774" s="5">
        <f>IF(O1774="","",N1774*O1774*M1774)</f>
        <v>99</v>
      </c>
      <c r="M1774" s="8">
        <v>1</v>
      </c>
      <c r="N1774" s="1">
        <v>1</v>
      </c>
      <c r="O1774" s="15">
        <f>IF(SUM(Q1774:AF1774)&lt;1,"",SUM(Q1774:AF1774)/COUNTIF(Q1774:AF1774,"&gt;0"))</f>
        <v>99</v>
      </c>
      <c r="P1774" s="16"/>
      <c r="Q1774" s="13"/>
      <c r="R1774" s="4"/>
      <c r="S1774" s="4"/>
      <c r="T1774" s="4">
        <v>99</v>
      </c>
      <c r="U1774" s="2"/>
      <c r="V1774" s="2"/>
      <c r="W1774" s="2"/>
      <c r="X1774" s="2"/>
      <c r="Y1774" s="4"/>
      <c r="Z1774" s="2"/>
      <c r="AA1774" s="2"/>
      <c r="AB1774" s="4"/>
      <c r="AC1774" s="4"/>
      <c r="AD1774" s="4"/>
      <c r="AE1774" s="4"/>
      <c r="AF1774" s="14"/>
    </row>
    <row r="1775" spans="1:32" x14ac:dyDescent="0.25">
      <c r="A1775" s="33" t="str">
        <f>CONCATENATE(D1775,".",F1775,"-",G1775,".",H1775,"")</f>
        <v>3.1-3.1</v>
      </c>
      <c r="B1775" s="33" t="s">
        <v>814</v>
      </c>
      <c r="C1775" s="39" t="s">
        <v>336</v>
      </c>
      <c r="D1775" s="33">
        <f>IF(C1775="ID",1,(IF(C1775="PR",2,(IF(C1775="DE",3,(IF(C1775="RS",4,(IF(C1775="RC",5,0)))))))))</f>
        <v>3</v>
      </c>
      <c r="E1775" s="33" t="s">
        <v>346</v>
      </c>
      <c r="F1775" s="33">
        <f>IF(E1775="AM",1,(IF(E1775="BE",2,(IF(E1775="GV",3,(IF(E1775="RA",4,(IF(E1775="RM",5,(IF(E1775="AC",1,(IF(E1775="AT",2,(IF(E1775="DS",3,(IF(E1775="IP",4,(IF(E1775="MA",5,(IF(E1775="PT",6,(IF(E1775="AE",1,(IF(E1775="CM",2,(IF(E1775="DP",3,(IF(E1775="AN",1,(IF(E1775="CO",2,(IF(E1775="IM",3,(IF(E1775="MI",4,(IF(E1775="RP",5,(IF(E1775="SC",6,0)))))))))))))))))))))))))))))))))))))))</f>
        <v>1</v>
      </c>
      <c r="G1775" s="170">
        <v>3</v>
      </c>
      <c r="H1775" s="38" t="s">
        <v>511</v>
      </c>
      <c r="I1775" s="3" t="s">
        <v>1449</v>
      </c>
      <c r="J1775" s="157" t="s">
        <v>1765</v>
      </c>
      <c r="K1775" s="34" t="s">
        <v>1766</v>
      </c>
      <c r="L1775" s="5">
        <f>IF(O1775="","",N1775*O1775*M1775)</f>
        <v>99</v>
      </c>
      <c r="M1775" s="8">
        <v>1</v>
      </c>
      <c r="N1775" s="1">
        <v>1</v>
      </c>
      <c r="O1775" s="15">
        <f>IF(SUM(Q1775:AF1775)&lt;1,"",SUM(Q1775:AF1775)/COUNTIF(Q1775:AF1775,"&gt;0"))</f>
        <v>99</v>
      </c>
      <c r="P1775" s="16"/>
      <c r="Q1775" s="13"/>
      <c r="R1775" s="4"/>
      <c r="S1775" s="4"/>
      <c r="T1775" s="4">
        <v>99</v>
      </c>
      <c r="U1775" s="2"/>
      <c r="V1775" s="2"/>
      <c r="W1775" s="2"/>
      <c r="X1775" s="2"/>
      <c r="Y1775" s="4"/>
      <c r="Z1775" s="2"/>
      <c r="AA1775" s="2"/>
      <c r="AB1775" s="4"/>
      <c r="AC1775" s="4"/>
      <c r="AD1775" s="4"/>
      <c r="AE1775" s="4"/>
      <c r="AF1775" s="14"/>
    </row>
    <row r="1776" spans="1:32" x14ac:dyDescent="0.25">
      <c r="A1776" s="33" t="str">
        <f>CONCATENATE(D1776,".",F1776,"-",G1776,".",H1776,"")</f>
        <v>3.1-3.1</v>
      </c>
      <c r="C1776" s="39" t="s">
        <v>336</v>
      </c>
      <c r="D1776" s="33">
        <f>IF(C1776="ID",1,(IF(C1776="PR",2,(IF(C1776="DE",3,(IF(C1776="RS",4,(IF(C1776="RC",5,0)))))))))</f>
        <v>3</v>
      </c>
      <c r="E1776" s="33" t="s">
        <v>346</v>
      </c>
      <c r="F1776" s="33">
        <f>IF(E1776="AM",1,(IF(E1776="BE",2,(IF(E1776="GV",3,(IF(E1776="RA",4,(IF(E1776="RM",5,(IF(E1776="AC",1,(IF(E1776="AT",2,(IF(E1776="DS",3,(IF(E1776="IP",4,(IF(E1776="MA",5,(IF(E1776="PT",6,(IF(E1776="AE",1,(IF(E1776="CM",2,(IF(E1776="DP",3,(IF(E1776="AN",1,(IF(E1776="CO",2,(IF(E1776="IM",3,(IF(E1776="MI",4,(IF(E1776="RP",5,(IF(E1776="SC",6,0)))))))))))))))))))))))))))))))))))))))</f>
        <v>1</v>
      </c>
      <c r="G1776" s="170">
        <v>3</v>
      </c>
      <c r="H1776" s="38" t="s">
        <v>511</v>
      </c>
      <c r="I1776" s="3" t="s">
        <v>1449</v>
      </c>
      <c r="J1776" s="157" t="s">
        <v>2225</v>
      </c>
      <c r="K1776" s="34" t="s">
        <v>2226</v>
      </c>
      <c r="L1776" s="5">
        <f>IF(O1776="","",N1776*O1776*M1776)</f>
        <v>99</v>
      </c>
      <c r="M1776" s="8">
        <v>1</v>
      </c>
      <c r="N1776" s="1">
        <v>1</v>
      </c>
      <c r="O1776" s="15">
        <f>IF(SUM(Q1776:AF1776)&lt;1,"",SUM(Q1776:AF1776)/COUNTIF(Q1776:AF1776,"&gt;0"))</f>
        <v>99</v>
      </c>
      <c r="P1776" s="16"/>
      <c r="Q1776" s="13"/>
      <c r="R1776" s="4"/>
      <c r="S1776" s="4"/>
      <c r="T1776" s="4">
        <v>99</v>
      </c>
      <c r="U1776" s="2"/>
      <c r="V1776" s="2"/>
      <c r="W1776" s="2"/>
      <c r="X1776" s="2"/>
      <c r="Y1776" s="4"/>
      <c r="Z1776" s="2"/>
      <c r="AA1776" s="2"/>
      <c r="AB1776" s="4"/>
      <c r="AC1776" s="4"/>
      <c r="AD1776" s="4"/>
      <c r="AE1776" s="4"/>
      <c r="AF1776" s="14"/>
    </row>
    <row r="1777" spans="1:32" x14ac:dyDescent="0.25">
      <c r="A1777" s="33" t="str">
        <f>CONCATENATE(D1777,".",F1777,"-",G1777,".",H1777,"")</f>
        <v>3.1-3.1</v>
      </c>
      <c r="C1777" s="39" t="s">
        <v>336</v>
      </c>
      <c r="D1777" s="33">
        <f>IF(C1777="ID",1,(IF(C1777="PR",2,(IF(C1777="DE",3,(IF(C1777="RS",4,(IF(C1777="RC",5,0)))))))))</f>
        <v>3</v>
      </c>
      <c r="E1777" s="33" t="s">
        <v>346</v>
      </c>
      <c r="F1777" s="33">
        <f>IF(E1777="AM",1,(IF(E1777="BE",2,(IF(E1777="GV",3,(IF(E1777="RA",4,(IF(E1777="RM",5,(IF(E1777="AC",1,(IF(E1777="AT",2,(IF(E1777="DS",3,(IF(E1777="IP",4,(IF(E1777="MA",5,(IF(E1777="PT",6,(IF(E1777="AE",1,(IF(E1777="CM",2,(IF(E1777="DP",3,(IF(E1777="AN",1,(IF(E1777="CO",2,(IF(E1777="IM",3,(IF(E1777="MI",4,(IF(E1777="RP",5,(IF(E1777="SC",6,0)))))))))))))))))))))))))))))))))))))))</f>
        <v>1</v>
      </c>
      <c r="G1777" s="170">
        <v>3</v>
      </c>
      <c r="H1777" s="38" t="s">
        <v>511</v>
      </c>
      <c r="I1777" s="3" t="s">
        <v>1449</v>
      </c>
      <c r="J1777" s="157" t="s">
        <v>2229</v>
      </c>
      <c r="K1777" s="34" t="s">
        <v>2230</v>
      </c>
      <c r="L1777" s="5">
        <f>IF(O1777="","",N1777*O1777*M1777)</f>
        <v>99</v>
      </c>
      <c r="M1777" s="8">
        <v>1</v>
      </c>
      <c r="N1777" s="1">
        <v>1</v>
      </c>
      <c r="O1777" s="15">
        <f>IF(SUM(Q1777:AF1777)&lt;1,"",SUM(Q1777:AF1777)/COUNTIF(Q1777:AF1777,"&gt;0"))</f>
        <v>99</v>
      </c>
      <c r="P1777" s="16"/>
      <c r="Q1777" s="13"/>
      <c r="R1777" s="4"/>
      <c r="S1777" s="4"/>
      <c r="T1777" s="4">
        <v>99</v>
      </c>
      <c r="U1777" s="2"/>
      <c r="V1777" s="2"/>
      <c r="W1777" s="2"/>
      <c r="X1777" s="2"/>
      <c r="Y1777" s="4"/>
      <c r="Z1777" s="2"/>
      <c r="AA1777" s="2"/>
      <c r="AB1777" s="4"/>
      <c r="AC1777" s="4"/>
      <c r="AD1777" s="4"/>
      <c r="AE1777" s="4"/>
      <c r="AF1777" s="14"/>
    </row>
    <row r="1778" spans="1:32" x14ac:dyDescent="0.25">
      <c r="A1778" s="33" t="str">
        <f>CONCATENATE(D1778,".",F1778,"-",G1778,".",H1778,"")</f>
        <v>3.1-3.1</v>
      </c>
      <c r="C1778" s="39" t="s">
        <v>336</v>
      </c>
      <c r="D1778" s="33">
        <f>IF(C1778="ID",1,(IF(C1778="PR",2,(IF(C1778="DE",3,(IF(C1778="RS",4,(IF(C1778="RC",5,0)))))))))</f>
        <v>3</v>
      </c>
      <c r="E1778" s="33" t="s">
        <v>346</v>
      </c>
      <c r="F1778" s="33">
        <f>IF(E1778="AM",1,(IF(E1778="BE",2,(IF(E1778="GV",3,(IF(E1778="RA",4,(IF(E1778="RM",5,(IF(E1778="AC",1,(IF(E1778="AT",2,(IF(E1778="DS",3,(IF(E1778="IP",4,(IF(E1778="MA",5,(IF(E1778="PT",6,(IF(E1778="AE",1,(IF(E1778="CM",2,(IF(E1778="DP",3,(IF(E1778="AN",1,(IF(E1778="CO",2,(IF(E1778="IM",3,(IF(E1778="MI",4,(IF(E1778="RP",5,(IF(E1778="SC",6,0)))))))))))))))))))))))))))))))))))))))</f>
        <v>1</v>
      </c>
      <c r="G1778" s="170">
        <v>3</v>
      </c>
      <c r="H1778" s="38" t="s">
        <v>511</v>
      </c>
      <c r="I1778" s="3" t="s">
        <v>1449</v>
      </c>
      <c r="J1778" s="157" t="s">
        <v>2231</v>
      </c>
      <c r="K1778" s="34" t="s">
        <v>2232</v>
      </c>
      <c r="L1778" s="5">
        <f>IF(O1778="","",N1778*O1778*M1778)</f>
        <v>99</v>
      </c>
      <c r="M1778" s="8">
        <v>1</v>
      </c>
      <c r="N1778" s="1">
        <v>1</v>
      </c>
      <c r="O1778" s="15">
        <f>IF(SUM(Q1778:AF1778)&lt;1,"",SUM(Q1778:AF1778)/COUNTIF(Q1778:AF1778,"&gt;0"))</f>
        <v>99</v>
      </c>
      <c r="P1778" s="16"/>
      <c r="Q1778" s="13"/>
      <c r="R1778" s="4"/>
      <c r="S1778" s="4"/>
      <c r="T1778" s="4">
        <v>99</v>
      </c>
      <c r="U1778" s="2"/>
      <c r="V1778" s="2"/>
      <c r="W1778" s="2"/>
      <c r="X1778" s="2"/>
      <c r="Y1778" s="4"/>
      <c r="Z1778" s="2"/>
      <c r="AA1778" s="2"/>
      <c r="AB1778" s="4"/>
      <c r="AC1778" s="4"/>
      <c r="AD1778" s="4"/>
      <c r="AE1778" s="4"/>
      <c r="AF1778" s="14"/>
    </row>
    <row r="1779" spans="1:32" x14ac:dyDescent="0.25">
      <c r="A1779" s="33" t="str">
        <f>CONCATENATE(D1779,".",F1779,"-",G1779,".",H1779,"")</f>
        <v>3.1-3.1</v>
      </c>
      <c r="C1779" s="39" t="s">
        <v>336</v>
      </c>
      <c r="D1779" s="33">
        <f>IF(C1779="ID",1,(IF(C1779="PR",2,(IF(C1779="DE",3,(IF(C1779="RS",4,(IF(C1779="RC",5,0)))))))))</f>
        <v>3</v>
      </c>
      <c r="E1779" s="33" t="s">
        <v>346</v>
      </c>
      <c r="F1779" s="33">
        <f>IF(E1779="AM",1,(IF(E1779="BE",2,(IF(E1779="GV",3,(IF(E1779="RA",4,(IF(E1779="RM",5,(IF(E1779="AC",1,(IF(E1779="AT",2,(IF(E1779="DS",3,(IF(E1779="IP",4,(IF(E1779="MA",5,(IF(E1779="PT",6,(IF(E1779="AE",1,(IF(E1779="CM",2,(IF(E1779="DP",3,(IF(E1779="AN",1,(IF(E1779="CO",2,(IF(E1779="IM",3,(IF(E1779="MI",4,(IF(E1779="RP",5,(IF(E1779="SC",6,0)))))))))))))))))))))))))))))))))))))))</f>
        <v>1</v>
      </c>
      <c r="G1779" s="170">
        <v>3</v>
      </c>
      <c r="H1779" s="38" t="s">
        <v>511</v>
      </c>
      <c r="I1779" s="3" t="s">
        <v>1449</v>
      </c>
      <c r="J1779" s="157" t="s">
        <v>2235</v>
      </c>
      <c r="K1779" s="34" t="s">
        <v>2236</v>
      </c>
      <c r="L1779" s="5">
        <f>IF(O1779="","",N1779*O1779*M1779)</f>
        <v>99</v>
      </c>
      <c r="M1779" s="8">
        <v>1</v>
      </c>
      <c r="N1779" s="1">
        <v>1</v>
      </c>
      <c r="O1779" s="15">
        <f>IF(SUM(Q1779:AF1779)&lt;1,"",SUM(Q1779:AF1779)/COUNTIF(Q1779:AF1779,"&gt;0"))</f>
        <v>99</v>
      </c>
      <c r="P1779" s="16"/>
      <c r="Q1779" s="13"/>
      <c r="R1779" s="4"/>
      <c r="S1779" s="4"/>
      <c r="T1779" s="4">
        <v>99</v>
      </c>
      <c r="U1779" s="2"/>
      <c r="V1779" s="2"/>
      <c r="W1779" s="2"/>
      <c r="X1779" s="2"/>
      <c r="Y1779" s="4"/>
      <c r="Z1779" s="2"/>
      <c r="AA1779" s="2"/>
      <c r="AB1779" s="4"/>
      <c r="AC1779" s="4"/>
      <c r="AD1779" s="4"/>
      <c r="AE1779" s="4"/>
      <c r="AF1779" s="14"/>
    </row>
    <row r="1780" spans="1:32" x14ac:dyDescent="0.25">
      <c r="A1780" s="33" t="str">
        <f>CONCATENATE(D1780,".",F1780,"-",G1780,".",H1780,"")</f>
        <v>3.1-3.9</v>
      </c>
      <c r="C1780" s="39" t="s">
        <v>336</v>
      </c>
      <c r="D1780" s="33">
        <f>IF(C1780="ID",1,(IF(C1780="PR",2,(IF(C1780="DE",3,(IF(C1780="RS",4,(IF(C1780="RC",5,0)))))))))</f>
        <v>3</v>
      </c>
      <c r="E1780" s="33" t="s">
        <v>346</v>
      </c>
      <c r="F1780" s="33">
        <f>IF(E1780="AM",1,(IF(E1780="BE",2,(IF(E1780="GV",3,(IF(E1780="RA",4,(IF(E1780="RM",5,(IF(E1780="AC",1,(IF(E1780="AT",2,(IF(E1780="DS",3,(IF(E1780="IP",4,(IF(E1780="MA",5,(IF(E1780="PT",6,(IF(E1780="AE",1,(IF(E1780="CM",2,(IF(E1780="DP",3,(IF(E1780="AN",1,(IF(E1780="CO",2,(IF(E1780="IM",3,(IF(E1780="MI",4,(IF(E1780="RP",5,(IF(E1780="SC",6,0)))))))))))))))))))))))))))))))))))))))</f>
        <v>1</v>
      </c>
      <c r="G1780" s="170">
        <v>3</v>
      </c>
      <c r="H1780" s="38" t="s">
        <v>596</v>
      </c>
      <c r="I1780" s="3" t="s">
        <v>1449</v>
      </c>
      <c r="J1780" s="157" t="s">
        <v>3105</v>
      </c>
      <c r="K1780" s="34" t="s">
        <v>3106</v>
      </c>
      <c r="L1780" s="5">
        <f>IF(O1780="","",N1780*O1780*M1780)</f>
        <v>99</v>
      </c>
      <c r="M1780" s="8">
        <v>1</v>
      </c>
      <c r="N1780" s="1">
        <v>1</v>
      </c>
      <c r="O1780" s="15">
        <f>IF(SUM(Q1780:AF1780)&lt;1,"",SUM(Q1780:AF1780)/COUNTIF(Q1780:AF1780,"&gt;0"))</f>
        <v>99</v>
      </c>
      <c r="P1780" s="16"/>
      <c r="Q1780" s="13"/>
      <c r="R1780" s="4"/>
      <c r="S1780" s="4"/>
      <c r="T1780" s="4">
        <v>99</v>
      </c>
      <c r="U1780" s="2"/>
      <c r="V1780" s="2"/>
      <c r="W1780" s="2"/>
      <c r="X1780" s="2"/>
      <c r="Y1780" s="4"/>
      <c r="Z1780" s="2"/>
      <c r="AA1780" s="2"/>
      <c r="AB1780" s="4"/>
      <c r="AC1780" s="4"/>
      <c r="AD1780" s="4"/>
      <c r="AE1780" s="4"/>
      <c r="AF1780" s="14"/>
    </row>
    <row r="1781" spans="1:32" x14ac:dyDescent="0.25">
      <c r="A1781" s="33" t="str">
        <f>CONCATENATE(D1781,".",F1781,"-",G1781,".",H1781,"")</f>
        <v>3.1-4.0</v>
      </c>
      <c r="B1781" s="33" t="s">
        <v>814</v>
      </c>
      <c r="C1781" s="40" t="s">
        <v>336</v>
      </c>
      <c r="D1781" s="33">
        <f>IF(C1781="ID",1,(IF(C1781="PR",2,(IF(C1781="DE",3,(IF(C1781="RS",4,(IF(C1781="RC",5,0)))))))))</f>
        <v>3</v>
      </c>
      <c r="E1781" s="33" t="s">
        <v>346</v>
      </c>
      <c r="F1781" s="33">
        <f>IF(E1781="AM",1,(IF(E1781="BE",2,(IF(E1781="GV",3,(IF(E1781="RA",4,(IF(E1781="RM",5,(IF(E1781="AC",1,(IF(E1781="AT",2,(IF(E1781="DS",3,(IF(E1781="IP",4,(IF(E1781="MA",5,(IF(E1781="PT",6,(IF(E1781="AE",1,(IF(E1781="CM",2,(IF(E1781="DP",3,(IF(E1781="AN",1,(IF(E1781="CO",2,(IF(E1781="IM",3,(IF(E1781="MI",4,(IF(E1781="RP",5,(IF(E1781="SC",6,0)))))))))))))))))))))))))))))))))))))))</f>
        <v>1</v>
      </c>
      <c r="G1781" s="170">
        <v>4</v>
      </c>
      <c r="H1781" s="38" t="s">
        <v>597</v>
      </c>
      <c r="I1781" s="22" t="s">
        <v>1200</v>
      </c>
      <c r="J1781" s="149" t="s">
        <v>627</v>
      </c>
      <c r="K1781" s="99" t="s">
        <v>404</v>
      </c>
      <c r="L1781" s="66">
        <f>IF(O1781="","",N1781*O1781*M1781)</f>
        <v>75</v>
      </c>
      <c r="M1781" s="8">
        <v>1</v>
      </c>
      <c r="N1781" s="1">
        <v>1</v>
      </c>
      <c r="O1781" s="15">
        <f>IF(SUM(Q1781:AF1781)&lt;1,"",SUM(Q1781:AF1781)/COUNTIF(Q1781:AF1781,"&gt;0"))</f>
        <v>75</v>
      </c>
      <c r="P1781" s="16"/>
      <c r="Q1781" s="13"/>
      <c r="R1781" s="4"/>
      <c r="S1781" s="4"/>
      <c r="T1781" s="4">
        <v>75</v>
      </c>
      <c r="U1781" s="2"/>
      <c r="V1781" s="2"/>
      <c r="W1781" s="2"/>
      <c r="X1781" s="2"/>
      <c r="Y1781" s="4"/>
      <c r="Z1781" s="2"/>
      <c r="AA1781" s="2"/>
      <c r="AB1781" s="4"/>
      <c r="AC1781" s="4"/>
      <c r="AD1781" s="4"/>
      <c r="AE1781" s="4"/>
      <c r="AF1781" s="14"/>
    </row>
    <row r="1782" spans="1:32" x14ac:dyDescent="0.25">
      <c r="A1782" s="33" t="str">
        <f>CONCATENATE(D1782,".",F1782,"-",G1782,".",H1782,"")</f>
        <v>3.1-4.1</v>
      </c>
      <c r="B1782" s="33" t="s">
        <v>814</v>
      </c>
      <c r="C1782" s="40" t="s">
        <v>336</v>
      </c>
      <c r="D1782" s="33">
        <f>IF(C1782="ID",1,(IF(C1782="PR",2,(IF(C1782="DE",3,(IF(C1782="RS",4,(IF(C1782="RC",5,0)))))))))</f>
        <v>3</v>
      </c>
      <c r="E1782" s="33" t="s">
        <v>346</v>
      </c>
      <c r="F1782" s="33">
        <f>IF(E1782="AM",1,(IF(E1782="BE",2,(IF(E1782="GV",3,(IF(E1782="RA",4,(IF(E1782="RM",5,(IF(E1782="AC",1,(IF(E1782="AT",2,(IF(E1782="DS",3,(IF(E1782="IP",4,(IF(E1782="MA",5,(IF(E1782="PT",6,(IF(E1782="AE",1,(IF(E1782="CM",2,(IF(E1782="DP",3,(IF(E1782="AN",1,(IF(E1782="CO",2,(IF(E1782="IM",3,(IF(E1782="MI",4,(IF(E1782="RP",5,(IF(E1782="SC",6,0)))))))))))))))))))))))))))))))))))))))</f>
        <v>1</v>
      </c>
      <c r="G1782" s="171">
        <v>4</v>
      </c>
      <c r="H1782" s="38" t="s">
        <v>511</v>
      </c>
      <c r="I1782" s="3" t="s">
        <v>821</v>
      </c>
      <c r="J1782" s="149">
        <v>11.5</v>
      </c>
      <c r="K1782" s="79" t="s">
        <v>1283</v>
      </c>
      <c r="L1782" s="66">
        <f>IF(O1782="","",N1782*O1782*M1782)</f>
        <v>75</v>
      </c>
      <c r="M1782" s="8">
        <v>1</v>
      </c>
      <c r="N1782" s="1">
        <v>1</v>
      </c>
      <c r="O1782" s="15">
        <f>IF(SUM(Q1782:AF1782)&lt;1,"",SUM(Q1782:AF1782)/COUNTIF(Q1782:AF1782,"&gt;0"))</f>
        <v>75</v>
      </c>
      <c r="P1782" s="16"/>
      <c r="Q1782" s="13"/>
      <c r="R1782" s="4"/>
      <c r="S1782" s="4"/>
      <c r="T1782" s="4">
        <v>75</v>
      </c>
      <c r="U1782" s="2"/>
      <c r="V1782" s="2"/>
      <c r="W1782" s="2"/>
      <c r="X1782" s="2"/>
      <c r="Y1782" s="4"/>
      <c r="Z1782" s="2"/>
      <c r="AA1782" s="2"/>
      <c r="AB1782" s="4"/>
      <c r="AC1782" s="4"/>
      <c r="AD1782" s="4"/>
      <c r="AE1782" s="4"/>
      <c r="AF1782" s="14"/>
    </row>
    <row r="1783" spans="1:32" x14ac:dyDescent="0.25">
      <c r="A1783" s="33" t="str">
        <f>CONCATENATE(D1783,".",F1783,"-",G1783,".",H1783,"")</f>
        <v>3.1-4.1</v>
      </c>
      <c r="B1783" s="33" t="s">
        <v>814</v>
      </c>
      <c r="C1783" s="40" t="s">
        <v>336</v>
      </c>
      <c r="D1783" s="33">
        <f>IF(C1783="ID",1,(IF(C1783="PR",2,(IF(C1783="DE",3,(IF(C1783="RS",4,(IF(C1783="RC",5,0)))))))))</f>
        <v>3</v>
      </c>
      <c r="E1783" s="33" t="s">
        <v>346</v>
      </c>
      <c r="F1783" s="33">
        <f>IF(E1783="AM",1,(IF(E1783="BE",2,(IF(E1783="GV",3,(IF(E1783="RA",4,(IF(E1783="RM",5,(IF(E1783="AC",1,(IF(E1783="AT",2,(IF(E1783="DS",3,(IF(E1783="IP",4,(IF(E1783="MA",5,(IF(E1783="PT",6,(IF(E1783="AE",1,(IF(E1783="CM",2,(IF(E1783="DP",3,(IF(E1783="AN",1,(IF(E1783="CO",2,(IF(E1783="IM",3,(IF(E1783="MI",4,(IF(E1783="RP",5,(IF(E1783="SC",6,0)))))))))))))))))))))))))))))))))))))))</f>
        <v>1</v>
      </c>
      <c r="G1783" s="171">
        <v>4</v>
      </c>
      <c r="H1783" s="38" t="s">
        <v>511</v>
      </c>
      <c r="I1783" s="22" t="s">
        <v>936</v>
      </c>
      <c r="J1783" s="163" t="s">
        <v>885</v>
      </c>
      <c r="K1783" s="34" t="s">
        <v>985</v>
      </c>
      <c r="L1783" s="66">
        <f>IF(O1783="","",N1783*O1783*M1783)</f>
        <v>75</v>
      </c>
      <c r="M1783" s="8">
        <v>1</v>
      </c>
      <c r="N1783" s="3">
        <v>1</v>
      </c>
      <c r="O1783" s="15">
        <f>IF(SUM(Q1783:AF1783)&lt;1,"",SUM(Q1783:AF1783)/COUNTIF(Q1783:AF1783,"&gt;0"))</f>
        <v>75</v>
      </c>
      <c r="P1783" s="16"/>
      <c r="Q1783" s="13"/>
      <c r="R1783" s="4"/>
      <c r="S1783" s="4"/>
      <c r="T1783" s="4">
        <v>75</v>
      </c>
      <c r="U1783" s="2"/>
      <c r="V1783" s="2"/>
      <c r="W1783" s="2"/>
      <c r="X1783" s="2"/>
      <c r="Y1783" s="4"/>
      <c r="Z1783" s="2"/>
      <c r="AA1783" s="2"/>
      <c r="AB1783" s="4"/>
      <c r="AC1783" s="4"/>
      <c r="AD1783" s="4"/>
      <c r="AE1783" s="4"/>
      <c r="AF1783" s="14"/>
    </row>
    <row r="1784" spans="1:32" x14ac:dyDescent="0.25">
      <c r="A1784" s="33" t="str">
        <f>CONCATENATE(D1784,".",F1784,"-",G1784,".",H1784,"")</f>
        <v>3.1-4.1</v>
      </c>
      <c r="B1784" s="33" t="s">
        <v>814</v>
      </c>
      <c r="C1784" s="41" t="s">
        <v>336</v>
      </c>
      <c r="D1784" s="33">
        <f>IF(C1784="ID",1,(IF(C1784="PR",2,(IF(C1784="DE",3,(IF(C1784="RS",4,(IF(C1784="RC",5,0)))))))))</f>
        <v>3</v>
      </c>
      <c r="E1784" s="33" t="s">
        <v>346</v>
      </c>
      <c r="F1784" s="33">
        <f>IF(E1784="AM",1,(IF(E1784="BE",2,(IF(E1784="GV",3,(IF(E1784="RA",4,(IF(E1784="RM",5,(IF(E1784="AC",1,(IF(E1784="AT",2,(IF(E1784="DS",3,(IF(E1784="IP",4,(IF(E1784="MA",5,(IF(E1784="PT",6,(IF(E1784="AE",1,(IF(E1784="CM",2,(IF(E1784="DP",3,(IF(E1784="AN",1,(IF(E1784="CO",2,(IF(E1784="IM",3,(IF(E1784="MI",4,(IF(E1784="RP",5,(IF(E1784="SC",6,0)))))))))))))))))))))))))))))))))))))))</f>
        <v>1</v>
      </c>
      <c r="G1784" s="170">
        <v>4</v>
      </c>
      <c r="H1784" s="38" t="s">
        <v>511</v>
      </c>
      <c r="I1784" s="22" t="s">
        <v>266</v>
      </c>
      <c r="J1784" s="149" t="s">
        <v>327</v>
      </c>
      <c r="K1784" s="79" t="s">
        <v>1369</v>
      </c>
      <c r="L1784" s="5">
        <f>IF(O1784="","",N1784*O1784*M1784)</f>
        <v>75</v>
      </c>
      <c r="M1784" s="8">
        <v>1</v>
      </c>
      <c r="N1784" s="1">
        <v>1</v>
      </c>
      <c r="O1784" s="15">
        <f>IF(SUM(Q1784:AF1784)&lt;1,"",SUM(Q1784:AF1784)/COUNTIF(Q1784:AF1784,"&gt;0"))</f>
        <v>75</v>
      </c>
      <c r="P1784" s="16"/>
      <c r="Q1784" s="13"/>
      <c r="R1784" s="4"/>
      <c r="S1784" s="4"/>
      <c r="T1784" s="4">
        <v>75</v>
      </c>
      <c r="U1784" s="2"/>
      <c r="V1784" s="2"/>
      <c r="W1784" s="2"/>
      <c r="X1784" s="2"/>
      <c r="Y1784" s="4"/>
      <c r="Z1784" s="2"/>
      <c r="AA1784" s="2"/>
      <c r="AB1784" s="4"/>
      <c r="AC1784" s="4"/>
      <c r="AD1784" s="4"/>
      <c r="AE1784" s="4"/>
      <c r="AF1784" s="14"/>
    </row>
    <row r="1785" spans="1:32" x14ac:dyDescent="0.25">
      <c r="A1785" s="33" t="str">
        <f>CONCATENATE(D1785,".",F1785,"-",G1785,".",H1785,"")</f>
        <v>3.1-4.1</v>
      </c>
      <c r="B1785" s="33" t="s">
        <v>814</v>
      </c>
      <c r="C1785" s="39" t="s">
        <v>336</v>
      </c>
      <c r="D1785" s="33">
        <f>IF(C1785="ID",1,(IF(C1785="PR",2,(IF(C1785="DE",3,(IF(C1785="RS",4,(IF(C1785="RC",5,0)))))))))</f>
        <v>3</v>
      </c>
      <c r="E1785" s="33" t="s">
        <v>346</v>
      </c>
      <c r="F1785" s="33">
        <f>IF(E1785="AM",1,(IF(E1785="BE",2,(IF(E1785="GV",3,(IF(E1785="RA",4,(IF(E1785="RM",5,(IF(E1785="AC",1,(IF(E1785="AT",2,(IF(E1785="DS",3,(IF(E1785="IP",4,(IF(E1785="MA",5,(IF(E1785="PT",6,(IF(E1785="AE",1,(IF(E1785="CM",2,(IF(E1785="DP",3,(IF(E1785="AN",1,(IF(E1785="CO",2,(IF(E1785="IM",3,(IF(E1785="MI",4,(IF(E1785="RP",5,(IF(E1785="SC",6,0)))))))))))))))))))))))))))))))))))))))</f>
        <v>1</v>
      </c>
      <c r="G1785" s="170">
        <v>4</v>
      </c>
      <c r="H1785" s="38" t="s">
        <v>511</v>
      </c>
      <c r="I1785" s="3" t="s">
        <v>1449</v>
      </c>
      <c r="J1785" s="157" t="s">
        <v>1695</v>
      </c>
      <c r="K1785" s="34" t="s">
        <v>1696</v>
      </c>
      <c r="L1785" s="5">
        <f>IF(O1785="","",N1785*O1785*M1785)</f>
        <v>99</v>
      </c>
      <c r="M1785" s="8">
        <v>1</v>
      </c>
      <c r="N1785" s="1">
        <v>1</v>
      </c>
      <c r="O1785" s="15">
        <f>IF(SUM(Q1785:AF1785)&lt;1,"",SUM(Q1785:AF1785)/COUNTIF(Q1785:AF1785,"&gt;0"))</f>
        <v>99</v>
      </c>
      <c r="P1785" s="16"/>
      <c r="Q1785" s="13"/>
      <c r="R1785" s="4"/>
      <c r="S1785" s="4"/>
      <c r="T1785" s="4">
        <v>99</v>
      </c>
      <c r="U1785" s="2"/>
      <c r="V1785" s="2"/>
      <c r="W1785" s="2"/>
      <c r="X1785" s="2"/>
      <c r="Y1785" s="4"/>
      <c r="Z1785" s="2"/>
      <c r="AA1785" s="2"/>
      <c r="AB1785" s="4"/>
      <c r="AC1785" s="4"/>
      <c r="AD1785" s="4"/>
      <c r="AE1785" s="4"/>
      <c r="AF1785" s="14"/>
    </row>
    <row r="1786" spans="1:32" x14ac:dyDescent="0.25">
      <c r="A1786" s="33" t="str">
        <f>CONCATENATE(D1786,".",F1786,"-",G1786,".",H1786,"")</f>
        <v>3.1-4.1</v>
      </c>
      <c r="B1786" s="33" t="s">
        <v>814</v>
      </c>
      <c r="C1786" s="39" t="s">
        <v>336</v>
      </c>
      <c r="D1786" s="33">
        <f>IF(C1786="ID",1,(IF(C1786="PR",2,(IF(C1786="DE",3,(IF(C1786="RS",4,(IF(C1786="RC",5,0)))))))))</f>
        <v>3</v>
      </c>
      <c r="E1786" s="33" t="s">
        <v>346</v>
      </c>
      <c r="F1786" s="33">
        <f>IF(E1786="AM",1,(IF(E1786="BE",2,(IF(E1786="GV",3,(IF(E1786="RA",4,(IF(E1786="RM",5,(IF(E1786="AC",1,(IF(E1786="AT",2,(IF(E1786="DS",3,(IF(E1786="IP",4,(IF(E1786="MA",5,(IF(E1786="PT",6,(IF(E1786="AE",1,(IF(E1786="CM",2,(IF(E1786="DP",3,(IF(E1786="AN",1,(IF(E1786="CO",2,(IF(E1786="IM",3,(IF(E1786="MI",4,(IF(E1786="RP",5,(IF(E1786="SC",6,0)))))))))))))))))))))))))))))))))))))))</f>
        <v>1</v>
      </c>
      <c r="G1786" s="170">
        <v>4</v>
      </c>
      <c r="H1786" s="38" t="s">
        <v>511</v>
      </c>
      <c r="I1786" s="3" t="s">
        <v>1449</v>
      </c>
      <c r="J1786" s="157" t="s">
        <v>1705</v>
      </c>
      <c r="K1786" s="34" t="s">
        <v>1706</v>
      </c>
      <c r="L1786" s="5">
        <f>IF(O1786="","",N1786*O1786*M1786)</f>
        <v>99</v>
      </c>
      <c r="M1786" s="8">
        <v>1</v>
      </c>
      <c r="N1786" s="1">
        <v>1</v>
      </c>
      <c r="O1786" s="15">
        <f>IF(SUM(Q1786:AF1786)&lt;1,"",SUM(Q1786:AF1786)/COUNTIF(Q1786:AF1786,"&gt;0"))</f>
        <v>99</v>
      </c>
      <c r="P1786" s="16"/>
      <c r="Q1786" s="13"/>
      <c r="R1786" s="4"/>
      <c r="S1786" s="4"/>
      <c r="T1786" s="4">
        <v>99</v>
      </c>
      <c r="U1786" s="2"/>
      <c r="V1786" s="2"/>
      <c r="W1786" s="2"/>
      <c r="X1786" s="2"/>
      <c r="Y1786" s="4"/>
      <c r="Z1786" s="2"/>
      <c r="AA1786" s="2"/>
      <c r="AB1786" s="4"/>
      <c r="AC1786" s="4"/>
      <c r="AD1786" s="4"/>
      <c r="AE1786" s="4"/>
      <c r="AF1786" s="14"/>
    </row>
    <row r="1787" spans="1:32" x14ac:dyDescent="0.25">
      <c r="A1787" s="33" t="str">
        <f>CONCATENATE(D1787,".",F1787,"-",G1787,".",H1787,"")</f>
        <v>3.1-4.1</v>
      </c>
      <c r="C1787" s="39" t="s">
        <v>336</v>
      </c>
      <c r="D1787" s="33">
        <f>IF(C1787="ID",1,(IF(C1787="PR",2,(IF(C1787="DE",3,(IF(C1787="RS",4,(IF(C1787="RC",5,0)))))))))</f>
        <v>3</v>
      </c>
      <c r="E1787" s="33" t="s">
        <v>346</v>
      </c>
      <c r="F1787" s="33">
        <f>IF(E1787="AM",1,(IF(E1787="BE",2,(IF(E1787="GV",3,(IF(E1787="RA",4,(IF(E1787="RM",5,(IF(E1787="AC",1,(IF(E1787="AT",2,(IF(E1787="DS",3,(IF(E1787="IP",4,(IF(E1787="MA",5,(IF(E1787="PT",6,(IF(E1787="AE",1,(IF(E1787="CM",2,(IF(E1787="DP",3,(IF(E1787="AN",1,(IF(E1787="CO",2,(IF(E1787="IM",3,(IF(E1787="MI",4,(IF(E1787="RP",5,(IF(E1787="SC",6,0)))))))))))))))))))))))))))))))))))))))</f>
        <v>1</v>
      </c>
      <c r="G1787" s="170">
        <v>4</v>
      </c>
      <c r="H1787" s="38" t="s">
        <v>511</v>
      </c>
      <c r="I1787" s="3" t="s">
        <v>1449</v>
      </c>
      <c r="J1787" s="157" t="s">
        <v>2227</v>
      </c>
      <c r="K1787" s="34" t="s">
        <v>2228</v>
      </c>
      <c r="L1787" s="5">
        <f>IF(O1787="","",N1787*O1787*M1787)</f>
        <v>99</v>
      </c>
      <c r="M1787" s="8">
        <v>1</v>
      </c>
      <c r="N1787" s="1">
        <v>1</v>
      </c>
      <c r="O1787" s="15">
        <f>IF(SUM(Q1787:AF1787)&lt;1,"",SUM(Q1787:AF1787)/COUNTIF(Q1787:AF1787,"&gt;0"))</f>
        <v>99</v>
      </c>
      <c r="P1787" s="16"/>
      <c r="Q1787" s="13"/>
      <c r="R1787" s="4"/>
      <c r="S1787" s="4"/>
      <c r="T1787" s="4">
        <v>99</v>
      </c>
      <c r="U1787" s="2"/>
      <c r="V1787" s="2"/>
      <c r="W1787" s="2"/>
      <c r="X1787" s="2"/>
      <c r="Y1787" s="4"/>
      <c r="Z1787" s="2"/>
      <c r="AA1787" s="2"/>
      <c r="AB1787" s="4"/>
      <c r="AC1787" s="4"/>
      <c r="AD1787" s="4"/>
      <c r="AE1787" s="4"/>
      <c r="AF1787" s="14"/>
    </row>
    <row r="1788" spans="1:32" x14ac:dyDescent="0.25">
      <c r="A1788" s="33" t="str">
        <f>CONCATENATE(D1788,".",F1788,"-",G1788,".",H1788,"")</f>
        <v>3.1-5.0</v>
      </c>
      <c r="B1788" s="33" t="s">
        <v>814</v>
      </c>
      <c r="C1788" s="40" t="s">
        <v>336</v>
      </c>
      <c r="D1788" s="33">
        <f>IF(C1788="ID",1,(IF(C1788="PR",2,(IF(C1788="DE",3,(IF(C1788="RS",4,(IF(C1788="RC",5,0)))))))))</f>
        <v>3</v>
      </c>
      <c r="E1788" s="33" t="s">
        <v>346</v>
      </c>
      <c r="F1788" s="33">
        <f>IF(E1788="AM",1,(IF(E1788="BE",2,(IF(E1788="GV",3,(IF(E1788="RA",4,(IF(E1788="RM",5,(IF(E1788="AC",1,(IF(E1788="AT",2,(IF(E1788="DS",3,(IF(E1788="IP",4,(IF(E1788="MA",5,(IF(E1788="PT",6,(IF(E1788="AE",1,(IF(E1788="CM",2,(IF(E1788="DP",3,(IF(E1788="AN",1,(IF(E1788="CO",2,(IF(E1788="IM",3,(IF(E1788="MI",4,(IF(E1788="RP",5,(IF(E1788="SC",6,0)))))))))))))))))))))))))))))))))))))))</f>
        <v>1</v>
      </c>
      <c r="G1788" s="170">
        <v>5</v>
      </c>
      <c r="H1788" s="38" t="s">
        <v>597</v>
      </c>
      <c r="I1788" s="22" t="s">
        <v>1200</v>
      </c>
      <c r="J1788" s="149" t="s">
        <v>628</v>
      </c>
      <c r="K1788" s="99" t="s">
        <v>405</v>
      </c>
      <c r="L1788" s="66">
        <f>IF(O1788="","",N1788*O1788*M1788)</f>
        <v>75</v>
      </c>
      <c r="M1788" s="8">
        <v>1</v>
      </c>
      <c r="N1788" s="1">
        <v>1</v>
      </c>
      <c r="O1788" s="15">
        <f>IF(SUM(Q1788:AF1788)&lt;1,"",SUM(Q1788:AF1788)/COUNTIF(Q1788:AF1788,"&gt;0"))</f>
        <v>75</v>
      </c>
      <c r="P1788" s="16"/>
      <c r="Q1788" s="13"/>
      <c r="R1788" s="4"/>
      <c r="S1788" s="4"/>
      <c r="T1788" s="4">
        <v>75</v>
      </c>
      <c r="U1788" s="2"/>
      <c r="V1788" s="2"/>
      <c r="W1788" s="2"/>
      <c r="X1788" s="2"/>
      <c r="Y1788" s="4"/>
      <c r="Z1788" s="2"/>
      <c r="AA1788" s="2"/>
      <c r="AB1788" s="4"/>
      <c r="AC1788" s="4"/>
      <c r="AD1788" s="4"/>
      <c r="AE1788" s="4"/>
      <c r="AF1788" s="14"/>
    </row>
    <row r="1789" spans="1:32" x14ac:dyDescent="0.25">
      <c r="A1789" s="33" t="str">
        <f>CONCATENATE(D1789,".",F1789,"-",G1789,".",H1789,"")</f>
        <v>3.1-5.1</v>
      </c>
      <c r="B1789" s="33" t="s">
        <v>814</v>
      </c>
      <c r="C1789" s="40" t="s">
        <v>336</v>
      </c>
      <c r="D1789" s="33">
        <f>IF(C1789="ID",1,(IF(C1789="PR",2,(IF(C1789="DE",3,(IF(C1789="RS",4,(IF(C1789="RC",5,0)))))))))</f>
        <v>3</v>
      </c>
      <c r="E1789" s="33" t="s">
        <v>346</v>
      </c>
      <c r="F1789" s="33">
        <f>IF(E1789="AM",1,(IF(E1789="BE",2,(IF(E1789="GV",3,(IF(E1789="RA",4,(IF(E1789="RM",5,(IF(E1789="AC",1,(IF(E1789="AT",2,(IF(E1789="DS",3,(IF(E1789="IP",4,(IF(E1789="MA",5,(IF(E1789="PT",6,(IF(E1789="AE",1,(IF(E1789="CM",2,(IF(E1789="DP",3,(IF(E1789="AN",1,(IF(E1789="CO",2,(IF(E1789="IM",3,(IF(E1789="MI",4,(IF(E1789="RP",5,(IF(E1789="SC",6,0)))))))))))))))))))))))))))))))))))))))</f>
        <v>1</v>
      </c>
      <c r="G1789" s="171">
        <v>5</v>
      </c>
      <c r="H1789" s="38" t="s">
        <v>511</v>
      </c>
      <c r="I1789" s="3" t="s">
        <v>821</v>
      </c>
      <c r="J1789" s="149">
        <v>11.4</v>
      </c>
      <c r="K1789" s="79" t="s">
        <v>1283</v>
      </c>
      <c r="L1789" s="66">
        <f>IF(O1789="","",N1789*O1789*M1789)</f>
        <v>75</v>
      </c>
      <c r="M1789" s="8">
        <v>1</v>
      </c>
      <c r="N1789" s="1">
        <v>1</v>
      </c>
      <c r="O1789" s="15">
        <f>IF(SUM(Q1789:AF1789)&lt;1,"",SUM(Q1789:AF1789)/COUNTIF(Q1789:AF1789,"&gt;0"))</f>
        <v>75</v>
      </c>
      <c r="P1789" s="16"/>
      <c r="Q1789" s="13"/>
      <c r="R1789" s="4"/>
      <c r="S1789" s="4"/>
      <c r="T1789" s="4">
        <v>75</v>
      </c>
      <c r="U1789" s="2"/>
      <c r="V1789" s="2"/>
      <c r="W1789" s="2"/>
      <c r="X1789" s="2"/>
      <c r="Y1789" s="4"/>
      <c r="Z1789" s="2"/>
      <c r="AA1789" s="2"/>
      <c r="AB1789" s="4"/>
      <c r="AC1789" s="4"/>
      <c r="AD1789" s="4"/>
      <c r="AE1789" s="4"/>
      <c r="AF1789" s="14"/>
    </row>
    <row r="1790" spans="1:32" x14ac:dyDescent="0.25">
      <c r="A1790" s="33" t="str">
        <f>CONCATENATE(D1790,".",F1790,"-",G1790,".",H1790,"")</f>
        <v>3.1-5.1</v>
      </c>
      <c r="B1790" s="33" t="s">
        <v>814</v>
      </c>
      <c r="C1790" s="40" t="s">
        <v>336</v>
      </c>
      <c r="D1790" s="33">
        <f>IF(C1790="ID",1,(IF(C1790="PR",2,(IF(C1790="DE",3,(IF(C1790="RS",4,(IF(C1790="RC",5,0)))))))))</f>
        <v>3</v>
      </c>
      <c r="E1790" s="33" t="s">
        <v>346</v>
      </c>
      <c r="F1790" s="33">
        <f>IF(E1790="AM",1,(IF(E1790="BE",2,(IF(E1790="GV",3,(IF(E1790="RA",4,(IF(E1790="RM",5,(IF(E1790="AC",1,(IF(E1790="AT",2,(IF(E1790="DS",3,(IF(E1790="IP",4,(IF(E1790="MA",5,(IF(E1790="PT",6,(IF(E1790="AE",1,(IF(E1790="CM",2,(IF(E1790="DP",3,(IF(E1790="AN",1,(IF(E1790="CO",2,(IF(E1790="IM",3,(IF(E1790="MI",4,(IF(E1790="RP",5,(IF(E1790="SC",6,0)))))))))))))))))))))))))))))))))))))))</f>
        <v>1</v>
      </c>
      <c r="G1790" s="171">
        <v>5</v>
      </c>
      <c r="H1790" s="38" t="s">
        <v>511</v>
      </c>
      <c r="I1790" s="22" t="s">
        <v>936</v>
      </c>
      <c r="J1790" s="163" t="s">
        <v>934</v>
      </c>
      <c r="K1790" s="34" t="s">
        <v>970</v>
      </c>
      <c r="L1790" s="66">
        <f>IF(O1790="","",N1790*O1790*M1790)</f>
        <v>75</v>
      </c>
      <c r="M1790" s="8">
        <v>1</v>
      </c>
      <c r="N1790" s="3">
        <v>1</v>
      </c>
      <c r="O1790" s="15">
        <f>IF(SUM(Q1790:AF1790)&lt;1,"",SUM(Q1790:AF1790)/COUNTIF(Q1790:AF1790,"&gt;0"))</f>
        <v>75</v>
      </c>
      <c r="P1790" s="16"/>
      <c r="Q1790" s="13"/>
      <c r="R1790" s="4"/>
      <c r="S1790" s="4"/>
      <c r="T1790" s="4">
        <v>75</v>
      </c>
      <c r="U1790" s="2"/>
      <c r="V1790" s="2"/>
      <c r="W1790" s="2"/>
      <c r="X1790" s="2"/>
      <c r="Y1790" s="4"/>
      <c r="Z1790" s="2"/>
      <c r="AA1790" s="2"/>
      <c r="AB1790" s="4"/>
      <c r="AC1790" s="4"/>
      <c r="AD1790" s="4"/>
      <c r="AE1790" s="4"/>
      <c r="AF1790" s="14"/>
    </row>
    <row r="1791" spans="1:32" x14ac:dyDescent="0.25">
      <c r="A1791" s="33" t="str">
        <f>CONCATENATE(D1791,".",F1791,"-",G1791,".",H1791,"")</f>
        <v>3.1-5.1</v>
      </c>
      <c r="B1791" s="33" t="s">
        <v>814</v>
      </c>
      <c r="C1791" s="39" t="s">
        <v>336</v>
      </c>
      <c r="D1791" s="33">
        <f>IF(C1791="ID",1,(IF(C1791="PR",2,(IF(C1791="DE",3,(IF(C1791="RS",4,(IF(C1791="RC",5,0)))))))))</f>
        <v>3</v>
      </c>
      <c r="E1791" s="33" t="s">
        <v>346</v>
      </c>
      <c r="F1791" s="33">
        <f>IF(E1791="AM",1,(IF(E1791="BE",2,(IF(E1791="GV",3,(IF(E1791="RA",4,(IF(E1791="RM",5,(IF(E1791="AC",1,(IF(E1791="AT",2,(IF(E1791="DS",3,(IF(E1791="IP",4,(IF(E1791="MA",5,(IF(E1791="PT",6,(IF(E1791="AE",1,(IF(E1791="CM",2,(IF(E1791="DP",3,(IF(E1791="AN",1,(IF(E1791="CO",2,(IF(E1791="IM",3,(IF(E1791="MI",4,(IF(E1791="RP",5,(IF(E1791="SC",6,0)))))))))))))))))))))))))))))))))))))))</f>
        <v>1</v>
      </c>
      <c r="G1791" s="170">
        <v>5</v>
      </c>
      <c r="H1791" s="33">
        <v>1</v>
      </c>
      <c r="I1791" s="22" t="s">
        <v>266</v>
      </c>
      <c r="J1791" s="150" t="s">
        <v>327</v>
      </c>
      <c r="K1791" s="79" t="s">
        <v>1369</v>
      </c>
      <c r="L1791" s="5">
        <f>IF(O1791="","",N1791*O1791*M1791)</f>
        <v>75</v>
      </c>
      <c r="M1791" s="8">
        <v>1</v>
      </c>
      <c r="N1791" s="1">
        <v>1</v>
      </c>
      <c r="O1791" s="15">
        <f>IF(SUM(Q1791:AF1791)&lt;1,"",SUM(Q1791:AF1791)/COUNTIF(Q1791:AF1791,"&gt;0"))</f>
        <v>75</v>
      </c>
      <c r="P1791" s="16"/>
      <c r="Q1791" s="13"/>
      <c r="T1791" s="4">
        <v>75</v>
      </c>
      <c r="AF1791" s="104"/>
    </row>
    <row r="1792" spans="1:32" x14ac:dyDescent="0.25">
      <c r="A1792" s="33" t="str">
        <f>CONCATENATE(D1792,".",F1792,"-",G1792,".",H1792,"")</f>
        <v>3.1-5.1</v>
      </c>
      <c r="B1792" s="33" t="s">
        <v>814</v>
      </c>
      <c r="C1792" s="39" t="s">
        <v>336</v>
      </c>
      <c r="D1792" s="33">
        <f>IF(C1792="ID",1,(IF(C1792="PR",2,(IF(C1792="DE",3,(IF(C1792="RS",4,(IF(C1792="RC",5,0)))))))))</f>
        <v>3</v>
      </c>
      <c r="E1792" s="33" t="s">
        <v>346</v>
      </c>
      <c r="F1792" s="33">
        <f>IF(E1792="AM",1,(IF(E1792="BE",2,(IF(E1792="GV",3,(IF(E1792="RA",4,(IF(E1792="RM",5,(IF(E1792="AC",1,(IF(E1792="AT",2,(IF(E1792="DS",3,(IF(E1792="IP",4,(IF(E1792="MA",5,(IF(E1792="PT",6,(IF(E1792="AE",1,(IF(E1792="CM",2,(IF(E1792="DP",3,(IF(E1792="AN",1,(IF(E1792="CO",2,(IF(E1792="IM",3,(IF(E1792="MI",4,(IF(E1792="RP",5,(IF(E1792="SC",6,0)))))))))))))))))))))))))))))))))))))))</f>
        <v>1</v>
      </c>
      <c r="G1792" s="170">
        <v>5</v>
      </c>
      <c r="H1792" s="38" t="s">
        <v>511</v>
      </c>
      <c r="I1792" s="3" t="s">
        <v>1449</v>
      </c>
      <c r="J1792" s="157" t="s">
        <v>1452</v>
      </c>
      <c r="K1792" s="34" t="s">
        <v>1453</v>
      </c>
      <c r="L1792" s="5">
        <f>IF(O1792="","",N1792*O1792*M1792)</f>
        <v>99</v>
      </c>
      <c r="M1792" s="8">
        <v>1</v>
      </c>
      <c r="N1792" s="1">
        <v>1</v>
      </c>
      <c r="O1792" s="15">
        <f>IF(SUM(Q1792:AF1792)&lt;1,"",SUM(Q1792:AF1792)/COUNTIF(Q1792:AF1792,"&gt;0"))</f>
        <v>99</v>
      </c>
      <c r="P1792" s="16"/>
      <c r="Q1792" s="13"/>
      <c r="R1792" s="4"/>
      <c r="S1792" s="4"/>
      <c r="T1792" s="4">
        <v>99</v>
      </c>
      <c r="U1792" s="2"/>
      <c r="V1792" s="2"/>
      <c r="W1792" s="2"/>
      <c r="X1792" s="2"/>
      <c r="Y1792" s="4"/>
      <c r="Z1792" s="2"/>
      <c r="AA1792" s="2"/>
      <c r="AB1792" s="4"/>
      <c r="AC1792" s="4"/>
      <c r="AD1792" s="4"/>
      <c r="AE1792" s="4"/>
      <c r="AF1792" s="14"/>
    </row>
    <row r="1793" spans="1:32" x14ac:dyDescent="0.25">
      <c r="A1793" s="33" t="str">
        <f>CONCATENATE(D1793,".",F1793,"-",G1793,".",H1793,"")</f>
        <v>3.1-5.1</v>
      </c>
      <c r="C1793" s="39" t="s">
        <v>336</v>
      </c>
      <c r="D1793" s="33">
        <f>IF(C1793="ID",1,(IF(C1793="PR",2,(IF(C1793="DE",3,(IF(C1793="RS",4,(IF(C1793="RC",5,0)))))))))</f>
        <v>3</v>
      </c>
      <c r="E1793" s="33" t="s">
        <v>346</v>
      </c>
      <c r="F1793" s="33">
        <f>IF(E1793="AM",1,(IF(E1793="BE",2,(IF(E1793="GV",3,(IF(E1793="RA",4,(IF(E1793="RM",5,(IF(E1793="AC",1,(IF(E1793="AT",2,(IF(E1793="DS",3,(IF(E1793="IP",4,(IF(E1793="MA",5,(IF(E1793="PT",6,(IF(E1793="AE",1,(IF(E1793="CM",2,(IF(E1793="DP",3,(IF(E1793="AN",1,(IF(E1793="CO",2,(IF(E1793="IM",3,(IF(E1793="MI",4,(IF(E1793="RP",5,(IF(E1793="SC",6,0)))))))))))))))))))))))))))))))))))))))</f>
        <v>1</v>
      </c>
      <c r="G1793" s="170">
        <v>5</v>
      </c>
      <c r="H1793" s="38" t="s">
        <v>511</v>
      </c>
      <c r="I1793" s="3" t="s">
        <v>1449</v>
      </c>
      <c r="J1793" s="157" t="s">
        <v>2237</v>
      </c>
      <c r="K1793" s="34" t="s">
        <v>2238</v>
      </c>
      <c r="L1793" s="5">
        <f>IF(O1793="","",N1793*O1793*M1793)</f>
        <v>99</v>
      </c>
      <c r="M1793" s="8">
        <v>1</v>
      </c>
      <c r="N1793" s="1">
        <v>1</v>
      </c>
      <c r="O1793" s="15">
        <f>IF(SUM(Q1793:AF1793)&lt;1,"",SUM(Q1793:AF1793)/COUNTIF(Q1793:AF1793,"&gt;0"))</f>
        <v>99</v>
      </c>
      <c r="P1793" s="16"/>
      <c r="Q1793" s="13"/>
      <c r="R1793" s="4"/>
      <c r="S1793" s="4"/>
      <c r="T1793" s="4">
        <v>99</v>
      </c>
      <c r="U1793" s="2"/>
      <c r="V1793" s="2"/>
      <c r="W1793" s="2"/>
      <c r="X1793" s="2"/>
      <c r="Y1793" s="4"/>
      <c r="Z1793" s="2"/>
      <c r="AA1793" s="2"/>
      <c r="AB1793" s="4"/>
      <c r="AC1793" s="4"/>
      <c r="AD1793" s="4"/>
      <c r="AE1793" s="4"/>
      <c r="AF1793" s="14"/>
    </row>
    <row r="1794" spans="1:32" x14ac:dyDescent="0.25">
      <c r="A1794" s="33" t="str">
        <f>CONCATENATE(D1794,".",F1794,"-",G1794,".",H1794,"")</f>
        <v>3.2-0.0</v>
      </c>
      <c r="B1794" s="33" t="s">
        <v>1229</v>
      </c>
      <c r="C1794" s="40" t="s">
        <v>336</v>
      </c>
      <c r="D1794" s="33">
        <f>IF(C1794="ID",1,(IF(C1794="PR",2,(IF(C1794="DE",3,(IF(C1794="RS",4,(IF(C1794="RC",5,0)))))))))</f>
        <v>3</v>
      </c>
      <c r="E1794" s="33" t="s">
        <v>259</v>
      </c>
      <c r="F1794" s="33">
        <f>IF(E1794="AM",1,(IF(E1794="BE",2,(IF(E1794="GV",3,(IF(E1794="RA",4,(IF(E1794="RM",5,(IF(E1794="AC",1,(IF(E1794="AT",2,(IF(E1794="DS",3,(IF(E1794="IP",4,(IF(E1794="MA",5,(IF(E1794="PT",6,(IF(E1794="AE",1,(IF(E1794="CM",2,(IF(E1794="DP",3,(IF(E1794="AN",1,(IF(E1794="CO",2,(IF(E1794="IM",3,(IF(E1794="MI",4,(IF(E1794="RP",5,(IF(E1794="SC",6,0)))))))))))))))))))))))))))))))))))))))</f>
        <v>2</v>
      </c>
      <c r="G1794" s="170">
        <v>0</v>
      </c>
      <c r="H1794" s="38" t="s">
        <v>597</v>
      </c>
      <c r="I1794" s="22" t="s">
        <v>1200</v>
      </c>
      <c r="J1794" s="153" t="s">
        <v>629</v>
      </c>
      <c r="K1794" s="99" t="s">
        <v>739</v>
      </c>
      <c r="L1794" s="66" t="str">
        <f>IF(O1794="","",N1794*O1794*M1794)</f>
        <v/>
      </c>
      <c r="M1794" s="8">
        <v>1</v>
      </c>
      <c r="N1794" s="1">
        <v>1</v>
      </c>
      <c r="O1794" s="15" t="str">
        <f>IF(SUM(Q1794:AF1794)&lt;1,"",SUM(Q1794:AF1794)/COUNTIF(Q1794:AF1794,"&gt;0"))</f>
        <v/>
      </c>
      <c r="P1794" s="16"/>
      <c r="Q1794" s="13"/>
      <c r="R1794" s="4"/>
      <c r="S1794" s="4"/>
      <c r="T1794" s="2"/>
      <c r="U1794" s="2"/>
      <c r="V1794" s="2"/>
      <c r="W1794" s="2"/>
      <c r="X1794" s="2"/>
      <c r="Y1794" s="4"/>
      <c r="Z1794" s="2"/>
      <c r="AA1794" s="2"/>
      <c r="AB1794" s="4"/>
      <c r="AC1794" s="4"/>
      <c r="AD1794" s="4"/>
      <c r="AE1794" s="4"/>
      <c r="AF1794" s="14"/>
    </row>
    <row r="1795" spans="1:32" x14ac:dyDescent="0.25">
      <c r="A1795" s="33" t="str">
        <f>CONCATENATE(D1795,".",F1795,"-",G1795,".",H1795,"")</f>
        <v>3.2-0.1</v>
      </c>
      <c r="B1795" s="33" t="s">
        <v>1229</v>
      </c>
      <c r="C1795" s="40" t="s">
        <v>336</v>
      </c>
      <c r="D1795" s="33">
        <f>IF(C1795="ID",1,(IF(C1795="PR",2,(IF(C1795="DE",3,(IF(C1795="RS",4,(IF(C1795="RC",5,0)))))))))</f>
        <v>3</v>
      </c>
      <c r="E1795" s="33" t="s">
        <v>259</v>
      </c>
      <c r="F1795" s="33">
        <f>IF(E1795="AM",1,(IF(E1795="BE",2,(IF(E1795="GV",3,(IF(E1795="RA",4,(IF(E1795="RM",5,(IF(E1795="AC",1,(IF(E1795="AT",2,(IF(E1795="DS",3,(IF(E1795="IP",4,(IF(E1795="MA",5,(IF(E1795="PT",6,(IF(E1795="AE",1,(IF(E1795="CM",2,(IF(E1795="DP",3,(IF(E1795="AN",1,(IF(E1795="CO",2,(IF(E1795="IM",3,(IF(E1795="MI",4,(IF(E1795="RP",5,(IF(E1795="SC",6,0)))))))))))))))))))))))))))))))))))))))</f>
        <v>2</v>
      </c>
      <c r="G1795" s="170">
        <v>0</v>
      </c>
      <c r="H1795" s="38" t="s">
        <v>511</v>
      </c>
      <c r="I1795" s="22" t="s">
        <v>1200</v>
      </c>
      <c r="J1795" s="153" t="s">
        <v>629</v>
      </c>
      <c r="K1795" s="99" t="s">
        <v>756</v>
      </c>
      <c r="L1795" s="5" t="str">
        <f>IF(O1795="","",N1795*O1795*M1795)</f>
        <v/>
      </c>
      <c r="M1795" s="8">
        <v>1</v>
      </c>
      <c r="N1795" s="1">
        <v>1</v>
      </c>
      <c r="O1795" s="15" t="str">
        <f>IF(SUM(Q1795:AF1795)&lt;1,"",SUM(Q1795:AF1795)/COUNTIF(Q1795:AF1795,"&gt;0"))</f>
        <v/>
      </c>
      <c r="P1795" s="16"/>
      <c r="Q1795" s="13"/>
      <c r="R1795" s="4"/>
      <c r="S1795" s="4"/>
      <c r="T1795" s="2"/>
      <c r="U1795" s="2"/>
      <c r="V1795" s="2"/>
      <c r="W1795" s="2"/>
      <c r="X1795" s="2"/>
      <c r="Y1795" s="4"/>
      <c r="Z1795" s="2"/>
      <c r="AA1795" s="2"/>
      <c r="AB1795" s="4"/>
      <c r="AC1795" s="4"/>
      <c r="AD1795" s="4"/>
      <c r="AE1795" s="4"/>
      <c r="AF1795" s="14"/>
    </row>
    <row r="1796" spans="1:32" x14ac:dyDescent="0.25">
      <c r="A1796" s="33" t="str">
        <f>CONCATENATE(D1796,".",F1796,"-",G1796,".",H1796,"")</f>
        <v>3.2-1.0</v>
      </c>
      <c r="B1796" s="33" t="s">
        <v>814</v>
      </c>
      <c r="C1796" s="40" t="s">
        <v>336</v>
      </c>
      <c r="D1796" s="33">
        <f>IF(C1796="ID",1,(IF(C1796="PR",2,(IF(C1796="DE",3,(IF(C1796="RS",4,(IF(C1796="RC",5,0)))))))))</f>
        <v>3</v>
      </c>
      <c r="E1796" s="33" t="s">
        <v>259</v>
      </c>
      <c r="F1796" s="33">
        <f>IF(E1796="AM",1,(IF(E1796="BE",2,(IF(E1796="GV",3,(IF(E1796="RA",4,(IF(E1796="RM",5,(IF(E1796="AC",1,(IF(E1796="AT",2,(IF(E1796="DS",3,(IF(E1796="IP",4,(IF(E1796="MA",5,(IF(E1796="PT",6,(IF(E1796="AE",1,(IF(E1796="CM",2,(IF(E1796="DP",3,(IF(E1796="AN",1,(IF(E1796="CO",2,(IF(E1796="IM",3,(IF(E1796="MI",4,(IF(E1796="RP",5,(IF(E1796="SC",6,0)))))))))))))))))))))))))))))))))))))))</f>
        <v>2</v>
      </c>
      <c r="G1796" s="170">
        <v>1</v>
      </c>
      <c r="H1796" s="38" t="s">
        <v>597</v>
      </c>
      <c r="I1796" s="22" t="s">
        <v>1200</v>
      </c>
      <c r="J1796" s="149" t="s">
        <v>630</v>
      </c>
      <c r="K1796" s="99" t="s">
        <v>406</v>
      </c>
      <c r="L1796" s="66">
        <f>IF(O1796="","",N1796*O1796*M1796)</f>
        <v>75</v>
      </c>
      <c r="M1796" s="8">
        <v>1</v>
      </c>
      <c r="N1796" s="1">
        <v>1</v>
      </c>
      <c r="O1796" s="15">
        <f>IF(SUM(Q1796:AF1796)&lt;1,"",SUM(Q1796:AF1796)/COUNTIF(Q1796:AF1796,"&gt;0"))</f>
        <v>75</v>
      </c>
      <c r="P1796" s="16"/>
      <c r="Q1796" s="13"/>
      <c r="R1796" s="4"/>
      <c r="S1796" s="4"/>
      <c r="T1796" s="4">
        <v>75</v>
      </c>
      <c r="U1796" s="2"/>
      <c r="V1796" s="2"/>
      <c r="W1796" s="2"/>
      <c r="X1796" s="2"/>
      <c r="Y1796" s="4"/>
      <c r="Z1796" s="2"/>
      <c r="AA1796" s="2"/>
      <c r="AB1796" s="4"/>
      <c r="AC1796" s="4"/>
      <c r="AD1796" s="4"/>
      <c r="AE1796" s="4"/>
      <c r="AF1796" s="14"/>
    </row>
    <row r="1797" spans="1:32" x14ac:dyDescent="0.25">
      <c r="A1797" s="33" t="str">
        <f>CONCATENATE(D1797,".",F1797,"-",G1797,".",H1797,"")</f>
        <v>3.2-1.1</v>
      </c>
      <c r="B1797" s="33" t="s">
        <v>814</v>
      </c>
      <c r="C1797" s="40" t="s">
        <v>336</v>
      </c>
      <c r="D1797" s="33">
        <f>IF(C1797="ID",1,(IF(C1797="PR",2,(IF(C1797="DE",3,(IF(C1797="RS",4,(IF(C1797="RC",5,0)))))))))</f>
        <v>3</v>
      </c>
      <c r="E1797" s="33" t="s">
        <v>259</v>
      </c>
      <c r="F1797" s="33">
        <f>IF(E1797="AM",1,(IF(E1797="BE",2,(IF(E1797="GV",3,(IF(E1797="RA",4,(IF(E1797="RM",5,(IF(E1797="AC",1,(IF(E1797="AT",2,(IF(E1797="DS",3,(IF(E1797="IP",4,(IF(E1797="MA",5,(IF(E1797="PT",6,(IF(E1797="AE",1,(IF(E1797="CM",2,(IF(E1797="DP",3,(IF(E1797="AN",1,(IF(E1797="CO",2,(IF(E1797="IM",3,(IF(E1797="MI",4,(IF(E1797="RP",5,(IF(E1797="SC",6,0)))))))))))))))))))))))))))))))))))))))</f>
        <v>2</v>
      </c>
      <c r="G1797" s="170">
        <v>1</v>
      </c>
      <c r="H1797" s="38" t="s">
        <v>511</v>
      </c>
      <c r="I1797" s="3" t="s">
        <v>821</v>
      </c>
      <c r="J1797" s="150">
        <v>10</v>
      </c>
      <c r="K1797" s="79" t="s">
        <v>1283</v>
      </c>
      <c r="L1797" s="66">
        <f>IF(O1797="","",N1797*O1797*M1797)</f>
        <v>75</v>
      </c>
      <c r="M1797" s="8">
        <v>1</v>
      </c>
      <c r="N1797" s="3">
        <v>1</v>
      </c>
      <c r="O1797" s="15">
        <f>IF(SUM(Q1797:AF1797)&lt;1,"",SUM(Q1797:AF1797)/COUNTIF(Q1797:AF1797,"&gt;0"))</f>
        <v>75</v>
      </c>
      <c r="P1797" s="16"/>
      <c r="Q1797" s="13"/>
      <c r="R1797" s="4"/>
      <c r="S1797" s="4"/>
      <c r="T1797" s="4">
        <v>75</v>
      </c>
      <c r="U1797" s="2"/>
      <c r="V1797" s="2"/>
      <c r="W1797" s="2"/>
      <c r="X1797" s="2"/>
      <c r="Y1797" s="4"/>
      <c r="Z1797" s="2"/>
      <c r="AA1797" s="2"/>
      <c r="AB1797" s="4"/>
      <c r="AC1797" s="4"/>
      <c r="AD1797" s="4"/>
      <c r="AE1797" s="4"/>
      <c r="AF1797" s="14"/>
    </row>
    <row r="1798" spans="1:32" x14ac:dyDescent="0.25">
      <c r="A1798" s="33" t="str">
        <f>CONCATENATE(D1798,".",F1798,"-",G1798,".",H1798,"")</f>
        <v>3.2-1.1</v>
      </c>
      <c r="B1798" s="33" t="s">
        <v>814</v>
      </c>
      <c r="C1798" s="39" t="s">
        <v>336</v>
      </c>
      <c r="D1798" s="33">
        <f>IF(C1798="ID",1,(IF(C1798="PR",2,(IF(C1798="DE",3,(IF(C1798="RS",4,(IF(C1798="RC",5,0)))))))))</f>
        <v>3</v>
      </c>
      <c r="E1798" s="33" t="s">
        <v>259</v>
      </c>
      <c r="F1798" s="33">
        <f>IF(E1798="AM",1,(IF(E1798="BE",2,(IF(E1798="GV",3,(IF(E1798="RA",4,(IF(E1798="RM",5,(IF(E1798="AC",1,(IF(E1798="AT",2,(IF(E1798="DS",3,(IF(E1798="IP",4,(IF(E1798="MA",5,(IF(E1798="PT",6,(IF(E1798="AE",1,(IF(E1798="CM",2,(IF(E1798="DP",3,(IF(E1798="AN",1,(IF(E1798="CO",2,(IF(E1798="IM",3,(IF(E1798="MI",4,(IF(E1798="RP",5,(IF(E1798="SC",6,0)))))))))))))))))))))))))))))))))))))))</f>
        <v>2</v>
      </c>
      <c r="G1798" s="170">
        <v>1</v>
      </c>
      <c r="H1798" s="38" t="s">
        <v>511</v>
      </c>
      <c r="I1798" s="3" t="s">
        <v>821</v>
      </c>
      <c r="J1798" s="150">
        <v>10.8</v>
      </c>
      <c r="K1798" s="79" t="s">
        <v>1283</v>
      </c>
      <c r="L1798" s="66">
        <f>IF(O1798="","",N1798*O1798*M1798)</f>
        <v>75</v>
      </c>
      <c r="M1798" s="81">
        <v>1</v>
      </c>
      <c r="N1798" s="3">
        <v>1</v>
      </c>
      <c r="O1798" s="15">
        <f>IF(SUM(Q1798:AF1798)&lt;1,"",SUM(Q1798:AF1798)/COUNTIF(Q1798:AF1798,"&gt;0"))</f>
        <v>75</v>
      </c>
      <c r="P1798" s="16"/>
      <c r="Q1798" s="13"/>
      <c r="R1798" s="4"/>
      <c r="S1798" s="4"/>
      <c r="T1798" s="4">
        <v>75</v>
      </c>
      <c r="U1798" s="4"/>
      <c r="V1798" s="4"/>
      <c r="W1798" s="4"/>
      <c r="X1798" s="2"/>
      <c r="Y1798" s="4"/>
      <c r="Z1798" s="2"/>
      <c r="AA1798" s="2"/>
      <c r="AB1798" s="4"/>
      <c r="AC1798" s="4"/>
      <c r="AD1798" s="4"/>
      <c r="AE1798" s="4"/>
      <c r="AF1798" s="14"/>
    </row>
    <row r="1799" spans="1:32" x14ac:dyDescent="0.25">
      <c r="A1799" s="33" t="str">
        <f>CONCATENATE(D1799,".",F1799,"-",G1799,".",H1799,"")</f>
        <v>3.2-1.1</v>
      </c>
      <c r="B1799" s="33" t="s">
        <v>814</v>
      </c>
      <c r="C1799" s="40" t="s">
        <v>336</v>
      </c>
      <c r="D1799" s="33">
        <f>IF(C1799="ID",1,(IF(C1799="PR",2,(IF(C1799="DE",3,(IF(C1799="RS",4,(IF(C1799="RC",5,0)))))))))</f>
        <v>3</v>
      </c>
      <c r="E1799" s="33" t="s">
        <v>259</v>
      </c>
      <c r="F1799" s="33">
        <f>IF(E1799="AM",1,(IF(E1799="BE",2,(IF(E1799="GV",3,(IF(E1799="RA",4,(IF(E1799="RM",5,(IF(E1799="AC",1,(IF(E1799="AT",2,(IF(E1799="DS",3,(IF(E1799="IP",4,(IF(E1799="MA",5,(IF(E1799="PT",6,(IF(E1799="AE",1,(IF(E1799="CM",2,(IF(E1799="DP",3,(IF(E1799="AN",1,(IF(E1799="CO",2,(IF(E1799="IM",3,(IF(E1799="MI",4,(IF(E1799="RP",5,(IF(E1799="SC",6,0)))))))))))))))))))))))))))))))))))))))</f>
        <v>2</v>
      </c>
      <c r="G1799" s="171">
        <v>1</v>
      </c>
      <c r="H1799" s="38" t="s">
        <v>511</v>
      </c>
      <c r="I1799" s="3" t="s">
        <v>821</v>
      </c>
      <c r="J1799" s="149">
        <v>11.1</v>
      </c>
      <c r="K1799" s="79" t="s">
        <v>1283</v>
      </c>
      <c r="L1799" s="66">
        <f>IF(O1799="","",N1799*O1799*M1799)</f>
        <v>75</v>
      </c>
      <c r="M1799" s="8">
        <v>1</v>
      </c>
      <c r="N1799" s="1">
        <v>1</v>
      </c>
      <c r="O1799" s="15">
        <f>IF(SUM(Q1799:AF1799)&lt;1,"",SUM(Q1799:AF1799)/COUNTIF(Q1799:AF1799,"&gt;0"))</f>
        <v>75</v>
      </c>
      <c r="P1799" s="16"/>
      <c r="Q1799" s="13"/>
      <c r="R1799" s="4"/>
      <c r="S1799" s="4"/>
      <c r="T1799" s="4">
        <v>75</v>
      </c>
      <c r="U1799" s="2"/>
      <c r="V1799" s="2"/>
      <c r="W1799" s="2"/>
      <c r="X1799" s="2"/>
      <c r="Y1799" s="4"/>
      <c r="Z1799" s="2"/>
      <c r="AA1799" s="2"/>
      <c r="AB1799" s="4"/>
      <c r="AC1799" s="4"/>
      <c r="AD1799" s="4"/>
      <c r="AE1799" s="4"/>
      <c r="AF1799" s="14"/>
    </row>
    <row r="1800" spans="1:32" x14ac:dyDescent="0.25">
      <c r="A1800" s="33" t="str">
        <f>CONCATENATE(D1800,".",F1800,"-",G1800,".",H1800,"")</f>
        <v>3.2-1.1</v>
      </c>
      <c r="B1800" s="33" t="s">
        <v>814</v>
      </c>
      <c r="C1800" s="40" t="s">
        <v>336</v>
      </c>
      <c r="D1800" s="33">
        <f>IF(C1800="ID",1,(IF(C1800="PR",2,(IF(C1800="DE",3,(IF(C1800="RS",4,(IF(C1800="RC",5,0)))))))))</f>
        <v>3</v>
      </c>
      <c r="E1800" s="33" t="s">
        <v>259</v>
      </c>
      <c r="F1800" s="33">
        <f>IF(E1800="AM",1,(IF(E1800="BE",2,(IF(E1800="GV",3,(IF(E1800="RA",4,(IF(E1800="RM",5,(IF(E1800="AC",1,(IF(E1800="AT",2,(IF(E1800="DS",3,(IF(E1800="IP",4,(IF(E1800="MA",5,(IF(E1800="PT",6,(IF(E1800="AE",1,(IF(E1800="CM",2,(IF(E1800="DP",3,(IF(E1800="AN",1,(IF(E1800="CO",2,(IF(E1800="IM",3,(IF(E1800="MI",4,(IF(E1800="RP",5,(IF(E1800="SC",6,0)))))))))))))))))))))))))))))))))))))))</f>
        <v>2</v>
      </c>
      <c r="G1800" s="171">
        <v>1</v>
      </c>
      <c r="H1800" s="38" t="s">
        <v>511</v>
      </c>
      <c r="I1800" s="3" t="s">
        <v>821</v>
      </c>
      <c r="J1800" s="149">
        <v>11.4</v>
      </c>
      <c r="K1800" s="79" t="s">
        <v>1283</v>
      </c>
      <c r="L1800" s="66">
        <f>IF(O1800="","",N1800*O1800*M1800)</f>
        <v>75</v>
      </c>
      <c r="M1800" s="8">
        <v>1</v>
      </c>
      <c r="N1800" s="1">
        <v>1</v>
      </c>
      <c r="O1800" s="15">
        <f>IF(SUM(Q1800:AF1800)&lt;1,"",SUM(Q1800:AF1800)/COUNTIF(Q1800:AF1800,"&gt;0"))</f>
        <v>75</v>
      </c>
      <c r="P1800" s="16"/>
      <c r="Q1800" s="13"/>
      <c r="R1800" s="4"/>
      <c r="S1800" s="4"/>
      <c r="T1800" s="4">
        <v>75</v>
      </c>
      <c r="U1800" s="2"/>
      <c r="V1800" s="2"/>
      <c r="W1800" s="2"/>
      <c r="X1800" s="2"/>
      <c r="Y1800" s="4"/>
      <c r="Z1800" s="2"/>
      <c r="AA1800" s="2"/>
      <c r="AB1800" s="4"/>
      <c r="AC1800" s="4"/>
      <c r="AD1800" s="4"/>
      <c r="AE1800" s="4"/>
      <c r="AF1800" s="14"/>
    </row>
    <row r="1801" spans="1:32" x14ac:dyDescent="0.25">
      <c r="A1801" s="33" t="str">
        <f>CONCATENATE(D1801,".",F1801,"-",G1801,".",H1801,"")</f>
        <v>3.2-1.1</v>
      </c>
      <c r="B1801" s="33" t="s">
        <v>814</v>
      </c>
      <c r="C1801" s="40" t="s">
        <v>336</v>
      </c>
      <c r="D1801" s="33">
        <f>IF(C1801="ID",1,(IF(C1801="PR",2,(IF(C1801="DE",3,(IF(C1801="RS",4,(IF(C1801="RC",5,0)))))))))</f>
        <v>3</v>
      </c>
      <c r="E1801" s="33" t="s">
        <v>259</v>
      </c>
      <c r="F1801" s="33">
        <f>IF(E1801="AM",1,(IF(E1801="BE",2,(IF(E1801="GV",3,(IF(E1801="RA",4,(IF(E1801="RM",5,(IF(E1801="AC",1,(IF(E1801="AT",2,(IF(E1801="DS",3,(IF(E1801="IP",4,(IF(E1801="MA",5,(IF(E1801="PT",6,(IF(E1801="AE",1,(IF(E1801="CM",2,(IF(E1801="DP",3,(IF(E1801="AN",1,(IF(E1801="CO",2,(IF(E1801="IM",3,(IF(E1801="MI",4,(IF(E1801="RP",5,(IF(E1801="SC",6,0)))))))))))))))))))))))))))))))))))))))</f>
        <v>2</v>
      </c>
      <c r="G1801" s="171">
        <v>1</v>
      </c>
      <c r="H1801" s="38" t="s">
        <v>511</v>
      </c>
      <c r="I1801" s="3" t="s">
        <v>821</v>
      </c>
      <c r="J1801" s="150" t="s">
        <v>116</v>
      </c>
      <c r="K1801" s="79" t="s">
        <v>1283</v>
      </c>
      <c r="L1801" s="66">
        <f>IF(O1801="","",N1801*O1801*M1801)</f>
        <v>75</v>
      </c>
      <c r="M1801" s="8">
        <v>1</v>
      </c>
      <c r="N1801" s="3">
        <v>1</v>
      </c>
      <c r="O1801" s="15">
        <f>IF(SUM(Q1801:AF1801)&lt;1,"",SUM(Q1801:AF1801)/COUNTIF(Q1801:AF1801,"&gt;0"))</f>
        <v>75</v>
      </c>
      <c r="P1801" s="16"/>
      <c r="Q1801" s="13"/>
      <c r="R1801" s="4"/>
      <c r="S1801" s="4"/>
      <c r="T1801" s="4">
        <v>75</v>
      </c>
      <c r="U1801" s="2"/>
      <c r="V1801" s="2"/>
      <c r="W1801" s="2"/>
      <c r="X1801" s="2"/>
      <c r="Y1801" s="4"/>
      <c r="Z1801" s="2"/>
      <c r="AA1801" s="2"/>
      <c r="AB1801" s="4"/>
      <c r="AC1801" s="4"/>
      <c r="AD1801" s="4"/>
      <c r="AE1801" s="4"/>
      <c r="AF1801" s="14"/>
    </row>
    <row r="1802" spans="1:32" x14ac:dyDescent="0.25">
      <c r="A1802" s="33" t="str">
        <f>CONCATENATE(D1802,".",F1802,"-",G1802,".",H1802,"")</f>
        <v>3.2-1.1</v>
      </c>
      <c r="B1802" s="33" t="s">
        <v>814</v>
      </c>
      <c r="C1802" s="40" t="s">
        <v>336</v>
      </c>
      <c r="D1802" s="33">
        <f>IF(C1802="ID",1,(IF(C1802="PR",2,(IF(C1802="DE",3,(IF(C1802="RS",4,(IF(C1802="RC",5,0)))))))))</f>
        <v>3</v>
      </c>
      <c r="E1802" s="33" t="s">
        <v>259</v>
      </c>
      <c r="F1802" s="33">
        <f>IF(E1802="AM",1,(IF(E1802="BE",2,(IF(E1802="GV",3,(IF(E1802="RA",4,(IF(E1802="RM",5,(IF(E1802="AC",1,(IF(E1802="AT",2,(IF(E1802="DS",3,(IF(E1802="IP",4,(IF(E1802="MA",5,(IF(E1802="PT",6,(IF(E1802="AE",1,(IF(E1802="CM",2,(IF(E1802="DP",3,(IF(E1802="AN",1,(IF(E1802="CO",2,(IF(E1802="IM",3,(IF(E1802="MI",4,(IF(E1802="RP",5,(IF(E1802="SC",6,0)))))))))))))))))))))))))))))))))))))))</f>
        <v>2</v>
      </c>
      <c r="G1802" s="171">
        <v>1</v>
      </c>
      <c r="H1802" s="38" t="s">
        <v>511</v>
      </c>
      <c r="I1802" s="3" t="s">
        <v>821</v>
      </c>
      <c r="J1802" s="149" t="s">
        <v>238</v>
      </c>
      <c r="K1802" s="79" t="s">
        <v>1283</v>
      </c>
      <c r="L1802" s="66">
        <f>IF(O1802="","",N1802*O1802*M1802)</f>
        <v>75</v>
      </c>
      <c r="M1802" s="8">
        <v>1</v>
      </c>
      <c r="N1802" s="1">
        <v>1</v>
      </c>
      <c r="O1802" s="15">
        <f>IF(SUM(Q1802:AF1802)&lt;1,"",SUM(Q1802:AF1802)/COUNTIF(Q1802:AF1802,"&gt;0"))</f>
        <v>75</v>
      </c>
      <c r="P1802" s="16"/>
      <c r="Q1802" s="13"/>
      <c r="R1802" s="4"/>
      <c r="S1802" s="4"/>
      <c r="T1802" s="4">
        <v>75</v>
      </c>
      <c r="U1802" s="2"/>
      <c r="V1802" s="2"/>
      <c r="W1802" s="2"/>
      <c r="X1802" s="2"/>
      <c r="Y1802" s="4"/>
      <c r="Z1802" s="2"/>
      <c r="AA1802" s="2"/>
      <c r="AB1802" s="4"/>
      <c r="AC1802" s="4"/>
      <c r="AD1802" s="4"/>
      <c r="AE1802" s="4"/>
      <c r="AF1802" s="14"/>
    </row>
    <row r="1803" spans="1:32" x14ac:dyDescent="0.25">
      <c r="A1803" s="33" t="str">
        <f>CONCATENATE(D1803,".",F1803,"-",G1803,".",H1803,"")</f>
        <v>3.2-1.1</v>
      </c>
      <c r="B1803" s="33" t="s">
        <v>814</v>
      </c>
      <c r="C1803" s="40" t="s">
        <v>336</v>
      </c>
      <c r="D1803" s="33">
        <f>IF(C1803="ID",1,(IF(C1803="PR",2,(IF(C1803="DE",3,(IF(C1803="RS",4,(IF(C1803="RC",5,0)))))))))</f>
        <v>3</v>
      </c>
      <c r="E1803" s="33" t="s">
        <v>259</v>
      </c>
      <c r="F1803" s="33">
        <f>IF(E1803="AM",1,(IF(E1803="BE",2,(IF(E1803="GV",3,(IF(E1803="RA",4,(IF(E1803="RM",5,(IF(E1803="AC",1,(IF(E1803="AT",2,(IF(E1803="DS",3,(IF(E1803="IP",4,(IF(E1803="MA",5,(IF(E1803="PT",6,(IF(E1803="AE",1,(IF(E1803="CM",2,(IF(E1803="DP",3,(IF(E1803="AN",1,(IF(E1803="CO",2,(IF(E1803="IM",3,(IF(E1803="MI",4,(IF(E1803="RP",5,(IF(E1803="SC",6,0)))))))))))))))))))))))))))))))))))))))</f>
        <v>2</v>
      </c>
      <c r="G1803" s="171">
        <v>1</v>
      </c>
      <c r="H1803" s="38" t="s">
        <v>511</v>
      </c>
      <c r="I1803" s="22" t="s">
        <v>936</v>
      </c>
      <c r="J1803" s="163" t="s">
        <v>891</v>
      </c>
      <c r="K1803" s="34" t="s">
        <v>975</v>
      </c>
      <c r="L1803" s="66">
        <f>IF(O1803="","",N1803*O1803*M1803)</f>
        <v>75</v>
      </c>
      <c r="M1803" s="8">
        <v>1</v>
      </c>
      <c r="N1803" s="3">
        <v>1</v>
      </c>
      <c r="O1803" s="15">
        <f>IF(SUM(Q1803:AF1803)&lt;1,"",SUM(Q1803:AF1803)/COUNTIF(Q1803:AF1803,"&gt;0"))</f>
        <v>75</v>
      </c>
      <c r="P1803" s="16"/>
      <c r="Q1803" s="13"/>
      <c r="R1803" s="4"/>
      <c r="S1803" s="4"/>
      <c r="T1803" s="4">
        <v>75</v>
      </c>
      <c r="U1803" s="2"/>
      <c r="V1803" s="2"/>
      <c r="W1803" s="2"/>
      <c r="X1803" s="2"/>
      <c r="Y1803" s="4"/>
      <c r="Z1803" s="2"/>
      <c r="AA1803" s="2"/>
      <c r="AB1803" s="4"/>
      <c r="AC1803" s="4"/>
      <c r="AD1803" s="4"/>
      <c r="AE1803" s="4"/>
      <c r="AF1803" s="14"/>
    </row>
    <row r="1804" spans="1:32" x14ac:dyDescent="0.25">
      <c r="A1804" s="33" t="str">
        <f>CONCATENATE(D1804,".",F1804,"-",G1804,".",H1804,"")</f>
        <v>3.2-1.1</v>
      </c>
      <c r="B1804" s="33" t="s">
        <v>814</v>
      </c>
      <c r="C1804" s="40" t="s">
        <v>336</v>
      </c>
      <c r="D1804" s="33">
        <f>IF(C1804="ID",1,(IF(C1804="PR",2,(IF(C1804="DE",3,(IF(C1804="RS",4,(IF(C1804="RC",5,0)))))))))</f>
        <v>3</v>
      </c>
      <c r="E1804" s="33" t="s">
        <v>259</v>
      </c>
      <c r="F1804" s="33">
        <f>IF(E1804="AM",1,(IF(E1804="BE",2,(IF(E1804="GV",3,(IF(E1804="RA",4,(IF(E1804="RM",5,(IF(E1804="AC",1,(IF(E1804="AT",2,(IF(E1804="DS",3,(IF(E1804="IP",4,(IF(E1804="MA",5,(IF(E1804="PT",6,(IF(E1804="AE",1,(IF(E1804="CM",2,(IF(E1804="DP",3,(IF(E1804="AN",1,(IF(E1804="CO",2,(IF(E1804="IM",3,(IF(E1804="MI",4,(IF(E1804="RP",5,(IF(E1804="SC",6,0)))))))))))))))))))))))))))))))))))))))</f>
        <v>2</v>
      </c>
      <c r="G1804" s="171">
        <v>1</v>
      </c>
      <c r="H1804" s="38" t="s">
        <v>511</v>
      </c>
      <c r="I1804" s="22" t="s">
        <v>936</v>
      </c>
      <c r="J1804" s="163" t="s">
        <v>869</v>
      </c>
      <c r="K1804" s="34" t="s">
        <v>992</v>
      </c>
      <c r="L1804" s="66">
        <f>IF(O1804="","",N1804*O1804*M1804)</f>
        <v>75</v>
      </c>
      <c r="M1804" s="8">
        <v>1</v>
      </c>
      <c r="N1804" s="3">
        <v>1</v>
      </c>
      <c r="O1804" s="15">
        <f>IF(SUM(Q1804:AF1804)&lt;1,"",SUM(Q1804:AF1804)/COUNTIF(Q1804:AF1804,"&gt;0"))</f>
        <v>75</v>
      </c>
      <c r="P1804" s="16"/>
      <c r="Q1804" s="13"/>
      <c r="R1804" s="4"/>
      <c r="S1804" s="4"/>
      <c r="T1804" s="4">
        <v>75</v>
      </c>
      <c r="U1804" s="2"/>
      <c r="V1804" s="2"/>
      <c r="W1804" s="2"/>
      <c r="X1804" s="2"/>
      <c r="Y1804" s="4"/>
      <c r="Z1804" s="2"/>
      <c r="AA1804" s="2"/>
      <c r="AB1804" s="4"/>
      <c r="AC1804" s="4"/>
      <c r="AD1804" s="4"/>
      <c r="AE1804" s="4"/>
      <c r="AF1804" s="14"/>
    </row>
    <row r="1805" spans="1:32" x14ac:dyDescent="0.25">
      <c r="A1805" s="33" t="str">
        <f>CONCATENATE(D1805,".",F1805,"-",G1805,".",H1805,"")</f>
        <v>3.2-1.1</v>
      </c>
      <c r="B1805" s="33" t="s">
        <v>814</v>
      </c>
      <c r="C1805" s="40" t="s">
        <v>336</v>
      </c>
      <c r="D1805" s="33">
        <f>IF(C1805="ID",1,(IF(C1805="PR",2,(IF(C1805="DE",3,(IF(C1805="RS",4,(IF(C1805="RC",5,0)))))))))</f>
        <v>3</v>
      </c>
      <c r="E1805" s="33" t="s">
        <v>259</v>
      </c>
      <c r="F1805" s="33">
        <f>IF(E1805="AM",1,(IF(E1805="BE",2,(IF(E1805="GV",3,(IF(E1805="RA",4,(IF(E1805="RM",5,(IF(E1805="AC",1,(IF(E1805="AT",2,(IF(E1805="DS",3,(IF(E1805="IP",4,(IF(E1805="MA",5,(IF(E1805="PT",6,(IF(E1805="AE",1,(IF(E1805="CM",2,(IF(E1805="DP",3,(IF(E1805="AN",1,(IF(E1805="CO",2,(IF(E1805="IM",3,(IF(E1805="MI",4,(IF(E1805="RP",5,(IF(E1805="SC",6,0)))))))))))))))))))))))))))))))))))))))</f>
        <v>2</v>
      </c>
      <c r="G1805" s="171">
        <v>1</v>
      </c>
      <c r="H1805" s="38" t="s">
        <v>511</v>
      </c>
      <c r="I1805" s="22" t="s">
        <v>936</v>
      </c>
      <c r="J1805" s="163" t="s">
        <v>913</v>
      </c>
      <c r="K1805" s="34" t="s">
        <v>954</v>
      </c>
      <c r="L1805" s="66">
        <f>IF(O1805="","",N1805*O1805*M1805)</f>
        <v>75</v>
      </c>
      <c r="M1805" s="8">
        <v>1</v>
      </c>
      <c r="N1805" s="3">
        <v>1</v>
      </c>
      <c r="O1805" s="15">
        <f>IF(SUM(Q1805:AF1805)&lt;1,"",SUM(Q1805:AF1805)/COUNTIF(Q1805:AF1805,"&gt;0"))</f>
        <v>75</v>
      </c>
      <c r="P1805" s="16"/>
      <c r="Q1805" s="13"/>
      <c r="R1805" s="4"/>
      <c r="S1805" s="4"/>
      <c r="T1805" s="4">
        <v>75</v>
      </c>
      <c r="U1805" s="2"/>
      <c r="V1805" s="2"/>
      <c r="W1805" s="2"/>
      <c r="X1805" s="2"/>
      <c r="Y1805" s="4"/>
      <c r="Z1805" s="2"/>
      <c r="AA1805" s="2"/>
      <c r="AB1805" s="4"/>
      <c r="AC1805" s="4"/>
      <c r="AD1805" s="4"/>
      <c r="AE1805" s="4"/>
      <c r="AF1805" s="14"/>
    </row>
    <row r="1806" spans="1:32" x14ac:dyDescent="0.25">
      <c r="A1806" s="33" t="str">
        <f>CONCATENATE(D1806,".",F1806,"-",G1806,".",H1806,"")</f>
        <v>3.2-1.1</v>
      </c>
      <c r="B1806" s="33" t="s">
        <v>814</v>
      </c>
      <c r="C1806" s="41" t="s">
        <v>336</v>
      </c>
      <c r="D1806" s="33">
        <f>IF(C1806="ID",1,(IF(C1806="PR",2,(IF(C1806="DE",3,(IF(C1806="RS",4,(IF(C1806="RC",5,0)))))))))</f>
        <v>3</v>
      </c>
      <c r="E1806" s="33" t="s">
        <v>259</v>
      </c>
      <c r="F1806" s="33">
        <f>IF(E1806="AM",1,(IF(E1806="BE",2,(IF(E1806="GV",3,(IF(E1806="RA",4,(IF(E1806="RM",5,(IF(E1806="AC",1,(IF(E1806="AT",2,(IF(E1806="DS",3,(IF(E1806="IP",4,(IF(E1806="MA",5,(IF(E1806="PT",6,(IF(E1806="AE",1,(IF(E1806="CM",2,(IF(E1806="DP",3,(IF(E1806="AN",1,(IF(E1806="CO",2,(IF(E1806="IM",3,(IF(E1806="MI",4,(IF(E1806="RP",5,(IF(E1806="SC",6,0)))))))))))))))))))))))))))))))))))))))</f>
        <v>2</v>
      </c>
      <c r="G1806" s="170">
        <v>1</v>
      </c>
      <c r="H1806" s="38" t="s">
        <v>511</v>
      </c>
      <c r="I1806" s="22" t="s">
        <v>266</v>
      </c>
      <c r="J1806" s="149" t="s">
        <v>271</v>
      </c>
      <c r="K1806" s="79" t="s">
        <v>1318</v>
      </c>
      <c r="L1806" s="5">
        <f>IF(O1806="","",N1806*O1806*M1806)</f>
        <v>75</v>
      </c>
      <c r="M1806" s="8">
        <v>1</v>
      </c>
      <c r="N1806" s="1">
        <v>1</v>
      </c>
      <c r="O1806" s="15">
        <f>IF(SUM(Q1806:AF1806)&lt;1,"",SUM(Q1806:AF1806)/COUNTIF(Q1806:AF1806,"&gt;0"))</f>
        <v>75</v>
      </c>
      <c r="P1806" s="16"/>
      <c r="Q1806" s="13"/>
      <c r="R1806" s="4"/>
      <c r="S1806" s="4"/>
      <c r="T1806" s="4">
        <v>75</v>
      </c>
      <c r="U1806" s="2"/>
      <c r="V1806" s="2"/>
      <c r="W1806" s="2"/>
      <c r="X1806" s="2"/>
      <c r="Y1806" s="4"/>
      <c r="Z1806" s="2"/>
      <c r="AA1806" s="2"/>
      <c r="AB1806" s="4"/>
      <c r="AC1806" s="4"/>
      <c r="AD1806" s="4"/>
      <c r="AE1806" s="4"/>
      <c r="AF1806" s="14"/>
    </row>
    <row r="1807" spans="1:32" x14ac:dyDescent="0.25">
      <c r="A1807" s="33" t="str">
        <f>CONCATENATE(D1807,".",F1807,"-",G1807,".",H1807,"")</f>
        <v>3.2-1.1</v>
      </c>
      <c r="B1807" s="33" t="s">
        <v>814</v>
      </c>
      <c r="C1807" s="39" t="s">
        <v>336</v>
      </c>
      <c r="D1807" s="33">
        <f>IF(C1807="ID",1,(IF(C1807="PR",2,(IF(C1807="DE",3,(IF(C1807="RS",4,(IF(C1807="RC",5,0)))))))))</f>
        <v>3</v>
      </c>
      <c r="E1807" s="33" t="s">
        <v>259</v>
      </c>
      <c r="F1807" s="33">
        <f>IF(E1807="AM",1,(IF(E1807="BE",2,(IF(E1807="GV",3,(IF(E1807="RA",4,(IF(E1807="RM",5,(IF(E1807="AC",1,(IF(E1807="AT",2,(IF(E1807="DS",3,(IF(E1807="IP",4,(IF(E1807="MA",5,(IF(E1807="PT",6,(IF(E1807="AE",1,(IF(E1807="CM",2,(IF(E1807="DP",3,(IF(E1807="AN",1,(IF(E1807="CO",2,(IF(E1807="IM",3,(IF(E1807="MI",4,(IF(E1807="RP",5,(IF(E1807="SC",6,0)))))))))))))))))))))))))))))))))))))))</f>
        <v>2</v>
      </c>
      <c r="G1807" s="170">
        <v>1</v>
      </c>
      <c r="H1807" s="33">
        <v>1</v>
      </c>
      <c r="I1807" s="22" t="s">
        <v>266</v>
      </c>
      <c r="J1807" s="150" t="s">
        <v>23</v>
      </c>
      <c r="K1807" s="79" t="s">
        <v>1384</v>
      </c>
      <c r="L1807" s="5">
        <f>IF(O1807="","",N1807*O1807*M1807)</f>
        <v>75</v>
      </c>
      <c r="M1807" s="8">
        <v>1</v>
      </c>
      <c r="N1807" s="1">
        <v>1</v>
      </c>
      <c r="O1807" s="15">
        <f>IF(SUM(Q1807:AF1807)&lt;1,"",SUM(Q1807:AF1807)/COUNTIF(Q1807:AF1807,"&gt;0"))</f>
        <v>75</v>
      </c>
      <c r="P1807" s="16"/>
      <c r="Q1807" s="13"/>
      <c r="T1807" s="4">
        <v>75</v>
      </c>
      <c r="AF1807" s="104"/>
    </row>
    <row r="1808" spans="1:32" x14ac:dyDescent="0.25">
      <c r="A1808" s="33" t="str">
        <f>CONCATENATE(D1808,".",F1808,"-",G1808,".",H1808,"")</f>
        <v>3.2-1.1</v>
      </c>
      <c r="B1808" s="33" t="s">
        <v>814</v>
      </c>
      <c r="C1808" s="39" t="s">
        <v>336</v>
      </c>
      <c r="D1808" s="33">
        <f>IF(C1808="ID",1,(IF(C1808="PR",2,(IF(C1808="DE",3,(IF(C1808="RS",4,(IF(C1808="RC",5,0)))))))))</f>
        <v>3</v>
      </c>
      <c r="E1808" s="33" t="s">
        <v>259</v>
      </c>
      <c r="F1808" s="33">
        <f>IF(E1808="AM",1,(IF(E1808="BE",2,(IF(E1808="GV",3,(IF(E1808="RA",4,(IF(E1808="RM",5,(IF(E1808="AC",1,(IF(E1808="AT",2,(IF(E1808="DS",3,(IF(E1808="IP",4,(IF(E1808="MA",5,(IF(E1808="PT",6,(IF(E1808="AE",1,(IF(E1808="CM",2,(IF(E1808="DP",3,(IF(E1808="AN",1,(IF(E1808="CO",2,(IF(E1808="IM",3,(IF(E1808="MI",4,(IF(E1808="RP",5,(IF(E1808="SC",6,0)))))))))))))))))))))))))))))))))))))))</f>
        <v>2</v>
      </c>
      <c r="G1808" s="170">
        <v>1</v>
      </c>
      <c r="H1808" s="38" t="s">
        <v>511</v>
      </c>
      <c r="I1808" s="79" t="s">
        <v>1176</v>
      </c>
      <c r="J1808" s="162">
        <v>11.3</v>
      </c>
      <c r="K1808" s="4" t="s">
        <v>1094</v>
      </c>
      <c r="L1808" s="66">
        <f>IF(O1808="","",N1808*O1808*M1808)</f>
        <v>75</v>
      </c>
      <c r="M1808" s="8">
        <v>1</v>
      </c>
      <c r="N1808" s="3">
        <v>1</v>
      </c>
      <c r="O1808" s="15">
        <f>IF(SUM(Q1808:AF1808)&lt;1,"",SUM(Q1808:AF1808)/COUNTIF(Q1808:AF1808,"&gt;0"))</f>
        <v>75</v>
      </c>
      <c r="P1808" s="16"/>
      <c r="Q1808" s="13"/>
      <c r="R1808" s="4"/>
      <c r="S1808" s="4"/>
      <c r="T1808" s="4">
        <v>75</v>
      </c>
      <c r="U1808" s="2"/>
      <c r="V1808" s="2"/>
      <c r="W1808" s="2"/>
      <c r="X1808" s="2"/>
      <c r="Y1808" s="4"/>
      <c r="Z1808" s="2"/>
      <c r="AA1808" s="2"/>
      <c r="AB1808" s="4"/>
      <c r="AC1808" s="4"/>
      <c r="AD1808" s="4"/>
      <c r="AE1808" s="4"/>
      <c r="AF1808" s="14"/>
    </row>
    <row r="1809" spans="1:32" x14ac:dyDescent="0.25">
      <c r="A1809" s="33" t="str">
        <f>CONCATENATE(D1809,".",F1809,"-",G1809,".",H1809,"")</f>
        <v>3.2-1.1</v>
      </c>
      <c r="B1809" s="33" t="s">
        <v>814</v>
      </c>
      <c r="C1809" s="39" t="s">
        <v>336</v>
      </c>
      <c r="D1809" s="33">
        <f>IF(C1809="ID",1,(IF(C1809="PR",2,(IF(C1809="DE",3,(IF(C1809="RS",4,(IF(C1809="RC",5,0)))))))))</f>
        <v>3</v>
      </c>
      <c r="E1809" s="33" t="s">
        <v>259</v>
      </c>
      <c r="F1809" s="33">
        <f>IF(E1809="AM",1,(IF(E1809="BE",2,(IF(E1809="GV",3,(IF(E1809="RA",4,(IF(E1809="RM",5,(IF(E1809="AC",1,(IF(E1809="AT",2,(IF(E1809="DS",3,(IF(E1809="IP",4,(IF(E1809="MA",5,(IF(E1809="PT",6,(IF(E1809="AE",1,(IF(E1809="CM",2,(IF(E1809="DP",3,(IF(E1809="AN",1,(IF(E1809="CO",2,(IF(E1809="IM",3,(IF(E1809="MI",4,(IF(E1809="RP",5,(IF(E1809="SC",6,0)))))))))))))))))))))))))))))))))))))))</f>
        <v>2</v>
      </c>
      <c r="G1809" s="170">
        <v>1</v>
      </c>
      <c r="H1809" s="38" t="s">
        <v>511</v>
      </c>
      <c r="I1809" s="79" t="s">
        <v>1176</v>
      </c>
      <c r="J1809" s="162">
        <v>12</v>
      </c>
      <c r="K1809" s="80" t="s">
        <v>1099</v>
      </c>
      <c r="L1809" s="66">
        <f>IF(O1809="","",N1809*O1809*M1809)</f>
        <v>75</v>
      </c>
      <c r="M1809" s="8">
        <v>1</v>
      </c>
      <c r="N1809" s="3">
        <v>1</v>
      </c>
      <c r="O1809" s="15">
        <f>IF(SUM(Q1809:AF1809)&lt;1,"",SUM(Q1809:AF1809)/COUNTIF(Q1809:AF1809,"&gt;0"))</f>
        <v>75</v>
      </c>
      <c r="P1809" s="16"/>
      <c r="Q1809" s="13"/>
      <c r="R1809" s="4"/>
      <c r="S1809" s="4"/>
      <c r="T1809" s="4">
        <v>75</v>
      </c>
      <c r="U1809" s="2"/>
      <c r="V1809" s="2"/>
      <c r="W1809" s="2"/>
      <c r="X1809" s="2"/>
      <c r="Y1809" s="4"/>
      <c r="Z1809" s="2"/>
      <c r="AA1809" s="2"/>
      <c r="AB1809" s="4"/>
      <c r="AC1809" s="4"/>
      <c r="AD1809" s="4"/>
      <c r="AE1809" s="4"/>
      <c r="AF1809" s="14"/>
    </row>
    <row r="1810" spans="1:32" x14ac:dyDescent="0.25">
      <c r="A1810" s="33" t="str">
        <f>CONCATENATE(D1810,".",F1810,"-",G1810,".",H1810,"")</f>
        <v>3.2-1.1</v>
      </c>
      <c r="B1810" s="33" t="s">
        <v>814</v>
      </c>
      <c r="C1810" s="39" t="s">
        <v>336</v>
      </c>
      <c r="D1810" s="33">
        <f>IF(C1810="ID",1,(IF(C1810="PR",2,(IF(C1810="DE",3,(IF(C1810="RS",4,(IF(C1810="RC",5,0)))))))))</f>
        <v>3</v>
      </c>
      <c r="E1810" s="33" t="s">
        <v>259</v>
      </c>
      <c r="F1810" s="33">
        <f>IF(E1810="AM",1,(IF(E1810="BE",2,(IF(E1810="GV",3,(IF(E1810="RA",4,(IF(E1810="RM",5,(IF(E1810="AC",1,(IF(E1810="AT",2,(IF(E1810="DS",3,(IF(E1810="IP",4,(IF(E1810="MA",5,(IF(E1810="PT",6,(IF(E1810="AE",1,(IF(E1810="CM",2,(IF(E1810="DP",3,(IF(E1810="AN",1,(IF(E1810="CO",2,(IF(E1810="IM",3,(IF(E1810="MI",4,(IF(E1810="RP",5,(IF(E1810="SC",6,0)))))))))))))))))))))))))))))))))))))))</f>
        <v>2</v>
      </c>
      <c r="G1810" s="170">
        <v>1</v>
      </c>
      <c r="H1810" s="38" t="s">
        <v>511</v>
      </c>
      <c r="I1810" s="79" t="s">
        <v>1176</v>
      </c>
      <c r="J1810" s="162">
        <v>15.3</v>
      </c>
      <c r="K1810" s="80" t="s">
        <v>1129</v>
      </c>
      <c r="L1810" s="66">
        <f>IF(O1810="","",N1810*O1810*M1810)</f>
        <v>75</v>
      </c>
      <c r="M1810" s="8">
        <v>1</v>
      </c>
      <c r="N1810" s="3">
        <v>1</v>
      </c>
      <c r="O1810" s="15">
        <f>IF(SUM(Q1810:AF1810)&lt;1,"",SUM(Q1810:AF1810)/COUNTIF(Q1810:AF1810,"&gt;0"))</f>
        <v>75</v>
      </c>
      <c r="P1810" s="16"/>
      <c r="Q1810" s="13"/>
      <c r="R1810" s="4"/>
      <c r="S1810" s="4"/>
      <c r="T1810" s="4">
        <v>75</v>
      </c>
      <c r="U1810" s="2"/>
      <c r="V1810" s="2"/>
      <c r="W1810" s="2"/>
      <c r="X1810" s="2"/>
      <c r="Y1810" s="4"/>
      <c r="Z1810" s="2"/>
      <c r="AA1810" s="2"/>
      <c r="AB1810" s="4"/>
      <c r="AC1810" s="4"/>
      <c r="AD1810" s="4"/>
      <c r="AE1810" s="4"/>
      <c r="AF1810" s="14"/>
    </row>
    <row r="1811" spans="1:32" x14ac:dyDescent="0.25">
      <c r="A1811" s="33" t="str">
        <f>CONCATENATE(D1811,".",F1811,"-",G1811,".",H1811,"")</f>
        <v>3.2-1.1</v>
      </c>
      <c r="B1811" s="33" t="s">
        <v>814</v>
      </c>
      <c r="C1811" s="39" t="s">
        <v>336</v>
      </c>
      <c r="D1811" s="33">
        <f>IF(C1811="ID",1,(IF(C1811="PR",2,(IF(C1811="DE",3,(IF(C1811="RS",4,(IF(C1811="RC",5,0)))))))))</f>
        <v>3</v>
      </c>
      <c r="E1811" s="33" t="s">
        <v>259</v>
      </c>
      <c r="F1811" s="33">
        <f>IF(E1811="AM",1,(IF(E1811="BE",2,(IF(E1811="GV",3,(IF(E1811="RA",4,(IF(E1811="RM",5,(IF(E1811="AC",1,(IF(E1811="AT",2,(IF(E1811="DS",3,(IF(E1811="IP",4,(IF(E1811="MA",5,(IF(E1811="PT",6,(IF(E1811="AE",1,(IF(E1811="CM",2,(IF(E1811="DP",3,(IF(E1811="AN",1,(IF(E1811="CO",2,(IF(E1811="IM",3,(IF(E1811="MI",4,(IF(E1811="RP",5,(IF(E1811="SC",6,0)))))))))))))))))))))))))))))))))))))))</f>
        <v>2</v>
      </c>
      <c r="G1811" s="170">
        <v>1</v>
      </c>
      <c r="H1811" s="38" t="s">
        <v>511</v>
      </c>
      <c r="I1811" s="79" t="s">
        <v>1176</v>
      </c>
      <c r="J1811" s="162">
        <v>18.2</v>
      </c>
      <c r="K1811" s="80" t="s">
        <v>1251</v>
      </c>
      <c r="L1811" s="66">
        <f>IF(O1811="","",N1811*O1811*M1811)</f>
        <v>75</v>
      </c>
      <c r="M1811" s="8">
        <v>1</v>
      </c>
      <c r="N1811" s="3">
        <v>1</v>
      </c>
      <c r="O1811" s="15">
        <f>IF(SUM(Q1811:AF1811)&lt;1,"",SUM(Q1811:AF1811)/COUNTIF(Q1811:AF1811,"&gt;0"))</f>
        <v>75</v>
      </c>
      <c r="P1811" s="16"/>
      <c r="Q1811" s="13"/>
      <c r="R1811" s="4"/>
      <c r="S1811" s="4"/>
      <c r="T1811" s="4">
        <v>75</v>
      </c>
      <c r="U1811" s="2"/>
      <c r="V1811" s="2"/>
      <c r="W1811" s="2"/>
      <c r="X1811" s="2"/>
      <c r="Y1811" s="4"/>
      <c r="Z1811" s="2"/>
      <c r="AA1811" s="2"/>
      <c r="AB1811" s="4"/>
      <c r="AC1811" s="4"/>
      <c r="AD1811" s="4"/>
      <c r="AE1811" s="4"/>
      <c r="AF1811" s="14"/>
    </row>
    <row r="1812" spans="1:32" x14ac:dyDescent="0.25">
      <c r="A1812" s="33" t="str">
        <f>CONCATENATE(D1812,".",F1812,"-",G1812,".",H1812,"")</f>
        <v>3.2-1.1</v>
      </c>
      <c r="B1812" s="33" t="s">
        <v>814</v>
      </c>
      <c r="C1812" s="39" t="s">
        <v>336</v>
      </c>
      <c r="D1812" s="33">
        <f>IF(C1812="ID",1,(IF(C1812="PR",2,(IF(C1812="DE",3,(IF(C1812="RS",4,(IF(C1812="RC",5,0)))))))))</f>
        <v>3</v>
      </c>
      <c r="E1812" s="33" t="s">
        <v>259</v>
      </c>
      <c r="F1812" s="33">
        <f>IF(E1812="AM",1,(IF(E1812="BE",2,(IF(E1812="GV",3,(IF(E1812="RA",4,(IF(E1812="RM",5,(IF(E1812="AC",1,(IF(E1812="AT",2,(IF(E1812="DS",3,(IF(E1812="IP",4,(IF(E1812="MA",5,(IF(E1812="PT",6,(IF(E1812="AE",1,(IF(E1812="CM",2,(IF(E1812="DP",3,(IF(E1812="AN",1,(IF(E1812="CO",2,(IF(E1812="IM",3,(IF(E1812="MI",4,(IF(E1812="RP",5,(IF(E1812="SC",6,0)))))))))))))))))))))))))))))))))))))))</f>
        <v>2</v>
      </c>
      <c r="G1812" s="170">
        <v>1</v>
      </c>
      <c r="H1812" s="38" t="s">
        <v>511</v>
      </c>
      <c r="I1812" s="3" t="s">
        <v>1449</v>
      </c>
      <c r="J1812" s="157" t="s">
        <v>1486</v>
      </c>
      <c r="K1812" s="34" t="s">
        <v>1487</v>
      </c>
      <c r="L1812" s="5">
        <f>IF(O1812="","",N1812*O1812*M1812)</f>
        <v>99</v>
      </c>
      <c r="M1812" s="8">
        <v>1</v>
      </c>
      <c r="N1812" s="1">
        <v>1</v>
      </c>
      <c r="O1812" s="15">
        <f>IF(SUM(Q1812:AF1812)&lt;1,"",SUM(Q1812:AF1812)/COUNTIF(Q1812:AF1812,"&gt;0"))</f>
        <v>99</v>
      </c>
      <c r="P1812" s="16"/>
      <c r="Q1812" s="13"/>
      <c r="R1812" s="4"/>
      <c r="S1812" s="4"/>
      <c r="T1812" s="4">
        <v>99</v>
      </c>
      <c r="U1812" s="2"/>
      <c r="V1812" s="2"/>
      <c r="W1812" s="2"/>
      <c r="X1812" s="2"/>
      <c r="Y1812" s="4"/>
      <c r="Z1812" s="2"/>
      <c r="AA1812" s="2"/>
      <c r="AB1812" s="4"/>
      <c r="AC1812" s="4"/>
      <c r="AD1812" s="4"/>
      <c r="AE1812" s="4"/>
      <c r="AF1812" s="14"/>
    </row>
    <row r="1813" spans="1:32" x14ac:dyDescent="0.25">
      <c r="A1813" s="33" t="str">
        <f>CONCATENATE(D1813,".",F1813,"-",G1813,".",H1813,"")</f>
        <v>3.2-1.1</v>
      </c>
      <c r="B1813" s="33" t="s">
        <v>814</v>
      </c>
      <c r="C1813" s="39" t="s">
        <v>336</v>
      </c>
      <c r="D1813" s="33">
        <f>IF(C1813="ID",1,(IF(C1813="PR",2,(IF(C1813="DE",3,(IF(C1813="RS",4,(IF(C1813="RC",5,0)))))))))</f>
        <v>3</v>
      </c>
      <c r="E1813" s="33" t="s">
        <v>259</v>
      </c>
      <c r="F1813" s="33">
        <f>IF(E1813="AM",1,(IF(E1813="BE",2,(IF(E1813="GV",3,(IF(E1813="RA",4,(IF(E1813="RM",5,(IF(E1813="AC",1,(IF(E1813="AT",2,(IF(E1813="DS",3,(IF(E1813="IP",4,(IF(E1813="MA",5,(IF(E1813="PT",6,(IF(E1813="AE",1,(IF(E1813="CM",2,(IF(E1813="DP",3,(IF(E1813="AN",1,(IF(E1813="CO",2,(IF(E1813="IM",3,(IF(E1813="MI",4,(IF(E1813="RP",5,(IF(E1813="SC",6,0)))))))))))))))))))))))))))))))))))))))</f>
        <v>2</v>
      </c>
      <c r="G1813" s="170">
        <v>1</v>
      </c>
      <c r="H1813" s="38" t="s">
        <v>511</v>
      </c>
      <c r="I1813" s="3" t="s">
        <v>1449</v>
      </c>
      <c r="J1813" s="157" t="s">
        <v>1606</v>
      </c>
      <c r="K1813" s="34" t="s">
        <v>1607</v>
      </c>
      <c r="L1813" s="5">
        <f>IF(O1813="","",N1813*O1813*M1813)</f>
        <v>99</v>
      </c>
      <c r="M1813" s="8">
        <v>1</v>
      </c>
      <c r="N1813" s="1">
        <v>1</v>
      </c>
      <c r="O1813" s="15">
        <f>IF(SUM(Q1813:AF1813)&lt;1,"",SUM(Q1813:AF1813)/COUNTIF(Q1813:AF1813,"&gt;0"))</f>
        <v>99</v>
      </c>
      <c r="P1813" s="16"/>
      <c r="Q1813" s="13"/>
      <c r="R1813" s="4"/>
      <c r="S1813" s="4"/>
      <c r="T1813" s="4">
        <v>99</v>
      </c>
      <c r="U1813" s="2"/>
      <c r="V1813" s="2"/>
      <c r="W1813" s="2"/>
      <c r="X1813" s="2"/>
      <c r="Y1813" s="4"/>
      <c r="Z1813" s="2"/>
      <c r="AA1813" s="2"/>
      <c r="AB1813" s="4"/>
      <c r="AC1813" s="4"/>
      <c r="AD1813" s="4"/>
      <c r="AE1813" s="4"/>
      <c r="AF1813" s="14"/>
    </row>
    <row r="1814" spans="1:32" x14ac:dyDescent="0.25">
      <c r="A1814" s="33" t="str">
        <f>CONCATENATE(D1814,".",F1814,"-",G1814,".",H1814,"")</f>
        <v>3.2-1.1</v>
      </c>
      <c r="B1814" s="33" t="s">
        <v>814</v>
      </c>
      <c r="C1814" s="39" t="s">
        <v>336</v>
      </c>
      <c r="D1814" s="33">
        <f>IF(C1814="ID",1,(IF(C1814="PR",2,(IF(C1814="DE",3,(IF(C1814="RS",4,(IF(C1814="RC",5,0)))))))))</f>
        <v>3</v>
      </c>
      <c r="E1814" s="33" t="s">
        <v>259</v>
      </c>
      <c r="F1814" s="33">
        <f>IF(E1814="AM",1,(IF(E1814="BE",2,(IF(E1814="GV",3,(IF(E1814="RA",4,(IF(E1814="RM",5,(IF(E1814="AC",1,(IF(E1814="AT",2,(IF(E1814="DS",3,(IF(E1814="IP",4,(IF(E1814="MA",5,(IF(E1814="PT",6,(IF(E1814="AE",1,(IF(E1814="CM",2,(IF(E1814="DP",3,(IF(E1814="AN",1,(IF(E1814="CO",2,(IF(E1814="IM",3,(IF(E1814="MI",4,(IF(E1814="RP",5,(IF(E1814="SC",6,0)))))))))))))))))))))))))))))))))))))))</f>
        <v>2</v>
      </c>
      <c r="G1814" s="170">
        <v>1</v>
      </c>
      <c r="H1814" s="38" t="s">
        <v>511</v>
      </c>
      <c r="I1814" s="3" t="s">
        <v>1449</v>
      </c>
      <c r="J1814" s="157" t="s">
        <v>1618</v>
      </c>
      <c r="K1814" s="34" t="s">
        <v>1619</v>
      </c>
      <c r="L1814" s="5">
        <f>IF(O1814="","",N1814*O1814*M1814)</f>
        <v>99</v>
      </c>
      <c r="M1814" s="8">
        <v>1</v>
      </c>
      <c r="N1814" s="1">
        <v>1</v>
      </c>
      <c r="O1814" s="15">
        <f>IF(SUM(Q1814:AF1814)&lt;1,"",SUM(Q1814:AF1814)/COUNTIF(Q1814:AF1814,"&gt;0"))</f>
        <v>99</v>
      </c>
      <c r="P1814" s="16"/>
      <c r="Q1814" s="13"/>
      <c r="R1814" s="4"/>
      <c r="S1814" s="4"/>
      <c r="T1814" s="4">
        <v>99</v>
      </c>
      <c r="U1814" s="2"/>
      <c r="V1814" s="2"/>
      <c r="W1814" s="2"/>
      <c r="X1814" s="2"/>
      <c r="Y1814" s="4"/>
      <c r="Z1814" s="2"/>
      <c r="AA1814" s="2"/>
      <c r="AB1814" s="4"/>
      <c r="AC1814" s="4"/>
      <c r="AD1814" s="4"/>
      <c r="AE1814" s="4"/>
      <c r="AF1814" s="14"/>
    </row>
    <row r="1815" spans="1:32" x14ac:dyDescent="0.25">
      <c r="A1815" s="33" t="str">
        <f>CONCATENATE(D1815,".",F1815,"-",G1815,".",H1815,"")</f>
        <v>3.2-1.1</v>
      </c>
      <c r="C1815" s="39" t="s">
        <v>336</v>
      </c>
      <c r="D1815" s="33">
        <f>IF(C1815="ID",1,(IF(C1815="PR",2,(IF(C1815="DE",3,(IF(C1815="RS",4,(IF(C1815="RC",5,0)))))))))</f>
        <v>3</v>
      </c>
      <c r="E1815" s="33" t="s">
        <v>259</v>
      </c>
      <c r="F1815" s="33">
        <f>IF(E1815="AM",1,(IF(E1815="BE",2,(IF(E1815="GV",3,(IF(E1815="RA",4,(IF(E1815="RM",5,(IF(E1815="AC",1,(IF(E1815="AT",2,(IF(E1815="DS",3,(IF(E1815="IP",4,(IF(E1815="MA",5,(IF(E1815="PT",6,(IF(E1815="AE",1,(IF(E1815="CM",2,(IF(E1815="DP",3,(IF(E1815="AN",1,(IF(E1815="CO",2,(IF(E1815="IM",3,(IF(E1815="MI",4,(IF(E1815="RP",5,(IF(E1815="SC",6,0)))))))))))))))))))))))))))))))))))))))</f>
        <v>2</v>
      </c>
      <c r="G1815" s="170">
        <v>1</v>
      </c>
      <c r="H1815" s="38" t="s">
        <v>511</v>
      </c>
      <c r="I1815" s="3" t="s">
        <v>1449</v>
      </c>
      <c r="J1815" s="157" t="s">
        <v>2679</v>
      </c>
      <c r="K1815" s="34" t="s">
        <v>2680</v>
      </c>
      <c r="L1815" s="5">
        <f>IF(O1815="","",N1815*O1815*M1815)</f>
        <v>99</v>
      </c>
      <c r="M1815" s="8">
        <v>1</v>
      </c>
      <c r="N1815" s="1">
        <v>1</v>
      </c>
      <c r="O1815" s="15">
        <f>IF(SUM(Q1815:AF1815)&lt;1,"",SUM(Q1815:AF1815)/COUNTIF(Q1815:AF1815,"&gt;0"))</f>
        <v>99</v>
      </c>
      <c r="P1815" s="16"/>
      <c r="Q1815" s="13"/>
      <c r="R1815" s="4"/>
      <c r="S1815" s="4"/>
      <c r="T1815" s="4">
        <v>99</v>
      </c>
      <c r="U1815" s="2"/>
      <c r="V1815" s="2"/>
      <c r="W1815" s="2"/>
      <c r="X1815" s="2"/>
      <c r="Y1815" s="4"/>
      <c r="Z1815" s="2"/>
      <c r="AA1815" s="2"/>
      <c r="AB1815" s="4"/>
      <c r="AC1815" s="4"/>
      <c r="AD1815" s="4"/>
      <c r="AE1815" s="4"/>
      <c r="AF1815" s="14"/>
    </row>
    <row r="1816" spans="1:32" x14ac:dyDescent="0.25">
      <c r="A1816" s="33" t="str">
        <f>CONCATENATE(D1816,".",F1816,"-",G1816,".",H1816,"")</f>
        <v>3.2-1.9</v>
      </c>
      <c r="C1816" s="39" t="s">
        <v>336</v>
      </c>
      <c r="D1816" s="33">
        <f>IF(C1816="ID",1,(IF(C1816="PR",2,(IF(C1816="DE",3,(IF(C1816="RS",4,(IF(C1816="RC",5,0)))))))))</f>
        <v>3</v>
      </c>
      <c r="E1816" s="33" t="s">
        <v>259</v>
      </c>
      <c r="F1816" s="33">
        <f>IF(E1816="AM",1,(IF(E1816="BE",2,(IF(E1816="GV",3,(IF(E1816="RA",4,(IF(E1816="RM",5,(IF(E1816="AC",1,(IF(E1816="AT",2,(IF(E1816="DS",3,(IF(E1816="IP",4,(IF(E1816="MA",5,(IF(E1816="PT",6,(IF(E1816="AE",1,(IF(E1816="CM",2,(IF(E1816="DP",3,(IF(E1816="AN",1,(IF(E1816="CO",2,(IF(E1816="IM",3,(IF(E1816="MI",4,(IF(E1816="RP",5,(IF(E1816="SC",6,0)))))))))))))))))))))))))))))))))))))))</f>
        <v>2</v>
      </c>
      <c r="G1816" s="170">
        <v>1</v>
      </c>
      <c r="H1816" s="38" t="s">
        <v>596</v>
      </c>
      <c r="I1816" s="3" t="s">
        <v>1449</v>
      </c>
      <c r="J1816" s="157" t="s">
        <v>3141</v>
      </c>
      <c r="K1816" s="34" t="s">
        <v>3142</v>
      </c>
      <c r="L1816" s="5">
        <f>IF(O1816="","",N1816*O1816*M1816)</f>
        <v>99</v>
      </c>
      <c r="M1816" s="8">
        <v>1</v>
      </c>
      <c r="N1816" s="1">
        <v>1</v>
      </c>
      <c r="O1816" s="15">
        <f>IF(SUM(Q1816:AF1816)&lt;1,"",SUM(Q1816:AF1816)/COUNTIF(Q1816:AF1816,"&gt;0"))</f>
        <v>99</v>
      </c>
      <c r="P1816" s="16"/>
      <c r="Q1816" s="13"/>
      <c r="R1816" s="4"/>
      <c r="S1816" s="4"/>
      <c r="T1816" s="4">
        <v>99</v>
      </c>
      <c r="U1816" s="2"/>
      <c r="V1816" s="2"/>
      <c r="W1816" s="2"/>
      <c r="X1816" s="2"/>
      <c r="Y1816" s="4"/>
      <c r="Z1816" s="2"/>
      <c r="AA1816" s="2"/>
      <c r="AB1816" s="4"/>
      <c r="AC1816" s="4"/>
      <c r="AD1816" s="4"/>
      <c r="AE1816" s="4"/>
      <c r="AF1816" s="14"/>
    </row>
    <row r="1817" spans="1:32" x14ac:dyDescent="0.25">
      <c r="A1817" s="33" t="str">
        <f>CONCATENATE(D1817,".",F1817,"-",G1817,".",H1817,"")</f>
        <v>3.2-2.0</v>
      </c>
      <c r="B1817" s="33" t="s">
        <v>814</v>
      </c>
      <c r="C1817" s="40" t="s">
        <v>336</v>
      </c>
      <c r="D1817" s="33">
        <f>IF(C1817="ID",1,(IF(C1817="PR",2,(IF(C1817="DE",3,(IF(C1817="RS",4,(IF(C1817="RC",5,0)))))))))</f>
        <v>3</v>
      </c>
      <c r="E1817" s="33" t="s">
        <v>259</v>
      </c>
      <c r="F1817" s="33">
        <f>IF(E1817="AM",1,(IF(E1817="BE",2,(IF(E1817="GV",3,(IF(E1817="RA",4,(IF(E1817="RM",5,(IF(E1817="AC",1,(IF(E1817="AT",2,(IF(E1817="DS",3,(IF(E1817="IP",4,(IF(E1817="MA",5,(IF(E1817="PT",6,(IF(E1817="AE",1,(IF(E1817="CM",2,(IF(E1817="DP",3,(IF(E1817="AN",1,(IF(E1817="CO",2,(IF(E1817="IM",3,(IF(E1817="MI",4,(IF(E1817="RP",5,(IF(E1817="SC",6,0)))))))))))))))))))))))))))))))))))))))</f>
        <v>2</v>
      </c>
      <c r="G1817" s="170">
        <v>2</v>
      </c>
      <c r="H1817" s="38" t="s">
        <v>597</v>
      </c>
      <c r="I1817" s="22" t="s">
        <v>1200</v>
      </c>
      <c r="J1817" s="149" t="s">
        <v>618</v>
      </c>
      <c r="K1817" s="99" t="s">
        <v>407</v>
      </c>
      <c r="L1817" s="66">
        <f>IF(O1817="","",N1817*O1817*M1817)</f>
        <v>75</v>
      </c>
      <c r="M1817" s="8">
        <v>1</v>
      </c>
      <c r="N1817" s="1">
        <v>1</v>
      </c>
      <c r="O1817" s="15">
        <f>IF(SUM(Q1817:AF1817)&lt;1,"",SUM(Q1817:AF1817)/COUNTIF(Q1817:AF1817,"&gt;0"))</f>
        <v>75</v>
      </c>
      <c r="P1817" s="16"/>
      <c r="Q1817" s="13"/>
      <c r="R1817" s="4"/>
      <c r="S1817" s="4"/>
      <c r="T1817" s="4">
        <v>75</v>
      </c>
      <c r="U1817" s="2"/>
      <c r="V1817" s="2"/>
      <c r="W1817" s="2"/>
      <c r="X1817" s="2"/>
      <c r="Y1817" s="4"/>
      <c r="Z1817" s="2"/>
      <c r="AA1817" s="2"/>
      <c r="AB1817" s="4"/>
      <c r="AC1817" s="4"/>
      <c r="AD1817" s="4"/>
      <c r="AE1817" s="4"/>
      <c r="AF1817" s="14"/>
    </row>
    <row r="1818" spans="1:32" x14ac:dyDescent="0.25">
      <c r="A1818" s="33" t="str">
        <f>CONCATENATE(D1818,".",F1818,"-",G1818,".",H1818,"")</f>
        <v>3.2-2.1</v>
      </c>
      <c r="B1818" s="33" t="s">
        <v>814</v>
      </c>
      <c r="C1818" s="40" t="s">
        <v>336</v>
      </c>
      <c r="D1818" s="33">
        <f>IF(C1818="ID",1,(IF(C1818="PR",2,(IF(C1818="DE",3,(IF(C1818="RS",4,(IF(C1818="RC",5,0)))))))))</f>
        <v>3</v>
      </c>
      <c r="E1818" s="33" t="s">
        <v>259</v>
      </c>
      <c r="F1818" s="33">
        <f>IF(E1818="AM",1,(IF(E1818="BE",2,(IF(E1818="GV",3,(IF(E1818="RA",4,(IF(E1818="RM",5,(IF(E1818="AC",1,(IF(E1818="AT",2,(IF(E1818="DS",3,(IF(E1818="IP",4,(IF(E1818="MA",5,(IF(E1818="PT",6,(IF(E1818="AE",1,(IF(E1818="CM",2,(IF(E1818="DP",3,(IF(E1818="AN",1,(IF(E1818="CO",2,(IF(E1818="IM",3,(IF(E1818="MI",4,(IF(E1818="RP",5,(IF(E1818="SC",6,0)))))))))))))))))))))))))))))))))))))))</f>
        <v>2</v>
      </c>
      <c r="G1818" s="171">
        <v>2</v>
      </c>
      <c r="H1818" s="38" t="s">
        <v>511</v>
      </c>
      <c r="I1818" s="3" t="s">
        <v>821</v>
      </c>
      <c r="J1818" s="149">
        <v>9.1</v>
      </c>
      <c r="K1818" s="79" t="s">
        <v>1283</v>
      </c>
      <c r="L1818" s="66">
        <f>IF(O1818="","",N1818*O1818*M1818)</f>
        <v>75</v>
      </c>
      <c r="M1818" s="8">
        <v>1</v>
      </c>
      <c r="N1818" s="1">
        <v>1</v>
      </c>
      <c r="O1818" s="15">
        <f>IF(SUM(Q1818:AF1818)&lt;1,"",SUM(Q1818:AF1818)/COUNTIF(Q1818:AF1818,"&gt;0"))</f>
        <v>75</v>
      </c>
      <c r="P1818" s="16"/>
      <c r="Q1818" s="13"/>
      <c r="R1818" s="4"/>
      <c r="S1818" s="4"/>
      <c r="T1818" s="4">
        <v>75</v>
      </c>
      <c r="U1818" s="2"/>
      <c r="V1818" s="2"/>
      <c r="W1818" s="2"/>
      <c r="X1818" s="2"/>
      <c r="Y1818" s="4"/>
      <c r="Z1818" s="2"/>
      <c r="AA1818" s="2"/>
      <c r="AB1818" s="4"/>
      <c r="AC1818" s="4"/>
      <c r="AD1818" s="4"/>
      <c r="AE1818" s="4"/>
      <c r="AF1818" s="14"/>
    </row>
    <row r="1819" spans="1:32" x14ac:dyDescent="0.25">
      <c r="A1819" s="33" t="str">
        <f>CONCATENATE(D1819,".",F1819,"-",G1819,".",H1819,"")</f>
        <v>3.2-2.1</v>
      </c>
      <c r="B1819" s="33" t="s">
        <v>814</v>
      </c>
      <c r="C1819" s="40" t="s">
        <v>336</v>
      </c>
      <c r="D1819" s="33">
        <f>IF(C1819="ID",1,(IF(C1819="PR",2,(IF(C1819="DE",3,(IF(C1819="RS",4,(IF(C1819="RC",5,0)))))))))</f>
        <v>3</v>
      </c>
      <c r="E1819" s="33" t="s">
        <v>259</v>
      </c>
      <c r="F1819" s="33">
        <f>IF(E1819="AM",1,(IF(E1819="BE",2,(IF(E1819="GV",3,(IF(E1819="RA",4,(IF(E1819="RM",5,(IF(E1819="AC",1,(IF(E1819="AT",2,(IF(E1819="DS",3,(IF(E1819="IP",4,(IF(E1819="MA",5,(IF(E1819="PT",6,(IF(E1819="AE",1,(IF(E1819="CM",2,(IF(E1819="DP",3,(IF(E1819="AN",1,(IF(E1819="CO",2,(IF(E1819="IM",3,(IF(E1819="MI",4,(IF(E1819="RP",5,(IF(E1819="SC",6,0)))))))))))))))))))))))))))))))))))))))</f>
        <v>2</v>
      </c>
      <c r="G1819" s="171">
        <v>2</v>
      </c>
      <c r="H1819" s="38" t="s">
        <v>511</v>
      </c>
      <c r="I1819" s="22" t="s">
        <v>936</v>
      </c>
      <c r="J1819" s="163" t="s">
        <v>891</v>
      </c>
      <c r="K1819" s="34" t="s">
        <v>975</v>
      </c>
      <c r="L1819" s="66">
        <f>IF(O1819="","",N1819*O1819*M1819)</f>
        <v>75</v>
      </c>
      <c r="M1819" s="8">
        <v>1</v>
      </c>
      <c r="N1819" s="3">
        <v>1</v>
      </c>
      <c r="O1819" s="15">
        <f>IF(SUM(Q1819:AF1819)&lt;1,"",SUM(Q1819:AF1819)/COUNTIF(Q1819:AF1819,"&gt;0"))</f>
        <v>75</v>
      </c>
      <c r="P1819" s="16"/>
      <c r="Q1819" s="13"/>
      <c r="R1819" s="4"/>
      <c r="S1819" s="4"/>
      <c r="T1819" s="4">
        <v>75</v>
      </c>
      <c r="U1819" s="2"/>
      <c r="V1819" s="2"/>
      <c r="W1819" s="2"/>
      <c r="X1819" s="2"/>
      <c r="Y1819" s="4"/>
      <c r="Z1819" s="2"/>
      <c r="AA1819" s="2"/>
      <c r="AB1819" s="4"/>
      <c r="AC1819" s="4"/>
      <c r="AD1819" s="4"/>
      <c r="AE1819" s="4"/>
      <c r="AF1819" s="14"/>
    </row>
    <row r="1820" spans="1:32" x14ac:dyDescent="0.25">
      <c r="A1820" s="33" t="str">
        <f>CONCATENATE(D1820,".",F1820,"-",G1820,".",H1820,"")</f>
        <v>3.2-2.1</v>
      </c>
      <c r="B1820" s="33" t="s">
        <v>814</v>
      </c>
      <c r="C1820" s="40" t="s">
        <v>336</v>
      </c>
      <c r="D1820" s="33">
        <f>IF(C1820="ID",1,(IF(C1820="PR",2,(IF(C1820="DE",3,(IF(C1820="RS",4,(IF(C1820="RC",5,0)))))))))</f>
        <v>3</v>
      </c>
      <c r="E1820" s="33" t="s">
        <v>259</v>
      </c>
      <c r="F1820" s="33">
        <f>IF(E1820="AM",1,(IF(E1820="BE",2,(IF(E1820="GV",3,(IF(E1820="RA",4,(IF(E1820="RM",5,(IF(E1820="AC",1,(IF(E1820="AT",2,(IF(E1820="DS",3,(IF(E1820="IP",4,(IF(E1820="MA",5,(IF(E1820="PT",6,(IF(E1820="AE",1,(IF(E1820="CM",2,(IF(E1820="DP",3,(IF(E1820="AN",1,(IF(E1820="CO",2,(IF(E1820="IM",3,(IF(E1820="MI",4,(IF(E1820="RP",5,(IF(E1820="SC",6,0)))))))))))))))))))))))))))))))))))))))</f>
        <v>2</v>
      </c>
      <c r="G1820" s="171">
        <v>2</v>
      </c>
      <c r="H1820" s="38" t="s">
        <v>511</v>
      </c>
      <c r="I1820" s="22" t="s">
        <v>936</v>
      </c>
      <c r="J1820" s="163" t="s">
        <v>887</v>
      </c>
      <c r="K1820" s="34" t="s">
        <v>996</v>
      </c>
      <c r="L1820" s="66">
        <f>IF(O1820="","",N1820*O1820*M1820)</f>
        <v>75</v>
      </c>
      <c r="M1820" s="8">
        <v>1</v>
      </c>
      <c r="N1820" s="3">
        <v>1</v>
      </c>
      <c r="O1820" s="15">
        <f>IF(SUM(Q1820:AF1820)&lt;1,"",SUM(Q1820:AF1820)/COUNTIF(Q1820:AF1820,"&gt;0"))</f>
        <v>75</v>
      </c>
      <c r="P1820" s="16"/>
      <c r="Q1820" s="13"/>
      <c r="R1820" s="4"/>
      <c r="S1820" s="4"/>
      <c r="T1820" s="4">
        <v>75</v>
      </c>
      <c r="U1820" s="2"/>
      <c r="V1820" s="2"/>
      <c r="W1820" s="2"/>
      <c r="X1820" s="2"/>
      <c r="Y1820" s="4"/>
      <c r="Z1820" s="2"/>
      <c r="AA1820" s="2"/>
      <c r="AB1820" s="4"/>
      <c r="AC1820" s="4"/>
      <c r="AD1820" s="4"/>
      <c r="AE1820" s="4"/>
      <c r="AF1820" s="14"/>
    </row>
    <row r="1821" spans="1:32" x14ac:dyDescent="0.25">
      <c r="A1821" s="33" t="str">
        <f>CONCATENATE(D1821,".",F1821,"-",G1821,".",H1821,"")</f>
        <v>3.2-2.1</v>
      </c>
      <c r="B1821" s="33" t="s">
        <v>814</v>
      </c>
      <c r="C1821" s="40" t="s">
        <v>336</v>
      </c>
      <c r="D1821" s="33">
        <f>IF(C1821="ID",1,(IF(C1821="PR",2,(IF(C1821="DE",3,(IF(C1821="RS",4,(IF(C1821="RC",5,0)))))))))</f>
        <v>3</v>
      </c>
      <c r="E1821" s="33" t="s">
        <v>259</v>
      </c>
      <c r="F1821" s="33">
        <f>IF(E1821="AM",1,(IF(E1821="BE",2,(IF(E1821="GV",3,(IF(E1821="RA",4,(IF(E1821="RM",5,(IF(E1821="AC",1,(IF(E1821="AT",2,(IF(E1821="DS",3,(IF(E1821="IP",4,(IF(E1821="MA",5,(IF(E1821="PT",6,(IF(E1821="AE",1,(IF(E1821="CM",2,(IF(E1821="DP",3,(IF(E1821="AN",1,(IF(E1821="CO",2,(IF(E1821="IM",3,(IF(E1821="MI",4,(IF(E1821="RP",5,(IF(E1821="SC",6,0)))))))))))))))))))))))))))))))))))))))</f>
        <v>2</v>
      </c>
      <c r="G1821" s="171">
        <v>2</v>
      </c>
      <c r="H1821" s="38" t="s">
        <v>511</v>
      </c>
      <c r="I1821" s="22" t="s">
        <v>936</v>
      </c>
      <c r="J1821" s="163" t="s">
        <v>866</v>
      </c>
      <c r="K1821" s="34" t="s">
        <v>937</v>
      </c>
      <c r="L1821" s="66">
        <f>IF(O1821="","",N1821*O1821*M1821)</f>
        <v>75</v>
      </c>
      <c r="M1821" s="8">
        <v>1</v>
      </c>
      <c r="N1821" s="3">
        <v>1</v>
      </c>
      <c r="O1821" s="15">
        <f>IF(SUM(Q1821:AF1821)&lt;1,"",SUM(Q1821:AF1821)/COUNTIF(Q1821:AF1821,"&gt;0"))</f>
        <v>75</v>
      </c>
      <c r="P1821" s="16"/>
      <c r="Q1821" s="13"/>
      <c r="R1821" s="4"/>
      <c r="S1821" s="4"/>
      <c r="T1821" s="4">
        <v>75</v>
      </c>
      <c r="U1821" s="2"/>
      <c r="V1821" s="2"/>
      <c r="W1821" s="2"/>
      <c r="X1821" s="2"/>
      <c r="Y1821" s="4"/>
      <c r="Z1821" s="2"/>
      <c r="AA1821" s="2"/>
      <c r="AB1821" s="4"/>
      <c r="AC1821" s="4"/>
      <c r="AD1821" s="4"/>
      <c r="AE1821" s="4"/>
      <c r="AF1821" s="14"/>
    </row>
    <row r="1822" spans="1:32" x14ac:dyDescent="0.25">
      <c r="A1822" s="33" t="str">
        <f>CONCATENATE(D1822,".",F1822,"-",G1822,".",H1822,"")</f>
        <v>3.2-2.1</v>
      </c>
      <c r="B1822" s="33" t="s">
        <v>814</v>
      </c>
      <c r="C1822" s="40" t="s">
        <v>336</v>
      </c>
      <c r="D1822" s="33">
        <f>IF(C1822="ID",1,(IF(C1822="PR",2,(IF(C1822="DE",3,(IF(C1822="RS",4,(IF(C1822="RC",5,0)))))))))</f>
        <v>3</v>
      </c>
      <c r="E1822" s="33" t="s">
        <v>259</v>
      </c>
      <c r="F1822" s="33">
        <f>IF(E1822="AM",1,(IF(E1822="BE",2,(IF(E1822="GV",3,(IF(E1822="RA",4,(IF(E1822="RM",5,(IF(E1822="AC",1,(IF(E1822="AT",2,(IF(E1822="DS",3,(IF(E1822="IP",4,(IF(E1822="MA",5,(IF(E1822="PT",6,(IF(E1822="AE",1,(IF(E1822="CM",2,(IF(E1822="DP",3,(IF(E1822="AN",1,(IF(E1822="CO",2,(IF(E1822="IM",3,(IF(E1822="MI",4,(IF(E1822="RP",5,(IF(E1822="SC",6,0)))))))))))))))))))))))))))))))))))))))</f>
        <v>2</v>
      </c>
      <c r="G1822" s="171">
        <v>2</v>
      </c>
      <c r="H1822" s="38" t="s">
        <v>511</v>
      </c>
      <c r="I1822" s="3" t="s">
        <v>821</v>
      </c>
      <c r="J1822" s="149" t="s">
        <v>175</v>
      </c>
      <c r="K1822" s="79" t="s">
        <v>1283</v>
      </c>
      <c r="L1822" s="66">
        <f>IF(O1822="","",N1822*O1822*M1822)</f>
        <v>75</v>
      </c>
      <c r="M1822" s="8">
        <v>1</v>
      </c>
      <c r="N1822" s="1">
        <v>1</v>
      </c>
      <c r="O1822" s="15">
        <f>IF(SUM(Q1822:AF1822)&lt;1,"",SUM(Q1822:AF1822)/COUNTIF(Q1822:AF1822,"&gt;0"))</f>
        <v>75</v>
      </c>
      <c r="P1822" s="16"/>
      <c r="Q1822" s="13"/>
      <c r="R1822" s="4"/>
      <c r="S1822" s="4"/>
      <c r="T1822" s="4">
        <v>75</v>
      </c>
      <c r="U1822" s="2"/>
      <c r="V1822" s="2"/>
      <c r="W1822" s="2"/>
      <c r="X1822" s="2"/>
      <c r="Y1822" s="4"/>
      <c r="Z1822" s="2"/>
      <c r="AA1822" s="2"/>
      <c r="AB1822" s="4"/>
      <c r="AC1822" s="4"/>
      <c r="AD1822" s="4"/>
      <c r="AE1822" s="4"/>
      <c r="AF1822" s="14"/>
    </row>
    <row r="1823" spans="1:32" x14ac:dyDescent="0.25">
      <c r="A1823" s="33" t="str">
        <f>CONCATENATE(D1823,".",F1823,"-",G1823,".",H1823,"")</f>
        <v>3.2-2.1</v>
      </c>
      <c r="B1823" s="33" t="s">
        <v>814</v>
      </c>
      <c r="C1823" s="41" t="s">
        <v>336</v>
      </c>
      <c r="D1823" s="33">
        <f>IF(C1823="ID",1,(IF(C1823="PR",2,(IF(C1823="DE",3,(IF(C1823="RS",4,(IF(C1823="RC",5,0)))))))))</f>
        <v>3</v>
      </c>
      <c r="E1823" s="33" t="s">
        <v>259</v>
      </c>
      <c r="F1823" s="33">
        <f>IF(E1823="AM",1,(IF(E1823="BE",2,(IF(E1823="GV",3,(IF(E1823="RA",4,(IF(E1823="RM",5,(IF(E1823="AC",1,(IF(E1823="AT",2,(IF(E1823="DS",3,(IF(E1823="IP",4,(IF(E1823="MA",5,(IF(E1823="PT",6,(IF(E1823="AE",1,(IF(E1823="CM",2,(IF(E1823="DP",3,(IF(E1823="AN",1,(IF(E1823="CO",2,(IF(E1823="IM",3,(IF(E1823="MI",4,(IF(E1823="RP",5,(IF(E1823="SC",6,0)))))))))))))))))))))))))))))))))))))))</f>
        <v>2</v>
      </c>
      <c r="G1823" s="170">
        <v>2</v>
      </c>
      <c r="H1823" s="38" t="s">
        <v>511</v>
      </c>
      <c r="I1823" s="22" t="s">
        <v>266</v>
      </c>
      <c r="J1823" s="149" t="s">
        <v>271</v>
      </c>
      <c r="K1823" s="79" t="s">
        <v>1318</v>
      </c>
      <c r="L1823" s="5">
        <f>IF(O1823="","",N1823*O1823*M1823)</f>
        <v>75</v>
      </c>
      <c r="M1823" s="8">
        <v>1</v>
      </c>
      <c r="N1823" s="1">
        <v>1</v>
      </c>
      <c r="O1823" s="15">
        <f>IF(SUM(Q1823:AF1823)&lt;1,"",SUM(Q1823:AF1823)/COUNTIF(Q1823:AF1823,"&gt;0"))</f>
        <v>75</v>
      </c>
      <c r="P1823" s="16"/>
      <c r="Q1823" s="13"/>
      <c r="R1823" s="4"/>
      <c r="S1823" s="4"/>
      <c r="T1823" s="4">
        <v>75</v>
      </c>
      <c r="U1823" s="2"/>
      <c r="V1823" s="2"/>
      <c r="W1823" s="2"/>
      <c r="X1823" s="2"/>
      <c r="Y1823" s="4"/>
      <c r="Z1823" s="2"/>
      <c r="AA1823" s="2"/>
      <c r="AB1823" s="4"/>
      <c r="AC1823" s="4"/>
      <c r="AD1823" s="4"/>
      <c r="AE1823" s="4"/>
      <c r="AF1823" s="14"/>
    </row>
    <row r="1824" spans="1:32" x14ac:dyDescent="0.25">
      <c r="A1824" s="33" t="str">
        <f>CONCATENATE(D1824,".",F1824,"-",G1824,".",H1824,"")</f>
        <v>3.2-2.1</v>
      </c>
      <c r="C1824" s="39" t="s">
        <v>336</v>
      </c>
      <c r="D1824" s="33">
        <f>IF(C1824="ID",1,(IF(C1824="PR",2,(IF(C1824="DE",3,(IF(C1824="RS",4,(IF(C1824="RC",5,0)))))))))</f>
        <v>3</v>
      </c>
      <c r="E1824" s="33" t="s">
        <v>259</v>
      </c>
      <c r="F1824" s="33">
        <f>IF(E1824="AM",1,(IF(E1824="BE",2,(IF(E1824="GV",3,(IF(E1824="RA",4,(IF(E1824="RM",5,(IF(E1824="AC",1,(IF(E1824="AT",2,(IF(E1824="DS",3,(IF(E1824="IP",4,(IF(E1824="MA",5,(IF(E1824="PT",6,(IF(E1824="AE",1,(IF(E1824="CM",2,(IF(E1824="DP",3,(IF(E1824="AN",1,(IF(E1824="CO",2,(IF(E1824="IM",3,(IF(E1824="MI",4,(IF(E1824="RP",5,(IF(E1824="SC",6,0)))))))))))))))))))))))))))))))))))))))</f>
        <v>2</v>
      </c>
      <c r="G1824" s="170">
        <v>2</v>
      </c>
      <c r="H1824" s="38" t="s">
        <v>511</v>
      </c>
      <c r="I1824" s="3" t="s">
        <v>1449</v>
      </c>
      <c r="J1824" s="157" t="s">
        <v>2415</v>
      </c>
      <c r="K1824" s="34" t="s">
        <v>2416</v>
      </c>
      <c r="L1824" s="5">
        <f>IF(O1824="","",N1824*O1824*M1824)</f>
        <v>99</v>
      </c>
      <c r="M1824" s="8">
        <v>1</v>
      </c>
      <c r="N1824" s="1">
        <v>1</v>
      </c>
      <c r="O1824" s="15">
        <f>IF(SUM(Q1824:AF1824)&lt;1,"",SUM(Q1824:AF1824)/COUNTIF(Q1824:AF1824,"&gt;0"))</f>
        <v>99</v>
      </c>
      <c r="P1824" s="16"/>
      <c r="Q1824" s="13"/>
      <c r="R1824" s="4"/>
      <c r="S1824" s="4"/>
      <c r="T1824" s="4">
        <v>99</v>
      </c>
      <c r="U1824" s="2"/>
      <c r="V1824" s="2"/>
      <c r="W1824" s="2"/>
      <c r="X1824" s="2"/>
      <c r="Y1824" s="4"/>
      <c r="Z1824" s="2"/>
      <c r="AA1824" s="2"/>
      <c r="AB1824" s="4"/>
      <c r="AC1824" s="4"/>
      <c r="AD1824" s="4"/>
      <c r="AE1824" s="4"/>
      <c r="AF1824" s="14"/>
    </row>
    <row r="1825" spans="1:32" x14ac:dyDescent="0.25">
      <c r="A1825" s="33" t="str">
        <f>CONCATENATE(D1825,".",F1825,"-",G1825,".",H1825,"")</f>
        <v>3.2-2.1</v>
      </c>
      <c r="C1825" s="39" t="s">
        <v>336</v>
      </c>
      <c r="D1825" s="33">
        <f>IF(C1825="ID",1,(IF(C1825="PR",2,(IF(C1825="DE",3,(IF(C1825="RS",4,(IF(C1825="RC",5,0)))))))))</f>
        <v>3</v>
      </c>
      <c r="E1825" s="33" t="s">
        <v>259</v>
      </c>
      <c r="F1825" s="33">
        <f>IF(E1825="AM",1,(IF(E1825="BE",2,(IF(E1825="GV",3,(IF(E1825="RA",4,(IF(E1825="RM",5,(IF(E1825="AC",1,(IF(E1825="AT",2,(IF(E1825="DS",3,(IF(E1825="IP",4,(IF(E1825="MA",5,(IF(E1825="PT",6,(IF(E1825="AE",1,(IF(E1825="CM",2,(IF(E1825="DP",3,(IF(E1825="AN",1,(IF(E1825="CO",2,(IF(E1825="IM",3,(IF(E1825="MI",4,(IF(E1825="RP",5,(IF(E1825="SC",6,0)))))))))))))))))))))))))))))))))))))))</f>
        <v>2</v>
      </c>
      <c r="G1825" s="170">
        <v>2</v>
      </c>
      <c r="H1825" s="38" t="s">
        <v>511</v>
      </c>
      <c r="I1825" s="3" t="s">
        <v>1449</v>
      </c>
      <c r="J1825" s="157" t="s">
        <v>2445</v>
      </c>
      <c r="K1825" s="34" t="s">
        <v>2446</v>
      </c>
      <c r="L1825" s="5">
        <f>IF(O1825="","",N1825*O1825*M1825)</f>
        <v>99</v>
      </c>
      <c r="M1825" s="8">
        <v>1</v>
      </c>
      <c r="N1825" s="1">
        <v>1</v>
      </c>
      <c r="O1825" s="15">
        <f>IF(SUM(Q1825:AF1825)&lt;1,"",SUM(Q1825:AF1825)/COUNTIF(Q1825:AF1825,"&gt;0"))</f>
        <v>99</v>
      </c>
      <c r="P1825" s="16"/>
      <c r="Q1825" s="13"/>
      <c r="R1825" s="4"/>
      <c r="S1825" s="4"/>
      <c r="T1825" s="4">
        <v>99</v>
      </c>
      <c r="U1825" s="2"/>
      <c r="V1825" s="2"/>
      <c r="W1825" s="2"/>
      <c r="X1825" s="2"/>
      <c r="Y1825" s="4"/>
      <c r="Z1825" s="2"/>
      <c r="AA1825" s="2"/>
      <c r="AB1825" s="4"/>
      <c r="AC1825" s="4"/>
      <c r="AD1825" s="4"/>
      <c r="AE1825" s="4"/>
      <c r="AF1825" s="14"/>
    </row>
    <row r="1826" spans="1:32" x14ac:dyDescent="0.25">
      <c r="A1826" s="33" t="str">
        <f>CONCATENATE(D1826,".",F1826,"-",G1826,".",H1826,"")</f>
        <v>3.2-3.0</v>
      </c>
      <c r="B1826" s="33" t="s">
        <v>814</v>
      </c>
      <c r="C1826" s="40" t="s">
        <v>336</v>
      </c>
      <c r="D1826" s="33">
        <f>IF(C1826="ID",1,(IF(C1826="PR",2,(IF(C1826="DE",3,(IF(C1826="RS",4,(IF(C1826="RC",5,0)))))))))</f>
        <v>3</v>
      </c>
      <c r="E1826" s="33" t="s">
        <v>259</v>
      </c>
      <c r="F1826" s="33">
        <f>IF(E1826="AM",1,(IF(E1826="BE",2,(IF(E1826="GV",3,(IF(E1826="RA",4,(IF(E1826="RM",5,(IF(E1826="AC",1,(IF(E1826="AT",2,(IF(E1826="DS",3,(IF(E1826="IP",4,(IF(E1826="MA",5,(IF(E1826="PT",6,(IF(E1826="AE",1,(IF(E1826="CM",2,(IF(E1826="DP",3,(IF(E1826="AN",1,(IF(E1826="CO",2,(IF(E1826="IM",3,(IF(E1826="MI",4,(IF(E1826="RP",5,(IF(E1826="SC",6,0)))))))))))))))))))))))))))))))))))))))</f>
        <v>2</v>
      </c>
      <c r="G1826" s="170">
        <v>3</v>
      </c>
      <c r="H1826" s="38" t="s">
        <v>597</v>
      </c>
      <c r="I1826" s="22" t="s">
        <v>1200</v>
      </c>
      <c r="J1826" s="149" t="s">
        <v>631</v>
      </c>
      <c r="K1826" s="99" t="s">
        <v>408</v>
      </c>
      <c r="L1826" s="66">
        <f>IF(O1826="","",N1826*O1826*M1826)</f>
        <v>75</v>
      </c>
      <c r="M1826" s="8">
        <v>1</v>
      </c>
      <c r="N1826" s="1">
        <v>1</v>
      </c>
      <c r="O1826" s="15">
        <f>IF(SUM(Q1826:AF1826)&lt;1,"",SUM(Q1826:AF1826)/COUNTIF(Q1826:AF1826,"&gt;0"))</f>
        <v>75</v>
      </c>
      <c r="P1826" s="16"/>
      <c r="Q1826" s="13"/>
      <c r="R1826" s="4"/>
      <c r="S1826" s="4"/>
      <c r="T1826" s="4">
        <v>75</v>
      </c>
      <c r="U1826" s="2"/>
      <c r="V1826" s="2"/>
      <c r="W1826" s="2"/>
      <c r="X1826" s="2"/>
      <c r="Y1826" s="4"/>
      <c r="Z1826" s="2"/>
      <c r="AA1826" s="2"/>
      <c r="AB1826" s="4"/>
      <c r="AC1826" s="4"/>
      <c r="AD1826" s="4"/>
      <c r="AE1826" s="4"/>
      <c r="AF1826" s="14"/>
    </row>
    <row r="1827" spans="1:32" x14ac:dyDescent="0.25">
      <c r="A1827" s="33" t="str">
        <f>CONCATENATE(D1827,".",F1827,"-",G1827,".",H1827,"")</f>
        <v>3.2-3.1</v>
      </c>
      <c r="B1827" s="33" t="s">
        <v>814</v>
      </c>
      <c r="C1827" s="39" t="s">
        <v>336</v>
      </c>
      <c r="D1827" s="33">
        <f>IF(C1827="ID",1,(IF(C1827="PR",2,(IF(C1827="DE",3,(IF(C1827="RS",4,(IF(C1827="RC",5,0)))))))))</f>
        <v>3</v>
      </c>
      <c r="E1827" s="33" t="s">
        <v>259</v>
      </c>
      <c r="F1827" s="33">
        <f>IF(E1827="AM",1,(IF(E1827="BE",2,(IF(E1827="GV",3,(IF(E1827="RA",4,(IF(E1827="RM",5,(IF(E1827="AC",1,(IF(E1827="AT",2,(IF(E1827="DS",3,(IF(E1827="IP",4,(IF(E1827="MA",5,(IF(E1827="PT",6,(IF(E1827="AE",1,(IF(E1827="CM",2,(IF(E1827="DP",3,(IF(E1827="AN",1,(IF(E1827="CO",2,(IF(E1827="IM",3,(IF(E1827="MI",4,(IF(E1827="RP",5,(IF(E1827="SC",6,0)))))))))))))))))))))))))))))))))))))))</f>
        <v>2</v>
      </c>
      <c r="G1827" s="170">
        <v>3</v>
      </c>
      <c r="H1827" s="38" t="s">
        <v>511</v>
      </c>
      <c r="I1827" s="3" t="s">
        <v>821</v>
      </c>
      <c r="J1827" s="150">
        <v>10.1</v>
      </c>
      <c r="K1827" s="79" t="s">
        <v>1283</v>
      </c>
      <c r="L1827" s="66">
        <f>IF(O1827="","",N1827*O1827*M1827)</f>
        <v>75</v>
      </c>
      <c r="M1827" s="8">
        <v>1</v>
      </c>
      <c r="N1827" s="3">
        <v>1</v>
      </c>
      <c r="O1827" s="15">
        <f>IF(SUM(Q1827:AF1827)&lt;1,"",SUM(Q1827:AF1827)/COUNTIF(Q1827:AF1827,"&gt;0"))</f>
        <v>75</v>
      </c>
      <c r="P1827" s="16"/>
      <c r="Q1827" s="13"/>
      <c r="R1827" s="4"/>
      <c r="S1827" s="4"/>
      <c r="T1827" s="4">
        <v>75</v>
      </c>
      <c r="U1827" s="2"/>
      <c r="V1827" s="2"/>
      <c r="W1827" s="2"/>
      <c r="X1827" s="2"/>
      <c r="Y1827" s="4"/>
      <c r="Z1827" s="2"/>
      <c r="AA1827" s="2"/>
      <c r="AB1827" s="4"/>
      <c r="AC1827" s="4"/>
      <c r="AD1827" s="4"/>
      <c r="AE1827" s="4"/>
      <c r="AF1827" s="14"/>
    </row>
    <row r="1828" spans="1:32" x14ac:dyDescent="0.25">
      <c r="A1828" s="33" t="str">
        <f>CONCATENATE(D1828,".",F1828,"-",G1828,".",H1828,"")</f>
        <v>3.2-3.1</v>
      </c>
      <c r="B1828" s="33" t="s">
        <v>814</v>
      </c>
      <c r="C1828" s="40" t="s">
        <v>336</v>
      </c>
      <c r="D1828" s="33">
        <f>IF(C1828="ID",1,(IF(C1828="PR",2,(IF(C1828="DE",3,(IF(C1828="RS",4,(IF(C1828="RC",5,0)))))))))</f>
        <v>3</v>
      </c>
      <c r="E1828" s="33" t="s">
        <v>259</v>
      </c>
      <c r="F1828" s="33">
        <f>IF(E1828="AM",1,(IF(E1828="BE",2,(IF(E1828="GV",3,(IF(E1828="RA",4,(IF(E1828="RM",5,(IF(E1828="AC",1,(IF(E1828="AT",2,(IF(E1828="DS",3,(IF(E1828="IP",4,(IF(E1828="MA",5,(IF(E1828="PT",6,(IF(E1828="AE",1,(IF(E1828="CM",2,(IF(E1828="DP",3,(IF(E1828="AN",1,(IF(E1828="CO",2,(IF(E1828="IM",3,(IF(E1828="MI",4,(IF(E1828="RP",5,(IF(E1828="SC",6,0)))))))))))))))))))))))))))))))))))))))</f>
        <v>2</v>
      </c>
      <c r="G1828" s="171">
        <v>3</v>
      </c>
      <c r="H1828" s="38" t="s">
        <v>511</v>
      </c>
      <c r="I1828" s="3" t="s">
        <v>821</v>
      </c>
      <c r="J1828" s="149" t="s">
        <v>238</v>
      </c>
      <c r="K1828" s="79" t="s">
        <v>1283</v>
      </c>
      <c r="L1828" s="66">
        <f>IF(O1828="","",N1828*O1828*M1828)</f>
        <v>75</v>
      </c>
      <c r="M1828" s="8">
        <v>1</v>
      </c>
      <c r="N1828" s="1">
        <v>1</v>
      </c>
      <c r="O1828" s="15">
        <f>IF(SUM(Q1828:AF1828)&lt;1,"",SUM(Q1828:AF1828)/COUNTIF(Q1828:AF1828,"&gt;0"))</f>
        <v>75</v>
      </c>
      <c r="P1828" s="16"/>
      <c r="Q1828" s="13"/>
      <c r="R1828" s="4"/>
      <c r="S1828" s="4"/>
      <c r="T1828" s="4">
        <v>75</v>
      </c>
      <c r="U1828" s="2"/>
      <c r="V1828" s="2"/>
      <c r="W1828" s="2"/>
      <c r="X1828" s="2"/>
      <c r="Y1828" s="4"/>
      <c r="Z1828" s="2"/>
      <c r="AA1828" s="2"/>
      <c r="AB1828" s="4"/>
      <c r="AC1828" s="4"/>
      <c r="AD1828" s="4"/>
      <c r="AE1828" s="4"/>
      <c r="AF1828" s="14"/>
    </row>
    <row r="1829" spans="1:32" x14ac:dyDescent="0.25">
      <c r="A1829" s="33" t="str">
        <f>CONCATENATE(D1829,".",F1829,"-",G1829,".",H1829,"")</f>
        <v>3.2-3.1</v>
      </c>
      <c r="B1829" s="33" t="s">
        <v>814</v>
      </c>
      <c r="C1829" s="39" t="s">
        <v>336</v>
      </c>
      <c r="D1829" s="33">
        <f>IF(C1829="ID",1,(IF(C1829="PR",2,(IF(C1829="DE",3,(IF(C1829="RS",4,(IF(C1829="RC",5,0)))))))))</f>
        <v>3</v>
      </c>
      <c r="E1829" s="33" t="s">
        <v>259</v>
      </c>
      <c r="F1829" s="33">
        <f>IF(E1829="AM",1,(IF(E1829="BE",2,(IF(E1829="GV",3,(IF(E1829="RA",4,(IF(E1829="RM",5,(IF(E1829="AC",1,(IF(E1829="AT",2,(IF(E1829="DS",3,(IF(E1829="IP",4,(IF(E1829="MA",5,(IF(E1829="PT",6,(IF(E1829="AE",1,(IF(E1829="CM",2,(IF(E1829="DP",3,(IF(E1829="AN",1,(IF(E1829="CO",2,(IF(E1829="IM",3,(IF(E1829="MI",4,(IF(E1829="RP",5,(IF(E1829="SC",6,0)))))))))))))))))))))))))))))))))))))))</f>
        <v>2</v>
      </c>
      <c r="G1829" s="170">
        <v>3</v>
      </c>
      <c r="H1829" s="38" t="s">
        <v>511</v>
      </c>
      <c r="I1829" s="3" t="s">
        <v>821</v>
      </c>
      <c r="J1829" s="150" t="s">
        <v>240</v>
      </c>
      <c r="K1829" s="79" t="s">
        <v>1283</v>
      </c>
      <c r="L1829" s="66">
        <f>IF(O1829="","",N1829*O1829*M1829)</f>
        <v>75</v>
      </c>
      <c r="M1829" s="8">
        <v>1</v>
      </c>
      <c r="N1829" s="3">
        <v>1</v>
      </c>
      <c r="O1829" s="15">
        <f>IF(SUM(Q1829:AF1829)&lt;1,"",SUM(Q1829:AF1829)/COUNTIF(Q1829:AF1829,"&gt;0"))</f>
        <v>75</v>
      </c>
      <c r="P1829" s="16"/>
      <c r="Q1829" s="13"/>
      <c r="R1829" s="4"/>
      <c r="S1829" s="4"/>
      <c r="T1829" s="4">
        <v>75</v>
      </c>
      <c r="U1829" s="2"/>
      <c r="V1829" s="2"/>
      <c r="W1829" s="2"/>
      <c r="X1829" s="2"/>
      <c r="Y1829" s="4"/>
      <c r="Z1829" s="2"/>
      <c r="AA1829" s="2"/>
      <c r="AB1829" s="4"/>
      <c r="AC1829" s="4"/>
      <c r="AD1829" s="4"/>
      <c r="AE1829" s="4"/>
      <c r="AF1829" s="14"/>
    </row>
    <row r="1830" spans="1:32" x14ac:dyDescent="0.25">
      <c r="A1830" s="33" t="str">
        <f>CONCATENATE(D1830,".",F1830,"-",G1830,".",H1830,"")</f>
        <v>3.2-3.1</v>
      </c>
      <c r="B1830" s="33" t="s">
        <v>814</v>
      </c>
      <c r="C1830" s="40" t="s">
        <v>336</v>
      </c>
      <c r="D1830" s="33">
        <f>IF(C1830="ID",1,(IF(C1830="PR",2,(IF(C1830="DE",3,(IF(C1830="RS",4,(IF(C1830="RC",5,0)))))))))</f>
        <v>3</v>
      </c>
      <c r="E1830" s="33" t="s">
        <v>259</v>
      </c>
      <c r="F1830" s="33">
        <f>IF(E1830="AM",1,(IF(E1830="BE",2,(IF(E1830="GV",3,(IF(E1830="RA",4,(IF(E1830="RM",5,(IF(E1830="AC",1,(IF(E1830="AT",2,(IF(E1830="DS",3,(IF(E1830="IP",4,(IF(E1830="MA",5,(IF(E1830="PT",6,(IF(E1830="AE",1,(IF(E1830="CM",2,(IF(E1830="DP",3,(IF(E1830="AN",1,(IF(E1830="CO",2,(IF(E1830="IM",3,(IF(E1830="MI",4,(IF(E1830="RP",5,(IF(E1830="SC",6,0)))))))))))))))))))))))))))))))))))))))</f>
        <v>2</v>
      </c>
      <c r="G1830" s="171">
        <v>3</v>
      </c>
      <c r="H1830" s="38" t="s">
        <v>511</v>
      </c>
      <c r="I1830" s="22" t="s">
        <v>936</v>
      </c>
      <c r="J1830" s="163" t="s">
        <v>891</v>
      </c>
      <c r="K1830" s="34" t="s">
        <v>975</v>
      </c>
      <c r="L1830" s="66">
        <f>IF(O1830="","",N1830*O1830*M1830)</f>
        <v>75</v>
      </c>
      <c r="M1830" s="8">
        <v>1</v>
      </c>
      <c r="N1830" s="3">
        <v>1</v>
      </c>
      <c r="O1830" s="15">
        <f>IF(SUM(Q1830:AF1830)&lt;1,"",SUM(Q1830:AF1830)/COUNTIF(Q1830:AF1830,"&gt;0"))</f>
        <v>75</v>
      </c>
      <c r="P1830" s="16"/>
      <c r="Q1830" s="13"/>
      <c r="R1830" s="4"/>
      <c r="S1830" s="4"/>
      <c r="T1830" s="4">
        <v>75</v>
      </c>
      <c r="U1830" s="2"/>
      <c r="V1830" s="2"/>
      <c r="W1830" s="2"/>
      <c r="X1830" s="2"/>
      <c r="Y1830" s="4"/>
      <c r="Z1830" s="2"/>
      <c r="AA1830" s="2"/>
      <c r="AB1830" s="4"/>
      <c r="AC1830" s="4"/>
      <c r="AD1830" s="4"/>
      <c r="AE1830" s="4"/>
      <c r="AF1830" s="14"/>
    </row>
    <row r="1831" spans="1:32" x14ac:dyDescent="0.25">
      <c r="A1831" s="33" t="str">
        <f>CONCATENATE(D1831,".",F1831,"-",G1831,".",H1831,"")</f>
        <v>3.2-3.1</v>
      </c>
      <c r="B1831" s="33" t="s">
        <v>814</v>
      </c>
      <c r="C1831" s="40" t="s">
        <v>336</v>
      </c>
      <c r="D1831" s="33">
        <f>IF(C1831="ID",1,(IF(C1831="PR",2,(IF(C1831="DE",3,(IF(C1831="RS",4,(IF(C1831="RC",5,0)))))))))</f>
        <v>3</v>
      </c>
      <c r="E1831" s="33" t="s">
        <v>259</v>
      </c>
      <c r="F1831" s="33">
        <f>IF(E1831="AM",1,(IF(E1831="BE",2,(IF(E1831="GV",3,(IF(E1831="RA",4,(IF(E1831="RM",5,(IF(E1831="AC",1,(IF(E1831="AT",2,(IF(E1831="DS",3,(IF(E1831="IP",4,(IF(E1831="MA",5,(IF(E1831="PT",6,(IF(E1831="AE",1,(IF(E1831="CM",2,(IF(E1831="DP",3,(IF(E1831="AN",1,(IF(E1831="CO",2,(IF(E1831="IM",3,(IF(E1831="MI",4,(IF(E1831="RP",5,(IF(E1831="SC",6,0)))))))))))))))))))))))))))))))))))))))</f>
        <v>2</v>
      </c>
      <c r="G1831" s="171">
        <v>3</v>
      </c>
      <c r="H1831" s="38" t="s">
        <v>511</v>
      </c>
      <c r="I1831" s="22" t="s">
        <v>936</v>
      </c>
      <c r="J1831" s="163" t="s">
        <v>868</v>
      </c>
      <c r="K1831" s="34" t="s">
        <v>978</v>
      </c>
      <c r="L1831" s="66">
        <f>IF(O1831="","",N1831*O1831*M1831)</f>
        <v>75</v>
      </c>
      <c r="M1831" s="8">
        <v>1</v>
      </c>
      <c r="N1831" s="3">
        <v>1</v>
      </c>
      <c r="O1831" s="15">
        <f>IF(SUM(Q1831:AF1831)&lt;1,"",SUM(Q1831:AF1831)/COUNTIF(Q1831:AF1831,"&gt;0"))</f>
        <v>75</v>
      </c>
      <c r="P1831" s="16"/>
      <c r="Q1831" s="13"/>
      <c r="R1831" s="4"/>
      <c r="S1831" s="4"/>
      <c r="T1831" s="4">
        <v>75</v>
      </c>
      <c r="U1831" s="2"/>
      <c r="V1831" s="2"/>
      <c r="W1831" s="2"/>
      <c r="X1831" s="2"/>
      <c r="Y1831" s="4"/>
      <c r="Z1831" s="2"/>
      <c r="AA1831" s="2"/>
      <c r="AB1831" s="4"/>
      <c r="AC1831" s="4"/>
      <c r="AD1831" s="4"/>
      <c r="AE1831" s="4"/>
      <c r="AF1831" s="14"/>
    </row>
    <row r="1832" spans="1:32" x14ac:dyDescent="0.25">
      <c r="A1832" s="33" t="str">
        <f>CONCATENATE(D1832,".",F1832,"-",G1832,".",H1832,"")</f>
        <v>3.2-3.1</v>
      </c>
      <c r="B1832" s="33" t="s">
        <v>814</v>
      </c>
      <c r="C1832" s="40" t="s">
        <v>336</v>
      </c>
      <c r="D1832" s="33">
        <f>IF(C1832="ID",1,(IF(C1832="PR",2,(IF(C1832="DE",3,(IF(C1832="RS",4,(IF(C1832="RC",5,0)))))))))</f>
        <v>3</v>
      </c>
      <c r="E1832" s="33" t="s">
        <v>259</v>
      </c>
      <c r="F1832" s="33">
        <f>IF(E1832="AM",1,(IF(E1832="BE",2,(IF(E1832="GV",3,(IF(E1832="RA",4,(IF(E1832="RM",5,(IF(E1832="AC",1,(IF(E1832="AT",2,(IF(E1832="DS",3,(IF(E1832="IP",4,(IF(E1832="MA",5,(IF(E1832="PT",6,(IF(E1832="AE",1,(IF(E1832="CM",2,(IF(E1832="DP",3,(IF(E1832="AN",1,(IF(E1832="CO",2,(IF(E1832="IM",3,(IF(E1832="MI",4,(IF(E1832="RP",5,(IF(E1832="SC",6,0)))))))))))))))))))))))))))))))))))))))</f>
        <v>2</v>
      </c>
      <c r="G1832" s="171">
        <v>3</v>
      </c>
      <c r="H1832" s="38" t="s">
        <v>511</v>
      </c>
      <c r="I1832" s="22" t="s">
        <v>936</v>
      </c>
      <c r="J1832" s="163" t="s">
        <v>917</v>
      </c>
      <c r="K1832" s="34" t="s">
        <v>947</v>
      </c>
      <c r="L1832" s="66">
        <f>IF(O1832="","",N1832*O1832*M1832)</f>
        <v>75</v>
      </c>
      <c r="M1832" s="8">
        <v>1</v>
      </c>
      <c r="N1832" s="3">
        <v>1</v>
      </c>
      <c r="O1832" s="15">
        <f>IF(SUM(Q1832:AF1832)&lt;1,"",SUM(Q1832:AF1832)/COUNTIF(Q1832:AF1832,"&gt;0"))</f>
        <v>75</v>
      </c>
      <c r="P1832" s="16"/>
      <c r="Q1832" s="13"/>
      <c r="R1832" s="4"/>
      <c r="S1832" s="4"/>
      <c r="T1832" s="4">
        <v>75</v>
      </c>
      <c r="U1832" s="2"/>
      <c r="V1832" s="2"/>
      <c r="W1832" s="2"/>
      <c r="X1832" s="2"/>
      <c r="Y1832" s="4"/>
      <c r="Z1832" s="2"/>
      <c r="AA1832" s="2"/>
      <c r="AB1832" s="4"/>
      <c r="AC1832" s="4"/>
      <c r="AD1832" s="4"/>
      <c r="AE1832" s="4"/>
      <c r="AF1832" s="14"/>
    </row>
    <row r="1833" spans="1:32" x14ac:dyDescent="0.25">
      <c r="A1833" s="33" t="str">
        <f>CONCATENATE(D1833,".",F1833,"-",G1833,".",H1833,"")</f>
        <v>3.2-3.1</v>
      </c>
      <c r="B1833" s="33" t="s">
        <v>814</v>
      </c>
      <c r="C1833" s="40" t="s">
        <v>336</v>
      </c>
      <c r="D1833" s="33">
        <f>IF(C1833="ID",1,(IF(C1833="PR",2,(IF(C1833="DE",3,(IF(C1833="RS",4,(IF(C1833="RC",5,0)))))))))</f>
        <v>3</v>
      </c>
      <c r="E1833" s="33" t="s">
        <v>259</v>
      </c>
      <c r="F1833" s="33">
        <f>IF(E1833="AM",1,(IF(E1833="BE",2,(IF(E1833="GV",3,(IF(E1833="RA",4,(IF(E1833="RM",5,(IF(E1833="AC",1,(IF(E1833="AT",2,(IF(E1833="DS",3,(IF(E1833="IP",4,(IF(E1833="MA",5,(IF(E1833="PT",6,(IF(E1833="AE",1,(IF(E1833="CM",2,(IF(E1833="DP",3,(IF(E1833="AN",1,(IF(E1833="CO",2,(IF(E1833="IM",3,(IF(E1833="MI",4,(IF(E1833="RP",5,(IF(E1833="SC",6,0)))))))))))))))))))))))))))))))))))))))</f>
        <v>2</v>
      </c>
      <c r="G1833" s="171">
        <v>3</v>
      </c>
      <c r="H1833" s="38" t="s">
        <v>511</v>
      </c>
      <c r="I1833" s="22" t="s">
        <v>936</v>
      </c>
      <c r="J1833" s="163" t="s">
        <v>902</v>
      </c>
      <c r="K1833" s="34" t="s">
        <v>950</v>
      </c>
      <c r="L1833" s="66">
        <f>IF(O1833="","",N1833*O1833*M1833)</f>
        <v>75</v>
      </c>
      <c r="M1833" s="8">
        <v>1</v>
      </c>
      <c r="N1833" s="3">
        <v>1</v>
      </c>
      <c r="O1833" s="15">
        <f>IF(SUM(Q1833:AF1833)&lt;1,"",SUM(Q1833:AF1833)/COUNTIF(Q1833:AF1833,"&gt;0"))</f>
        <v>75</v>
      </c>
      <c r="P1833" s="16"/>
      <c r="Q1833" s="13"/>
      <c r="R1833" s="4"/>
      <c r="S1833" s="4"/>
      <c r="T1833" s="4">
        <v>75</v>
      </c>
      <c r="U1833" s="2"/>
      <c r="V1833" s="2"/>
      <c r="W1833" s="2"/>
      <c r="X1833" s="2"/>
      <c r="Y1833" s="4"/>
      <c r="Z1833" s="2"/>
      <c r="AA1833" s="2"/>
      <c r="AB1833" s="4"/>
      <c r="AC1833" s="4"/>
      <c r="AD1833" s="4"/>
      <c r="AE1833" s="4"/>
      <c r="AF1833" s="14"/>
    </row>
    <row r="1834" spans="1:32" x14ac:dyDescent="0.25">
      <c r="A1834" s="33" t="str">
        <f>CONCATENATE(D1834,".",F1834,"-",G1834,".",H1834,"")</f>
        <v>3.2-3.1</v>
      </c>
      <c r="B1834" s="33" t="s">
        <v>814</v>
      </c>
      <c r="C1834" s="40" t="s">
        <v>336</v>
      </c>
      <c r="D1834" s="33">
        <f>IF(C1834="ID",1,(IF(C1834="PR",2,(IF(C1834="DE",3,(IF(C1834="RS",4,(IF(C1834="RC",5,0)))))))))</f>
        <v>3</v>
      </c>
      <c r="E1834" s="33" t="s">
        <v>259</v>
      </c>
      <c r="F1834" s="33">
        <f>IF(E1834="AM",1,(IF(E1834="BE",2,(IF(E1834="GV",3,(IF(E1834="RA",4,(IF(E1834="RM",5,(IF(E1834="AC",1,(IF(E1834="AT",2,(IF(E1834="DS",3,(IF(E1834="IP",4,(IF(E1834="MA",5,(IF(E1834="PT",6,(IF(E1834="AE",1,(IF(E1834="CM",2,(IF(E1834="DP",3,(IF(E1834="AN",1,(IF(E1834="CO",2,(IF(E1834="IM",3,(IF(E1834="MI",4,(IF(E1834="RP",5,(IF(E1834="SC",6,0)))))))))))))))))))))))))))))))))))))))</f>
        <v>2</v>
      </c>
      <c r="G1834" s="171">
        <v>3</v>
      </c>
      <c r="H1834" s="38" t="s">
        <v>511</v>
      </c>
      <c r="I1834" s="22" t="s">
        <v>936</v>
      </c>
      <c r="J1834" s="163" t="s">
        <v>913</v>
      </c>
      <c r="K1834" s="34" t="s">
        <v>954</v>
      </c>
      <c r="L1834" s="66">
        <f>IF(O1834="","",N1834*O1834*M1834)</f>
        <v>75</v>
      </c>
      <c r="M1834" s="8">
        <v>1</v>
      </c>
      <c r="N1834" s="3">
        <v>1</v>
      </c>
      <c r="O1834" s="15">
        <f>IF(SUM(Q1834:AF1834)&lt;1,"",SUM(Q1834:AF1834)/COUNTIF(Q1834:AF1834,"&gt;0"))</f>
        <v>75</v>
      </c>
      <c r="P1834" s="16"/>
      <c r="Q1834" s="13"/>
      <c r="R1834" s="4"/>
      <c r="S1834" s="4"/>
      <c r="T1834" s="4">
        <v>75</v>
      </c>
      <c r="U1834" s="2"/>
      <c r="V1834" s="2"/>
      <c r="W1834" s="2"/>
      <c r="X1834" s="2"/>
      <c r="Y1834" s="4"/>
      <c r="Z1834" s="2"/>
      <c r="AA1834" s="2"/>
      <c r="AB1834" s="4"/>
      <c r="AC1834" s="4"/>
      <c r="AD1834" s="4"/>
      <c r="AE1834" s="4"/>
      <c r="AF1834" s="14"/>
    </row>
    <row r="1835" spans="1:32" x14ac:dyDescent="0.25">
      <c r="A1835" s="33" t="str">
        <f>CONCATENATE(D1835,".",F1835,"-",G1835,".",H1835,"")</f>
        <v>3.2-3.1</v>
      </c>
      <c r="B1835" s="33" t="s">
        <v>814</v>
      </c>
      <c r="C1835" s="41" t="s">
        <v>336</v>
      </c>
      <c r="D1835" s="33">
        <f>IF(C1835="ID",1,(IF(C1835="PR",2,(IF(C1835="DE",3,(IF(C1835="RS",4,(IF(C1835="RC",5,0)))))))))</f>
        <v>3</v>
      </c>
      <c r="E1835" s="33" t="s">
        <v>259</v>
      </c>
      <c r="F1835" s="33">
        <f>IF(E1835="AM",1,(IF(E1835="BE",2,(IF(E1835="GV",3,(IF(E1835="RA",4,(IF(E1835="RM",5,(IF(E1835="AC",1,(IF(E1835="AT",2,(IF(E1835="DS",3,(IF(E1835="IP",4,(IF(E1835="MA",5,(IF(E1835="PT",6,(IF(E1835="AE",1,(IF(E1835="CM",2,(IF(E1835="DP",3,(IF(E1835="AN",1,(IF(E1835="CO",2,(IF(E1835="IM",3,(IF(E1835="MI",4,(IF(E1835="RP",5,(IF(E1835="SC",6,0)))))))))))))))))))))))))))))))))))))))</f>
        <v>2</v>
      </c>
      <c r="G1835" s="170">
        <v>3</v>
      </c>
      <c r="H1835" s="38" t="s">
        <v>511</v>
      </c>
      <c r="I1835" s="22" t="s">
        <v>266</v>
      </c>
      <c r="J1835" s="149" t="s">
        <v>271</v>
      </c>
      <c r="K1835" s="79" t="s">
        <v>1318</v>
      </c>
      <c r="L1835" s="5">
        <f>IF(O1835="","",N1835*O1835*M1835)</f>
        <v>75</v>
      </c>
      <c r="M1835" s="8">
        <v>1</v>
      </c>
      <c r="N1835" s="1">
        <v>1</v>
      </c>
      <c r="O1835" s="15">
        <f>IF(SUM(Q1835:AF1835)&lt;1,"",SUM(Q1835:AF1835)/COUNTIF(Q1835:AF1835,"&gt;0"))</f>
        <v>75</v>
      </c>
      <c r="P1835" s="16"/>
      <c r="Q1835" s="13"/>
      <c r="R1835" s="4"/>
      <c r="S1835" s="4"/>
      <c r="T1835" s="4">
        <v>75</v>
      </c>
      <c r="U1835" s="2"/>
      <c r="V1835" s="2"/>
      <c r="W1835" s="2"/>
      <c r="X1835" s="2"/>
      <c r="Y1835" s="4"/>
      <c r="Z1835" s="2"/>
      <c r="AA1835" s="2"/>
      <c r="AB1835" s="4"/>
      <c r="AC1835" s="4"/>
      <c r="AD1835" s="4"/>
      <c r="AE1835" s="4"/>
      <c r="AF1835" s="14"/>
    </row>
    <row r="1836" spans="1:32" x14ac:dyDescent="0.25">
      <c r="A1836" s="33" t="str">
        <f>CONCATENATE(D1836,".",F1836,"-",G1836,".",H1836,"")</f>
        <v>3.2-3.1</v>
      </c>
      <c r="B1836" s="33" t="s">
        <v>814</v>
      </c>
      <c r="C1836" s="39" t="s">
        <v>336</v>
      </c>
      <c r="D1836" s="33">
        <f>IF(C1836="ID",1,(IF(C1836="PR",2,(IF(C1836="DE",3,(IF(C1836="RS",4,(IF(C1836="RC",5,0)))))))))</f>
        <v>3</v>
      </c>
      <c r="E1836" s="33" t="s">
        <v>259</v>
      </c>
      <c r="F1836" s="33">
        <f>IF(E1836="AM",1,(IF(E1836="BE",2,(IF(E1836="GV",3,(IF(E1836="RA",4,(IF(E1836="RM",5,(IF(E1836="AC",1,(IF(E1836="AT",2,(IF(E1836="DS",3,(IF(E1836="IP",4,(IF(E1836="MA",5,(IF(E1836="PT",6,(IF(E1836="AE",1,(IF(E1836="CM",2,(IF(E1836="DP",3,(IF(E1836="AN",1,(IF(E1836="CO",2,(IF(E1836="IM",3,(IF(E1836="MI",4,(IF(E1836="RP",5,(IF(E1836="SC",6,0)))))))))))))))))))))))))))))))))))))))</f>
        <v>2</v>
      </c>
      <c r="G1836" s="170">
        <v>3</v>
      </c>
      <c r="H1836" s="38" t="s">
        <v>511</v>
      </c>
      <c r="I1836" s="79" t="s">
        <v>1176</v>
      </c>
      <c r="J1836" s="162">
        <v>5.0999999999999996</v>
      </c>
      <c r="K1836" s="80" t="s">
        <v>1063</v>
      </c>
      <c r="L1836" s="66">
        <f>IF(O1836="","",N1836*O1836*M1836)</f>
        <v>75</v>
      </c>
      <c r="M1836" s="8">
        <v>1</v>
      </c>
      <c r="N1836" s="3">
        <v>1</v>
      </c>
      <c r="O1836" s="15">
        <f>IF(SUM(Q1836:AF1836)&lt;1,"",SUM(Q1836:AF1836)/COUNTIF(Q1836:AF1836,"&gt;0"))</f>
        <v>75</v>
      </c>
      <c r="P1836" s="16"/>
      <c r="Q1836" s="13"/>
      <c r="R1836" s="4"/>
      <c r="S1836" s="4"/>
      <c r="T1836" s="4">
        <v>75</v>
      </c>
      <c r="U1836" s="2"/>
      <c r="V1836" s="2"/>
      <c r="W1836" s="2"/>
      <c r="X1836" s="2"/>
      <c r="Y1836" s="4"/>
      <c r="Z1836" s="2"/>
      <c r="AA1836" s="2"/>
      <c r="AB1836" s="4"/>
      <c r="AC1836" s="4"/>
      <c r="AD1836" s="4"/>
      <c r="AE1836" s="4"/>
      <c r="AF1836" s="14"/>
    </row>
    <row r="1837" spans="1:32" x14ac:dyDescent="0.25">
      <c r="A1837" s="33" t="str">
        <f>CONCATENATE(D1837,".",F1837,"-",G1837,".",H1837,"")</f>
        <v>3.2-3.1</v>
      </c>
      <c r="B1837" s="33" t="s">
        <v>814</v>
      </c>
      <c r="C1837" s="39" t="s">
        <v>336</v>
      </c>
      <c r="D1837" s="33">
        <f>IF(C1837="ID",1,(IF(C1837="PR",2,(IF(C1837="DE",3,(IF(C1837="RS",4,(IF(C1837="RC",5,0)))))))))</f>
        <v>3</v>
      </c>
      <c r="E1837" s="33" t="s">
        <v>259</v>
      </c>
      <c r="F1837" s="33">
        <f>IF(E1837="AM",1,(IF(E1837="BE",2,(IF(E1837="GV",3,(IF(E1837="RA",4,(IF(E1837="RM",5,(IF(E1837="AC",1,(IF(E1837="AT",2,(IF(E1837="DS",3,(IF(E1837="IP",4,(IF(E1837="MA",5,(IF(E1837="PT",6,(IF(E1837="AE",1,(IF(E1837="CM",2,(IF(E1837="DP",3,(IF(E1837="AN",1,(IF(E1837="CO",2,(IF(E1837="IM",3,(IF(E1837="MI",4,(IF(E1837="RP",5,(IF(E1837="SC",6,0)))))))))))))))))))))))))))))))))))))))</f>
        <v>2</v>
      </c>
      <c r="G1837" s="170">
        <v>3</v>
      </c>
      <c r="H1837" s="38" t="s">
        <v>511</v>
      </c>
      <c r="I1837" s="79" t="s">
        <v>1176</v>
      </c>
      <c r="J1837" s="162">
        <v>7.4</v>
      </c>
      <c r="K1837" s="80" t="s">
        <v>1073</v>
      </c>
      <c r="L1837" s="66">
        <f>IF(O1837="","",N1837*O1837*M1837)</f>
        <v>75</v>
      </c>
      <c r="M1837" s="8">
        <v>1</v>
      </c>
      <c r="N1837" s="3">
        <v>1</v>
      </c>
      <c r="O1837" s="15">
        <f>IF(SUM(Q1837:AF1837)&lt;1,"",SUM(Q1837:AF1837)/COUNTIF(Q1837:AF1837,"&gt;0"))</f>
        <v>75</v>
      </c>
      <c r="P1837" s="16"/>
      <c r="Q1837" s="13"/>
      <c r="R1837" s="4"/>
      <c r="S1837" s="4"/>
      <c r="T1837" s="4">
        <v>75</v>
      </c>
      <c r="U1837" s="2"/>
      <c r="V1837" s="2"/>
      <c r="W1837" s="2"/>
      <c r="X1837" s="2"/>
      <c r="Y1837" s="4"/>
      <c r="Z1837" s="2"/>
      <c r="AA1837" s="2"/>
      <c r="AB1837" s="4"/>
      <c r="AC1837" s="4"/>
      <c r="AD1837" s="4"/>
      <c r="AE1837" s="4"/>
      <c r="AF1837" s="14"/>
    </row>
    <row r="1838" spans="1:32" x14ac:dyDescent="0.25">
      <c r="A1838" s="33" t="str">
        <f>CONCATENATE(D1838,".",F1838,"-",G1838,".",H1838,"")</f>
        <v>3.2-3.1</v>
      </c>
      <c r="B1838" s="33" t="s">
        <v>814</v>
      </c>
      <c r="C1838" s="39" t="s">
        <v>336</v>
      </c>
      <c r="D1838" s="33">
        <f>IF(C1838="ID",1,(IF(C1838="PR",2,(IF(C1838="DE",3,(IF(C1838="RS",4,(IF(C1838="RC",5,0)))))))))</f>
        <v>3</v>
      </c>
      <c r="E1838" s="33" t="s">
        <v>259</v>
      </c>
      <c r="F1838" s="33">
        <f>IF(E1838="AM",1,(IF(E1838="BE",2,(IF(E1838="GV",3,(IF(E1838="RA",4,(IF(E1838="RM",5,(IF(E1838="AC",1,(IF(E1838="AT",2,(IF(E1838="DS",3,(IF(E1838="IP",4,(IF(E1838="MA",5,(IF(E1838="PT",6,(IF(E1838="AE",1,(IF(E1838="CM",2,(IF(E1838="DP",3,(IF(E1838="AN",1,(IF(E1838="CO",2,(IF(E1838="IM",3,(IF(E1838="MI",4,(IF(E1838="RP",5,(IF(E1838="SC",6,0)))))))))))))))))))))))))))))))))))))))</f>
        <v>2</v>
      </c>
      <c r="G1838" s="170">
        <v>3</v>
      </c>
      <c r="H1838" s="38" t="s">
        <v>511</v>
      </c>
      <c r="I1838" s="79" t="s">
        <v>1176</v>
      </c>
      <c r="J1838" s="162">
        <v>8.6</v>
      </c>
      <c r="K1838" s="80" t="s">
        <v>1081</v>
      </c>
      <c r="L1838" s="66">
        <f>IF(O1838="","",N1838*O1838*M1838)</f>
        <v>75</v>
      </c>
      <c r="M1838" s="8">
        <v>1</v>
      </c>
      <c r="N1838" s="3">
        <v>1</v>
      </c>
      <c r="O1838" s="15">
        <f>IF(SUM(Q1838:AF1838)&lt;1,"",SUM(Q1838:AF1838)/COUNTIF(Q1838:AF1838,"&gt;0"))</f>
        <v>75</v>
      </c>
      <c r="P1838" s="16"/>
      <c r="Q1838" s="13"/>
      <c r="R1838" s="4"/>
      <c r="S1838" s="4"/>
      <c r="T1838" s="4">
        <v>75</v>
      </c>
      <c r="U1838" s="2"/>
      <c r="V1838" s="2"/>
      <c r="W1838" s="2"/>
      <c r="X1838" s="2"/>
      <c r="Y1838" s="4"/>
      <c r="Z1838" s="2"/>
      <c r="AA1838" s="2"/>
      <c r="AB1838" s="4"/>
      <c r="AC1838" s="4"/>
      <c r="AD1838" s="4"/>
      <c r="AE1838" s="4"/>
      <c r="AF1838" s="14"/>
    </row>
    <row r="1839" spans="1:32" x14ac:dyDescent="0.25">
      <c r="A1839" s="33" t="str">
        <f>CONCATENATE(D1839,".",F1839,"-",G1839,".",H1839,"")</f>
        <v>3.2-3.1</v>
      </c>
      <c r="B1839" s="33" t="s">
        <v>814</v>
      </c>
      <c r="C1839" s="39" t="s">
        <v>336</v>
      </c>
      <c r="D1839" s="33">
        <f>IF(C1839="ID",1,(IF(C1839="PR",2,(IF(C1839="DE",3,(IF(C1839="RS",4,(IF(C1839="RC",5,0)))))))))</f>
        <v>3</v>
      </c>
      <c r="E1839" s="33" t="s">
        <v>259</v>
      </c>
      <c r="F1839" s="33">
        <f>IF(E1839="AM",1,(IF(E1839="BE",2,(IF(E1839="GV",3,(IF(E1839="RA",4,(IF(E1839="RM",5,(IF(E1839="AC",1,(IF(E1839="AT",2,(IF(E1839="DS",3,(IF(E1839="IP",4,(IF(E1839="MA",5,(IF(E1839="PT",6,(IF(E1839="AE",1,(IF(E1839="CM",2,(IF(E1839="DP",3,(IF(E1839="AN",1,(IF(E1839="CO",2,(IF(E1839="IM",3,(IF(E1839="MI",4,(IF(E1839="RP",5,(IF(E1839="SC",6,0)))))))))))))))))))))))))))))))))))))))</f>
        <v>2</v>
      </c>
      <c r="G1839" s="170">
        <v>3</v>
      </c>
      <c r="H1839" s="38" t="s">
        <v>511</v>
      </c>
      <c r="I1839" s="79" t="s">
        <v>1176</v>
      </c>
      <c r="J1839" s="162">
        <v>16.600000000000001</v>
      </c>
      <c r="K1839" s="80" t="s">
        <v>1250</v>
      </c>
      <c r="L1839" s="66">
        <f>IF(O1839="","",N1839*O1839*M1839)</f>
        <v>75</v>
      </c>
      <c r="M1839" s="8">
        <v>1</v>
      </c>
      <c r="N1839" s="3">
        <v>1</v>
      </c>
      <c r="O1839" s="15">
        <f>IF(SUM(Q1839:AF1839)&lt;1,"",SUM(Q1839:AF1839)/COUNTIF(Q1839:AF1839,"&gt;0"))</f>
        <v>75</v>
      </c>
      <c r="P1839" s="16"/>
      <c r="Q1839" s="13"/>
      <c r="R1839" s="4"/>
      <c r="S1839" s="4"/>
      <c r="T1839" s="4">
        <v>75</v>
      </c>
      <c r="U1839" s="2"/>
      <c r="V1839" s="2"/>
      <c r="W1839" s="2"/>
      <c r="X1839" s="2"/>
      <c r="Y1839" s="4"/>
      <c r="Z1839" s="2"/>
      <c r="AA1839" s="2"/>
      <c r="AB1839" s="4"/>
      <c r="AC1839" s="4"/>
      <c r="AD1839" s="4"/>
      <c r="AE1839" s="4"/>
      <c r="AF1839" s="14"/>
    </row>
    <row r="1840" spans="1:32" x14ac:dyDescent="0.25">
      <c r="A1840" s="33" t="str">
        <f>CONCATENATE(D1840,".",F1840,"-",G1840,".",H1840,"")</f>
        <v>3.2-3.1</v>
      </c>
      <c r="B1840" s="33" t="s">
        <v>814</v>
      </c>
      <c r="C1840" s="39" t="s">
        <v>336</v>
      </c>
      <c r="D1840" s="33">
        <f>IF(C1840="ID",1,(IF(C1840="PR",2,(IF(C1840="DE",3,(IF(C1840="RS",4,(IF(C1840="RC",5,0)))))))))</f>
        <v>3</v>
      </c>
      <c r="E1840" s="33" t="s">
        <v>259</v>
      </c>
      <c r="F1840" s="33">
        <f>IF(E1840="AM",1,(IF(E1840="BE",2,(IF(E1840="GV",3,(IF(E1840="RA",4,(IF(E1840="RM",5,(IF(E1840="AC",1,(IF(E1840="AT",2,(IF(E1840="DS",3,(IF(E1840="IP",4,(IF(E1840="MA",5,(IF(E1840="PT",6,(IF(E1840="AE",1,(IF(E1840="CM",2,(IF(E1840="DP",3,(IF(E1840="AN",1,(IF(E1840="CO",2,(IF(E1840="IM",3,(IF(E1840="MI",4,(IF(E1840="RP",5,(IF(E1840="SC",6,0)))))))))))))))))))))))))))))))))))))))</f>
        <v>2</v>
      </c>
      <c r="G1840" s="170">
        <v>3</v>
      </c>
      <c r="H1840" s="38" t="s">
        <v>511</v>
      </c>
      <c r="I1840" s="79" t="s">
        <v>1176</v>
      </c>
      <c r="J1840" s="162" t="s">
        <v>1178</v>
      </c>
      <c r="K1840" s="80" t="s">
        <v>1144</v>
      </c>
      <c r="L1840" s="66">
        <f>IF(O1840="","",N1840*O1840*M1840)</f>
        <v>75</v>
      </c>
      <c r="M1840" s="8">
        <v>1</v>
      </c>
      <c r="N1840" s="3">
        <v>1</v>
      </c>
      <c r="O1840" s="15">
        <f>IF(SUM(Q1840:AF1840)&lt;1,"",SUM(Q1840:AF1840)/COUNTIF(Q1840:AF1840,"&gt;0"))</f>
        <v>75</v>
      </c>
      <c r="P1840" s="16"/>
      <c r="Q1840" s="13"/>
      <c r="R1840" s="4"/>
      <c r="S1840" s="4"/>
      <c r="T1840" s="4">
        <v>75</v>
      </c>
      <c r="U1840" s="2"/>
      <c r="V1840" s="2"/>
      <c r="W1840" s="2"/>
      <c r="X1840" s="2"/>
      <c r="Y1840" s="4"/>
      <c r="Z1840" s="2"/>
      <c r="AA1840" s="2"/>
      <c r="AB1840" s="4"/>
      <c r="AC1840" s="4"/>
      <c r="AD1840" s="4"/>
      <c r="AE1840" s="4"/>
      <c r="AF1840" s="14"/>
    </row>
    <row r="1841" spans="1:32" x14ac:dyDescent="0.25">
      <c r="A1841" s="33" t="str">
        <f>CONCATENATE(D1841,".",F1841,"-",G1841,".",H1841,"")</f>
        <v>3.2-3.1</v>
      </c>
      <c r="B1841" s="33" t="s">
        <v>814</v>
      </c>
      <c r="C1841" s="39" t="s">
        <v>336</v>
      </c>
      <c r="D1841" s="33">
        <f>IF(C1841="ID",1,(IF(C1841="PR",2,(IF(C1841="DE",3,(IF(C1841="RS",4,(IF(C1841="RC",5,0)))))))))</f>
        <v>3</v>
      </c>
      <c r="E1841" s="33" t="s">
        <v>259</v>
      </c>
      <c r="F1841" s="33">
        <f>IF(E1841="AM",1,(IF(E1841="BE",2,(IF(E1841="GV",3,(IF(E1841="RA",4,(IF(E1841="RM",5,(IF(E1841="AC",1,(IF(E1841="AT",2,(IF(E1841="DS",3,(IF(E1841="IP",4,(IF(E1841="MA",5,(IF(E1841="PT",6,(IF(E1841="AE",1,(IF(E1841="CM",2,(IF(E1841="DP",3,(IF(E1841="AN",1,(IF(E1841="CO",2,(IF(E1841="IM",3,(IF(E1841="MI",4,(IF(E1841="RP",5,(IF(E1841="SC",6,0)))))))))))))))))))))))))))))))))))))))</f>
        <v>2</v>
      </c>
      <c r="G1841" s="170">
        <v>3</v>
      </c>
      <c r="H1841" s="38" t="s">
        <v>511</v>
      </c>
      <c r="I1841" s="3" t="s">
        <v>1449</v>
      </c>
      <c r="J1841" s="157" t="s">
        <v>1522</v>
      </c>
      <c r="K1841" s="34" t="s">
        <v>1523</v>
      </c>
      <c r="L1841" s="5">
        <f>IF(O1841="","",N1841*O1841*M1841)</f>
        <v>99</v>
      </c>
      <c r="M1841" s="8">
        <v>1</v>
      </c>
      <c r="N1841" s="1">
        <v>1</v>
      </c>
      <c r="O1841" s="15">
        <f>IF(SUM(Q1841:AF1841)&lt;1,"",SUM(Q1841:AF1841)/COUNTIF(Q1841:AF1841,"&gt;0"))</f>
        <v>99</v>
      </c>
      <c r="P1841" s="16"/>
      <c r="Q1841" s="13"/>
      <c r="R1841" s="4"/>
      <c r="S1841" s="4"/>
      <c r="T1841" s="4">
        <v>99</v>
      </c>
      <c r="U1841" s="2"/>
      <c r="V1841" s="2"/>
      <c r="W1841" s="2"/>
      <c r="X1841" s="2"/>
      <c r="Y1841" s="4"/>
      <c r="Z1841" s="2"/>
      <c r="AA1841" s="2"/>
      <c r="AB1841" s="4"/>
      <c r="AC1841" s="4"/>
      <c r="AD1841" s="4"/>
      <c r="AE1841" s="4"/>
      <c r="AF1841" s="14"/>
    </row>
    <row r="1842" spans="1:32" x14ac:dyDescent="0.25">
      <c r="A1842" s="33" t="str">
        <f>CONCATENATE(D1842,".",F1842,"-",G1842,".",H1842,"")</f>
        <v>3.2-3.1</v>
      </c>
      <c r="B1842" s="33" t="s">
        <v>814</v>
      </c>
      <c r="C1842" s="39" t="s">
        <v>336</v>
      </c>
      <c r="D1842" s="33">
        <f>IF(C1842="ID",1,(IF(C1842="PR",2,(IF(C1842="DE",3,(IF(C1842="RS",4,(IF(C1842="RC",5,0)))))))))</f>
        <v>3</v>
      </c>
      <c r="E1842" s="33" t="s">
        <v>259</v>
      </c>
      <c r="F1842" s="33">
        <f>IF(E1842="AM",1,(IF(E1842="BE",2,(IF(E1842="GV",3,(IF(E1842="RA",4,(IF(E1842="RM",5,(IF(E1842="AC",1,(IF(E1842="AT",2,(IF(E1842="DS",3,(IF(E1842="IP",4,(IF(E1842="MA",5,(IF(E1842="PT",6,(IF(E1842="AE",1,(IF(E1842="CM",2,(IF(E1842="DP",3,(IF(E1842="AN",1,(IF(E1842="CO",2,(IF(E1842="IM",3,(IF(E1842="MI",4,(IF(E1842="RP",5,(IF(E1842="SC",6,0)))))))))))))))))))))))))))))))))))))))</f>
        <v>2</v>
      </c>
      <c r="G1842" s="170">
        <v>3</v>
      </c>
      <c r="H1842" s="38" t="s">
        <v>511</v>
      </c>
      <c r="I1842" s="3" t="s">
        <v>1449</v>
      </c>
      <c r="J1842" s="157" t="s">
        <v>1652</v>
      </c>
      <c r="K1842" s="34" t="s">
        <v>1653</v>
      </c>
      <c r="L1842" s="5">
        <f>IF(O1842="","",N1842*O1842*M1842)</f>
        <v>99</v>
      </c>
      <c r="M1842" s="8">
        <v>1</v>
      </c>
      <c r="N1842" s="1">
        <v>1</v>
      </c>
      <c r="O1842" s="15">
        <f>IF(SUM(Q1842:AF1842)&lt;1,"",SUM(Q1842:AF1842)/COUNTIF(Q1842:AF1842,"&gt;0"))</f>
        <v>99</v>
      </c>
      <c r="P1842" s="16"/>
      <c r="Q1842" s="13"/>
      <c r="R1842" s="4"/>
      <c r="S1842" s="4"/>
      <c r="T1842" s="4">
        <v>99</v>
      </c>
      <c r="U1842" s="2"/>
      <c r="V1842" s="2"/>
      <c r="W1842" s="2"/>
      <c r="X1842" s="2"/>
      <c r="Y1842" s="4"/>
      <c r="Z1842" s="2"/>
      <c r="AA1842" s="2"/>
      <c r="AB1842" s="4"/>
      <c r="AC1842" s="4"/>
      <c r="AD1842" s="4"/>
      <c r="AE1842" s="4"/>
      <c r="AF1842" s="14"/>
    </row>
    <row r="1843" spans="1:32" x14ac:dyDescent="0.25">
      <c r="A1843" s="33" t="str">
        <f>CONCATENATE(D1843,".",F1843,"-",G1843,".",H1843,"")</f>
        <v>3.2-3.1</v>
      </c>
      <c r="B1843" s="33" t="s">
        <v>814</v>
      </c>
      <c r="C1843" s="39" t="s">
        <v>336</v>
      </c>
      <c r="D1843" s="33">
        <f>IF(C1843="ID",1,(IF(C1843="PR",2,(IF(C1843="DE",3,(IF(C1843="RS",4,(IF(C1843="RC",5,0)))))))))</f>
        <v>3</v>
      </c>
      <c r="E1843" s="33" t="s">
        <v>259</v>
      </c>
      <c r="F1843" s="33">
        <f>IF(E1843="AM",1,(IF(E1843="BE",2,(IF(E1843="GV",3,(IF(E1843="RA",4,(IF(E1843="RM",5,(IF(E1843="AC",1,(IF(E1843="AT",2,(IF(E1843="DS",3,(IF(E1843="IP",4,(IF(E1843="MA",5,(IF(E1843="PT",6,(IF(E1843="AE",1,(IF(E1843="CM",2,(IF(E1843="DP",3,(IF(E1843="AN",1,(IF(E1843="CO",2,(IF(E1843="IM",3,(IF(E1843="MI",4,(IF(E1843="RP",5,(IF(E1843="SC",6,0)))))))))))))))))))))))))))))))))))))))</f>
        <v>2</v>
      </c>
      <c r="G1843" s="170">
        <v>3</v>
      </c>
      <c r="H1843" s="38" t="s">
        <v>511</v>
      </c>
      <c r="I1843" s="3" t="s">
        <v>1449</v>
      </c>
      <c r="J1843" s="157" t="s">
        <v>1660</v>
      </c>
      <c r="K1843" s="34" t="s">
        <v>1661</v>
      </c>
      <c r="L1843" s="5">
        <f>IF(O1843="","",N1843*O1843*M1843)</f>
        <v>99</v>
      </c>
      <c r="M1843" s="8">
        <v>1</v>
      </c>
      <c r="N1843" s="1">
        <v>1</v>
      </c>
      <c r="O1843" s="15">
        <f>IF(SUM(Q1843:AF1843)&lt;1,"",SUM(Q1843:AF1843)/COUNTIF(Q1843:AF1843,"&gt;0"))</f>
        <v>99</v>
      </c>
      <c r="P1843" s="16"/>
      <c r="Q1843" s="13"/>
      <c r="R1843" s="4"/>
      <c r="S1843" s="4"/>
      <c r="T1843" s="4">
        <v>99</v>
      </c>
      <c r="U1843" s="2"/>
      <c r="V1843" s="2"/>
      <c r="W1843" s="2"/>
      <c r="X1843" s="2"/>
      <c r="Y1843" s="4"/>
      <c r="Z1843" s="2"/>
      <c r="AA1843" s="2"/>
      <c r="AB1843" s="4"/>
      <c r="AC1843" s="4"/>
      <c r="AD1843" s="4"/>
      <c r="AE1843" s="4"/>
      <c r="AF1843" s="14"/>
    </row>
    <row r="1844" spans="1:32" x14ac:dyDescent="0.25">
      <c r="A1844" s="33" t="str">
        <f>CONCATENATE(D1844,".",F1844,"-",G1844,".",H1844,"")</f>
        <v>3.2-3.1</v>
      </c>
      <c r="B1844" s="33" t="s">
        <v>814</v>
      </c>
      <c r="C1844" s="39" t="s">
        <v>336</v>
      </c>
      <c r="D1844" s="33">
        <f>IF(C1844="ID",1,(IF(C1844="PR",2,(IF(C1844="DE",3,(IF(C1844="RS",4,(IF(C1844="RC",5,0)))))))))</f>
        <v>3</v>
      </c>
      <c r="E1844" s="33" t="s">
        <v>259</v>
      </c>
      <c r="F1844" s="33">
        <f>IF(E1844="AM",1,(IF(E1844="BE",2,(IF(E1844="GV",3,(IF(E1844="RA",4,(IF(E1844="RM",5,(IF(E1844="AC",1,(IF(E1844="AT",2,(IF(E1844="DS",3,(IF(E1844="IP",4,(IF(E1844="MA",5,(IF(E1844="PT",6,(IF(E1844="AE",1,(IF(E1844="CM",2,(IF(E1844="DP",3,(IF(E1844="AN",1,(IF(E1844="CO",2,(IF(E1844="IM",3,(IF(E1844="MI",4,(IF(E1844="RP",5,(IF(E1844="SC",6,0)))))))))))))))))))))))))))))))))))))))</f>
        <v>2</v>
      </c>
      <c r="G1844" s="170">
        <v>3</v>
      </c>
      <c r="H1844" s="38" t="s">
        <v>511</v>
      </c>
      <c r="I1844" s="3" t="s">
        <v>1449</v>
      </c>
      <c r="J1844" s="157" t="s">
        <v>1668</v>
      </c>
      <c r="K1844" s="34" t="s">
        <v>1669</v>
      </c>
      <c r="L1844" s="5">
        <f>IF(O1844="","",N1844*O1844*M1844)</f>
        <v>99</v>
      </c>
      <c r="M1844" s="8">
        <v>1</v>
      </c>
      <c r="N1844" s="1">
        <v>1</v>
      </c>
      <c r="O1844" s="15">
        <f>IF(SUM(Q1844:AF1844)&lt;1,"",SUM(Q1844:AF1844)/COUNTIF(Q1844:AF1844,"&gt;0"))</f>
        <v>99</v>
      </c>
      <c r="P1844" s="16"/>
      <c r="Q1844" s="13"/>
      <c r="R1844" s="4"/>
      <c r="S1844" s="4"/>
      <c r="T1844" s="4">
        <v>99</v>
      </c>
      <c r="U1844" s="2"/>
      <c r="V1844" s="2"/>
      <c r="W1844" s="2"/>
      <c r="X1844" s="2"/>
      <c r="Y1844" s="4"/>
      <c r="Z1844" s="2"/>
      <c r="AA1844" s="2"/>
      <c r="AB1844" s="4"/>
      <c r="AC1844" s="4"/>
      <c r="AD1844" s="4"/>
      <c r="AE1844" s="4"/>
      <c r="AF1844" s="14"/>
    </row>
    <row r="1845" spans="1:32" x14ac:dyDescent="0.25">
      <c r="A1845" s="33" t="str">
        <f>CONCATENATE(D1845,".",F1845,"-",G1845,".",H1845,"")</f>
        <v>3.2-3.1</v>
      </c>
      <c r="B1845" s="33" t="s">
        <v>814</v>
      </c>
      <c r="C1845" s="39" t="s">
        <v>336</v>
      </c>
      <c r="D1845" s="33">
        <f>IF(C1845="ID",1,(IF(C1845="PR",2,(IF(C1845="DE",3,(IF(C1845="RS",4,(IF(C1845="RC",5,0)))))))))</f>
        <v>3</v>
      </c>
      <c r="E1845" s="33" t="s">
        <v>259</v>
      </c>
      <c r="F1845" s="33">
        <f>IF(E1845="AM",1,(IF(E1845="BE",2,(IF(E1845="GV",3,(IF(E1845="RA",4,(IF(E1845="RM",5,(IF(E1845="AC",1,(IF(E1845="AT",2,(IF(E1845="DS",3,(IF(E1845="IP",4,(IF(E1845="MA",5,(IF(E1845="PT",6,(IF(E1845="AE",1,(IF(E1845="CM",2,(IF(E1845="DP",3,(IF(E1845="AN",1,(IF(E1845="CO",2,(IF(E1845="IM",3,(IF(E1845="MI",4,(IF(E1845="RP",5,(IF(E1845="SC",6,0)))))))))))))))))))))))))))))))))))))))</f>
        <v>2</v>
      </c>
      <c r="G1845" s="170">
        <v>3</v>
      </c>
      <c r="H1845" s="38" t="s">
        <v>511</v>
      </c>
      <c r="I1845" s="3" t="s">
        <v>1449</v>
      </c>
      <c r="J1845" s="157" t="s">
        <v>1697</v>
      </c>
      <c r="K1845" s="34" t="s">
        <v>1698</v>
      </c>
      <c r="L1845" s="5">
        <f>IF(O1845="","",N1845*O1845*M1845)</f>
        <v>99</v>
      </c>
      <c r="M1845" s="8">
        <v>1</v>
      </c>
      <c r="N1845" s="1">
        <v>1</v>
      </c>
      <c r="O1845" s="15">
        <f>IF(SUM(Q1845:AF1845)&lt;1,"",SUM(Q1845:AF1845)/COUNTIF(Q1845:AF1845,"&gt;0"))</f>
        <v>99</v>
      </c>
      <c r="P1845" s="16"/>
      <c r="Q1845" s="13"/>
      <c r="R1845" s="4"/>
      <c r="S1845" s="4"/>
      <c r="T1845" s="4">
        <v>99</v>
      </c>
      <c r="U1845" s="2"/>
      <c r="V1845" s="2"/>
      <c r="W1845" s="2"/>
      <c r="X1845" s="2"/>
      <c r="Y1845" s="4"/>
      <c r="Z1845" s="2"/>
      <c r="AA1845" s="2"/>
      <c r="AB1845" s="4"/>
      <c r="AC1845" s="4"/>
      <c r="AD1845" s="4"/>
      <c r="AE1845" s="4"/>
      <c r="AF1845" s="14"/>
    </row>
    <row r="1846" spans="1:32" x14ac:dyDescent="0.25">
      <c r="A1846" s="33" t="str">
        <f>CONCATENATE(D1846,".",F1846,"-",G1846,".",H1846,"")</f>
        <v>3.2-3.1</v>
      </c>
      <c r="C1846" s="39" t="s">
        <v>336</v>
      </c>
      <c r="D1846" s="33">
        <f>IF(C1846="ID",1,(IF(C1846="PR",2,(IF(C1846="DE",3,(IF(C1846="RS",4,(IF(C1846="RC",5,0)))))))))</f>
        <v>3</v>
      </c>
      <c r="E1846" s="33" t="s">
        <v>259</v>
      </c>
      <c r="F1846" s="33">
        <f>IF(E1846="AM",1,(IF(E1846="BE",2,(IF(E1846="GV",3,(IF(E1846="RA",4,(IF(E1846="RM",5,(IF(E1846="AC",1,(IF(E1846="AT",2,(IF(E1846="DS",3,(IF(E1846="IP",4,(IF(E1846="MA",5,(IF(E1846="PT",6,(IF(E1846="AE",1,(IF(E1846="CM",2,(IF(E1846="DP",3,(IF(E1846="AN",1,(IF(E1846="CO",2,(IF(E1846="IM",3,(IF(E1846="MI",4,(IF(E1846="RP",5,(IF(E1846="SC",6,0)))))))))))))))))))))))))))))))))))))))</f>
        <v>2</v>
      </c>
      <c r="G1846" s="170">
        <v>3</v>
      </c>
      <c r="H1846" s="38" t="s">
        <v>511</v>
      </c>
      <c r="I1846" s="3" t="s">
        <v>1449</v>
      </c>
      <c r="J1846" s="157" t="s">
        <v>1871</v>
      </c>
      <c r="K1846" s="34" t="s">
        <v>1872</v>
      </c>
      <c r="L1846" s="5">
        <f>IF(O1846="","",N1846*O1846*M1846)</f>
        <v>99</v>
      </c>
      <c r="M1846" s="8">
        <v>1</v>
      </c>
      <c r="N1846" s="1">
        <v>1</v>
      </c>
      <c r="O1846" s="15">
        <f>IF(SUM(Q1846:AF1846)&lt;1,"",SUM(Q1846:AF1846)/COUNTIF(Q1846:AF1846,"&gt;0"))</f>
        <v>99</v>
      </c>
      <c r="P1846" s="16"/>
      <c r="Q1846" s="13"/>
      <c r="R1846" s="4"/>
      <c r="S1846" s="4"/>
      <c r="T1846" s="4">
        <v>99</v>
      </c>
      <c r="U1846" s="2"/>
      <c r="V1846" s="2"/>
      <c r="W1846" s="2"/>
      <c r="X1846" s="2"/>
      <c r="Y1846" s="4"/>
      <c r="Z1846" s="2"/>
      <c r="AA1846" s="2"/>
      <c r="AB1846" s="4"/>
      <c r="AC1846" s="4"/>
      <c r="AD1846" s="4"/>
      <c r="AE1846" s="4"/>
      <c r="AF1846" s="14"/>
    </row>
    <row r="1847" spans="1:32" x14ac:dyDescent="0.25">
      <c r="A1847" s="33" t="str">
        <f>CONCATENATE(D1847,".",F1847,"-",G1847,".",H1847,"")</f>
        <v>3.2-3.1</v>
      </c>
      <c r="C1847" s="39" t="s">
        <v>336</v>
      </c>
      <c r="D1847" s="33">
        <f>IF(C1847="ID",1,(IF(C1847="PR",2,(IF(C1847="DE",3,(IF(C1847="RS",4,(IF(C1847="RC",5,0)))))))))</f>
        <v>3</v>
      </c>
      <c r="E1847" s="33" t="s">
        <v>259</v>
      </c>
      <c r="F1847" s="33">
        <f>IF(E1847="AM",1,(IF(E1847="BE",2,(IF(E1847="GV",3,(IF(E1847="RA",4,(IF(E1847="RM",5,(IF(E1847="AC",1,(IF(E1847="AT",2,(IF(E1847="DS",3,(IF(E1847="IP",4,(IF(E1847="MA",5,(IF(E1847="PT",6,(IF(E1847="AE",1,(IF(E1847="CM",2,(IF(E1847="DP",3,(IF(E1847="AN",1,(IF(E1847="CO",2,(IF(E1847="IM",3,(IF(E1847="MI",4,(IF(E1847="RP",5,(IF(E1847="SC",6,0)))))))))))))))))))))))))))))))))))))))</f>
        <v>2</v>
      </c>
      <c r="G1847" s="170">
        <v>3</v>
      </c>
      <c r="H1847" s="38" t="s">
        <v>511</v>
      </c>
      <c r="I1847" s="3" t="s">
        <v>1449</v>
      </c>
      <c r="J1847" s="157" t="s">
        <v>1873</v>
      </c>
      <c r="K1847" s="34" t="s">
        <v>1874</v>
      </c>
      <c r="L1847" s="5">
        <f>IF(O1847="","",N1847*O1847*M1847)</f>
        <v>99</v>
      </c>
      <c r="M1847" s="8">
        <v>1</v>
      </c>
      <c r="N1847" s="1">
        <v>1</v>
      </c>
      <c r="O1847" s="15">
        <f>IF(SUM(Q1847:AF1847)&lt;1,"",SUM(Q1847:AF1847)/COUNTIF(Q1847:AF1847,"&gt;0"))</f>
        <v>99</v>
      </c>
      <c r="P1847" s="16"/>
      <c r="Q1847" s="13"/>
      <c r="R1847" s="4"/>
      <c r="S1847" s="4"/>
      <c r="T1847" s="4">
        <v>99</v>
      </c>
      <c r="U1847" s="2"/>
      <c r="V1847" s="2"/>
      <c r="W1847" s="2"/>
      <c r="X1847" s="2"/>
      <c r="Y1847" s="4"/>
      <c r="Z1847" s="2"/>
      <c r="AA1847" s="2"/>
      <c r="AB1847" s="4"/>
      <c r="AC1847" s="4"/>
      <c r="AD1847" s="4"/>
      <c r="AE1847" s="4"/>
      <c r="AF1847" s="14"/>
    </row>
    <row r="1848" spans="1:32" x14ac:dyDescent="0.25">
      <c r="A1848" s="33" t="str">
        <f>CONCATENATE(D1848,".",F1848,"-",G1848,".",H1848,"")</f>
        <v>3.2-3.1</v>
      </c>
      <c r="C1848" s="39" t="s">
        <v>336</v>
      </c>
      <c r="D1848" s="33">
        <f>IF(C1848="ID",1,(IF(C1848="PR",2,(IF(C1848="DE",3,(IF(C1848="RS",4,(IF(C1848="RC",5,0)))))))))</f>
        <v>3</v>
      </c>
      <c r="E1848" s="33" t="s">
        <v>259</v>
      </c>
      <c r="F1848" s="33">
        <f>IF(E1848="AM",1,(IF(E1848="BE",2,(IF(E1848="GV",3,(IF(E1848="RA",4,(IF(E1848="RM",5,(IF(E1848="AC",1,(IF(E1848="AT",2,(IF(E1848="DS",3,(IF(E1848="IP",4,(IF(E1848="MA",5,(IF(E1848="PT",6,(IF(E1848="AE",1,(IF(E1848="CM",2,(IF(E1848="DP",3,(IF(E1848="AN",1,(IF(E1848="CO",2,(IF(E1848="IM",3,(IF(E1848="MI",4,(IF(E1848="RP",5,(IF(E1848="SC",6,0)))))))))))))))))))))))))))))))))))))))</f>
        <v>2</v>
      </c>
      <c r="G1848" s="170">
        <v>3</v>
      </c>
      <c r="H1848" s="38" t="s">
        <v>511</v>
      </c>
      <c r="I1848" s="3" t="s">
        <v>1449</v>
      </c>
      <c r="J1848" s="157" t="s">
        <v>1875</v>
      </c>
      <c r="K1848" s="34" t="s">
        <v>1876</v>
      </c>
      <c r="L1848" s="5">
        <f>IF(O1848="","",N1848*O1848*M1848)</f>
        <v>99</v>
      </c>
      <c r="M1848" s="8">
        <v>1</v>
      </c>
      <c r="N1848" s="1">
        <v>1</v>
      </c>
      <c r="O1848" s="15">
        <f>IF(SUM(Q1848:AF1848)&lt;1,"",SUM(Q1848:AF1848)/COUNTIF(Q1848:AF1848,"&gt;0"))</f>
        <v>99</v>
      </c>
      <c r="P1848" s="16"/>
      <c r="Q1848" s="13"/>
      <c r="R1848" s="4"/>
      <c r="S1848" s="4"/>
      <c r="T1848" s="4">
        <v>99</v>
      </c>
      <c r="U1848" s="2"/>
      <c r="V1848" s="2"/>
      <c r="W1848" s="2"/>
      <c r="X1848" s="2"/>
      <c r="Y1848" s="4"/>
      <c r="Z1848" s="2"/>
      <c r="AA1848" s="2"/>
      <c r="AB1848" s="4"/>
      <c r="AC1848" s="4"/>
      <c r="AD1848" s="4"/>
      <c r="AE1848" s="4"/>
      <c r="AF1848" s="14"/>
    </row>
    <row r="1849" spans="1:32" x14ac:dyDescent="0.25">
      <c r="A1849" s="33" t="str">
        <f>CONCATENATE(D1849,".",F1849,"-",G1849,".",H1849,"")</f>
        <v>3.2-3.1</v>
      </c>
      <c r="C1849" s="39" t="s">
        <v>336</v>
      </c>
      <c r="D1849" s="33">
        <f>IF(C1849="ID",1,(IF(C1849="PR",2,(IF(C1849="DE",3,(IF(C1849="RS",4,(IF(C1849="RC",5,0)))))))))</f>
        <v>3</v>
      </c>
      <c r="E1849" s="33" t="s">
        <v>259</v>
      </c>
      <c r="F1849" s="33">
        <f>IF(E1849="AM",1,(IF(E1849="BE",2,(IF(E1849="GV",3,(IF(E1849="RA",4,(IF(E1849="RM",5,(IF(E1849="AC",1,(IF(E1849="AT",2,(IF(E1849="DS",3,(IF(E1849="IP",4,(IF(E1849="MA",5,(IF(E1849="PT",6,(IF(E1849="AE",1,(IF(E1849="CM",2,(IF(E1849="DP",3,(IF(E1849="AN",1,(IF(E1849="CO",2,(IF(E1849="IM",3,(IF(E1849="MI",4,(IF(E1849="RP",5,(IF(E1849="SC",6,0)))))))))))))))))))))))))))))))))))))))</f>
        <v>2</v>
      </c>
      <c r="G1849" s="170">
        <v>3</v>
      </c>
      <c r="H1849" s="38" t="s">
        <v>511</v>
      </c>
      <c r="I1849" s="3" t="s">
        <v>1449</v>
      </c>
      <c r="J1849" s="157" t="s">
        <v>1877</v>
      </c>
      <c r="K1849" s="34" t="s">
        <v>1878</v>
      </c>
      <c r="L1849" s="5">
        <f>IF(O1849="","",N1849*O1849*M1849)</f>
        <v>99</v>
      </c>
      <c r="M1849" s="8">
        <v>1</v>
      </c>
      <c r="N1849" s="1">
        <v>1</v>
      </c>
      <c r="O1849" s="15">
        <f>IF(SUM(Q1849:AF1849)&lt;1,"",SUM(Q1849:AF1849)/COUNTIF(Q1849:AF1849,"&gt;0"))</f>
        <v>99</v>
      </c>
      <c r="P1849" s="16"/>
      <c r="Q1849" s="13"/>
      <c r="R1849" s="4"/>
      <c r="S1849" s="4"/>
      <c r="T1849" s="4">
        <v>99</v>
      </c>
      <c r="U1849" s="2"/>
      <c r="V1849" s="2"/>
      <c r="W1849" s="2"/>
      <c r="X1849" s="2"/>
      <c r="Y1849" s="4"/>
      <c r="Z1849" s="2"/>
      <c r="AA1849" s="2"/>
      <c r="AB1849" s="4"/>
      <c r="AC1849" s="4"/>
      <c r="AD1849" s="4"/>
      <c r="AE1849" s="4"/>
      <c r="AF1849" s="14"/>
    </row>
    <row r="1850" spans="1:32" x14ac:dyDescent="0.25">
      <c r="A1850" s="33" t="str">
        <f>CONCATENATE(D1850,".",F1850,"-",G1850,".",H1850,"")</f>
        <v>3.2-3.1</v>
      </c>
      <c r="C1850" s="39" t="s">
        <v>336</v>
      </c>
      <c r="D1850" s="33">
        <f>IF(C1850="ID",1,(IF(C1850="PR",2,(IF(C1850="DE",3,(IF(C1850="RS",4,(IF(C1850="RC",5,0)))))))))</f>
        <v>3</v>
      </c>
      <c r="E1850" s="33" t="s">
        <v>259</v>
      </c>
      <c r="F1850" s="33">
        <f>IF(E1850="AM",1,(IF(E1850="BE",2,(IF(E1850="GV",3,(IF(E1850="RA",4,(IF(E1850="RM",5,(IF(E1850="AC",1,(IF(E1850="AT",2,(IF(E1850="DS",3,(IF(E1850="IP",4,(IF(E1850="MA",5,(IF(E1850="PT",6,(IF(E1850="AE",1,(IF(E1850="CM",2,(IF(E1850="DP",3,(IF(E1850="AN",1,(IF(E1850="CO",2,(IF(E1850="IM",3,(IF(E1850="MI",4,(IF(E1850="RP",5,(IF(E1850="SC",6,0)))))))))))))))))))))))))))))))))))))))</f>
        <v>2</v>
      </c>
      <c r="G1850" s="170">
        <v>3</v>
      </c>
      <c r="H1850" s="38" t="s">
        <v>511</v>
      </c>
      <c r="I1850" s="3" t="s">
        <v>1449</v>
      </c>
      <c r="J1850" s="157" t="s">
        <v>1879</v>
      </c>
      <c r="K1850" s="34" t="s">
        <v>1880</v>
      </c>
      <c r="L1850" s="5">
        <f>IF(O1850="","",N1850*O1850*M1850)</f>
        <v>99</v>
      </c>
      <c r="M1850" s="8">
        <v>1</v>
      </c>
      <c r="N1850" s="1">
        <v>1</v>
      </c>
      <c r="O1850" s="15">
        <f>IF(SUM(Q1850:AF1850)&lt;1,"",SUM(Q1850:AF1850)/COUNTIF(Q1850:AF1850,"&gt;0"))</f>
        <v>99</v>
      </c>
      <c r="P1850" s="16"/>
      <c r="Q1850" s="13"/>
      <c r="R1850" s="4"/>
      <c r="S1850" s="4"/>
      <c r="T1850" s="4">
        <v>99</v>
      </c>
      <c r="U1850" s="2"/>
      <c r="V1850" s="2"/>
      <c r="W1850" s="2"/>
      <c r="X1850" s="2"/>
      <c r="Y1850" s="4"/>
      <c r="Z1850" s="2"/>
      <c r="AA1850" s="2"/>
      <c r="AB1850" s="4"/>
      <c r="AC1850" s="4"/>
      <c r="AD1850" s="4"/>
      <c r="AE1850" s="4"/>
      <c r="AF1850" s="14"/>
    </row>
    <row r="1851" spans="1:32" x14ac:dyDescent="0.25">
      <c r="A1851" s="33" t="str">
        <f>CONCATENATE(D1851,".",F1851,"-",G1851,".",H1851,"")</f>
        <v>3.2-4.0</v>
      </c>
      <c r="B1851" s="33" t="s">
        <v>814</v>
      </c>
      <c r="C1851" s="40" t="s">
        <v>336</v>
      </c>
      <c r="D1851" s="33">
        <f>IF(C1851="ID",1,(IF(C1851="PR",2,(IF(C1851="DE",3,(IF(C1851="RS",4,(IF(C1851="RC",5,0)))))))))</f>
        <v>3</v>
      </c>
      <c r="E1851" s="33" t="s">
        <v>259</v>
      </c>
      <c r="F1851" s="33">
        <f>IF(E1851="AM",1,(IF(E1851="BE",2,(IF(E1851="GV",3,(IF(E1851="RA",4,(IF(E1851="RM",5,(IF(E1851="AC",1,(IF(E1851="AT",2,(IF(E1851="DS",3,(IF(E1851="IP",4,(IF(E1851="MA",5,(IF(E1851="PT",6,(IF(E1851="AE",1,(IF(E1851="CM",2,(IF(E1851="DP",3,(IF(E1851="AN",1,(IF(E1851="CO",2,(IF(E1851="IM",3,(IF(E1851="MI",4,(IF(E1851="RP",5,(IF(E1851="SC",6,0)))))))))))))))))))))))))))))))))))))))</f>
        <v>2</v>
      </c>
      <c r="G1851" s="170">
        <v>4</v>
      </c>
      <c r="H1851" s="38" t="s">
        <v>597</v>
      </c>
      <c r="I1851" s="22" t="s">
        <v>1200</v>
      </c>
      <c r="J1851" s="149" t="s">
        <v>632</v>
      </c>
      <c r="K1851" s="99" t="s">
        <v>409</v>
      </c>
      <c r="L1851" s="66">
        <f>IF(O1851="","",N1851*O1851*M1851)</f>
        <v>75</v>
      </c>
      <c r="M1851" s="8">
        <v>1</v>
      </c>
      <c r="N1851" s="1">
        <v>1</v>
      </c>
      <c r="O1851" s="15">
        <f>IF(SUM(Q1851:AF1851)&lt;1,"",SUM(Q1851:AF1851)/COUNTIF(Q1851:AF1851,"&gt;0"))</f>
        <v>75</v>
      </c>
      <c r="P1851" s="16"/>
      <c r="Q1851" s="13"/>
      <c r="R1851" s="4"/>
      <c r="S1851" s="4"/>
      <c r="T1851" s="4">
        <v>75</v>
      </c>
      <c r="U1851" s="2"/>
      <c r="V1851" s="2"/>
      <c r="W1851" s="2"/>
      <c r="X1851" s="2"/>
      <c r="Y1851" s="4"/>
      <c r="Z1851" s="2"/>
      <c r="AA1851" s="2"/>
      <c r="AB1851" s="4"/>
      <c r="AC1851" s="4"/>
      <c r="AD1851" s="4"/>
      <c r="AE1851" s="4"/>
      <c r="AF1851" s="14"/>
    </row>
    <row r="1852" spans="1:32" x14ac:dyDescent="0.25">
      <c r="A1852" s="33" t="str">
        <f>CONCATENATE(D1852,".",F1852,"-",G1852,".",H1852,"")</f>
        <v>3.2-4.1</v>
      </c>
      <c r="B1852" s="33" t="s">
        <v>814</v>
      </c>
      <c r="C1852" s="39" t="s">
        <v>336</v>
      </c>
      <c r="D1852" s="33">
        <f>IF(C1852="ID",1,(IF(C1852="PR",2,(IF(C1852="DE",3,(IF(C1852="RS",4,(IF(C1852="RC",5,0)))))))))</f>
        <v>3</v>
      </c>
      <c r="E1852" s="33" t="s">
        <v>259</v>
      </c>
      <c r="F1852" s="33">
        <f>IF(E1852="AM",1,(IF(E1852="BE",2,(IF(E1852="GV",3,(IF(E1852="RA",4,(IF(E1852="RM",5,(IF(E1852="AC",1,(IF(E1852="AT",2,(IF(E1852="DS",3,(IF(E1852="IP",4,(IF(E1852="MA",5,(IF(E1852="PT",6,(IF(E1852="AE",1,(IF(E1852="CM",2,(IF(E1852="DP",3,(IF(E1852="AN",1,(IF(E1852="CO",2,(IF(E1852="IM",3,(IF(E1852="MI",4,(IF(E1852="RP",5,(IF(E1852="SC",6,0)))))))))))))))))))))))))))))))))))))))</f>
        <v>2</v>
      </c>
      <c r="G1852" s="170">
        <v>4</v>
      </c>
      <c r="H1852" s="38" t="s">
        <v>511</v>
      </c>
      <c r="I1852" s="3" t="s">
        <v>821</v>
      </c>
      <c r="J1852" s="150">
        <v>5</v>
      </c>
      <c r="K1852" s="79" t="s">
        <v>1283</v>
      </c>
      <c r="L1852" s="66">
        <f>IF(O1852="","",N1852*O1852*M1852)</f>
        <v>75</v>
      </c>
      <c r="M1852" s="8">
        <v>1</v>
      </c>
      <c r="N1852" s="3">
        <v>1</v>
      </c>
      <c r="O1852" s="15">
        <f>IF(SUM(Q1852:AF1852)&lt;1,"",SUM(Q1852:AF1852)/COUNTIF(Q1852:AF1852,"&gt;0"))</f>
        <v>75</v>
      </c>
      <c r="P1852" s="16"/>
      <c r="Q1852" s="13"/>
      <c r="R1852" s="4"/>
      <c r="S1852" s="4"/>
      <c r="T1852" s="4">
        <v>75</v>
      </c>
      <c r="U1852" s="2"/>
      <c r="V1852" s="2"/>
      <c r="W1852" s="2"/>
      <c r="X1852" s="2"/>
      <c r="Y1852" s="4"/>
      <c r="Z1852" s="2"/>
      <c r="AA1852" s="2"/>
      <c r="AB1852" s="4"/>
      <c r="AC1852" s="4"/>
      <c r="AD1852" s="4"/>
      <c r="AE1852" s="4"/>
      <c r="AF1852" s="14"/>
    </row>
    <row r="1853" spans="1:32" x14ac:dyDescent="0.25">
      <c r="A1853" s="33" t="str">
        <f>CONCATENATE(D1853,".",F1853,"-",G1853,".",H1853,"")</f>
        <v>3.2-4.1</v>
      </c>
      <c r="B1853" s="33" t="s">
        <v>814</v>
      </c>
      <c r="C1853" s="40" t="s">
        <v>336</v>
      </c>
      <c r="D1853" s="33">
        <f>IF(C1853="ID",1,(IF(C1853="PR",2,(IF(C1853="DE",3,(IF(C1853="RS",4,(IF(C1853="RC",5,0)))))))))</f>
        <v>3</v>
      </c>
      <c r="E1853" s="33" t="s">
        <v>259</v>
      </c>
      <c r="F1853" s="33">
        <f>IF(E1853="AM",1,(IF(E1853="BE",2,(IF(E1853="GV",3,(IF(E1853="RA",4,(IF(E1853="RM",5,(IF(E1853="AC",1,(IF(E1853="AT",2,(IF(E1853="DS",3,(IF(E1853="IP",4,(IF(E1853="MA",5,(IF(E1853="PT",6,(IF(E1853="AE",1,(IF(E1853="CM",2,(IF(E1853="DP",3,(IF(E1853="AN",1,(IF(E1853="CO",2,(IF(E1853="IM",3,(IF(E1853="MI",4,(IF(E1853="RP",5,(IF(E1853="SC",6,0)))))))))))))))))))))))))))))))))))))))</f>
        <v>2</v>
      </c>
      <c r="G1853" s="171">
        <v>4</v>
      </c>
      <c r="H1853" s="38" t="s">
        <v>511</v>
      </c>
      <c r="I1853" s="3" t="s">
        <v>821</v>
      </c>
      <c r="J1853" s="150">
        <v>5.0999999999999996</v>
      </c>
      <c r="K1853" s="79" t="s">
        <v>1283</v>
      </c>
      <c r="L1853" s="66">
        <f>IF(O1853="","",N1853*O1853*M1853)</f>
        <v>75</v>
      </c>
      <c r="M1853" s="8">
        <v>1</v>
      </c>
      <c r="N1853" s="3">
        <v>1</v>
      </c>
      <c r="O1853" s="15">
        <f>IF(SUM(Q1853:AF1853)&lt;1,"",SUM(Q1853:AF1853)/COUNTIF(Q1853:AF1853,"&gt;0"))</f>
        <v>75</v>
      </c>
      <c r="P1853" s="16"/>
      <c r="Q1853" s="13"/>
      <c r="R1853" s="4"/>
      <c r="S1853" s="4"/>
      <c r="T1853" s="4">
        <v>75</v>
      </c>
      <c r="U1853" s="2"/>
      <c r="V1853" s="2"/>
      <c r="W1853" s="2"/>
      <c r="X1853" s="2"/>
      <c r="Y1853" s="4"/>
      <c r="Z1853" s="2"/>
      <c r="AA1853" s="2"/>
      <c r="AB1853" s="4"/>
      <c r="AC1853" s="4"/>
      <c r="AD1853" s="4"/>
      <c r="AE1853" s="4"/>
      <c r="AF1853" s="14"/>
    </row>
    <row r="1854" spans="1:32" x14ac:dyDescent="0.25">
      <c r="A1854" s="33" t="str">
        <f>CONCATENATE(D1854,".",F1854,"-",G1854,".",H1854,"")</f>
        <v>3.2-4.1</v>
      </c>
      <c r="B1854" s="33" t="s">
        <v>814</v>
      </c>
      <c r="C1854" s="40" t="s">
        <v>336</v>
      </c>
      <c r="D1854" s="33">
        <f>IF(C1854="ID",1,(IF(C1854="PR",2,(IF(C1854="DE",3,(IF(C1854="RS",4,(IF(C1854="RC",5,0)))))))))</f>
        <v>3</v>
      </c>
      <c r="E1854" s="33" t="s">
        <v>259</v>
      </c>
      <c r="F1854" s="33">
        <f>IF(E1854="AM",1,(IF(E1854="BE",2,(IF(E1854="GV",3,(IF(E1854="RA",4,(IF(E1854="RM",5,(IF(E1854="AC",1,(IF(E1854="AT",2,(IF(E1854="DS",3,(IF(E1854="IP",4,(IF(E1854="MA",5,(IF(E1854="PT",6,(IF(E1854="AE",1,(IF(E1854="CM",2,(IF(E1854="DP",3,(IF(E1854="AN",1,(IF(E1854="CO",2,(IF(E1854="IM",3,(IF(E1854="MI",4,(IF(E1854="RP",5,(IF(E1854="SC",6,0)))))))))))))))))))))))))))))))))))))))</f>
        <v>2</v>
      </c>
      <c r="G1854" s="171">
        <v>4</v>
      </c>
      <c r="H1854" s="38" t="s">
        <v>511</v>
      </c>
      <c r="I1854" s="3" t="s">
        <v>821</v>
      </c>
      <c r="J1854" s="149">
        <v>5.2</v>
      </c>
      <c r="K1854" s="79" t="s">
        <v>1283</v>
      </c>
      <c r="L1854" s="66">
        <f>IF(O1854="","",N1854*O1854*M1854)</f>
        <v>75</v>
      </c>
      <c r="M1854" s="8">
        <v>1</v>
      </c>
      <c r="N1854" s="1">
        <v>1</v>
      </c>
      <c r="O1854" s="15">
        <f>IF(SUM(Q1854:AF1854)&lt;1,"",SUM(Q1854:AF1854)/COUNTIF(Q1854:AF1854,"&gt;0"))</f>
        <v>75</v>
      </c>
      <c r="P1854" s="16"/>
      <c r="Q1854" s="13"/>
      <c r="R1854" s="4"/>
      <c r="S1854" s="4"/>
      <c r="T1854" s="4">
        <v>75</v>
      </c>
      <c r="U1854" s="2"/>
      <c r="V1854" s="2"/>
      <c r="W1854" s="2"/>
      <c r="X1854" s="2"/>
      <c r="Y1854" s="4"/>
      <c r="Z1854" s="2"/>
      <c r="AA1854" s="2"/>
      <c r="AB1854" s="4"/>
      <c r="AC1854" s="4"/>
      <c r="AD1854" s="4"/>
      <c r="AE1854" s="4"/>
      <c r="AF1854" s="14"/>
    </row>
    <row r="1855" spans="1:32" x14ac:dyDescent="0.25">
      <c r="A1855" s="33" t="str">
        <f>CONCATENATE(D1855,".",F1855,"-",G1855,".",H1855,"")</f>
        <v>3.2-4.1</v>
      </c>
      <c r="B1855" s="33" t="s">
        <v>814</v>
      </c>
      <c r="C1855" s="40" t="s">
        <v>336</v>
      </c>
      <c r="D1855" s="33">
        <f>IF(C1855="ID",1,(IF(C1855="PR",2,(IF(C1855="DE",3,(IF(C1855="RS",4,(IF(C1855="RC",5,0)))))))))</f>
        <v>3</v>
      </c>
      <c r="E1855" s="33" t="s">
        <v>259</v>
      </c>
      <c r="F1855" s="33">
        <f>IF(E1855="AM",1,(IF(E1855="BE",2,(IF(E1855="GV",3,(IF(E1855="RA",4,(IF(E1855="RM",5,(IF(E1855="AC",1,(IF(E1855="AT",2,(IF(E1855="DS",3,(IF(E1855="IP",4,(IF(E1855="MA",5,(IF(E1855="PT",6,(IF(E1855="AE",1,(IF(E1855="CM",2,(IF(E1855="DP",3,(IF(E1855="AN",1,(IF(E1855="CO",2,(IF(E1855="IM",3,(IF(E1855="MI",4,(IF(E1855="RP",5,(IF(E1855="SC",6,0)))))))))))))))))))))))))))))))))))))))</f>
        <v>2</v>
      </c>
      <c r="G1855" s="171">
        <v>4</v>
      </c>
      <c r="H1855" s="38" t="s">
        <v>511</v>
      </c>
      <c r="I1855" s="22" t="s">
        <v>936</v>
      </c>
      <c r="J1855" s="163" t="s">
        <v>891</v>
      </c>
      <c r="K1855" s="34" t="s">
        <v>975</v>
      </c>
      <c r="L1855" s="66">
        <f>IF(O1855="","",N1855*O1855*M1855)</f>
        <v>75</v>
      </c>
      <c r="M1855" s="8">
        <v>1</v>
      </c>
      <c r="N1855" s="3">
        <v>1</v>
      </c>
      <c r="O1855" s="15">
        <f>IF(SUM(Q1855:AF1855)&lt;1,"",SUM(Q1855:AF1855)/COUNTIF(Q1855:AF1855,"&gt;0"))</f>
        <v>75</v>
      </c>
      <c r="P1855" s="16"/>
      <c r="Q1855" s="13"/>
      <c r="R1855" s="4"/>
      <c r="S1855" s="4"/>
      <c r="T1855" s="4">
        <v>75</v>
      </c>
      <c r="U1855" s="2"/>
      <c r="V1855" s="2"/>
      <c r="W1855" s="2"/>
      <c r="X1855" s="2"/>
      <c r="Y1855" s="4"/>
      <c r="Z1855" s="2"/>
      <c r="AA1855" s="2"/>
      <c r="AB1855" s="4"/>
      <c r="AC1855" s="4"/>
      <c r="AD1855" s="4"/>
      <c r="AE1855" s="4"/>
      <c r="AF1855" s="14"/>
    </row>
    <row r="1856" spans="1:32" x14ac:dyDescent="0.25">
      <c r="A1856" s="33" t="str">
        <f>CONCATENATE(D1856,".",F1856,"-",G1856,".",H1856,"")</f>
        <v>3.2-4.1</v>
      </c>
      <c r="B1856" s="33" t="s">
        <v>814</v>
      </c>
      <c r="C1856" s="40" t="s">
        <v>336</v>
      </c>
      <c r="D1856" s="33">
        <f>IF(C1856="ID",1,(IF(C1856="PR",2,(IF(C1856="DE",3,(IF(C1856="RS",4,(IF(C1856="RC",5,0)))))))))</f>
        <v>3</v>
      </c>
      <c r="E1856" s="33" t="s">
        <v>259</v>
      </c>
      <c r="F1856" s="33">
        <f>IF(E1856="AM",1,(IF(E1856="BE",2,(IF(E1856="GV",3,(IF(E1856="RA",4,(IF(E1856="RM",5,(IF(E1856="AC",1,(IF(E1856="AT",2,(IF(E1856="DS",3,(IF(E1856="IP",4,(IF(E1856="MA",5,(IF(E1856="PT",6,(IF(E1856="AE",1,(IF(E1856="CM",2,(IF(E1856="DP",3,(IF(E1856="AN",1,(IF(E1856="CO",2,(IF(E1856="IM",3,(IF(E1856="MI",4,(IF(E1856="RP",5,(IF(E1856="SC",6,0)))))))))))))))))))))))))))))))))))))))</f>
        <v>2</v>
      </c>
      <c r="G1856" s="171">
        <v>4</v>
      </c>
      <c r="H1856" s="38" t="s">
        <v>511</v>
      </c>
      <c r="I1856" s="22" t="s">
        <v>936</v>
      </c>
      <c r="J1856" s="163" t="s">
        <v>916</v>
      </c>
      <c r="K1856" s="34" t="s">
        <v>944</v>
      </c>
      <c r="L1856" s="66">
        <f>IF(O1856="","",N1856*O1856*M1856)</f>
        <v>75</v>
      </c>
      <c r="M1856" s="8">
        <v>1</v>
      </c>
      <c r="N1856" s="3">
        <v>1</v>
      </c>
      <c r="O1856" s="15">
        <f>IF(SUM(Q1856:AF1856)&lt;1,"",SUM(Q1856:AF1856)/COUNTIF(Q1856:AF1856,"&gt;0"))</f>
        <v>75</v>
      </c>
      <c r="P1856" s="16"/>
      <c r="Q1856" s="13"/>
      <c r="R1856" s="4"/>
      <c r="S1856" s="4"/>
      <c r="T1856" s="4">
        <v>75</v>
      </c>
      <c r="U1856" s="2"/>
      <c r="V1856" s="2"/>
      <c r="W1856" s="2"/>
      <c r="X1856" s="2"/>
      <c r="Y1856" s="4"/>
      <c r="Z1856" s="2"/>
      <c r="AA1856" s="2"/>
      <c r="AB1856" s="4"/>
      <c r="AC1856" s="4"/>
      <c r="AD1856" s="4"/>
      <c r="AE1856" s="4"/>
      <c r="AF1856" s="14"/>
    </row>
    <row r="1857" spans="1:32" x14ac:dyDescent="0.25">
      <c r="A1857" s="33" t="str">
        <f>CONCATENATE(D1857,".",F1857,"-",G1857,".",H1857,"")</f>
        <v>3.2-4.1</v>
      </c>
      <c r="B1857" s="33" t="s">
        <v>814</v>
      </c>
      <c r="C1857" s="40" t="s">
        <v>336</v>
      </c>
      <c r="D1857" s="33">
        <f>IF(C1857="ID",1,(IF(C1857="PR",2,(IF(C1857="DE",3,(IF(C1857="RS",4,(IF(C1857="RC",5,0)))))))))</f>
        <v>3</v>
      </c>
      <c r="E1857" s="33" t="s">
        <v>259</v>
      </c>
      <c r="F1857" s="33">
        <f>IF(E1857="AM",1,(IF(E1857="BE",2,(IF(E1857="GV",3,(IF(E1857="RA",4,(IF(E1857="RM",5,(IF(E1857="AC",1,(IF(E1857="AT",2,(IF(E1857="DS",3,(IF(E1857="IP",4,(IF(E1857="MA",5,(IF(E1857="PT",6,(IF(E1857="AE",1,(IF(E1857="CM",2,(IF(E1857="DP",3,(IF(E1857="AN",1,(IF(E1857="CO",2,(IF(E1857="IM",3,(IF(E1857="MI",4,(IF(E1857="RP",5,(IF(E1857="SC",6,0)))))))))))))))))))))))))))))))))))))))</f>
        <v>2</v>
      </c>
      <c r="G1857" s="171">
        <v>4</v>
      </c>
      <c r="H1857" s="38" t="s">
        <v>511</v>
      </c>
      <c r="I1857" s="3" t="s">
        <v>821</v>
      </c>
      <c r="J1857" s="149" t="s">
        <v>139</v>
      </c>
      <c r="K1857" s="79" t="s">
        <v>1283</v>
      </c>
      <c r="L1857" s="66">
        <f>IF(O1857="","",N1857*O1857*M1857)</f>
        <v>75</v>
      </c>
      <c r="M1857" s="8">
        <v>1</v>
      </c>
      <c r="N1857" s="1">
        <v>1</v>
      </c>
      <c r="O1857" s="15">
        <f>IF(SUM(Q1857:AF1857)&lt;1,"",SUM(Q1857:AF1857)/COUNTIF(Q1857:AF1857,"&gt;0"))</f>
        <v>75</v>
      </c>
      <c r="P1857" s="16"/>
      <c r="Q1857" s="13"/>
      <c r="R1857" s="4"/>
      <c r="S1857" s="4"/>
      <c r="T1857" s="4">
        <v>75</v>
      </c>
      <c r="U1857" s="2"/>
      <c r="V1857" s="2"/>
      <c r="W1857" s="2"/>
      <c r="X1857" s="2"/>
      <c r="Y1857" s="4"/>
      <c r="Z1857" s="2"/>
      <c r="AA1857" s="2"/>
      <c r="AB1857" s="4"/>
      <c r="AC1857" s="4"/>
      <c r="AD1857" s="4"/>
      <c r="AE1857" s="4"/>
      <c r="AF1857" s="14"/>
    </row>
    <row r="1858" spans="1:32" x14ac:dyDescent="0.25">
      <c r="A1858" s="33" t="str">
        <f>CONCATENATE(D1858,".",F1858,"-",G1858,".",H1858,"")</f>
        <v>3.2-4.1</v>
      </c>
      <c r="B1858" s="33" t="s">
        <v>814</v>
      </c>
      <c r="C1858" s="39" t="s">
        <v>336</v>
      </c>
      <c r="D1858" s="33">
        <f>IF(C1858="ID",1,(IF(C1858="PR",2,(IF(C1858="DE",3,(IF(C1858="RS",4,(IF(C1858="RC",5,0)))))))))</f>
        <v>3</v>
      </c>
      <c r="E1858" s="33" t="s">
        <v>259</v>
      </c>
      <c r="F1858" s="33">
        <f>IF(E1858="AM",1,(IF(E1858="BE",2,(IF(E1858="GV",3,(IF(E1858="RA",4,(IF(E1858="RM",5,(IF(E1858="AC",1,(IF(E1858="AT",2,(IF(E1858="DS",3,(IF(E1858="IP",4,(IF(E1858="MA",5,(IF(E1858="PT",6,(IF(E1858="AE",1,(IF(E1858="CM",2,(IF(E1858="DP",3,(IF(E1858="AN",1,(IF(E1858="CO",2,(IF(E1858="IM",3,(IF(E1858="MI",4,(IF(E1858="RP",5,(IF(E1858="SC",6,0)))))))))))))))))))))))))))))))))))))))</f>
        <v>2</v>
      </c>
      <c r="G1858" s="170">
        <v>4</v>
      </c>
      <c r="H1858" s="38" t="s">
        <v>511</v>
      </c>
      <c r="I1858" s="3" t="s">
        <v>821</v>
      </c>
      <c r="J1858" s="150" t="s">
        <v>140</v>
      </c>
      <c r="K1858" s="79" t="s">
        <v>1283</v>
      </c>
      <c r="L1858" s="66">
        <f>IF(O1858="","",N1858*O1858*M1858)</f>
        <v>75</v>
      </c>
      <c r="M1858" s="8">
        <v>1</v>
      </c>
      <c r="N1858" s="3">
        <v>1</v>
      </c>
      <c r="O1858" s="15">
        <f>IF(SUM(Q1858:AF1858)&lt;1,"",SUM(Q1858:AF1858)/COUNTIF(Q1858:AF1858,"&gt;0"))</f>
        <v>75</v>
      </c>
      <c r="P1858" s="16"/>
      <c r="Q1858" s="13"/>
      <c r="R1858" s="4"/>
      <c r="S1858" s="4"/>
      <c r="T1858" s="4">
        <v>75</v>
      </c>
      <c r="U1858" s="2"/>
      <c r="V1858" s="2"/>
      <c r="W1858" s="2"/>
      <c r="X1858" s="2"/>
      <c r="Y1858" s="4"/>
      <c r="Z1858" s="2"/>
      <c r="AA1858" s="2"/>
      <c r="AB1858" s="4"/>
      <c r="AC1858" s="4"/>
      <c r="AD1858" s="4"/>
      <c r="AE1858" s="4"/>
      <c r="AF1858" s="14"/>
    </row>
    <row r="1859" spans="1:32" x14ac:dyDescent="0.25">
      <c r="A1859" s="33" t="str">
        <f>CONCATENATE(D1859,".",F1859,"-",G1859,".",H1859,"")</f>
        <v>3.2-4.1</v>
      </c>
      <c r="B1859" s="33" t="s">
        <v>814</v>
      </c>
      <c r="C1859" s="39" t="s">
        <v>336</v>
      </c>
      <c r="D1859" s="33">
        <f>IF(C1859="ID",1,(IF(C1859="PR",2,(IF(C1859="DE",3,(IF(C1859="RS",4,(IF(C1859="RC",5,0)))))))))</f>
        <v>3</v>
      </c>
      <c r="E1859" s="33" t="s">
        <v>259</v>
      </c>
      <c r="F1859" s="33">
        <f>IF(E1859="AM",1,(IF(E1859="BE",2,(IF(E1859="GV",3,(IF(E1859="RA",4,(IF(E1859="RM",5,(IF(E1859="AC",1,(IF(E1859="AT",2,(IF(E1859="DS",3,(IF(E1859="IP",4,(IF(E1859="MA",5,(IF(E1859="PT",6,(IF(E1859="AE",1,(IF(E1859="CM",2,(IF(E1859="DP",3,(IF(E1859="AN",1,(IF(E1859="CO",2,(IF(E1859="IM",3,(IF(E1859="MI",4,(IF(E1859="RP",5,(IF(E1859="SC",6,0)))))))))))))))))))))))))))))))))))))))</f>
        <v>2</v>
      </c>
      <c r="G1859" s="170">
        <v>4</v>
      </c>
      <c r="H1859" s="33">
        <v>1</v>
      </c>
      <c r="I1859" s="22" t="s">
        <v>266</v>
      </c>
      <c r="J1859" s="149" t="s">
        <v>458</v>
      </c>
      <c r="K1859" s="79" t="s">
        <v>1313</v>
      </c>
      <c r="L1859" s="66">
        <f>IF(O1859="","",N1859*O1859*M1859)</f>
        <v>75</v>
      </c>
      <c r="M1859" s="8">
        <v>1</v>
      </c>
      <c r="N1859" s="1">
        <v>1</v>
      </c>
      <c r="O1859" s="15">
        <f>IF(SUM(Q1859:AF1859)&lt;1,"",SUM(Q1859:AF1859)/COUNTIF(Q1859:AF1859,"&gt;0"))</f>
        <v>75</v>
      </c>
      <c r="P1859" s="16"/>
      <c r="Q1859" s="13"/>
      <c r="R1859" s="4"/>
      <c r="S1859" s="4"/>
      <c r="T1859" s="4">
        <v>75</v>
      </c>
      <c r="U1859" s="2"/>
      <c r="V1859" s="2"/>
      <c r="W1859" s="2"/>
      <c r="X1859" s="2"/>
      <c r="Y1859" s="4"/>
      <c r="Z1859" s="2"/>
      <c r="AA1859" s="2"/>
      <c r="AB1859" s="4"/>
      <c r="AC1859" s="4"/>
      <c r="AD1859" s="4"/>
      <c r="AE1859" s="4"/>
      <c r="AF1859" s="14"/>
    </row>
    <row r="1860" spans="1:32" x14ac:dyDescent="0.25">
      <c r="A1860" s="33" t="str">
        <f>CONCATENATE(D1860,".",F1860,"-",G1860,".",H1860,"")</f>
        <v>3.2-4.1</v>
      </c>
      <c r="B1860" s="33" t="s">
        <v>814</v>
      </c>
      <c r="C1860" s="41" t="s">
        <v>336</v>
      </c>
      <c r="D1860" s="33">
        <f>IF(C1860="ID",1,(IF(C1860="PR",2,(IF(C1860="DE",3,(IF(C1860="RS",4,(IF(C1860="RC",5,0)))))))))</f>
        <v>3</v>
      </c>
      <c r="E1860" s="33" t="s">
        <v>259</v>
      </c>
      <c r="F1860" s="33">
        <f>IF(E1860="AM",1,(IF(E1860="BE",2,(IF(E1860="GV",3,(IF(E1860="RA",4,(IF(E1860="RM",5,(IF(E1860="AC",1,(IF(E1860="AT",2,(IF(E1860="DS",3,(IF(E1860="IP",4,(IF(E1860="MA",5,(IF(E1860="PT",6,(IF(E1860="AE",1,(IF(E1860="CM",2,(IF(E1860="DP",3,(IF(E1860="AN",1,(IF(E1860="CO",2,(IF(E1860="IM",3,(IF(E1860="MI",4,(IF(E1860="RP",5,(IF(E1860="SC",6,0)))))))))))))))))))))))))))))))))))))))</f>
        <v>2</v>
      </c>
      <c r="G1860" s="170">
        <v>4</v>
      </c>
      <c r="H1860" s="38" t="s">
        <v>511</v>
      </c>
      <c r="I1860" s="22" t="s">
        <v>266</v>
      </c>
      <c r="J1860" s="149" t="s">
        <v>305</v>
      </c>
      <c r="K1860" s="79" t="s">
        <v>1314</v>
      </c>
      <c r="L1860" s="5">
        <f>IF(O1860="","",N1860*O1860*M1860)</f>
        <v>75</v>
      </c>
      <c r="M1860" s="8">
        <v>1</v>
      </c>
      <c r="N1860" s="1">
        <v>1</v>
      </c>
      <c r="O1860" s="15">
        <f>IF(SUM(Q1860:AF1860)&lt;1,"",SUM(Q1860:AF1860)/COUNTIF(Q1860:AF1860,"&gt;0"))</f>
        <v>75</v>
      </c>
      <c r="P1860" s="16"/>
      <c r="Q1860" s="13"/>
      <c r="R1860" s="4"/>
      <c r="S1860" s="4"/>
      <c r="T1860" s="4">
        <v>75</v>
      </c>
      <c r="U1860" s="2"/>
      <c r="V1860" s="2"/>
      <c r="W1860" s="2"/>
      <c r="X1860" s="2"/>
      <c r="Y1860" s="4"/>
      <c r="Z1860" s="2"/>
      <c r="AA1860" s="2"/>
      <c r="AB1860" s="4"/>
      <c r="AC1860" s="4"/>
      <c r="AD1860" s="4"/>
      <c r="AE1860" s="4"/>
      <c r="AF1860" s="14"/>
    </row>
    <row r="1861" spans="1:32" x14ac:dyDescent="0.25">
      <c r="A1861" s="33" t="str">
        <f>CONCATENATE(D1861,".",F1861,"-",G1861,".",H1861,"")</f>
        <v>3.2-4.1</v>
      </c>
      <c r="B1861" s="33" t="s">
        <v>814</v>
      </c>
      <c r="C1861" s="39" t="s">
        <v>336</v>
      </c>
      <c r="D1861" s="33">
        <f>IF(C1861="ID",1,(IF(C1861="PR",2,(IF(C1861="DE",3,(IF(C1861="RS",4,(IF(C1861="RC",5,0)))))))))</f>
        <v>3</v>
      </c>
      <c r="E1861" s="33" t="s">
        <v>259</v>
      </c>
      <c r="F1861" s="33">
        <f>IF(E1861="AM",1,(IF(E1861="BE",2,(IF(E1861="GV",3,(IF(E1861="RA",4,(IF(E1861="RM",5,(IF(E1861="AC",1,(IF(E1861="AT",2,(IF(E1861="DS",3,(IF(E1861="IP",4,(IF(E1861="MA",5,(IF(E1861="PT",6,(IF(E1861="AE",1,(IF(E1861="CM",2,(IF(E1861="DP",3,(IF(E1861="AN",1,(IF(E1861="CO",2,(IF(E1861="IM",3,(IF(E1861="MI",4,(IF(E1861="RP",5,(IF(E1861="SC",6,0)))))))))))))))))))))))))))))))))))))))</f>
        <v>2</v>
      </c>
      <c r="G1861" s="170">
        <v>4</v>
      </c>
      <c r="H1861" s="33">
        <v>1</v>
      </c>
      <c r="I1861" s="22" t="s">
        <v>266</v>
      </c>
      <c r="J1861" s="150" t="s">
        <v>23</v>
      </c>
      <c r="K1861" s="79" t="s">
        <v>1384</v>
      </c>
      <c r="L1861" s="5">
        <f>IF(O1861="","",N1861*O1861*M1861)</f>
        <v>75</v>
      </c>
      <c r="M1861" s="8">
        <v>1</v>
      </c>
      <c r="N1861" s="1">
        <v>1</v>
      </c>
      <c r="O1861" s="15">
        <f>IF(SUM(Q1861:AF1861)&lt;1,"",SUM(Q1861:AF1861)/COUNTIF(Q1861:AF1861,"&gt;0"))</f>
        <v>75</v>
      </c>
      <c r="P1861" s="16"/>
      <c r="Q1861" s="13"/>
      <c r="T1861" s="4">
        <v>75</v>
      </c>
      <c r="AF1861" s="104"/>
    </row>
    <row r="1862" spans="1:32" x14ac:dyDescent="0.25">
      <c r="A1862" s="33" t="str">
        <f>CONCATENATE(D1862,".",F1862,"-",G1862,".",H1862,"")</f>
        <v>3.2-4.1</v>
      </c>
      <c r="B1862" s="33" t="s">
        <v>814</v>
      </c>
      <c r="C1862" s="39" t="s">
        <v>336</v>
      </c>
      <c r="D1862" s="33">
        <f>IF(C1862="ID",1,(IF(C1862="PR",2,(IF(C1862="DE",3,(IF(C1862="RS",4,(IF(C1862="RC",5,0)))))))))</f>
        <v>3</v>
      </c>
      <c r="E1862" s="33" t="s">
        <v>259</v>
      </c>
      <c r="F1862" s="33">
        <f>IF(E1862="AM",1,(IF(E1862="BE",2,(IF(E1862="GV",3,(IF(E1862="RA",4,(IF(E1862="RM",5,(IF(E1862="AC",1,(IF(E1862="AT",2,(IF(E1862="DS",3,(IF(E1862="IP",4,(IF(E1862="MA",5,(IF(E1862="PT",6,(IF(E1862="AE",1,(IF(E1862="CM",2,(IF(E1862="DP",3,(IF(E1862="AN",1,(IF(E1862="CO",2,(IF(E1862="IM",3,(IF(E1862="MI",4,(IF(E1862="RP",5,(IF(E1862="SC",6,0)))))))))))))))))))))))))))))))))))))))</f>
        <v>2</v>
      </c>
      <c r="G1862" s="170">
        <v>4</v>
      </c>
      <c r="H1862" s="38" t="s">
        <v>511</v>
      </c>
      <c r="I1862" s="79" t="s">
        <v>1176</v>
      </c>
      <c r="J1862" s="162">
        <v>7.8</v>
      </c>
      <c r="K1862" s="80" t="s">
        <v>1076</v>
      </c>
      <c r="L1862" s="66">
        <f>IF(O1862="","",N1862*O1862*M1862)</f>
        <v>75</v>
      </c>
      <c r="M1862" s="8">
        <v>1</v>
      </c>
      <c r="N1862" s="3">
        <v>1</v>
      </c>
      <c r="O1862" s="15">
        <f>IF(SUM(Q1862:AF1862)&lt;1,"",SUM(Q1862:AF1862)/COUNTIF(Q1862:AF1862,"&gt;0"))</f>
        <v>75</v>
      </c>
      <c r="P1862" s="16"/>
      <c r="Q1862" s="13"/>
      <c r="R1862" s="4"/>
      <c r="S1862" s="4"/>
      <c r="T1862" s="4">
        <v>75</v>
      </c>
      <c r="U1862" s="2"/>
      <c r="V1862" s="2"/>
      <c r="W1862" s="2"/>
      <c r="X1862" s="2"/>
      <c r="Y1862" s="4"/>
      <c r="Z1862" s="2"/>
      <c r="AA1862" s="2"/>
      <c r="AB1862" s="4"/>
      <c r="AC1862" s="4"/>
      <c r="AD1862" s="4"/>
      <c r="AE1862" s="4"/>
      <c r="AF1862" s="14"/>
    </row>
    <row r="1863" spans="1:32" x14ac:dyDescent="0.25">
      <c r="A1863" s="33" t="str">
        <f>CONCATENATE(D1863,".",F1863,"-",G1863,".",H1863,"")</f>
        <v>3.2-4.1</v>
      </c>
      <c r="B1863" s="33" t="s">
        <v>814</v>
      </c>
      <c r="C1863" s="39" t="s">
        <v>336</v>
      </c>
      <c r="D1863" s="33">
        <f>IF(C1863="ID",1,(IF(C1863="PR",2,(IF(C1863="DE",3,(IF(C1863="RS",4,(IF(C1863="RC",5,0)))))))))</f>
        <v>3</v>
      </c>
      <c r="E1863" s="33" t="s">
        <v>259</v>
      </c>
      <c r="F1863" s="33">
        <f>IF(E1863="AM",1,(IF(E1863="BE",2,(IF(E1863="GV",3,(IF(E1863="RA",4,(IF(E1863="RM",5,(IF(E1863="AC",1,(IF(E1863="AT",2,(IF(E1863="DS",3,(IF(E1863="IP",4,(IF(E1863="MA",5,(IF(E1863="PT",6,(IF(E1863="AE",1,(IF(E1863="CM",2,(IF(E1863="DP",3,(IF(E1863="AN",1,(IF(E1863="CO",2,(IF(E1863="IM",3,(IF(E1863="MI",4,(IF(E1863="RP",5,(IF(E1863="SC",6,0)))))))))))))))))))))))))))))))))))))))</f>
        <v>2</v>
      </c>
      <c r="G1863" s="170">
        <v>4</v>
      </c>
      <c r="H1863" s="38" t="s">
        <v>511</v>
      </c>
      <c r="I1863" s="79" t="s">
        <v>1176</v>
      </c>
      <c r="J1863" s="162">
        <v>8</v>
      </c>
      <c r="K1863" t="s">
        <v>1077</v>
      </c>
      <c r="L1863" s="66">
        <f>IF(O1863="","",N1863*O1863*M1863)</f>
        <v>75</v>
      </c>
      <c r="M1863" s="8">
        <v>1</v>
      </c>
      <c r="N1863" s="3">
        <v>1</v>
      </c>
      <c r="O1863" s="15">
        <f>IF(SUM(Q1863:AF1863)&lt;1,"",SUM(Q1863:AF1863)/COUNTIF(Q1863:AF1863,"&gt;0"))</f>
        <v>75</v>
      </c>
      <c r="P1863" s="16"/>
      <c r="Q1863" s="13"/>
      <c r="R1863" s="4"/>
      <c r="S1863" s="4"/>
      <c r="T1863" s="4">
        <v>75</v>
      </c>
      <c r="U1863" s="2"/>
      <c r="V1863" s="2"/>
      <c r="W1863" s="2"/>
      <c r="X1863" s="2"/>
      <c r="Y1863" s="4"/>
      <c r="Z1863" s="2"/>
      <c r="AA1863" s="2"/>
      <c r="AB1863" s="4"/>
      <c r="AC1863" s="4"/>
      <c r="AD1863" s="4"/>
      <c r="AE1863" s="4"/>
      <c r="AF1863" s="14"/>
    </row>
    <row r="1864" spans="1:32" x14ac:dyDescent="0.25">
      <c r="A1864" s="33" t="str">
        <f>CONCATENATE(D1864,".",F1864,"-",G1864,".",H1864,"")</f>
        <v>3.2-4.1</v>
      </c>
      <c r="B1864" s="33" t="s">
        <v>814</v>
      </c>
      <c r="C1864" s="39" t="s">
        <v>336</v>
      </c>
      <c r="D1864" s="33">
        <f>IF(C1864="ID",1,(IF(C1864="PR",2,(IF(C1864="DE",3,(IF(C1864="RS",4,(IF(C1864="RC",5,0)))))))))</f>
        <v>3</v>
      </c>
      <c r="E1864" s="33" t="s">
        <v>259</v>
      </c>
      <c r="F1864" s="33">
        <f>IF(E1864="AM",1,(IF(E1864="BE",2,(IF(E1864="GV",3,(IF(E1864="RA",4,(IF(E1864="RM",5,(IF(E1864="AC",1,(IF(E1864="AT",2,(IF(E1864="DS",3,(IF(E1864="IP",4,(IF(E1864="MA",5,(IF(E1864="PT",6,(IF(E1864="AE",1,(IF(E1864="CM",2,(IF(E1864="DP",3,(IF(E1864="AN",1,(IF(E1864="CO",2,(IF(E1864="IM",3,(IF(E1864="MI",4,(IF(E1864="RP",5,(IF(E1864="SC",6,0)))))))))))))))))))))))))))))))))))))))</f>
        <v>2</v>
      </c>
      <c r="G1864" s="170">
        <v>4</v>
      </c>
      <c r="H1864" s="38" t="s">
        <v>511</v>
      </c>
      <c r="I1864" s="79" t="s">
        <v>1176</v>
      </c>
      <c r="J1864" s="162">
        <v>8.1</v>
      </c>
      <c r="K1864" s="80" t="s">
        <v>809</v>
      </c>
      <c r="L1864" s="66">
        <f>IF(O1864="","",N1864*O1864*M1864)</f>
        <v>75</v>
      </c>
      <c r="M1864" s="8">
        <v>1</v>
      </c>
      <c r="N1864" s="3">
        <v>1</v>
      </c>
      <c r="O1864" s="15">
        <f>IF(SUM(Q1864:AF1864)&lt;1,"",SUM(Q1864:AF1864)/COUNTIF(Q1864:AF1864,"&gt;0"))</f>
        <v>75</v>
      </c>
      <c r="P1864" s="16"/>
      <c r="Q1864" s="13"/>
      <c r="R1864" s="4"/>
      <c r="S1864" s="4"/>
      <c r="T1864" s="4">
        <v>75</v>
      </c>
      <c r="U1864" s="2"/>
      <c r="V1864" s="2"/>
      <c r="W1864" s="2"/>
      <c r="X1864" s="2"/>
      <c r="Y1864" s="4"/>
      <c r="Z1864" s="2"/>
      <c r="AA1864" s="2"/>
      <c r="AB1864" s="4"/>
      <c r="AC1864" s="4"/>
      <c r="AD1864" s="4"/>
      <c r="AE1864" s="4"/>
      <c r="AF1864" s="14"/>
    </row>
    <row r="1865" spans="1:32" x14ac:dyDescent="0.25">
      <c r="A1865" s="33" t="str">
        <f>CONCATENATE(D1865,".",F1865,"-",G1865,".",H1865,"")</f>
        <v>3.2-4.1</v>
      </c>
      <c r="B1865" s="33" t="s">
        <v>814</v>
      </c>
      <c r="C1865" s="39" t="s">
        <v>336</v>
      </c>
      <c r="D1865" s="33">
        <f>IF(C1865="ID",1,(IF(C1865="PR",2,(IF(C1865="DE",3,(IF(C1865="RS",4,(IF(C1865="RC",5,0)))))))))</f>
        <v>3</v>
      </c>
      <c r="E1865" s="33" t="s">
        <v>259</v>
      </c>
      <c r="F1865" s="33">
        <f>IF(E1865="AM",1,(IF(E1865="BE",2,(IF(E1865="GV",3,(IF(E1865="RA",4,(IF(E1865="RM",5,(IF(E1865="AC",1,(IF(E1865="AT",2,(IF(E1865="DS",3,(IF(E1865="IP",4,(IF(E1865="MA",5,(IF(E1865="PT",6,(IF(E1865="AE",1,(IF(E1865="CM",2,(IF(E1865="DP",3,(IF(E1865="AN",1,(IF(E1865="CO",2,(IF(E1865="IM",3,(IF(E1865="MI",4,(IF(E1865="RP",5,(IF(E1865="SC",6,0)))))))))))))))))))))))))))))))))))))))</f>
        <v>2</v>
      </c>
      <c r="G1865" s="170">
        <v>4</v>
      </c>
      <c r="H1865" s="38" t="s">
        <v>511</v>
      </c>
      <c r="I1865" s="79" t="s">
        <v>1176</v>
      </c>
      <c r="J1865" s="162">
        <v>8.1999999999999993</v>
      </c>
      <c r="K1865" t="s">
        <v>810</v>
      </c>
      <c r="L1865" s="66">
        <f>IF(O1865="","",N1865*O1865*M1865)</f>
        <v>75</v>
      </c>
      <c r="M1865" s="8">
        <v>1</v>
      </c>
      <c r="N1865" s="3">
        <v>1</v>
      </c>
      <c r="O1865" s="15">
        <f>IF(SUM(Q1865:AF1865)&lt;1,"",SUM(Q1865:AF1865)/COUNTIF(Q1865:AF1865,"&gt;0"))</f>
        <v>75</v>
      </c>
      <c r="P1865" s="16"/>
      <c r="Q1865" s="13"/>
      <c r="R1865" s="4"/>
      <c r="S1865" s="4"/>
      <c r="T1865" s="4">
        <v>75</v>
      </c>
      <c r="U1865" s="2"/>
      <c r="V1865" s="2"/>
      <c r="W1865" s="2"/>
      <c r="X1865" s="2"/>
      <c r="Y1865" s="4"/>
      <c r="Z1865" s="2"/>
      <c r="AA1865" s="2"/>
      <c r="AB1865" s="4"/>
      <c r="AC1865" s="4"/>
      <c r="AD1865" s="4"/>
      <c r="AE1865" s="4"/>
      <c r="AF1865" s="14"/>
    </row>
    <row r="1866" spans="1:32" x14ac:dyDescent="0.25">
      <c r="A1866" s="33" t="str">
        <f>CONCATENATE(D1866,".",F1866,"-",G1866,".",H1866,"")</f>
        <v>3.2-4.1</v>
      </c>
      <c r="B1866" s="33" t="s">
        <v>814</v>
      </c>
      <c r="C1866" s="39" t="s">
        <v>336</v>
      </c>
      <c r="D1866" s="33">
        <f>IF(C1866="ID",1,(IF(C1866="PR",2,(IF(C1866="DE",3,(IF(C1866="RS",4,(IF(C1866="RC",5,0)))))))))</f>
        <v>3</v>
      </c>
      <c r="E1866" s="33" t="s">
        <v>259</v>
      </c>
      <c r="F1866" s="33">
        <f>IF(E1866="AM",1,(IF(E1866="BE",2,(IF(E1866="GV",3,(IF(E1866="RA",4,(IF(E1866="RM",5,(IF(E1866="AC",1,(IF(E1866="AT",2,(IF(E1866="DS",3,(IF(E1866="IP",4,(IF(E1866="MA",5,(IF(E1866="PT",6,(IF(E1866="AE",1,(IF(E1866="CM",2,(IF(E1866="DP",3,(IF(E1866="AN",1,(IF(E1866="CO",2,(IF(E1866="IM",3,(IF(E1866="MI",4,(IF(E1866="RP",5,(IF(E1866="SC",6,0)))))))))))))))))))))))))))))))))))))))</f>
        <v>2</v>
      </c>
      <c r="G1866" s="170">
        <v>4</v>
      </c>
      <c r="H1866" s="38" t="s">
        <v>511</v>
      </c>
      <c r="I1866" s="79" t="s">
        <v>1176</v>
      </c>
      <c r="J1866" s="162">
        <v>8.5</v>
      </c>
      <c r="K1866" t="s">
        <v>1080</v>
      </c>
      <c r="L1866" s="66">
        <f>IF(O1866="","",N1866*O1866*M1866)</f>
        <v>75</v>
      </c>
      <c r="M1866" s="8">
        <v>1</v>
      </c>
      <c r="N1866" s="3">
        <v>1</v>
      </c>
      <c r="O1866" s="15">
        <f>IF(SUM(Q1866:AF1866)&lt;1,"",SUM(Q1866:AF1866)/COUNTIF(Q1866:AF1866,"&gt;0"))</f>
        <v>75</v>
      </c>
      <c r="P1866" s="16"/>
      <c r="Q1866" s="13"/>
      <c r="R1866" s="4"/>
      <c r="S1866" s="4"/>
      <c r="T1866" s="4">
        <v>75</v>
      </c>
      <c r="U1866" s="2"/>
      <c r="V1866" s="2"/>
      <c r="W1866" s="2"/>
      <c r="X1866" s="2"/>
      <c r="Y1866" s="4"/>
      <c r="Z1866" s="2"/>
      <c r="AA1866" s="2"/>
      <c r="AB1866" s="4"/>
      <c r="AC1866" s="4"/>
      <c r="AD1866" s="4"/>
      <c r="AE1866" s="4"/>
      <c r="AF1866" s="14"/>
    </row>
    <row r="1867" spans="1:32" x14ac:dyDescent="0.25">
      <c r="A1867" s="33" t="str">
        <f>CONCATENATE(D1867,".",F1867,"-",G1867,".",H1867,"")</f>
        <v>3.2-4.1</v>
      </c>
      <c r="C1867" s="39" t="s">
        <v>336</v>
      </c>
      <c r="D1867" s="33">
        <f>IF(C1867="ID",1,(IF(C1867="PR",2,(IF(C1867="DE",3,(IF(C1867="RS",4,(IF(C1867="RC",5,0)))))))))</f>
        <v>3</v>
      </c>
      <c r="E1867" s="33" t="s">
        <v>259</v>
      </c>
      <c r="F1867" s="33">
        <f>IF(E1867="AM",1,(IF(E1867="BE",2,(IF(E1867="GV",3,(IF(E1867="RA",4,(IF(E1867="RM",5,(IF(E1867="AC",1,(IF(E1867="AT",2,(IF(E1867="DS",3,(IF(E1867="IP",4,(IF(E1867="MA",5,(IF(E1867="PT",6,(IF(E1867="AE",1,(IF(E1867="CM",2,(IF(E1867="DP",3,(IF(E1867="AN",1,(IF(E1867="CO",2,(IF(E1867="IM",3,(IF(E1867="MI",4,(IF(E1867="RP",5,(IF(E1867="SC",6,0)))))))))))))))))))))))))))))))))))))))</f>
        <v>2</v>
      </c>
      <c r="G1867" s="170">
        <v>4</v>
      </c>
      <c r="H1867" s="38" t="s">
        <v>511</v>
      </c>
      <c r="I1867" s="3" t="s">
        <v>1449</v>
      </c>
      <c r="J1867" s="157" t="s">
        <v>3033</v>
      </c>
      <c r="K1867" s="34" t="s">
        <v>3034</v>
      </c>
      <c r="L1867" s="5">
        <f>IF(O1867="","",N1867*O1867*M1867)</f>
        <v>99</v>
      </c>
      <c r="M1867" s="8">
        <v>1</v>
      </c>
      <c r="N1867" s="1">
        <v>1</v>
      </c>
      <c r="O1867" s="15">
        <f>IF(SUM(Q1867:AF1867)&lt;1,"",SUM(Q1867:AF1867)/COUNTIF(Q1867:AF1867,"&gt;0"))</f>
        <v>99</v>
      </c>
      <c r="P1867" s="16"/>
      <c r="Q1867" s="13"/>
      <c r="R1867" s="4"/>
      <c r="S1867" s="4"/>
      <c r="T1867" s="4">
        <v>99</v>
      </c>
      <c r="U1867" s="2"/>
      <c r="V1867" s="2"/>
      <c r="W1867" s="2"/>
      <c r="X1867" s="2"/>
      <c r="Y1867" s="4"/>
      <c r="Z1867" s="2"/>
      <c r="AA1867" s="2"/>
      <c r="AB1867" s="4"/>
      <c r="AC1867" s="4"/>
      <c r="AD1867" s="4"/>
      <c r="AE1867" s="4"/>
      <c r="AF1867" s="14"/>
    </row>
    <row r="1868" spans="1:32" x14ac:dyDescent="0.25">
      <c r="A1868" s="33" t="str">
        <f>CONCATENATE(D1868,".",F1868,"-",G1868,".",H1868,"")</f>
        <v>3.2-4.1</v>
      </c>
      <c r="C1868" s="39" t="s">
        <v>336</v>
      </c>
      <c r="D1868" s="33">
        <f>IF(C1868="ID",1,(IF(C1868="PR",2,(IF(C1868="DE",3,(IF(C1868="RS",4,(IF(C1868="RC",5,0)))))))))</f>
        <v>3</v>
      </c>
      <c r="E1868" s="33" t="s">
        <v>259</v>
      </c>
      <c r="F1868" s="33">
        <f>IF(E1868="AM",1,(IF(E1868="BE",2,(IF(E1868="GV",3,(IF(E1868="RA",4,(IF(E1868="RM",5,(IF(E1868="AC",1,(IF(E1868="AT",2,(IF(E1868="DS",3,(IF(E1868="IP",4,(IF(E1868="MA",5,(IF(E1868="PT",6,(IF(E1868="AE",1,(IF(E1868="CM",2,(IF(E1868="DP",3,(IF(E1868="AN",1,(IF(E1868="CO",2,(IF(E1868="IM",3,(IF(E1868="MI",4,(IF(E1868="RP",5,(IF(E1868="SC",6,0)))))))))))))))))))))))))))))))))))))))</f>
        <v>2</v>
      </c>
      <c r="G1868" s="170">
        <v>4</v>
      </c>
      <c r="H1868" s="38" t="s">
        <v>511</v>
      </c>
      <c r="I1868" s="3" t="s">
        <v>1449</v>
      </c>
      <c r="J1868" s="157" t="s">
        <v>3035</v>
      </c>
      <c r="K1868" s="34" t="s">
        <v>3036</v>
      </c>
      <c r="L1868" s="5">
        <f>IF(O1868="","",N1868*O1868*M1868)</f>
        <v>99</v>
      </c>
      <c r="M1868" s="8">
        <v>1</v>
      </c>
      <c r="N1868" s="1">
        <v>1</v>
      </c>
      <c r="O1868" s="15">
        <f>IF(SUM(Q1868:AF1868)&lt;1,"",SUM(Q1868:AF1868)/COUNTIF(Q1868:AF1868,"&gt;0"))</f>
        <v>99</v>
      </c>
      <c r="P1868" s="16"/>
      <c r="Q1868" s="13"/>
      <c r="R1868" s="4"/>
      <c r="S1868" s="4"/>
      <c r="T1868" s="4">
        <v>99</v>
      </c>
      <c r="U1868" s="2"/>
      <c r="V1868" s="2"/>
      <c r="W1868" s="2"/>
      <c r="X1868" s="2"/>
      <c r="Y1868" s="4"/>
      <c r="Z1868" s="2"/>
      <c r="AA1868" s="2"/>
      <c r="AB1868" s="4"/>
      <c r="AC1868" s="4"/>
      <c r="AD1868" s="4"/>
      <c r="AE1868" s="4"/>
      <c r="AF1868" s="14"/>
    </row>
    <row r="1869" spans="1:32" x14ac:dyDescent="0.25">
      <c r="A1869" s="33" t="str">
        <f>CONCATENATE(D1869,".",F1869,"-",G1869,".",H1869,"")</f>
        <v>3.2-4.1</v>
      </c>
      <c r="C1869" s="39" t="s">
        <v>336</v>
      </c>
      <c r="D1869" s="33">
        <f>IF(C1869="ID",1,(IF(C1869="PR",2,(IF(C1869="DE",3,(IF(C1869="RS",4,(IF(C1869="RC",5,0)))))))))</f>
        <v>3</v>
      </c>
      <c r="E1869" s="33" t="s">
        <v>259</v>
      </c>
      <c r="F1869" s="33">
        <f>IF(E1869="AM",1,(IF(E1869="BE",2,(IF(E1869="GV",3,(IF(E1869="RA",4,(IF(E1869="RM",5,(IF(E1869="AC",1,(IF(E1869="AT",2,(IF(E1869="DS",3,(IF(E1869="IP",4,(IF(E1869="MA",5,(IF(E1869="PT",6,(IF(E1869="AE",1,(IF(E1869="CM",2,(IF(E1869="DP",3,(IF(E1869="AN",1,(IF(E1869="CO",2,(IF(E1869="IM",3,(IF(E1869="MI",4,(IF(E1869="RP",5,(IF(E1869="SC",6,0)))))))))))))))))))))))))))))))))))))))</f>
        <v>2</v>
      </c>
      <c r="G1869" s="170">
        <v>4</v>
      </c>
      <c r="H1869" s="38" t="s">
        <v>511</v>
      </c>
      <c r="I1869" s="3" t="s">
        <v>1449</v>
      </c>
      <c r="J1869" s="157" t="s">
        <v>3037</v>
      </c>
      <c r="K1869" s="34" t="s">
        <v>3038</v>
      </c>
      <c r="L1869" s="5">
        <f>IF(O1869="","",N1869*O1869*M1869)</f>
        <v>99</v>
      </c>
      <c r="M1869" s="8">
        <v>1</v>
      </c>
      <c r="N1869" s="1">
        <v>1</v>
      </c>
      <c r="O1869" s="15">
        <f>IF(SUM(Q1869:AF1869)&lt;1,"",SUM(Q1869:AF1869)/COUNTIF(Q1869:AF1869,"&gt;0"))</f>
        <v>99</v>
      </c>
      <c r="P1869" s="16"/>
      <c r="Q1869" s="13"/>
      <c r="R1869" s="4"/>
      <c r="S1869" s="4"/>
      <c r="T1869" s="4">
        <v>99</v>
      </c>
      <c r="U1869" s="2"/>
      <c r="V1869" s="2"/>
      <c r="W1869" s="2"/>
      <c r="X1869" s="2"/>
      <c r="Y1869" s="4"/>
      <c r="Z1869" s="2"/>
      <c r="AA1869" s="2"/>
      <c r="AB1869" s="4"/>
      <c r="AC1869" s="4"/>
      <c r="AD1869" s="4"/>
      <c r="AE1869" s="4"/>
      <c r="AF1869" s="14"/>
    </row>
    <row r="1870" spans="1:32" x14ac:dyDescent="0.25">
      <c r="A1870" s="33" t="str">
        <f>CONCATENATE(D1870,".",F1870,"-",G1870,".",H1870,"")</f>
        <v>3.2-4.1</v>
      </c>
      <c r="C1870" s="39" t="s">
        <v>336</v>
      </c>
      <c r="D1870" s="33">
        <f>IF(C1870="ID",1,(IF(C1870="PR",2,(IF(C1870="DE",3,(IF(C1870="RS",4,(IF(C1870="RC",5,0)))))))))</f>
        <v>3</v>
      </c>
      <c r="E1870" s="33" t="s">
        <v>259</v>
      </c>
      <c r="F1870" s="33">
        <f>IF(E1870="AM",1,(IF(E1870="BE",2,(IF(E1870="GV",3,(IF(E1870="RA",4,(IF(E1870="RM",5,(IF(E1870="AC",1,(IF(E1870="AT",2,(IF(E1870="DS",3,(IF(E1870="IP",4,(IF(E1870="MA",5,(IF(E1870="PT",6,(IF(E1870="AE",1,(IF(E1870="CM",2,(IF(E1870="DP",3,(IF(E1870="AN",1,(IF(E1870="CO",2,(IF(E1870="IM",3,(IF(E1870="MI",4,(IF(E1870="RP",5,(IF(E1870="SC",6,0)))))))))))))))))))))))))))))))))))))))</f>
        <v>2</v>
      </c>
      <c r="G1870" s="170">
        <v>4</v>
      </c>
      <c r="H1870" s="38" t="s">
        <v>511</v>
      </c>
      <c r="I1870" s="3" t="s">
        <v>1449</v>
      </c>
      <c r="J1870" s="157" t="s">
        <v>3039</v>
      </c>
      <c r="K1870" s="34" t="s">
        <v>3040</v>
      </c>
      <c r="L1870" s="5">
        <f>IF(O1870="","",N1870*O1870*M1870)</f>
        <v>99</v>
      </c>
      <c r="M1870" s="8">
        <v>1</v>
      </c>
      <c r="N1870" s="1">
        <v>1</v>
      </c>
      <c r="O1870" s="15">
        <f>IF(SUM(Q1870:AF1870)&lt;1,"",SUM(Q1870:AF1870)/COUNTIF(Q1870:AF1870,"&gt;0"))</f>
        <v>99</v>
      </c>
      <c r="P1870" s="16"/>
      <c r="Q1870" s="13"/>
      <c r="R1870" s="4"/>
      <c r="S1870" s="4"/>
      <c r="T1870" s="4">
        <v>99</v>
      </c>
      <c r="U1870" s="2"/>
      <c r="V1870" s="2"/>
      <c r="W1870" s="2"/>
      <c r="X1870" s="2"/>
      <c r="Y1870" s="4"/>
      <c r="Z1870" s="2"/>
      <c r="AA1870" s="2"/>
      <c r="AB1870" s="4"/>
      <c r="AC1870" s="4"/>
      <c r="AD1870" s="4"/>
      <c r="AE1870" s="4"/>
      <c r="AF1870" s="14"/>
    </row>
    <row r="1871" spans="1:32" x14ac:dyDescent="0.25">
      <c r="A1871" s="33" t="str">
        <f>CONCATENATE(D1871,".",F1871,"-",G1871,".",H1871,"")</f>
        <v>3.2-4.1</v>
      </c>
      <c r="C1871" s="39" t="s">
        <v>336</v>
      </c>
      <c r="D1871" s="33">
        <f>IF(C1871="ID",1,(IF(C1871="PR",2,(IF(C1871="DE",3,(IF(C1871="RS",4,(IF(C1871="RC",5,0)))))))))</f>
        <v>3</v>
      </c>
      <c r="E1871" s="33" t="s">
        <v>259</v>
      </c>
      <c r="F1871" s="33">
        <f>IF(E1871="AM",1,(IF(E1871="BE",2,(IF(E1871="GV",3,(IF(E1871="RA",4,(IF(E1871="RM",5,(IF(E1871="AC",1,(IF(E1871="AT",2,(IF(E1871="DS",3,(IF(E1871="IP",4,(IF(E1871="MA",5,(IF(E1871="PT",6,(IF(E1871="AE",1,(IF(E1871="CM",2,(IF(E1871="DP",3,(IF(E1871="AN",1,(IF(E1871="CO",2,(IF(E1871="IM",3,(IF(E1871="MI",4,(IF(E1871="RP",5,(IF(E1871="SC",6,0)))))))))))))))))))))))))))))))))))))))</f>
        <v>2</v>
      </c>
      <c r="G1871" s="170">
        <v>4</v>
      </c>
      <c r="H1871" s="38" t="s">
        <v>511</v>
      </c>
      <c r="I1871" s="3" t="s">
        <v>1449</v>
      </c>
      <c r="J1871" s="157" t="s">
        <v>3041</v>
      </c>
      <c r="K1871" s="34" t="s">
        <v>3042</v>
      </c>
      <c r="L1871" s="5">
        <f>IF(O1871="","",N1871*O1871*M1871)</f>
        <v>99</v>
      </c>
      <c r="M1871" s="8">
        <v>1</v>
      </c>
      <c r="N1871" s="1">
        <v>1</v>
      </c>
      <c r="O1871" s="15">
        <f>IF(SUM(Q1871:AF1871)&lt;1,"",SUM(Q1871:AF1871)/COUNTIF(Q1871:AF1871,"&gt;0"))</f>
        <v>99</v>
      </c>
      <c r="P1871" s="16"/>
      <c r="Q1871" s="13"/>
      <c r="R1871" s="4"/>
      <c r="S1871" s="4"/>
      <c r="T1871" s="4">
        <v>99</v>
      </c>
      <c r="U1871" s="2"/>
      <c r="V1871" s="2"/>
      <c r="W1871" s="2"/>
      <c r="X1871" s="2"/>
      <c r="Y1871" s="4"/>
      <c r="Z1871" s="2"/>
      <c r="AA1871" s="2"/>
      <c r="AB1871" s="4"/>
      <c r="AC1871" s="4"/>
      <c r="AD1871" s="4"/>
      <c r="AE1871" s="4"/>
      <c r="AF1871" s="14"/>
    </row>
    <row r="1872" spans="1:32" x14ac:dyDescent="0.25">
      <c r="A1872" s="33" t="str">
        <f>CONCATENATE(D1872,".",F1872,"-",G1872,".",H1872,"")</f>
        <v>3.2-4.1</v>
      </c>
      <c r="C1872" s="39" t="s">
        <v>336</v>
      </c>
      <c r="D1872" s="33">
        <f>IF(C1872="ID",1,(IF(C1872="PR",2,(IF(C1872="DE",3,(IF(C1872="RS",4,(IF(C1872="RC",5,0)))))))))</f>
        <v>3</v>
      </c>
      <c r="E1872" s="33" t="s">
        <v>259</v>
      </c>
      <c r="F1872" s="33">
        <f>IF(E1872="AM",1,(IF(E1872="BE",2,(IF(E1872="GV",3,(IF(E1872="RA",4,(IF(E1872="RM",5,(IF(E1872="AC",1,(IF(E1872="AT",2,(IF(E1872="DS",3,(IF(E1872="IP",4,(IF(E1872="MA",5,(IF(E1872="PT",6,(IF(E1872="AE",1,(IF(E1872="CM",2,(IF(E1872="DP",3,(IF(E1872="AN",1,(IF(E1872="CO",2,(IF(E1872="IM",3,(IF(E1872="MI",4,(IF(E1872="RP",5,(IF(E1872="SC",6,0)))))))))))))))))))))))))))))))))))))))</f>
        <v>2</v>
      </c>
      <c r="G1872" s="170">
        <v>4</v>
      </c>
      <c r="H1872" s="38" t="s">
        <v>511</v>
      </c>
      <c r="I1872" s="3" t="s">
        <v>1449</v>
      </c>
      <c r="J1872" s="157" t="s">
        <v>3043</v>
      </c>
      <c r="K1872" s="34" t="s">
        <v>3044</v>
      </c>
      <c r="L1872" s="5">
        <f>IF(O1872="","",N1872*O1872*M1872)</f>
        <v>99</v>
      </c>
      <c r="M1872" s="8">
        <v>1</v>
      </c>
      <c r="N1872" s="1">
        <v>1</v>
      </c>
      <c r="O1872" s="15">
        <f>IF(SUM(Q1872:AF1872)&lt;1,"",SUM(Q1872:AF1872)/COUNTIF(Q1872:AF1872,"&gt;0"))</f>
        <v>99</v>
      </c>
      <c r="P1872" s="16"/>
      <c r="Q1872" s="13"/>
      <c r="R1872" s="4"/>
      <c r="S1872" s="4"/>
      <c r="T1872" s="4">
        <v>99</v>
      </c>
      <c r="U1872" s="2"/>
      <c r="V1872" s="2"/>
      <c r="W1872" s="2"/>
      <c r="X1872" s="2"/>
      <c r="Y1872" s="4"/>
      <c r="Z1872" s="2"/>
      <c r="AA1872" s="2"/>
      <c r="AB1872" s="4"/>
      <c r="AC1872" s="4"/>
      <c r="AD1872" s="4"/>
      <c r="AE1872" s="4"/>
      <c r="AF1872" s="14"/>
    </row>
    <row r="1873" spans="1:32" x14ac:dyDescent="0.25">
      <c r="A1873" s="33" t="str">
        <f>CONCATENATE(D1873,".",F1873,"-",G1873,".",H1873,"")</f>
        <v>3.2-4.1</v>
      </c>
      <c r="C1873" s="39" t="s">
        <v>336</v>
      </c>
      <c r="D1873" s="33">
        <f>IF(C1873="ID",1,(IF(C1873="PR",2,(IF(C1873="DE",3,(IF(C1873="RS",4,(IF(C1873="RC",5,0)))))))))</f>
        <v>3</v>
      </c>
      <c r="E1873" s="33" t="s">
        <v>259</v>
      </c>
      <c r="F1873" s="33">
        <f>IF(E1873="AM",1,(IF(E1873="BE",2,(IF(E1873="GV",3,(IF(E1873="RA",4,(IF(E1873="RM",5,(IF(E1873="AC",1,(IF(E1873="AT",2,(IF(E1873="DS",3,(IF(E1873="IP",4,(IF(E1873="MA",5,(IF(E1873="PT",6,(IF(E1873="AE",1,(IF(E1873="CM",2,(IF(E1873="DP",3,(IF(E1873="AN",1,(IF(E1873="CO",2,(IF(E1873="IM",3,(IF(E1873="MI",4,(IF(E1873="RP",5,(IF(E1873="SC",6,0)))))))))))))))))))))))))))))))))))))))</f>
        <v>2</v>
      </c>
      <c r="G1873" s="170">
        <v>4</v>
      </c>
      <c r="H1873" s="38" t="s">
        <v>511</v>
      </c>
      <c r="I1873" s="3" t="s">
        <v>1449</v>
      </c>
      <c r="J1873" s="157" t="s">
        <v>3045</v>
      </c>
      <c r="K1873" s="34" t="s">
        <v>3046</v>
      </c>
      <c r="L1873" s="5">
        <f>IF(O1873="","",N1873*O1873*M1873)</f>
        <v>99</v>
      </c>
      <c r="M1873" s="8">
        <v>1</v>
      </c>
      <c r="N1873" s="1">
        <v>1</v>
      </c>
      <c r="O1873" s="15">
        <f>IF(SUM(Q1873:AF1873)&lt;1,"",SUM(Q1873:AF1873)/COUNTIF(Q1873:AF1873,"&gt;0"))</f>
        <v>99</v>
      </c>
      <c r="P1873" s="16"/>
      <c r="Q1873" s="13"/>
      <c r="R1873" s="4"/>
      <c r="S1873" s="4"/>
      <c r="T1873" s="4">
        <v>99</v>
      </c>
      <c r="U1873" s="2"/>
      <c r="V1873" s="2"/>
      <c r="W1873" s="2"/>
      <c r="X1873" s="2"/>
      <c r="Y1873" s="4"/>
      <c r="Z1873" s="2"/>
      <c r="AA1873" s="2"/>
      <c r="AB1873" s="4"/>
      <c r="AC1873" s="4"/>
      <c r="AD1873" s="4"/>
      <c r="AE1873" s="4"/>
      <c r="AF1873" s="14"/>
    </row>
    <row r="1874" spans="1:32" x14ac:dyDescent="0.25">
      <c r="A1874" s="33" t="str">
        <f>CONCATENATE(D1874,".",F1874,"-",G1874,".",H1874,"")</f>
        <v>3.2-4.1</v>
      </c>
      <c r="C1874" s="39" t="s">
        <v>336</v>
      </c>
      <c r="D1874" s="33">
        <f>IF(C1874="ID",1,(IF(C1874="PR",2,(IF(C1874="DE",3,(IF(C1874="RS",4,(IF(C1874="RC",5,0)))))))))</f>
        <v>3</v>
      </c>
      <c r="E1874" s="33" t="s">
        <v>259</v>
      </c>
      <c r="F1874" s="33">
        <f>IF(E1874="AM",1,(IF(E1874="BE",2,(IF(E1874="GV",3,(IF(E1874="RA",4,(IF(E1874="RM",5,(IF(E1874="AC",1,(IF(E1874="AT",2,(IF(E1874="DS",3,(IF(E1874="IP",4,(IF(E1874="MA",5,(IF(E1874="PT",6,(IF(E1874="AE",1,(IF(E1874="CM",2,(IF(E1874="DP",3,(IF(E1874="AN",1,(IF(E1874="CO",2,(IF(E1874="IM",3,(IF(E1874="MI",4,(IF(E1874="RP",5,(IF(E1874="SC",6,0)))))))))))))))))))))))))))))))))))))))</f>
        <v>2</v>
      </c>
      <c r="G1874" s="170">
        <v>4</v>
      </c>
      <c r="H1874" s="38" t="s">
        <v>511</v>
      </c>
      <c r="I1874" s="3" t="s">
        <v>1449</v>
      </c>
      <c r="J1874" s="157" t="s">
        <v>3047</v>
      </c>
      <c r="K1874" s="34" t="s">
        <v>3048</v>
      </c>
      <c r="L1874" s="5">
        <f>IF(O1874="","",N1874*O1874*M1874)</f>
        <v>99</v>
      </c>
      <c r="M1874" s="8">
        <v>1</v>
      </c>
      <c r="N1874" s="1">
        <v>1</v>
      </c>
      <c r="O1874" s="15">
        <f>IF(SUM(Q1874:AF1874)&lt;1,"",SUM(Q1874:AF1874)/COUNTIF(Q1874:AF1874,"&gt;0"))</f>
        <v>99</v>
      </c>
      <c r="P1874" s="16"/>
      <c r="Q1874" s="13"/>
      <c r="R1874" s="4"/>
      <c r="S1874" s="4"/>
      <c r="T1874" s="4">
        <v>99</v>
      </c>
      <c r="U1874" s="2"/>
      <c r="V1874" s="2"/>
      <c r="W1874" s="2"/>
      <c r="X1874" s="2"/>
      <c r="Y1874" s="4"/>
      <c r="Z1874" s="2"/>
      <c r="AA1874" s="2"/>
      <c r="AB1874" s="4"/>
      <c r="AC1874" s="4"/>
      <c r="AD1874" s="4"/>
      <c r="AE1874" s="4"/>
      <c r="AF1874" s="14"/>
    </row>
    <row r="1875" spans="1:32" x14ac:dyDescent="0.25">
      <c r="A1875" s="33" t="str">
        <f>CONCATENATE(D1875,".",F1875,"-",G1875,".",H1875,"")</f>
        <v>3.2-4.1</v>
      </c>
      <c r="C1875" s="39" t="s">
        <v>336</v>
      </c>
      <c r="D1875" s="33">
        <f>IF(C1875="ID",1,(IF(C1875="PR",2,(IF(C1875="DE",3,(IF(C1875="RS",4,(IF(C1875="RC",5,0)))))))))</f>
        <v>3</v>
      </c>
      <c r="E1875" s="33" t="s">
        <v>259</v>
      </c>
      <c r="F1875" s="33">
        <f>IF(E1875="AM",1,(IF(E1875="BE",2,(IF(E1875="GV",3,(IF(E1875="RA",4,(IF(E1875="RM",5,(IF(E1875="AC",1,(IF(E1875="AT",2,(IF(E1875="DS",3,(IF(E1875="IP",4,(IF(E1875="MA",5,(IF(E1875="PT",6,(IF(E1875="AE",1,(IF(E1875="CM",2,(IF(E1875="DP",3,(IF(E1875="AN",1,(IF(E1875="CO",2,(IF(E1875="IM",3,(IF(E1875="MI",4,(IF(E1875="RP",5,(IF(E1875="SC",6,0)))))))))))))))))))))))))))))))))))))))</f>
        <v>2</v>
      </c>
      <c r="G1875" s="170">
        <v>4</v>
      </c>
      <c r="H1875" s="38" t="s">
        <v>511</v>
      </c>
      <c r="I1875" s="3" t="s">
        <v>1449</v>
      </c>
      <c r="J1875" s="157" t="s">
        <v>3049</v>
      </c>
      <c r="K1875" s="34" t="s">
        <v>3050</v>
      </c>
      <c r="L1875" s="5">
        <f>IF(O1875="","",N1875*O1875*M1875)</f>
        <v>99</v>
      </c>
      <c r="M1875" s="8">
        <v>1</v>
      </c>
      <c r="N1875" s="1">
        <v>1</v>
      </c>
      <c r="O1875" s="15">
        <f>IF(SUM(Q1875:AF1875)&lt;1,"",SUM(Q1875:AF1875)/COUNTIF(Q1875:AF1875,"&gt;0"))</f>
        <v>99</v>
      </c>
      <c r="P1875" s="16"/>
      <c r="Q1875" s="13"/>
      <c r="R1875" s="4"/>
      <c r="S1875" s="4"/>
      <c r="T1875" s="4">
        <v>99</v>
      </c>
      <c r="U1875" s="2"/>
      <c r="V1875" s="2"/>
      <c r="W1875" s="2"/>
      <c r="X1875" s="2"/>
      <c r="Y1875" s="4"/>
      <c r="Z1875" s="2"/>
      <c r="AA1875" s="2"/>
      <c r="AB1875" s="4"/>
      <c r="AC1875" s="4"/>
      <c r="AD1875" s="4"/>
      <c r="AE1875" s="4"/>
      <c r="AF1875" s="14"/>
    </row>
    <row r="1876" spans="1:32" x14ac:dyDescent="0.25">
      <c r="A1876" s="33" t="str">
        <f>CONCATENATE(D1876,".",F1876,"-",G1876,".",H1876,"")</f>
        <v>3.2-4.9</v>
      </c>
      <c r="C1876" s="39" t="s">
        <v>336</v>
      </c>
      <c r="D1876" s="33">
        <f>IF(C1876="ID",1,(IF(C1876="PR",2,(IF(C1876="DE",3,(IF(C1876="RS",4,(IF(C1876="RC",5,0)))))))))</f>
        <v>3</v>
      </c>
      <c r="E1876" s="33" t="s">
        <v>259</v>
      </c>
      <c r="F1876" s="33">
        <f>IF(E1876="AM",1,(IF(E1876="BE",2,(IF(E1876="GV",3,(IF(E1876="RA",4,(IF(E1876="RM",5,(IF(E1876="AC",1,(IF(E1876="AT",2,(IF(E1876="DS",3,(IF(E1876="IP",4,(IF(E1876="MA",5,(IF(E1876="PT",6,(IF(E1876="AE",1,(IF(E1876="CM",2,(IF(E1876="DP",3,(IF(E1876="AN",1,(IF(E1876="CO",2,(IF(E1876="IM",3,(IF(E1876="MI",4,(IF(E1876="RP",5,(IF(E1876="SC",6,0)))))))))))))))))))))))))))))))))))))))</f>
        <v>2</v>
      </c>
      <c r="G1876" s="170">
        <v>4</v>
      </c>
      <c r="H1876" s="38" t="s">
        <v>596</v>
      </c>
      <c r="I1876" s="3" t="s">
        <v>1449</v>
      </c>
      <c r="J1876" s="157" t="s">
        <v>2865</v>
      </c>
      <c r="K1876" s="34" t="s">
        <v>2866</v>
      </c>
      <c r="L1876" s="5">
        <f>IF(O1876="","",N1876*O1876*M1876)</f>
        <v>99</v>
      </c>
      <c r="M1876" s="8">
        <v>1</v>
      </c>
      <c r="N1876" s="1">
        <v>1</v>
      </c>
      <c r="O1876" s="15">
        <f>IF(SUM(Q1876:AF1876)&lt;1,"",SUM(Q1876:AF1876)/COUNTIF(Q1876:AF1876,"&gt;0"))</f>
        <v>99</v>
      </c>
      <c r="P1876" s="16"/>
      <c r="Q1876" s="13"/>
      <c r="R1876" s="4"/>
      <c r="S1876" s="4"/>
      <c r="T1876" s="4">
        <v>99</v>
      </c>
      <c r="U1876" s="2"/>
      <c r="V1876" s="2"/>
      <c r="W1876" s="2"/>
      <c r="X1876" s="2"/>
      <c r="Y1876" s="4"/>
      <c r="Z1876" s="2"/>
      <c r="AA1876" s="2"/>
      <c r="AB1876" s="4"/>
      <c r="AC1876" s="4"/>
      <c r="AD1876" s="4"/>
      <c r="AE1876" s="4"/>
      <c r="AF1876" s="14"/>
    </row>
    <row r="1877" spans="1:32" x14ac:dyDescent="0.25">
      <c r="A1877" s="33" t="str">
        <f>CONCATENATE(D1877,".",F1877,"-",G1877,".",H1877,"")</f>
        <v>3.2-5.0</v>
      </c>
      <c r="B1877" s="33" t="s">
        <v>814</v>
      </c>
      <c r="C1877" s="40" t="s">
        <v>336</v>
      </c>
      <c r="D1877" s="33">
        <f>IF(C1877="ID",1,(IF(C1877="PR",2,(IF(C1877="DE",3,(IF(C1877="RS",4,(IF(C1877="RC",5,0)))))))))</f>
        <v>3</v>
      </c>
      <c r="E1877" s="33" t="s">
        <v>259</v>
      </c>
      <c r="F1877" s="33">
        <f>IF(E1877="AM",1,(IF(E1877="BE",2,(IF(E1877="GV",3,(IF(E1877="RA",4,(IF(E1877="RM",5,(IF(E1877="AC",1,(IF(E1877="AT",2,(IF(E1877="DS",3,(IF(E1877="IP",4,(IF(E1877="MA",5,(IF(E1877="PT",6,(IF(E1877="AE",1,(IF(E1877="CM",2,(IF(E1877="DP",3,(IF(E1877="AN",1,(IF(E1877="CO",2,(IF(E1877="IM",3,(IF(E1877="MI",4,(IF(E1877="RP",5,(IF(E1877="SC",6,0)))))))))))))))))))))))))))))))))))))))</f>
        <v>2</v>
      </c>
      <c r="G1877" s="170">
        <v>5</v>
      </c>
      <c r="H1877" s="38" t="s">
        <v>597</v>
      </c>
      <c r="I1877" s="22" t="s">
        <v>1200</v>
      </c>
      <c r="J1877" s="149" t="s">
        <v>633</v>
      </c>
      <c r="K1877" s="99" t="s">
        <v>410</v>
      </c>
      <c r="L1877" s="66">
        <f>IF(O1877="","",N1877*O1877*M1877)</f>
        <v>75</v>
      </c>
      <c r="M1877" s="8">
        <v>1</v>
      </c>
      <c r="N1877" s="1">
        <v>1</v>
      </c>
      <c r="O1877" s="15">
        <f>IF(SUM(Q1877:AF1877)&lt;1,"",SUM(Q1877:AF1877)/COUNTIF(Q1877:AF1877,"&gt;0"))</f>
        <v>75</v>
      </c>
      <c r="P1877" s="16"/>
      <c r="Q1877" s="13"/>
      <c r="R1877" s="4"/>
      <c r="S1877" s="4"/>
      <c r="T1877" s="4">
        <v>75</v>
      </c>
      <c r="U1877" s="2"/>
      <c r="V1877" s="2"/>
      <c r="W1877" s="2"/>
      <c r="X1877" s="2"/>
      <c r="Y1877" s="4"/>
      <c r="Z1877" s="2"/>
      <c r="AA1877" s="2"/>
      <c r="AB1877" s="4"/>
      <c r="AC1877" s="4"/>
      <c r="AD1877" s="4"/>
      <c r="AE1877" s="4"/>
      <c r="AF1877" s="14"/>
    </row>
    <row r="1878" spans="1:32" x14ac:dyDescent="0.25">
      <c r="A1878" s="33" t="str">
        <f>CONCATENATE(D1878,".",F1878,"-",G1878,".",H1878,"")</f>
        <v>3.2-5.1</v>
      </c>
      <c r="B1878" s="33" t="s">
        <v>814</v>
      </c>
      <c r="C1878" s="39" t="s">
        <v>336</v>
      </c>
      <c r="D1878" s="33">
        <f>IF(C1878="ID",1,(IF(C1878="PR",2,(IF(C1878="DE",3,(IF(C1878="RS",4,(IF(C1878="RC",5,0)))))))))</f>
        <v>3</v>
      </c>
      <c r="E1878" s="33" t="s">
        <v>259</v>
      </c>
      <c r="F1878" s="33">
        <f>IF(E1878="AM",1,(IF(E1878="BE",2,(IF(E1878="GV",3,(IF(E1878="RA",4,(IF(E1878="RM",5,(IF(E1878="AC",1,(IF(E1878="AT",2,(IF(E1878="DS",3,(IF(E1878="IP",4,(IF(E1878="MA",5,(IF(E1878="PT",6,(IF(E1878="AE",1,(IF(E1878="CM",2,(IF(E1878="DP",3,(IF(E1878="AN",1,(IF(E1878="CO",2,(IF(E1878="IM",3,(IF(E1878="MI",4,(IF(E1878="RP",5,(IF(E1878="SC",6,0)))))))))))))))))))))))))))))))))))))))</f>
        <v>2</v>
      </c>
      <c r="G1878" s="170">
        <v>5</v>
      </c>
      <c r="H1878" s="38" t="s">
        <v>511</v>
      </c>
      <c r="I1878" s="3" t="s">
        <v>821</v>
      </c>
      <c r="J1878" s="150">
        <v>5.3</v>
      </c>
      <c r="K1878" s="79" t="s">
        <v>1283</v>
      </c>
      <c r="L1878" s="66">
        <f>IF(O1878="","",N1878*O1878*M1878)</f>
        <v>75</v>
      </c>
      <c r="M1878" s="8">
        <v>1</v>
      </c>
      <c r="N1878" s="3">
        <v>1</v>
      </c>
      <c r="O1878" s="15">
        <f>IF(SUM(Q1878:AF1878)&lt;1,"",SUM(Q1878:AF1878)/COUNTIF(Q1878:AF1878,"&gt;0"))</f>
        <v>75</v>
      </c>
      <c r="P1878" s="16"/>
      <c r="Q1878" s="13"/>
      <c r="R1878" s="4"/>
      <c r="S1878" s="4"/>
      <c r="T1878" s="4">
        <v>75</v>
      </c>
      <c r="U1878" s="2"/>
      <c r="V1878" s="2"/>
      <c r="W1878" s="2"/>
      <c r="X1878" s="2"/>
      <c r="Y1878" s="4"/>
      <c r="Z1878" s="2"/>
      <c r="AA1878" s="2"/>
      <c r="AB1878" s="4"/>
      <c r="AC1878" s="4"/>
      <c r="AD1878" s="4"/>
      <c r="AE1878" s="4"/>
      <c r="AF1878" s="14"/>
    </row>
    <row r="1879" spans="1:32" x14ac:dyDescent="0.25">
      <c r="A1879" s="33" t="str">
        <f>CONCATENATE(D1879,".",F1879,"-",G1879,".",H1879,"")</f>
        <v>3.2-5.1</v>
      </c>
      <c r="B1879" s="33" t="s">
        <v>814</v>
      </c>
      <c r="C1879" s="40" t="s">
        <v>336</v>
      </c>
      <c r="D1879" s="33">
        <f>IF(C1879="ID",1,(IF(C1879="PR",2,(IF(C1879="DE",3,(IF(C1879="RS",4,(IF(C1879="RC",5,0)))))))))</f>
        <v>3</v>
      </c>
      <c r="E1879" s="33" t="s">
        <v>259</v>
      </c>
      <c r="F1879" s="33">
        <f>IF(E1879="AM",1,(IF(E1879="BE",2,(IF(E1879="GV",3,(IF(E1879="RA",4,(IF(E1879="RM",5,(IF(E1879="AC",1,(IF(E1879="AT",2,(IF(E1879="DS",3,(IF(E1879="IP",4,(IF(E1879="MA",5,(IF(E1879="PT",6,(IF(E1879="AE",1,(IF(E1879="CM",2,(IF(E1879="DP",3,(IF(E1879="AN",1,(IF(E1879="CO",2,(IF(E1879="IM",3,(IF(E1879="MI",4,(IF(E1879="RP",5,(IF(E1879="SC",6,0)))))))))))))))))))))))))))))))))))))))</f>
        <v>2</v>
      </c>
      <c r="G1879" s="171">
        <v>5</v>
      </c>
      <c r="H1879" s="38" t="s">
        <v>511</v>
      </c>
      <c r="I1879" s="22" t="s">
        <v>936</v>
      </c>
      <c r="J1879" s="163" t="s">
        <v>891</v>
      </c>
      <c r="K1879" s="34" t="s">
        <v>975</v>
      </c>
      <c r="L1879" s="66">
        <f>IF(O1879="","",N1879*O1879*M1879)</f>
        <v>75</v>
      </c>
      <c r="M1879" s="8">
        <v>1</v>
      </c>
      <c r="N1879" s="3">
        <v>1</v>
      </c>
      <c r="O1879" s="15">
        <f>IF(SUM(Q1879:AF1879)&lt;1,"",SUM(Q1879:AF1879)/COUNTIF(Q1879:AF1879,"&gt;0"))</f>
        <v>75</v>
      </c>
      <c r="P1879" s="16"/>
      <c r="Q1879" s="13"/>
      <c r="R1879" s="4"/>
      <c r="S1879" s="4"/>
      <c r="T1879" s="4">
        <v>75</v>
      </c>
      <c r="U1879" s="2"/>
      <c r="V1879" s="2"/>
      <c r="W1879" s="2"/>
      <c r="X1879" s="2"/>
      <c r="Y1879" s="4"/>
      <c r="Z1879" s="2"/>
      <c r="AA1879" s="2"/>
      <c r="AB1879" s="4"/>
      <c r="AC1879" s="4"/>
      <c r="AD1879" s="4"/>
      <c r="AE1879" s="4"/>
      <c r="AF1879" s="14"/>
    </row>
    <row r="1880" spans="1:32" x14ac:dyDescent="0.25">
      <c r="A1880" s="33" t="str">
        <f>CONCATENATE(D1880,".",F1880,"-",G1880,".",H1880,"")</f>
        <v>3.2-5.1</v>
      </c>
      <c r="B1880" s="33" t="s">
        <v>814</v>
      </c>
      <c r="C1880" s="39" t="s">
        <v>336</v>
      </c>
      <c r="D1880" s="33">
        <f>IF(C1880="ID",1,(IF(C1880="PR",2,(IF(C1880="DE",3,(IF(C1880="RS",4,(IF(C1880="RC",5,0)))))))))</f>
        <v>3</v>
      </c>
      <c r="E1880" s="33" t="s">
        <v>259</v>
      </c>
      <c r="F1880" s="33">
        <f>IF(E1880="AM",1,(IF(E1880="BE",2,(IF(E1880="GV",3,(IF(E1880="RA",4,(IF(E1880="RM",5,(IF(E1880="AC",1,(IF(E1880="AT",2,(IF(E1880="DS",3,(IF(E1880="IP",4,(IF(E1880="MA",5,(IF(E1880="PT",6,(IF(E1880="AE",1,(IF(E1880="CM",2,(IF(E1880="DP",3,(IF(E1880="AN",1,(IF(E1880="CO",2,(IF(E1880="IM",3,(IF(E1880="MI",4,(IF(E1880="RP",5,(IF(E1880="SC",6,0)))))))))))))))))))))))))))))))))))))))</f>
        <v>2</v>
      </c>
      <c r="G1880" s="170">
        <v>5</v>
      </c>
      <c r="H1880" s="33">
        <v>1</v>
      </c>
      <c r="I1880" s="22" t="s">
        <v>266</v>
      </c>
      <c r="J1880" s="149" t="s">
        <v>495</v>
      </c>
      <c r="K1880" s="79" t="s">
        <v>1403</v>
      </c>
      <c r="L1880" s="66">
        <f>IF(O1880="","",N1880*O1880*M1880)</f>
        <v>75</v>
      </c>
      <c r="M1880" s="8">
        <v>1</v>
      </c>
      <c r="N1880" s="1">
        <v>1</v>
      </c>
      <c r="O1880" s="15">
        <f>IF(SUM(Q1880:AF1880)&lt;1,"",SUM(Q1880:AF1880)/COUNTIF(Q1880:AF1880,"&gt;0"))</f>
        <v>75</v>
      </c>
      <c r="P1880" s="16"/>
      <c r="Q1880" s="13"/>
      <c r="R1880" s="4"/>
      <c r="S1880" s="4"/>
      <c r="T1880" s="4">
        <v>75</v>
      </c>
      <c r="U1880" s="2"/>
      <c r="V1880" s="2"/>
      <c r="W1880" s="2"/>
      <c r="X1880" s="2"/>
      <c r="Y1880" s="4"/>
      <c r="Z1880" s="2"/>
      <c r="AA1880" s="2"/>
      <c r="AB1880" s="4"/>
      <c r="AC1880" s="4"/>
      <c r="AD1880" s="4"/>
      <c r="AE1880" s="4"/>
      <c r="AF1880" s="14"/>
    </row>
    <row r="1881" spans="1:32" x14ac:dyDescent="0.25">
      <c r="A1881" s="33" t="str">
        <f>CONCATENATE(D1881,".",F1881,"-",G1881,".",H1881,"")</f>
        <v>3.2-5.1</v>
      </c>
      <c r="C1881" s="39" t="s">
        <v>336</v>
      </c>
      <c r="D1881" s="33">
        <f>IF(C1881="ID",1,(IF(C1881="PR",2,(IF(C1881="DE",3,(IF(C1881="RS",4,(IF(C1881="RC",5,0)))))))))</f>
        <v>3</v>
      </c>
      <c r="E1881" s="33" t="s">
        <v>259</v>
      </c>
      <c r="F1881" s="33">
        <f>IF(E1881="AM",1,(IF(E1881="BE",2,(IF(E1881="GV",3,(IF(E1881="RA",4,(IF(E1881="RM",5,(IF(E1881="AC",1,(IF(E1881="AT",2,(IF(E1881="DS",3,(IF(E1881="IP",4,(IF(E1881="MA",5,(IF(E1881="PT",6,(IF(E1881="AE",1,(IF(E1881="CM",2,(IF(E1881="DP",3,(IF(E1881="AN",1,(IF(E1881="CO",2,(IF(E1881="IM",3,(IF(E1881="MI",4,(IF(E1881="RP",5,(IF(E1881="SC",6,0)))))))))))))))))))))))))))))))))))))))</f>
        <v>2</v>
      </c>
      <c r="G1881" s="170">
        <v>5</v>
      </c>
      <c r="H1881" s="38" t="s">
        <v>511</v>
      </c>
      <c r="I1881" s="3" t="s">
        <v>1449</v>
      </c>
      <c r="J1881" s="157" t="s">
        <v>2773</v>
      </c>
      <c r="K1881" s="34" t="s">
        <v>2774</v>
      </c>
      <c r="L1881" s="5">
        <f>IF(O1881="","",N1881*O1881*M1881)</f>
        <v>99</v>
      </c>
      <c r="M1881" s="8">
        <v>1</v>
      </c>
      <c r="N1881" s="1">
        <v>1</v>
      </c>
      <c r="O1881" s="15">
        <f>IF(SUM(Q1881:AF1881)&lt;1,"",SUM(Q1881:AF1881)/COUNTIF(Q1881:AF1881,"&gt;0"))</f>
        <v>99</v>
      </c>
      <c r="P1881" s="16"/>
      <c r="Q1881" s="13"/>
      <c r="R1881" s="4"/>
      <c r="S1881" s="4"/>
      <c r="T1881" s="4">
        <v>99</v>
      </c>
      <c r="U1881" s="2"/>
      <c r="V1881" s="2"/>
      <c r="W1881" s="2"/>
      <c r="X1881" s="2"/>
      <c r="Y1881" s="4"/>
      <c r="Z1881" s="2"/>
      <c r="AA1881" s="2"/>
      <c r="AB1881" s="4"/>
      <c r="AC1881" s="4"/>
      <c r="AD1881" s="4"/>
      <c r="AE1881" s="4"/>
      <c r="AF1881" s="14"/>
    </row>
    <row r="1882" spans="1:32" x14ac:dyDescent="0.25">
      <c r="A1882" s="33" t="str">
        <f>CONCATENATE(D1882,".",F1882,"-",G1882,".",H1882,"")</f>
        <v>3.2-5.1</v>
      </c>
      <c r="C1882" s="39" t="s">
        <v>336</v>
      </c>
      <c r="D1882" s="33">
        <f>IF(C1882="ID",1,(IF(C1882="PR",2,(IF(C1882="DE",3,(IF(C1882="RS",4,(IF(C1882="RC",5,0)))))))))</f>
        <v>3</v>
      </c>
      <c r="E1882" s="33" t="s">
        <v>259</v>
      </c>
      <c r="F1882" s="33">
        <f>IF(E1882="AM",1,(IF(E1882="BE",2,(IF(E1882="GV",3,(IF(E1882="RA",4,(IF(E1882="RM",5,(IF(E1882="AC",1,(IF(E1882="AT",2,(IF(E1882="DS",3,(IF(E1882="IP",4,(IF(E1882="MA",5,(IF(E1882="PT",6,(IF(E1882="AE",1,(IF(E1882="CM",2,(IF(E1882="DP",3,(IF(E1882="AN",1,(IF(E1882="CO",2,(IF(E1882="IM",3,(IF(E1882="MI",4,(IF(E1882="RP",5,(IF(E1882="SC",6,0)))))))))))))))))))))))))))))))))))))))</f>
        <v>2</v>
      </c>
      <c r="G1882" s="170">
        <v>5</v>
      </c>
      <c r="H1882" s="38" t="s">
        <v>511</v>
      </c>
      <c r="I1882" s="3" t="s">
        <v>1449</v>
      </c>
      <c r="J1882" s="157" t="s">
        <v>2775</v>
      </c>
      <c r="K1882" s="34" t="s">
        <v>2776</v>
      </c>
      <c r="L1882" s="5">
        <f>IF(O1882="","",N1882*O1882*M1882)</f>
        <v>99</v>
      </c>
      <c r="M1882" s="8">
        <v>1</v>
      </c>
      <c r="N1882" s="1">
        <v>1</v>
      </c>
      <c r="O1882" s="15">
        <f>IF(SUM(Q1882:AF1882)&lt;1,"",SUM(Q1882:AF1882)/COUNTIF(Q1882:AF1882,"&gt;0"))</f>
        <v>99</v>
      </c>
      <c r="P1882" s="16"/>
      <c r="Q1882" s="13"/>
      <c r="R1882" s="4"/>
      <c r="S1882" s="4"/>
      <c r="T1882" s="4">
        <v>99</v>
      </c>
      <c r="U1882" s="2"/>
      <c r="V1882" s="2"/>
      <c r="W1882" s="2"/>
      <c r="X1882" s="2"/>
      <c r="Y1882" s="4"/>
      <c r="Z1882" s="2"/>
      <c r="AA1882" s="2"/>
      <c r="AB1882" s="4"/>
      <c r="AC1882" s="4"/>
      <c r="AD1882" s="4"/>
      <c r="AE1882" s="4"/>
      <c r="AF1882" s="14"/>
    </row>
    <row r="1883" spans="1:32" x14ac:dyDescent="0.25">
      <c r="A1883" s="33" t="str">
        <f>CONCATENATE(D1883,".",F1883,"-",G1883,".",H1883,"")</f>
        <v>3.2-5.1</v>
      </c>
      <c r="C1883" s="39" t="s">
        <v>336</v>
      </c>
      <c r="D1883" s="33">
        <f>IF(C1883="ID",1,(IF(C1883="PR",2,(IF(C1883="DE",3,(IF(C1883="RS",4,(IF(C1883="RC",5,0)))))))))</f>
        <v>3</v>
      </c>
      <c r="E1883" s="33" t="s">
        <v>259</v>
      </c>
      <c r="F1883" s="33">
        <f>IF(E1883="AM",1,(IF(E1883="BE",2,(IF(E1883="GV",3,(IF(E1883="RA",4,(IF(E1883="RM",5,(IF(E1883="AC",1,(IF(E1883="AT",2,(IF(E1883="DS",3,(IF(E1883="IP",4,(IF(E1883="MA",5,(IF(E1883="PT",6,(IF(E1883="AE",1,(IF(E1883="CM",2,(IF(E1883="DP",3,(IF(E1883="AN",1,(IF(E1883="CO",2,(IF(E1883="IM",3,(IF(E1883="MI",4,(IF(E1883="RP",5,(IF(E1883="SC",6,0)))))))))))))))))))))))))))))))))))))))</f>
        <v>2</v>
      </c>
      <c r="G1883" s="170">
        <v>5</v>
      </c>
      <c r="H1883" s="38" t="s">
        <v>511</v>
      </c>
      <c r="I1883" s="3" t="s">
        <v>1449</v>
      </c>
      <c r="J1883" s="157" t="s">
        <v>2777</v>
      </c>
      <c r="K1883" s="34" t="s">
        <v>2778</v>
      </c>
      <c r="L1883" s="5">
        <f>IF(O1883="","",N1883*O1883*M1883)</f>
        <v>99</v>
      </c>
      <c r="M1883" s="8">
        <v>1</v>
      </c>
      <c r="N1883" s="1">
        <v>1</v>
      </c>
      <c r="O1883" s="15">
        <f>IF(SUM(Q1883:AF1883)&lt;1,"",SUM(Q1883:AF1883)/COUNTIF(Q1883:AF1883,"&gt;0"))</f>
        <v>99</v>
      </c>
      <c r="P1883" s="16"/>
      <c r="Q1883" s="13"/>
      <c r="R1883" s="4"/>
      <c r="S1883" s="4"/>
      <c r="T1883" s="4">
        <v>99</v>
      </c>
      <c r="U1883" s="2"/>
      <c r="V1883" s="2"/>
      <c r="W1883" s="2"/>
      <c r="X1883" s="2"/>
      <c r="Y1883" s="4"/>
      <c r="Z1883" s="2"/>
      <c r="AA1883" s="2"/>
      <c r="AB1883" s="4"/>
      <c r="AC1883" s="4"/>
      <c r="AD1883" s="4"/>
      <c r="AE1883" s="4"/>
      <c r="AF1883" s="14"/>
    </row>
    <row r="1884" spans="1:32" x14ac:dyDescent="0.25">
      <c r="A1884" s="33" t="str">
        <f>CONCATENATE(D1884,".",F1884,"-",G1884,".",H1884,"")</f>
        <v>3.2-5.1</v>
      </c>
      <c r="C1884" s="39" t="s">
        <v>336</v>
      </c>
      <c r="D1884" s="33">
        <f>IF(C1884="ID",1,(IF(C1884="PR",2,(IF(C1884="DE",3,(IF(C1884="RS",4,(IF(C1884="RC",5,0)))))))))</f>
        <v>3</v>
      </c>
      <c r="E1884" s="33" t="s">
        <v>259</v>
      </c>
      <c r="F1884" s="33">
        <f>IF(E1884="AM",1,(IF(E1884="BE",2,(IF(E1884="GV",3,(IF(E1884="RA",4,(IF(E1884="RM",5,(IF(E1884="AC",1,(IF(E1884="AT",2,(IF(E1884="DS",3,(IF(E1884="IP",4,(IF(E1884="MA",5,(IF(E1884="PT",6,(IF(E1884="AE",1,(IF(E1884="CM",2,(IF(E1884="DP",3,(IF(E1884="AN",1,(IF(E1884="CO",2,(IF(E1884="IM",3,(IF(E1884="MI",4,(IF(E1884="RP",5,(IF(E1884="SC",6,0)))))))))))))))))))))))))))))))))))))))</f>
        <v>2</v>
      </c>
      <c r="G1884" s="170">
        <v>5</v>
      </c>
      <c r="H1884" s="38" t="s">
        <v>511</v>
      </c>
      <c r="I1884" s="3" t="s">
        <v>1449</v>
      </c>
      <c r="J1884" s="157" t="s">
        <v>2779</v>
      </c>
      <c r="K1884" s="34" t="s">
        <v>2780</v>
      </c>
      <c r="L1884" s="5">
        <f>IF(O1884="","",N1884*O1884*M1884)</f>
        <v>99</v>
      </c>
      <c r="M1884" s="8">
        <v>1</v>
      </c>
      <c r="N1884" s="1">
        <v>1</v>
      </c>
      <c r="O1884" s="15">
        <f>IF(SUM(Q1884:AF1884)&lt;1,"",SUM(Q1884:AF1884)/COUNTIF(Q1884:AF1884,"&gt;0"))</f>
        <v>99</v>
      </c>
      <c r="P1884" s="16"/>
      <c r="Q1884" s="13"/>
      <c r="R1884" s="4"/>
      <c r="S1884" s="4"/>
      <c r="T1884" s="4">
        <v>99</v>
      </c>
      <c r="U1884" s="2"/>
      <c r="V1884" s="2"/>
      <c r="W1884" s="2"/>
      <c r="X1884" s="2"/>
      <c r="Y1884" s="4"/>
      <c r="Z1884" s="2"/>
      <c r="AA1884" s="2"/>
      <c r="AB1884" s="4"/>
      <c r="AC1884" s="4"/>
      <c r="AD1884" s="4"/>
      <c r="AE1884" s="4"/>
      <c r="AF1884" s="14"/>
    </row>
    <row r="1885" spans="1:32" x14ac:dyDescent="0.25">
      <c r="A1885" s="33" t="str">
        <f>CONCATENATE(D1885,".",F1885,"-",G1885,".",H1885,"")</f>
        <v>3.2-5.1</v>
      </c>
      <c r="C1885" s="39" t="s">
        <v>336</v>
      </c>
      <c r="D1885" s="33">
        <f>IF(C1885="ID",1,(IF(C1885="PR",2,(IF(C1885="DE",3,(IF(C1885="RS",4,(IF(C1885="RC",5,0)))))))))</f>
        <v>3</v>
      </c>
      <c r="E1885" s="33" t="s">
        <v>259</v>
      </c>
      <c r="F1885" s="33">
        <f>IF(E1885="AM",1,(IF(E1885="BE",2,(IF(E1885="GV",3,(IF(E1885="RA",4,(IF(E1885="RM",5,(IF(E1885="AC",1,(IF(E1885="AT",2,(IF(E1885="DS",3,(IF(E1885="IP",4,(IF(E1885="MA",5,(IF(E1885="PT",6,(IF(E1885="AE",1,(IF(E1885="CM",2,(IF(E1885="DP",3,(IF(E1885="AN",1,(IF(E1885="CO",2,(IF(E1885="IM",3,(IF(E1885="MI",4,(IF(E1885="RP",5,(IF(E1885="SC",6,0)))))))))))))))))))))))))))))))))))))))</f>
        <v>2</v>
      </c>
      <c r="G1885" s="170">
        <v>5</v>
      </c>
      <c r="H1885" s="38" t="s">
        <v>511</v>
      </c>
      <c r="I1885" s="3" t="s">
        <v>1449</v>
      </c>
      <c r="J1885" s="157" t="s">
        <v>2781</v>
      </c>
      <c r="K1885" s="34" t="s">
        <v>2782</v>
      </c>
      <c r="L1885" s="5">
        <f>IF(O1885="","",N1885*O1885*M1885)</f>
        <v>99</v>
      </c>
      <c r="M1885" s="8">
        <v>1</v>
      </c>
      <c r="N1885" s="1">
        <v>1</v>
      </c>
      <c r="O1885" s="15">
        <f>IF(SUM(Q1885:AF1885)&lt;1,"",SUM(Q1885:AF1885)/COUNTIF(Q1885:AF1885,"&gt;0"))</f>
        <v>99</v>
      </c>
      <c r="P1885" s="16"/>
      <c r="Q1885" s="13"/>
      <c r="R1885" s="4"/>
      <c r="S1885" s="4"/>
      <c r="T1885" s="4">
        <v>99</v>
      </c>
      <c r="U1885" s="2"/>
      <c r="V1885" s="2"/>
      <c r="W1885" s="2"/>
      <c r="X1885" s="2"/>
      <c r="Y1885" s="4"/>
      <c r="Z1885" s="2"/>
      <c r="AA1885" s="2"/>
      <c r="AB1885" s="4"/>
      <c r="AC1885" s="4"/>
      <c r="AD1885" s="4"/>
      <c r="AE1885" s="4"/>
      <c r="AF1885" s="14"/>
    </row>
    <row r="1886" spans="1:32" x14ac:dyDescent="0.25">
      <c r="A1886" s="33" t="str">
        <f>CONCATENATE(D1886,".",F1886,"-",G1886,".",H1886,"")</f>
        <v>3.2-5.1</v>
      </c>
      <c r="C1886" s="39" t="s">
        <v>336</v>
      </c>
      <c r="D1886" s="33">
        <f>IF(C1886="ID",1,(IF(C1886="PR",2,(IF(C1886="DE",3,(IF(C1886="RS",4,(IF(C1886="RC",5,0)))))))))</f>
        <v>3</v>
      </c>
      <c r="E1886" s="33" t="s">
        <v>259</v>
      </c>
      <c r="F1886" s="33">
        <f>IF(E1886="AM",1,(IF(E1886="BE",2,(IF(E1886="GV",3,(IF(E1886="RA",4,(IF(E1886="RM",5,(IF(E1886="AC",1,(IF(E1886="AT",2,(IF(E1886="DS",3,(IF(E1886="IP",4,(IF(E1886="MA",5,(IF(E1886="PT",6,(IF(E1886="AE",1,(IF(E1886="CM",2,(IF(E1886="DP",3,(IF(E1886="AN",1,(IF(E1886="CO",2,(IF(E1886="IM",3,(IF(E1886="MI",4,(IF(E1886="RP",5,(IF(E1886="SC",6,0)))))))))))))))))))))))))))))))))))))))</f>
        <v>2</v>
      </c>
      <c r="G1886" s="170">
        <v>5</v>
      </c>
      <c r="H1886" s="38" t="s">
        <v>511</v>
      </c>
      <c r="I1886" s="3" t="s">
        <v>1449</v>
      </c>
      <c r="J1886" s="157" t="s">
        <v>2783</v>
      </c>
      <c r="K1886" s="34" t="s">
        <v>2784</v>
      </c>
      <c r="L1886" s="5">
        <f>IF(O1886="","",N1886*O1886*M1886)</f>
        <v>99</v>
      </c>
      <c r="M1886" s="8">
        <v>1</v>
      </c>
      <c r="N1886" s="1">
        <v>1</v>
      </c>
      <c r="O1886" s="15">
        <f>IF(SUM(Q1886:AF1886)&lt;1,"",SUM(Q1886:AF1886)/COUNTIF(Q1886:AF1886,"&gt;0"))</f>
        <v>99</v>
      </c>
      <c r="P1886" s="16"/>
      <c r="Q1886" s="13"/>
      <c r="R1886" s="4"/>
      <c r="S1886" s="4"/>
      <c r="T1886" s="4">
        <v>99</v>
      </c>
      <c r="U1886" s="2"/>
      <c r="V1886" s="2"/>
      <c r="W1886" s="2"/>
      <c r="X1886" s="2"/>
      <c r="Y1886" s="4"/>
      <c r="Z1886" s="2"/>
      <c r="AA1886" s="2"/>
      <c r="AB1886" s="4"/>
      <c r="AC1886" s="4"/>
      <c r="AD1886" s="4"/>
      <c r="AE1886" s="4"/>
      <c r="AF1886" s="14"/>
    </row>
    <row r="1887" spans="1:32" x14ac:dyDescent="0.25">
      <c r="A1887" s="33" t="str">
        <f>CONCATENATE(D1887,".",F1887,"-",G1887,".",H1887,"")</f>
        <v>3.2-5.1</v>
      </c>
      <c r="C1887" s="39" t="s">
        <v>336</v>
      </c>
      <c r="D1887" s="33">
        <f>IF(C1887="ID",1,(IF(C1887="PR",2,(IF(C1887="DE",3,(IF(C1887="RS",4,(IF(C1887="RC",5,0)))))))))</f>
        <v>3</v>
      </c>
      <c r="E1887" s="33" t="s">
        <v>259</v>
      </c>
      <c r="F1887" s="33">
        <f>IF(E1887="AM",1,(IF(E1887="BE",2,(IF(E1887="GV",3,(IF(E1887="RA",4,(IF(E1887="RM",5,(IF(E1887="AC",1,(IF(E1887="AT",2,(IF(E1887="DS",3,(IF(E1887="IP",4,(IF(E1887="MA",5,(IF(E1887="PT",6,(IF(E1887="AE",1,(IF(E1887="CM",2,(IF(E1887="DP",3,(IF(E1887="AN",1,(IF(E1887="CO",2,(IF(E1887="IM",3,(IF(E1887="MI",4,(IF(E1887="RP",5,(IF(E1887="SC",6,0)))))))))))))))))))))))))))))))))))))))</f>
        <v>2</v>
      </c>
      <c r="G1887" s="170">
        <v>5</v>
      </c>
      <c r="H1887" s="38" t="s">
        <v>511</v>
      </c>
      <c r="I1887" s="3" t="s">
        <v>1449</v>
      </c>
      <c r="J1887" s="157" t="s">
        <v>2909</v>
      </c>
      <c r="K1887" s="34" t="s">
        <v>2910</v>
      </c>
      <c r="L1887" s="5">
        <f>IF(O1887="","",N1887*O1887*M1887)</f>
        <v>99</v>
      </c>
      <c r="M1887" s="8">
        <v>1</v>
      </c>
      <c r="N1887" s="1">
        <v>1</v>
      </c>
      <c r="O1887" s="15">
        <f>IF(SUM(Q1887:AF1887)&lt;1,"",SUM(Q1887:AF1887)/COUNTIF(Q1887:AF1887,"&gt;0"))</f>
        <v>99</v>
      </c>
      <c r="P1887" s="16"/>
      <c r="Q1887" s="13"/>
      <c r="R1887" s="4"/>
      <c r="S1887" s="4"/>
      <c r="T1887" s="4">
        <v>99</v>
      </c>
      <c r="U1887" s="2"/>
      <c r="V1887" s="2"/>
      <c r="W1887" s="2"/>
      <c r="X1887" s="2"/>
      <c r="Y1887" s="4"/>
      <c r="Z1887" s="2"/>
      <c r="AA1887" s="2"/>
      <c r="AB1887" s="4"/>
      <c r="AC1887" s="4"/>
      <c r="AD1887" s="4"/>
      <c r="AE1887" s="4"/>
      <c r="AF1887" s="14"/>
    </row>
    <row r="1888" spans="1:32" x14ac:dyDescent="0.25">
      <c r="A1888" s="33" t="str">
        <f>CONCATENATE(D1888,".",F1888,"-",G1888,".",H1888,"")</f>
        <v>3.2-6.0</v>
      </c>
      <c r="B1888" s="33" t="s">
        <v>814</v>
      </c>
      <c r="C1888" s="40" t="s">
        <v>336</v>
      </c>
      <c r="D1888" s="33">
        <f>IF(C1888="ID",1,(IF(C1888="PR",2,(IF(C1888="DE",3,(IF(C1888="RS",4,(IF(C1888="RC",5,0)))))))))</f>
        <v>3</v>
      </c>
      <c r="E1888" s="33" t="s">
        <v>259</v>
      </c>
      <c r="F1888" s="33">
        <f>IF(E1888="AM",1,(IF(E1888="BE",2,(IF(E1888="GV",3,(IF(E1888="RA",4,(IF(E1888="RM",5,(IF(E1888="AC",1,(IF(E1888="AT",2,(IF(E1888="DS",3,(IF(E1888="IP",4,(IF(E1888="MA",5,(IF(E1888="PT",6,(IF(E1888="AE",1,(IF(E1888="CM",2,(IF(E1888="DP",3,(IF(E1888="AN",1,(IF(E1888="CO",2,(IF(E1888="IM",3,(IF(E1888="MI",4,(IF(E1888="RP",5,(IF(E1888="SC",6,0)))))))))))))))))))))))))))))))))))))))</f>
        <v>2</v>
      </c>
      <c r="G1888" s="170">
        <v>6</v>
      </c>
      <c r="H1888" s="38" t="s">
        <v>597</v>
      </c>
      <c r="I1888" s="22" t="s">
        <v>1200</v>
      </c>
      <c r="J1888" s="149" t="s">
        <v>634</v>
      </c>
      <c r="K1888" s="99" t="s">
        <v>411</v>
      </c>
      <c r="L1888" s="66">
        <f>IF(O1888="","",N1888*O1888*M1888)</f>
        <v>75</v>
      </c>
      <c r="M1888" s="8">
        <v>1</v>
      </c>
      <c r="N1888" s="1">
        <v>1</v>
      </c>
      <c r="O1888" s="15">
        <f>IF(SUM(Q1888:AF1888)&lt;1,"",SUM(Q1888:AF1888)/COUNTIF(Q1888:AF1888,"&gt;0"))</f>
        <v>75</v>
      </c>
      <c r="P1888" s="16"/>
      <c r="Q1888" s="13"/>
      <c r="R1888" s="4"/>
      <c r="S1888" s="4"/>
      <c r="T1888" s="4">
        <v>75</v>
      </c>
      <c r="U1888" s="2"/>
      <c r="V1888" s="2"/>
      <c r="W1888" s="2"/>
      <c r="X1888" s="2"/>
      <c r="Y1888" s="4"/>
      <c r="Z1888" s="2"/>
      <c r="AA1888" s="2"/>
      <c r="AB1888" s="4"/>
      <c r="AC1888" s="4"/>
      <c r="AD1888" s="4"/>
      <c r="AE1888" s="4"/>
      <c r="AF1888" s="14"/>
    </row>
    <row r="1889" spans="1:32" x14ac:dyDescent="0.25">
      <c r="A1889" s="33" t="str">
        <f>CONCATENATE(D1889,".",F1889,"-",G1889,".",H1889,"")</f>
        <v>3.2-6.1</v>
      </c>
      <c r="B1889" s="33" t="s">
        <v>814</v>
      </c>
      <c r="C1889" s="40" t="s">
        <v>336</v>
      </c>
      <c r="D1889" s="33">
        <f>IF(C1889="ID",1,(IF(C1889="PR",2,(IF(C1889="DE",3,(IF(C1889="RS",4,(IF(C1889="RC",5,0)))))))))</f>
        <v>3</v>
      </c>
      <c r="E1889" s="33" t="s">
        <v>259</v>
      </c>
      <c r="F1889" s="33">
        <f>IF(E1889="AM",1,(IF(E1889="BE",2,(IF(E1889="GV",3,(IF(E1889="RA",4,(IF(E1889="RM",5,(IF(E1889="AC",1,(IF(E1889="AT",2,(IF(E1889="DS",3,(IF(E1889="IP",4,(IF(E1889="MA",5,(IF(E1889="PT",6,(IF(E1889="AE",1,(IF(E1889="CM",2,(IF(E1889="DP",3,(IF(E1889="AN",1,(IF(E1889="CO",2,(IF(E1889="IM",3,(IF(E1889="MI",4,(IF(E1889="RP",5,(IF(E1889="SC",6,0)))))))))))))))))))))))))))))))))))))))</f>
        <v>2</v>
      </c>
      <c r="G1889" s="171">
        <v>6</v>
      </c>
      <c r="H1889" s="38" t="s">
        <v>511</v>
      </c>
      <c r="I1889" s="3" t="s">
        <v>821</v>
      </c>
      <c r="J1889" s="149">
        <v>11.4</v>
      </c>
      <c r="K1889" s="79" t="s">
        <v>1283</v>
      </c>
      <c r="L1889" s="66">
        <f>IF(O1889="","",N1889*O1889*M1889)</f>
        <v>75</v>
      </c>
      <c r="M1889" s="8">
        <v>1</v>
      </c>
      <c r="N1889" s="1">
        <v>1</v>
      </c>
      <c r="O1889" s="15">
        <f>IF(SUM(Q1889:AF1889)&lt;1,"",SUM(Q1889:AF1889)/COUNTIF(Q1889:AF1889,"&gt;0"))</f>
        <v>75</v>
      </c>
      <c r="P1889" s="16"/>
      <c r="Q1889" s="13"/>
      <c r="R1889" s="4"/>
      <c r="S1889" s="4"/>
      <c r="T1889" s="4">
        <v>75</v>
      </c>
      <c r="U1889" s="2"/>
      <c r="V1889" s="2"/>
      <c r="W1889" s="2"/>
      <c r="X1889" s="2"/>
      <c r="Y1889" s="4"/>
      <c r="Z1889" s="2"/>
      <c r="AA1889" s="2"/>
      <c r="AB1889" s="4"/>
      <c r="AC1889" s="4"/>
      <c r="AD1889" s="4"/>
      <c r="AE1889" s="4"/>
      <c r="AF1889" s="14"/>
    </row>
    <row r="1890" spans="1:32" x14ac:dyDescent="0.25">
      <c r="A1890" s="33" t="str">
        <f>CONCATENATE(D1890,".",F1890,"-",G1890,".",H1890,"")</f>
        <v>3.2-6.1</v>
      </c>
      <c r="B1890" s="33" t="s">
        <v>814</v>
      </c>
      <c r="C1890" s="39" t="s">
        <v>336</v>
      </c>
      <c r="D1890" s="33">
        <f>IF(C1890="ID",1,(IF(C1890="PR",2,(IF(C1890="DE",3,(IF(C1890="RS",4,(IF(C1890="RC",5,0)))))))))</f>
        <v>3</v>
      </c>
      <c r="E1890" s="33" t="s">
        <v>259</v>
      </c>
      <c r="F1890" s="33">
        <f>IF(E1890="AM",1,(IF(E1890="BE",2,(IF(E1890="GV",3,(IF(E1890="RA",4,(IF(E1890="RM",5,(IF(E1890="AC",1,(IF(E1890="AT",2,(IF(E1890="DS",3,(IF(E1890="IP",4,(IF(E1890="MA",5,(IF(E1890="PT",6,(IF(E1890="AE",1,(IF(E1890="CM",2,(IF(E1890="DP",3,(IF(E1890="AN",1,(IF(E1890="CO",2,(IF(E1890="IM",3,(IF(E1890="MI",4,(IF(E1890="RP",5,(IF(E1890="SC",6,0)))))))))))))))))))))))))))))))))))))))</f>
        <v>2</v>
      </c>
      <c r="G1890" s="170">
        <v>6</v>
      </c>
      <c r="H1890" s="38" t="s">
        <v>511</v>
      </c>
      <c r="I1890" s="3" t="s">
        <v>821</v>
      </c>
      <c r="J1890" s="150" t="s">
        <v>207</v>
      </c>
      <c r="K1890" s="79" t="s">
        <v>1283</v>
      </c>
      <c r="L1890" s="66">
        <f>IF(O1890="","",N1890*O1890*M1890)</f>
        <v>75</v>
      </c>
      <c r="M1890" s="8">
        <v>1</v>
      </c>
      <c r="N1890" s="3">
        <v>1</v>
      </c>
      <c r="O1890" s="15">
        <f>IF(SUM(Q1890:AF1890)&lt;1,"",SUM(Q1890:AF1890)/COUNTIF(Q1890:AF1890,"&gt;0"))</f>
        <v>75</v>
      </c>
      <c r="P1890" s="16"/>
      <c r="Q1890" s="13"/>
      <c r="R1890" s="4"/>
      <c r="S1890" s="4"/>
      <c r="T1890" s="4">
        <v>75</v>
      </c>
      <c r="U1890" s="2"/>
      <c r="V1890" s="2"/>
      <c r="W1890" s="2"/>
      <c r="X1890" s="2"/>
      <c r="Y1890" s="4"/>
      <c r="Z1890" s="2"/>
      <c r="AA1890" s="2"/>
      <c r="AB1890" s="4"/>
      <c r="AC1890" s="4"/>
      <c r="AD1890" s="4"/>
      <c r="AE1890" s="4"/>
      <c r="AF1890" s="14"/>
    </row>
    <row r="1891" spans="1:32" x14ac:dyDescent="0.25">
      <c r="A1891" s="33" t="str">
        <f>CONCATENATE(D1891,".",F1891,"-",G1891,".",H1891,"")</f>
        <v>3.2-6.1</v>
      </c>
      <c r="B1891" s="33" t="s">
        <v>814</v>
      </c>
      <c r="C1891" s="40" t="s">
        <v>336</v>
      </c>
      <c r="D1891" s="33">
        <f>IF(C1891="ID",1,(IF(C1891="PR",2,(IF(C1891="DE",3,(IF(C1891="RS",4,(IF(C1891="RC",5,0)))))))))</f>
        <v>3</v>
      </c>
      <c r="E1891" s="33" t="s">
        <v>259</v>
      </c>
      <c r="F1891" s="33">
        <f>IF(E1891="AM",1,(IF(E1891="BE",2,(IF(E1891="GV",3,(IF(E1891="RA",4,(IF(E1891="RM",5,(IF(E1891="AC",1,(IF(E1891="AT",2,(IF(E1891="DS",3,(IF(E1891="IP",4,(IF(E1891="MA",5,(IF(E1891="PT",6,(IF(E1891="AE",1,(IF(E1891="CM",2,(IF(E1891="DP",3,(IF(E1891="AN",1,(IF(E1891="CO",2,(IF(E1891="IM",3,(IF(E1891="MI",4,(IF(E1891="RP",5,(IF(E1891="SC",6,0)))))))))))))))))))))))))))))))))))))))</f>
        <v>2</v>
      </c>
      <c r="G1891" s="171">
        <v>6</v>
      </c>
      <c r="H1891" s="38" t="s">
        <v>511</v>
      </c>
      <c r="I1891" s="3" t="s">
        <v>821</v>
      </c>
      <c r="J1891" s="149" t="s">
        <v>227</v>
      </c>
      <c r="K1891" s="79" t="s">
        <v>1283</v>
      </c>
      <c r="L1891" s="66">
        <f>IF(O1891="","",N1891*O1891*M1891)</f>
        <v>75</v>
      </c>
      <c r="M1891" s="8">
        <v>1</v>
      </c>
      <c r="N1891" s="1">
        <v>1</v>
      </c>
      <c r="O1891" s="15">
        <f>IF(SUM(Q1891:AF1891)&lt;1,"",SUM(Q1891:AF1891)/COUNTIF(Q1891:AF1891,"&gt;0"))</f>
        <v>75</v>
      </c>
      <c r="P1891" s="16"/>
      <c r="Q1891" s="13"/>
      <c r="R1891" s="4"/>
      <c r="S1891" s="4"/>
      <c r="T1891" s="4">
        <v>75</v>
      </c>
      <c r="U1891" s="2"/>
      <c r="V1891" s="2"/>
      <c r="W1891" s="2"/>
      <c r="X1891" s="2"/>
      <c r="Y1891" s="4"/>
      <c r="Z1891" s="2"/>
      <c r="AA1891" s="2"/>
      <c r="AB1891" s="4"/>
      <c r="AC1891" s="4"/>
      <c r="AD1891" s="4"/>
      <c r="AE1891" s="4"/>
      <c r="AF1891" s="14"/>
    </row>
    <row r="1892" spans="1:32" x14ac:dyDescent="0.25">
      <c r="A1892" s="33" t="str">
        <f>CONCATENATE(D1892,".",F1892,"-",G1892,".",H1892,"")</f>
        <v>3.2-6.1</v>
      </c>
      <c r="B1892" s="33" t="s">
        <v>814</v>
      </c>
      <c r="C1892" s="40" t="s">
        <v>336</v>
      </c>
      <c r="D1892" s="33">
        <f>IF(C1892="ID",1,(IF(C1892="PR",2,(IF(C1892="DE",3,(IF(C1892="RS",4,(IF(C1892="RC",5,0)))))))))</f>
        <v>3</v>
      </c>
      <c r="E1892" s="33" t="s">
        <v>259</v>
      </c>
      <c r="F1892" s="33">
        <f>IF(E1892="AM",1,(IF(E1892="BE",2,(IF(E1892="GV",3,(IF(E1892="RA",4,(IF(E1892="RM",5,(IF(E1892="AC",1,(IF(E1892="AT",2,(IF(E1892="DS",3,(IF(E1892="IP",4,(IF(E1892="MA",5,(IF(E1892="PT",6,(IF(E1892="AE",1,(IF(E1892="CM",2,(IF(E1892="DP",3,(IF(E1892="AN",1,(IF(E1892="CO",2,(IF(E1892="IM",3,(IF(E1892="MI",4,(IF(E1892="RP",5,(IF(E1892="SC",6,0)))))))))))))))))))))))))))))))))))))))</f>
        <v>2</v>
      </c>
      <c r="G1892" s="171">
        <v>6</v>
      </c>
      <c r="H1892" s="38" t="s">
        <v>511</v>
      </c>
      <c r="I1892" s="3" t="s">
        <v>821</v>
      </c>
      <c r="J1892" s="149" t="s">
        <v>238</v>
      </c>
      <c r="K1892" s="79" t="s">
        <v>1283</v>
      </c>
      <c r="L1892" s="66">
        <f>IF(O1892="","",N1892*O1892*M1892)</f>
        <v>75</v>
      </c>
      <c r="M1892" s="8">
        <v>1</v>
      </c>
      <c r="N1892" s="1">
        <v>1</v>
      </c>
      <c r="O1892" s="15">
        <f>IF(SUM(Q1892:AF1892)&lt;1,"",SUM(Q1892:AF1892)/COUNTIF(Q1892:AF1892,"&gt;0"))</f>
        <v>75</v>
      </c>
      <c r="P1892" s="16"/>
      <c r="Q1892" s="13"/>
      <c r="R1892" s="4"/>
      <c r="S1892" s="4"/>
      <c r="T1892" s="4">
        <v>75</v>
      </c>
      <c r="U1892" s="2"/>
      <c r="V1892" s="2"/>
      <c r="W1892" s="2"/>
      <c r="X1892" s="2"/>
      <c r="Y1892" s="4"/>
      <c r="Z1892" s="2"/>
      <c r="AA1892" s="2"/>
      <c r="AB1892" s="4"/>
      <c r="AC1892" s="4"/>
      <c r="AD1892" s="4"/>
      <c r="AE1892" s="4"/>
      <c r="AF1892" s="14"/>
    </row>
    <row r="1893" spans="1:32" x14ac:dyDescent="0.25">
      <c r="A1893" s="33" t="str">
        <f>CONCATENATE(D1893,".",F1893,"-",G1893,".",H1893,"")</f>
        <v>3.2-6.1</v>
      </c>
      <c r="B1893" s="33" t="s">
        <v>814</v>
      </c>
      <c r="C1893" s="39" t="s">
        <v>336</v>
      </c>
      <c r="D1893" s="33">
        <f>IF(C1893="ID",1,(IF(C1893="PR",2,(IF(C1893="DE",3,(IF(C1893="RS",4,(IF(C1893="RC",5,0)))))))))</f>
        <v>3</v>
      </c>
      <c r="E1893" s="33" t="s">
        <v>259</v>
      </c>
      <c r="F1893" s="33">
        <f>IF(E1893="AM",1,(IF(E1893="BE",2,(IF(E1893="GV",3,(IF(E1893="RA",4,(IF(E1893="RM",5,(IF(E1893="AC",1,(IF(E1893="AT",2,(IF(E1893="DS",3,(IF(E1893="IP",4,(IF(E1893="MA",5,(IF(E1893="PT",6,(IF(E1893="AE",1,(IF(E1893="CM",2,(IF(E1893="DP",3,(IF(E1893="AN",1,(IF(E1893="CO",2,(IF(E1893="IM",3,(IF(E1893="MI",4,(IF(E1893="RP",5,(IF(E1893="SC",6,0)))))))))))))))))))))))))))))))))))))))</f>
        <v>2</v>
      </c>
      <c r="G1893" s="170">
        <v>6</v>
      </c>
      <c r="H1893" s="38" t="s">
        <v>511</v>
      </c>
      <c r="I1893" s="3" t="s">
        <v>821</v>
      </c>
      <c r="J1893" s="150" t="s">
        <v>245</v>
      </c>
      <c r="K1893" s="79" t="s">
        <v>1283</v>
      </c>
      <c r="L1893" s="66">
        <f>IF(O1893="","",N1893*O1893*M1893)</f>
        <v>75</v>
      </c>
      <c r="M1893" s="8">
        <v>1</v>
      </c>
      <c r="N1893" s="3">
        <v>1</v>
      </c>
      <c r="O1893" s="15">
        <f>IF(SUM(Q1893:AF1893)&lt;1,"",SUM(Q1893:AF1893)/COUNTIF(Q1893:AF1893,"&gt;0"))</f>
        <v>75</v>
      </c>
      <c r="P1893" s="16"/>
      <c r="Q1893" s="13"/>
      <c r="R1893" s="4"/>
      <c r="S1893" s="4"/>
      <c r="T1893" s="4">
        <v>75</v>
      </c>
      <c r="U1893" s="2"/>
      <c r="V1893" s="2"/>
      <c r="W1893" s="2"/>
      <c r="X1893" s="2"/>
      <c r="Y1893" s="4"/>
      <c r="Z1893" s="2"/>
      <c r="AA1893" s="2"/>
      <c r="AB1893" s="4"/>
      <c r="AC1893" s="4"/>
      <c r="AD1893" s="4"/>
      <c r="AE1893" s="4"/>
      <c r="AF1893" s="14"/>
    </row>
    <row r="1894" spans="1:32" x14ac:dyDescent="0.25">
      <c r="A1894" s="33" t="str">
        <f>CONCATENATE(D1894,".",F1894,"-",G1894,".",H1894,"")</f>
        <v>3.2-6.1</v>
      </c>
      <c r="B1894" s="33" t="s">
        <v>814</v>
      </c>
      <c r="C1894" s="40" t="s">
        <v>336</v>
      </c>
      <c r="D1894" s="33">
        <f>IF(C1894="ID",1,(IF(C1894="PR",2,(IF(C1894="DE",3,(IF(C1894="RS",4,(IF(C1894="RC",5,0)))))))))</f>
        <v>3</v>
      </c>
      <c r="E1894" s="33" t="s">
        <v>259</v>
      </c>
      <c r="F1894" s="33">
        <f>IF(E1894="AM",1,(IF(E1894="BE",2,(IF(E1894="GV",3,(IF(E1894="RA",4,(IF(E1894="RM",5,(IF(E1894="AC",1,(IF(E1894="AT",2,(IF(E1894="DS",3,(IF(E1894="IP",4,(IF(E1894="MA",5,(IF(E1894="PT",6,(IF(E1894="AE",1,(IF(E1894="CM",2,(IF(E1894="DP",3,(IF(E1894="AN",1,(IF(E1894="CO",2,(IF(E1894="IM",3,(IF(E1894="MI",4,(IF(E1894="RP",5,(IF(E1894="SC",6,0)))))))))))))))))))))))))))))))))))))))</f>
        <v>2</v>
      </c>
      <c r="G1894" s="171">
        <v>6</v>
      </c>
      <c r="H1894" s="38" t="s">
        <v>511</v>
      </c>
      <c r="I1894" s="22" t="s">
        <v>936</v>
      </c>
      <c r="J1894" s="163" t="s">
        <v>891</v>
      </c>
      <c r="K1894" s="34" t="s">
        <v>975</v>
      </c>
      <c r="L1894" s="66">
        <f>IF(O1894="","",N1894*O1894*M1894)</f>
        <v>75</v>
      </c>
      <c r="M1894" s="8">
        <v>1</v>
      </c>
      <c r="N1894" s="3">
        <v>1</v>
      </c>
      <c r="O1894" s="15">
        <f>IF(SUM(Q1894:AF1894)&lt;1,"",SUM(Q1894:AF1894)/COUNTIF(Q1894:AF1894,"&gt;0"))</f>
        <v>75</v>
      </c>
      <c r="P1894" s="16"/>
      <c r="Q1894" s="13"/>
      <c r="R1894" s="4"/>
      <c r="S1894" s="4"/>
      <c r="T1894" s="4">
        <v>75</v>
      </c>
      <c r="U1894" s="2"/>
      <c r="V1894" s="2"/>
      <c r="W1894" s="2"/>
      <c r="X1894" s="2"/>
      <c r="Y1894" s="4"/>
      <c r="Z1894" s="2"/>
      <c r="AA1894" s="2"/>
      <c r="AB1894" s="4"/>
      <c r="AC1894" s="4"/>
      <c r="AD1894" s="4"/>
      <c r="AE1894" s="4"/>
      <c r="AF1894" s="14"/>
    </row>
    <row r="1895" spans="1:32" x14ac:dyDescent="0.25">
      <c r="A1895" s="33" t="str">
        <f>CONCATENATE(D1895,".",F1895,"-",G1895,".",H1895,"")</f>
        <v>3.2-6.1</v>
      </c>
      <c r="B1895" s="33" t="s">
        <v>814</v>
      </c>
      <c r="C1895" s="41" t="s">
        <v>336</v>
      </c>
      <c r="D1895" s="33">
        <f>IF(C1895="ID",1,(IF(C1895="PR",2,(IF(C1895="DE",3,(IF(C1895="RS",4,(IF(C1895="RC",5,0)))))))))</f>
        <v>3</v>
      </c>
      <c r="E1895" s="33" t="s">
        <v>259</v>
      </c>
      <c r="F1895" s="33">
        <f>IF(E1895="AM",1,(IF(E1895="BE",2,(IF(E1895="GV",3,(IF(E1895="RA",4,(IF(E1895="RM",5,(IF(E1895="AC",1,(IF(E1895="AT",2,(IF(E1895="DS",3,(IF(E1895="IP",4,(IF(E1895="MA",5,(IF(E1895="PT",6,(IF(E1895="AE",1,(IF(E1895="CM",2,(IF(E1895="DP",3,(IF(E1895="AN",1,(IF(E1895="CO",2,(IF(E1895="IM",3,(IF(E1895="MI",4,(IF(E1895="RP",5,(IF(E1895="SC",6,0)))))))))))))))))))))))))))))))))))))))</f>
        <v>2</v>
      </c>
      <c r="G1895" s="170">
        <v>6</v>
      </c>
      <c r="H1895" s="38" t="s">
        <v>511</v>
      </c>
      <c r="I1895" s="22" t="s">
        <v>266</v>
      </c>
      <c r="J1895" s="149" t="s">
        <v>283</v>
      </c>
      <c r="K1895" s="79" t="s">
        <v>1351</v>
      </c>
      <c r="L1895" s="5">
        <f>IF(O1895="","",N1895*O1895*M1895)</f>
        <v>75</v>
      </c>
      <c r="M1895" s="8">
        <v>1</v>
      </c>
      <c r="N1895" s="1">
        <v>1</v>
      </c>
      <c r="O1895" s="15">
        <f>IF(SUM(Q1895:AF1895)&lt;1,"",SUM(Q1895:AF1895)/COUNTIF(Q1895:AF1895,"&gt;0"))</f>
        <v>75</v>
      </c>
      <c r="P1895" s="16"/>
      <c r="Q1895" s="13"/>
      <c r="R1895" s="4"/>
      <c r="S1895" s="4"/>
      <c r="T1895" s="4">
        <v>75</v>
      </c>
      <c r="U1895" s="2"/>
      <c r="V1895" s="2"/>
      <c r="W1895" s="2"/>
      <c r="X1895" s="2"/>
      <c r="Y1895" s="4"/>
      <c r="Z1895" s="2"/>
      <c r="AA1895" s="2"/>
      <c r="AB1895" s="4"/>
      <c r="AC1895" s="4"/>
      <c r="AD1895" s="4"/>
      <c r="AE1895" s="4"/>
      <c r="AF1895" s="14"/>
    </row>
    <row r="1896" spans="1:32" x14ac:dyDescent="0.25">
      <c r="A1896" s="33" t="str">
        <f>CONCATENATE(D1896,".",F1896,"-",G1896,".",H1896,"")</f>
        <v>3.2-6.1</v>
      </c>
      <c r="B1896" s="33" t="s">
        <v>814</v>
      </c>
      <c r="C1896" s="41" t="s">
        <v>336</v>
      </c>
      <c r="D1896" s="33">
        <f>IF(C1896="ID",1,(IF(C1896="PR",2,(IF(C1896="DE",3,(IF(C1896="RS",4,(IF(C1896="RC",5,0)))))))))</f>
        <v>3</v>
      </c>
      <c r="E1896" s="33" t="s">
        <v>259</v>
      </c>
      <c r="F1896" s="33">
        <f>IF(E1896="AM",1,(IF(E1896="BE",2,(IF(E1896="GV",3,(IF(E1896="RA",4,(IF(E1896="RM",5,(IF(E1896="AC",1,(IF(E1896="AT",2,(IF(E1896="DS",3,(IF(E1896="IP",4,(IF(E1896="MA",5,(IF(E1896="PT",6,(IF(E1896="AE",1,(IF(E1896="CM",2,(IF(E1896="DP",3,(IF(E1896="AN",1,(IF(E1896="CO",2,(IF(E1896="IM",3,(IF(E1896="MI",4,(IF(E1896="RP",5,(IF(E1896="SC",6,0)))))))))))))))))))))))))))))))))))))))</f>
        <v>2</v>
      </c>
      <c r="G1896" s="170">
        <v>6</v>
      </c>
      <c r="H1896" s="38" t="s">
        <v>511</v>
      </c>
      <c r="I1896" s="22" t="s">
        <v>266</v>
      </c>
      <c r="J1896" s="149" t="s">
        <v>321</v>
      </c>
      <c r="K1896" s="79" t="s">
        <v>1362</v>
      </c>
      <c r="L1896" s="5">
        <f>IF(O1896="","",N1896*O1896*M1896)</f>
        <v>75</v>
      </c>
      <c r="M1896" s="8">
        <v>1</v>
      </c>
      <c r="N1896" s="1">
        <v>1</v>
      </c>
      <c r="O1896" s="15">
        <f>IF(SUM(Q1896:AF1896)&lt;1,"",SUM(Q1896:AF1896)/COUNTIF(Q1896:AF1896,"&gt;0"))</f>
        <v>75</v>
      </c>
      <c r="P1896" s="16"/>
      <c r="Q1896" s="13"/>
      <c r="R1896" s="4"/>
      <c r="S1896" s="4"/>
      <c r="T1896" s="4">
        <v>75</v>
      </c>
      <c r="U1896" s="2"/>
      <c r="V1896" s="2"/>
      <c r="W1896" s="2"/>
      <c r="X1896" s="2"/>
      <c r="Y1896" s="4"/>
      <c r="Z1896" s="2"/>
      <c r="AA1896" s="2"/>
      <c r="AB1896" s="4"/>
      <c r="AC1896" s="4"/>
      <c r="AD1896" s="4"/>
      <c r="AE1896" s="4"/>
      <c r="AF1896" s="14"/>
    </row>
    <row r="1897" spans="1:32" x14ac:dyDescent="0.25">
      <c r="A1897" s="33" t="str">
        <f>CONCATENATE(D1897,".",F1897,"-",G1897,".",H1897,"")</f>
        <v>3.2-6.1</v>
      </c>
      <c r="B1897" s="33" t="s">
        <v>814</v>
      </c>
      <c r="C1897" s="39" t="s">
        <v>336</v>
      </c>
      <c r="D1897" s="33">
        <f>IF(C1897="ID",1,(IF(C1897="PR",2,(IF(C1897="DE",3,(IF(C1897="RS",4,(IF(C1897="RC",5,0)))))))))</f>
        <v>3</v>
      </c>
      <c r="E1897" s="33" t="s">
        <v>259</v>
      </c>
      <c r="F1897" s="33">
        <f>IF(E1897="AM",1,(IF(E1897="BE",2,(IF(E1897="GV",3,(IF(E1897="RA",4,(IF(E1897="RM",5,(IF(E1897="AC",1,(IF(E1897="AT",2,(IF(E1897="DS",3,(IF(E1897="IP",4,(IF(E1897="MA",5,(IF(E1897="PT",6,(IF(E1897="AE",1,(IF(E1897="CM",2,(IF(E1897="DP",3,(IF(E1897="AN",1,(IF(E1897="CO",2,(IF(E1897="IM",3,(IF(E1897="MI",4,(IF(E1897="RP",5,(IF(E1897="SC",6,0)))))))))))))))))))))))))))))))))))))))</f>
        <v>2</v>
      </c>
      <c r="G1897" s="170">
        <v>6</v>
      </c>
      <c r="H1897" s="38" t="s">
        <v>511</v>
      </c>
      <c r="I1897" s="3" t="s">
        <v>1449</v>
      </c>
      <c r="J1897" s="157" t="s">
        <v>1755</v>
      </c>
      <c r="K1897" s="34" t="s">
        <v>1756</v>
      </c>
      <c r="L1897" s="5">
        <f>IF(O1897="","",N1897*O1897*M1897)</f>
        <v>99</v>
      </c>
      <c r="M1897" s="8">
        <v>1</v>
      </c>
      <c r="N1897" s="1">
        <v>1</v>
      </c>
      <c r="O1897" s="15">
        <f>IF(SUM(Q1897:AF1897)&lt;1,"",SUM(Q1897:AF1897)/COUNTIF(Q1897:AF1897,"&gt;0"))</f>
        <v>99</v>
      </c>
      <c r="P1897" s="16"/>
      <c r="Q1897" s="13"/>
      <c r="R1897" s="4"/>
      <c r="S1897" s="4"/>
      <c r="T1897" s="4">
        <v>99</v>
      </c>
      <c r="U1897" s="2"/>
      <c r="V1897" s="2"/>
      <c r="W1897" s="2"/>
      <c r="X1897" s="2"/>
      <c r="Y1897" s="4"/>
      <c r="Z1897" s="2"/>
      <c r="AA1897" s="2"/>
      <c r="AB1897" s="4"/>
      <c r="AC1897" s="4"/>
      <c r="AD1897" s="4"/>
      <c r="AE1897" s="4"/>
      <c r="AF1897" s="14"/>
    </row>
    <row r="1898" spans="1:32" x14ac:dyDescent="0.25">
      <c r="A1898" s="33" t="str">
        <f>CONCATENATE(D1898,".",F1898,"-",G1898,".",H1898,"")</f>
        <v>3.2-6.1</v>
      </c>
      <c r="B1898" s="33" t="s">
        <v>814</v>
      </c>
      <c r="C1898" s="39" t="s">
        <v>336</v>
      </c>
      <c r="D1898" s="33">
        <f>IF(C1898="ID",1,(IF(C1898="PR",2,(IF(C1898="DE",3,(IF(C1898="RS",4,(IF(C1898="RC",5,0)))))))))</f>
        <v>3</v>
      </c>
      <c r="E1898" s="33" t="s">
        <v>259</v>
      </c>
      <c r="F1898" s="33">
        <f>IF(E1898="AM",1,(IF(E1898="BE",2,(IF(E1898="GV",3,(IF(E1898="RA",4,(IF(E1898="RM",5,(IF(E1898="AC",1,(IF(E1898="AT",2,(IF(E1898="DS",3,(IF(E1898="IP",4,(IF(E1898="MA",5,(IF(E1898="PT",6,(IF(E1898="AE",1,(IF(E1898="CM",2,(IF(E1898="DP",3,(IF(E1898="AN",1,(IF(E1898="CO",2,(IF(E1898="IM",3,(IF(E1898="MI",4,(IF(E1898="RP",5,(IF(E1898="SC",6,0)))))))))))))))))))))))))))))))))))))))</f>
        <v>2</v>
      </c>
      <c r="G1898" s="170">
        <v>6</v>
      </c>
      <c r="H1898" s="38" t="s">
        <v>511</v>
      </c>
      <c r="I1898" s="3" t="s">
        <v>1449</v>
      </c>
      <c r="J1898" s="157" t="s">
        <v>2617</v>
      </c>
      <c r="K1898" s="34" t="s">
        <v>2618</v>
      </c>
      <c r="L1898" s="5">
        <f>IF(O1898="","",N1898*O1898*M1898)</f>
        <v>99</v>
      </c>
      <c r="M1898" s="8">
        <v>1</v>
      </c>
      <c r="N1898" s="1">
        <v>1</v>
      </c>
      <c r="O1898" s="15">
        <f>IF(SUM(Q1898:AF1898)&lt;1,"",SUM(Q1898:AF1898)/COUNTIF(Q1898:AF1898,"&gt;0"))</f>
        <v>99</v>
      </c>
      <c r="P1898" s="16"/>
      <c r="Q1898" s="13"/>
      <c r="R1898" s="4"/>
      <c r="S1898" s="4"/>
      <c r="T1898" s="4">
        <v>99</v>
      </c>
      <c r="U1898" s="2"/>
      <c r="V1898" s="2"/>
      <c r="W1898" s="2"/>
      <c r="X1898" s="2"/>
      <c r="Y1898" s="4"/>
      <c r="Z1898" s="2"/>
      <c r="AA1898" s="2"/>
      <c r="AB1898" s="4"/>
      <c r="AC1898" s="4"/>
      <c r="AD1898" s="4"/>
      <c r="AE1898" s="4"/>
      <c r="AF1898" s="14"/>
    </row>
    <row r="1899" spans="1:32" x14ac:dyDescent="0.25">
      <c r="A1899" s="33" t="str">
        <f>CONCATENATE(D1899,".",F1899,"-",G1899,".",H1899,"")</f>
        <v>3.2-6.1</v>
      </c>
      <c r="B1899" s="33" t="s">
        <v>814</v>
      </c>
      <c r="C1899" s="39" t="s">
        <v>336</v>
      </c>
      <c r="D1899" s="33">
        <f>IF(C1899="ID",1,(IF(C1899="PR",2,(IF(C1899="DE",3,(IF(C1899="RS",4,(IF(C1899="RC",5,0)))))))))</f>
        <v>3</v>
      </c>
      <c r="E1899" s="33" t="s">
        <v>259</v>
      </c>
      <c r="F1899" s="33">
        <f>IF(E1899="AM",1,(IF(E1899="BE",2,(IF(E1899="GV",3,(IF(E1899="RA",4,(IF(E1899="RM",5,(IF(E1899="AC",1,(IF(E1899="AT",2,(IF(E1899="DS",3,(IF(E1899="IP",4,(IF(E1899="MA",5,(IF(E1899="PT",6,(IF(E1899="AE",1,(IF(E1899="CM",2,(IF(E1899="DP",3,(IF(E1899="AN",1,(IF(E1899="CO",2,(IF(E1899="IM",3,(IF(E1899="MI",4,(IF(E1899="RP",5,(IF(E1899="SC",6,0)))))))))))))))))))))))))))))))))))))))</f>
        <v>2</v>
      </c>
      <c r="G1899" s="170">
        <v>6</v>
      </c>
      <c r="H1899" s="38" t="s">
        <v>511</v>
      </c>
      <c r="I1899" s="3" t="s">
        <v>1449</v>
      </c>
      <c r="J1899" s="157" t="s">
        <v>2627</v>
      </c>
      <c r="K1899" s="34" t="s">
        <v>2628</v>
      </c>
      <c r="L1899" s="5">
        <f>IF(O1899="","",N1899*O1899*M1899)</f>
        <v>99</v>
      </c>
      <c r="M1899" s="8">
        <v>1</v>
      </c>
      <c r="N1899" s="1">
        <v>1</v>
      </c>
      <c r="O1899" s="15">
        <f>IF(SUM(Q1899:AF1899)&lt;1,"",SUM(Q1899:AF1899)/COUNTIF(Q1899:AF1899,"&gt;0"))</f>
        <v>99</v>
      </c>
      <c r="P1899" s="16"/>
      <c r="Q1899" s="13"/>
      <c r="R1899" s="4"/>
      <c r="S1899" s="4"/>
      <c r="T1899" s="4">
        <v>99</v>
      </c>
      <c r="U1899" s="2"/>
      <c r="V1899" s="2"/>
      <c r="W1899" s="2"/>
      <c r="X1899" s="2"/>
      <c r="Y1899" s="4"/>
      <c r="Z1899" s="2"/>
      <c r="AA1899" s="2"/>
      <c r="AB1899" s="4"/>
      <c r="AC1899" s="4"/>
      <c r="AD1899" s="4"/>
      <c r="AE1899" s="4"/>
      <c r="AF1899" s="14"/>
    </row>
    <row r="1900" spans="1:32" x14ac:dyDescent="0.25">
      <c r="A1900" s="33" t="str">
        <f>CONCATENATE(D1900,".",F1900,"-",G1900,".",H1900,"")</f>
        <v>3.2-7.0</v>
      </c>
      <c r="B1900" s="33" t="s">
        <v>814</v>
      </c>
      <c r="C1900" s="40" t="s">
        <v>336</v>
      </c>
      <c r="D1900" s="33">
        <f>IF(C1900="ID",1,(IF(C1900="PR",2,(IF(C1900="DE",3,(IF(C1900="RS",4,(IF(C1900="RC",5,0)))))))))</f>
        <v>3</v>
      </c>
      <c r="E1900" s="33" t="s">
        <v>259</v>
      </c>
      <c r="F1900" s="33">
        <f>IF(E1900="AM",1,(IF(E1900="BE",2,(IF(E1900="GV",3,(IF(E1900="RA",4,(IF(E1900="RM",5,(IF(E1900="AC",1,(IF(E1900="AT",2,(IF(E1900="DS",3,(IF(E1900="IP",4,(IF(E1900="MA",5,(IF(E1900="PT",6,(IF(E1900="AE",1,(IF(E1900="CM",2,(IF(E1900="DP",3,(IF(E1900="AN",1,(IF(E1900="CO",2,(IF(E1900="IM",3,(IF(E1900="MI",4,(IF(E1900="RP",5,(IF(E1900="SC",6,0)))))))))))))))))))))))))))))))))))))))</f>
        <v>2</v>
      </c>
      <c r="G1900" s="170">
        <v>7</v>
      </c>
      <c r="H1900" s="38" t="s">
        <v>597</v>
      </c>
      <c r="I1900" s="22" t="s">
        <v>1200</v>
      </c>
      <c r="J1900" s="149" t="s">
        <v>635</v>
      </c>
      <c r="K1900" s="99" t="s">
        <v>412</v>
      </c>
      <c r="L1900" s="66">
        <f>IF(O1900="","",N1900*O1900*M1900)</f>
        <v>75</v>
      </c>
      <c r="M1900" s="8">
        <v>1</v>
      </c>
      <c r="N1900" s="1">
        <v>1</v>
      </c>
      <c r="O1900" s="15">
        <f>IF(SUM(Q1900:AF1900)&lt;1,"",SUM(Q1900:AF1900)/COUNTIF(Q1900:AF1900,"&gt;0"))</f>
        <v>75</v>
      </c>
      <c r="P1900" s="16"/>
      <c r="Q1900" s="13"/>
      <c r="R1900" s="4"/>
      <c r="S1900" s="4"/>
      <c r="T1900" s="4">
        <v>75</v>
      </c>
      <c r="U1900" s="2"/>
      <c r="V1900" s="2"/>
      <c r="W1900" s="2"/>
      <c r="X1900" s="2"/>
      <c r="Y1900" s="4"/>
      <c r="Z1900" s="2"/>
      <c r="AA1900" s="2"/>
      <c r="AB1900" s="4"/>
      <c r="AC1900" s="4"/>
      <c r="AD1900" s="4"/>
      <c r="AE1900" s="4"/>
      <c r="AF1900" s="14"/>
    </row>
    <row r="1901" spans="1:32" x14ac:dyDescent="0.25">
      <c r="A1901" s="33" t="str">
        <f>CONCATENATE(D1901,".",F1901,"-",G1901,".",H1901,"")</f>
        <v>3.2-7.1</v>
      </c>
      <c r="B1901" s="33" t="s">
        <v>814</v>
      </c>
      <c r="C1901" s="40" t="s">
        <v>336</v>
      </c>
      <c r="D1901" s="33">
        <f>IF(C1901="ID",1,(IF(C1901="PR",2,(IF(C1901="DE",3,(IF(C1901="RS",4,(IF(C1901="RC",5,0)))))))))</f>
        <v>3</v>
      </c>
      <c r="E1901" s="33" t="s">
        <v>259</v>
      </c>
      <c r="F1901" s="33">
        <f>IF(E1901="AM",1,(IF(E1901="BE",2,(IF(E1901="GV",3,(IF(E1901="RA",4,(IF(E1901="RM",5,(IF(E1901="AC",1,(IF(E1901="AT",2,(IF(E1901="DS",3,(IF(E1901="IP",4,(IF(E1901="MA",5,(IF(E1901="PT",6,(IF(E1901="AE",1,(IF(E1901="CM",2,(IF(E1901="DP",3,(IF(E1901="AN",1,(IF(E1901="CO",2,(IF(E1901="IM",3,(IF(E1901="MI",4,(IF(E1901="RP",5,(IF(E1901="SC",6,0)))))))))))))))))))))))))))))))))))))))</f>
        <v>2</v>
      </c>
      <c r="G1901" s="171">
        <v>7</v>
      </c>
      <c r="H1901" s="38" t="s">
        <v>511</v>
      </c>
      <c r="I1901" s="3" t="s">
        <v>821</v>
      </c>
      <c r="J1901" s="149">
        <v>9.1</v>
      </c>
      <c r="K1901" s="79" t="s">
        <v>1283</v>
      </c>
      <c r="L1901" s="66">
        <f>IF(O1901="","",N1901*O1901*M1901)</f>
        <v>75</v>
      </c>
      <c r="M1901" s="8">
        <v>1</v>
      </c>
      <c r="N1901" s="1">
        <v>1</v>
      </c>
      <c r="O1901" s="15">
        <f>IF(SUM(Q1901:AF1901)&lt;1,"",SUM(Q1901:AF1901)/COUNTIF(Q1901:AF1901,"&gt;0"))</f>
        <v>75</v>
      </c>
      <c r="P1901" s="16"/>
      <c r="Q1901" s="13"/>
      <c r="R1901" s="4"/>
      <c r="S1901" s="4"/>
      <c r="T1901" s="4">
        <v>75</v>
      </c>
      <c r="U1901" s="2"/>
      <c r="V1901" s="2"/>
      <c r="W1901" s="2"/>
      <c r="X1901" s="2"/>
      <c r="Y1901" s="4"/>
      <c r="Z1901" s="2"/>
      <c r="AA1901" s="2"/>
      <c r="AB1901" s="4"/>
      <c r="AC1901" s="4"/>
      <c r="AD1901" s="4"/>
      <c r="AE1901" s="4"/>
      <c r="AF1901" s="14"/>
    </row>
    <row r="1902" spans="1:32" x14ac:dyDescent="0.25">
      <c r="A1902" s="33" t="str">
        <f>CONCATENATE(D1902,".",F1902,"-",G1902,".",H1902,"")</f>
        <v>3.2-7.1</v>
      </c>
      <c r="B1902" s="33" t="s">
        <v>814</v>
      </c>
      <c r="C1902" s="40" t="s">
        <v>336</v>
      </c>
      <c r="D1902" s="33">
        <f>IF(C1902="ID",1,(IF(C1902="PR",2,(IF(C1902="DE",3,(IF(C1902="RS",4,(IF(C1902="RC",5,0)))))))))</f>
        <v>3</v>
      </c>
      <c r="E1902" s="33" t="s">
        <v>259</v>
      </c>
      <c r="F1902" s="33">
        <f>IF(E1902="AM",1,(IF(E1902="BE",2,(IF(E1902="GV",3,(IF(E1902="RA",4,(IF(E1902="RM",5,(IF(E1902="AC",1,(IF(E1902="AT",2,(IF(E1902="DS",3,(IF(E1902="IP",4,(IF(E1902="MA",5,(IF(E1902="PT",6,(IF(E1902="AE",1,(IF(E1902="CM",2,(IF(E1902="DP",3,(IF(E1902="AN",1,(IF(E1902="CO",2,(IF(E1902="IM",3,(IF(E1902="MI",4,(IF(E1902="RP",5,(IF(E1902="SC",6,0)))))))))))))))))))))))))))))))))))))))</f>
        <v>2</v>
      </c>
      <c r="G1902" s="171">
        <v>7</v>
      </c>
      <c r="H1902" s="38" t="s">
        <v>511</v>
      </c>
      <c r="I1902" s="3" t="s">
        <v>821</v>
      </c>
      <c r="J1902" s="149">
        <v>11.4</v>
      </c>
      <c r="K1902" s="79" t="s">
        <v>1283</v>
      </c>
      <c r="L1902" s="66">
        <f>IF(O1902="","",N1902*O1902*M1902)</f>
        <v>75</v>
      </c>
      <c r="M1902" s="8">
        <v>1</v>
      </c>
      <c r="N1902" s="1">
        <v>1</v>
      </c>
      <c r="O1902" s="15">
        <f>IF(SUM(Q1902:AF1902)&lt;1,"",SUM(Q1902:AF1902)/COUNTIF(Q1902:AF1902,"&gt;0"))</f>
        <v>75</v>
      </c>
      <c r="P1902" s="16"/>
      <c r="Q1902" s="13"/>
      <c r="R1902" s="4"/>
      <c r="S1902" s="4"/>
      <c r="T1902" s="4">
        <v>75</v>
      </c>
      <c r="U1902" s="2"/>
      <c r="V1902" s="2"/>
      <c r="W1902" s="2"/>
      <c r="X1902" s="2"/>
      <c r="Y1902" s="4"/>
      <c r="Z1902" s="2"/>
      <c r="AA1902" s="2"/>
      <c r="AB1902" s="4"/>
      <c r="AC1902" s="4"/>
      <c r="AD1902" s="4"/>
      <c r="AE1902" s="4"/>
      <c r="AF1902" s="14"/>
    </row>
    <row r="1903" spans="1:32" x14ac:dyDescent="0.25">
      <c r="A1903" s="33" t="str">
        <f>CONCATENATE(D1903,".",F1903,"-",G1903,".",H1903,"")</f>
        <v>3.2-7.1</v>
      </c>
      <c r="B1903" s="33" t="s">
        <v>814</v>
      </c>
      <c r="C1903" s="40" t="s">
        <v>336</v>
      </c>
      <c r="D1903" s="33">
        <f>IF(C1903="ID",1,(IF(C1903="PR",2,(IF(C1903="DE",3,(IF(C1903="RS",4,(IF(C1903="RC",5,0)))))))))</f>
        <v>3</v>
      </c>
      <c r="E1903" s="33" t="s">
        <v>259</v>
      </c>
      <c r="F1903" s="33">
        <f>IF(E1903="AM",1,(IF(E1903="BE",2,(IF(E1903="GV",3,(IF(E1903="RA",4,(IF(E1903="RM",5,(IF(E1903="AC",1,(IF(E1903="AT",2,(IF(E1903="DS",3,(IF(E1903="IP",4,(IF(E1903="MA",5,(IF(E1903="PT",6,(IF(E1903="AE",1,(IF(E1903="CM",2,(IF(E1903="DP",3,(IF(E1903="AN",1,(IF(E1903="CO",2,(IF(E1903="IM",3,(IF(E1903="MI",4,(IF(E1903="RP",5,(IF(E1903="SC",6,0)))))))))))))))))))))))))))))))))))))))</f>
        <v>2</v>
      </c>
      <c r="G1903" s="171">
        <v>7</v>
      </c>
      <c r="H1903" s="38" t="s">
        <v>511</v>
      </c>
      <c r="I1903" s="3" t="s">
        <v>821</v>
      </c>
      <c r="J1903" s="149">
        <v>11.5</v>
      </c>
      <c r="K1903" s="79" t="s">
        <v>1283</v>
      </c>
      <c r="L1903" s="66">
        <f>IF(O1903="","",N1903*O1903*M1903)</f>
        <v>75</v>
      </c>
      <c r="M1903" s="8">
        <v>1</v>
      </c>
      <c r="N1903" s="1">
        <v>1</v>
      </c>
      <c r="O1903" s="15">
        <f>IF(SUM(Q1903:AF1903)&lt;1,"",SUM(Q1903:AF1903)/COUNTIF(Q1903:AF1903,"&gt;0"))</f>
        <v>75</v>
      </c>
      <c r="P1903" s="16"/>
      <c r="Q1903" s="13"/>
      <c r="R1903" s="4"/>
      <c r="S1903" s="4"/>
      <c r="T1903" s="4">
        <v>75</v>
      </c>
      <c r="U1903" s="2"/>
      <c r="V1903" s="2"/>
      <c r="W1903" s="2"/>
      <c r="X1903" s="2"/>
      <c r="Y1903" s="4"/>
      <c r="Z1903" s="2"/>
      <c r="AA1903" s="2"/>
      <c r="AB1903" s="4"/>
      <c r="AC1903" s="4"/>
      <c r="AD1903" s="4"/>
      <c r="AE1903" s="4"/>
      <c r="AF1903" s="14"/>
    </row>
    <row r="1904" spans="1:32" x14ac:dyDescent="0.25">
      <c r="A1904" s="33" t="str">
        <f>CONCATENATE(D1904,".",F1904,"-",G1904,".",H1904,"")</f>
        <v>3.2-7.1</v>
      </c>
      <c r="B1904" s="33" t="s">
        <v>814</v>
      </c>
      <c r="C1904" s="40" t="s">
        <v>336</v>
      </c>
      <c r="D1904" s="33">
        <f>IF(C1904="ID",1,(IF(C1904="PR",2,(IF(C1904="DE",3,(IF(C1904="RS",4,(IF(C1904="RC",5,0)))))))))</f>
        <v>3</v>
      </c>
      <c r="E1904" s="33" t="s">
        <v>259</v>
      </c>
      <c r="F1904" s="33">
        <f>IF(E1904="AM",1,(IF(E1904="BE",2,(IF(E1904="GV",3,(IF(E1904="RA",4,(IF(E1904="RM",5,(IF(E1904="AC",1,(IF(E1904="AT",2,(IF(E1904="DS",3,(IF(E1904="IP",4,(IF(E1904="MA",5,(IF(E1904="PT",6,(IF(E1904="AE",1,(IF(E1904="CM",2,(IF(E1904="DP",3,(IF(E1904="AN",1,(IF(E1904="CO",2,(IF(E1904="IM",3,(IF(E1904="MI",4,(IF(E1904="RP",5,(IF(E1904="SC",6,0)))))))))))))))))))))))))))))))))))))))</f>
        <v>2</v>
      </c>
      <c r="G1904" s="171">
        <v>7</v>
      </c>
      <c r="H1904" s="38" t="s">
        <v>511</v>
      </c>
      <c r="I1904" s="3" t="s">
        <v>821</v>
      </c>
      <c r="J1904" s="149" t="s">
        <v>227</v>
      </c>
      <c r="K1904" s="79" t="s">
        <v>1283</v>
      </c>
      <c r="L1904" s="66">
        <f>IF(O1904="","",N1904*O1904*M1904)</f>
        <v>75</v>
      </c>
      <c r="M1904" s="8">
        <v>1</v>
      </c>
      <c r="N1904" s="1">
        <v>1</v>
      </c>
      <c r="O1904" s="15">
        <f>IF(SUM(Q1904:AF1904)&lt;1,"",SUM(Q1904:AF1904)/COUNTIF(Q1904:AF1904,"&gt;0"))</f>
        <v>75</v>
      </c>
      <c r="P1904" s="16"/>
      <c r="Q1904" s="13"/>
      <c r="R1904" s="4"/>
      <c r="S1904" s="4"/>
      <c r="T1904" s="4">
        <v>75</v>
      </c>
      <c r="U1904" s="2"/>
      <c r="V1904" s="2"/>
      <c r="W1904" s="2"/>
      <c r="X1904" s="2"/>
      <c r="Y1904" s="4"/>
      <c r="Z1904" s="2"/>
      <c r="AA1904" s="2"/>
      <c r="AB1904" s="4"/>
      <c r="AC1904" s="4"/>
      <c r="AD1904" s="4"/>
      <c r="AE1904" s="4"/>
      <c r="AF1904" s="14"/>
    </row>
    <row r="1905" spans="1:32" x14ac:dyDescent="0.25">
      <c r="A1905" s="33" t="str">
        <f>CONCATENATE(D1905,".",F1905,"-",G1905,".",H1905,"")</f>
        <v>3.2-7.1</v>
      </c>
      <c r="B1905" s="33" t="s">
        <v>814</v>
      </c>
      <c r="C1905" s="39" t="s">
        <v>336</v>
      </c>
      <c r="D1905" s="33">
        <f>IF(C1905="ID",1,(IF(C1905="PR",2,(IF(C1905="DE",3,(IF(C1905="RS",4,(IF(C1905="RC",5,0)))))))))</f>
        <v>3</v>
      </c>
      <c r="E1905" s="33" t="s">
        <v>259</v>
      </c>
      <c r="F1905" s="33">
        <f>IF(E1905="AM",1,(IF(E1905="BE",2,(IF(E1905="GV",3,(IF(E1905="RA",4,(IF(E1905="RM",5,(IF(E1905="AC",1,(IF(E1905="AT",2,(IF(E1905="DS",3,(IF(E1905="IP",4,(IF(E1905="MA",5,(IF(E1905="PT",6,(IF(E1905="AE",1,(IF(E1905="CM",2,(IF(E1905="DP",3,(IF(E1905="AN",1,(IF(E1905="CO",2,(IF(E1905="IM",3,(IF(E1905="MI",4,(IF(E1905="RP",5,(IF(E1905="SC",6,0)))))))))))))))))))))))))))))))))))))))</f>
        <v>2</v>
      </c>
      <c r="G1905" s="170">
        <v>7</v>
      </c>
      <c r="H1905" s="38" t="s">
        <v>511</v>
      </c>
      <c r="I1905" s="3" t="s">
        <v>821</v>
      </c>
      <c r="J1905" s="149" t="s">
        <v>238</v>
      </c>
      <c r="K1905" s="79" t="s">
        <v>1283</v>
      </c>
      <c r="L1905" s="66">
        <f>IF(O1905="","",N1905*O1905*M1905)</f>
        <v>75</v>
      </c>
      <c r="M1905" s="8">
        <v>1</v>
      </c>
      <c r="N1905" s="1">
        <v>1</v>
      </c>
      <c r="O1905" s="15">
        <f>IF(SUM(Q1905:AF1905)&lt;1,"",SUM(Q1905:AF1905)/COUNTIF(Q1905:AF1905,"&gt;0"))</f>
        <v>75</v>
      </c>
      <c r="P1905" s="16"/>
      <c r="Q1905" s="13"/>
      <c r="R1905" s="4"/>
      <c r="S1905" s="4"/>
      <c r="T1905" s="4">
        <v>75</v>
      </c>
      <c r="U1905" s="2"/>
      <c r="V1905" s="2"/>
      <c r="W1905" s="2"/>
      <c r="X1905" s="2"/>
      <c r="Y1905" s="4"/>
      <c r="Z1905" s="2"/>
      <c r="AA1905" s="2"/>
      <c r="AB1905" s="4"/>
      <c r="AC1905" s="4"/>
      <c r="AD1905" s="4"/>
      <c r="AE1905" s="4"/>
      <c r="AF1905" s="14"/>
    </row>
    <row r="1906" spans="1:32" x14ac:dyDescent="0.25">
      <c r="A1906" s="33" t="str">
        <f>CONCATENATE(D1906,".",F1906,"-",G1906,".",H1906,"")</f>
        <v>3.2-7.1</v>
      </c>
      <c r="B1906" s="33" t="s">
        <v>814</v>
      </c>
      <c r="C1906" s="40" t="s">
        <v>336</v>
      </c>
      <c r="D1906" s="33">
        <f>IF(C1906="ID",1,(IF(C1906="PR",2,(IF(C1906="DE",3,(IF(C1906="RS",4,(IF(C1906="RC",5,0)))))))))</f>
        <v>3</v>
      </c>
      <c r="E1906" s="33" t="s">
        <v>259</v>
      </c>
      <c r="F1906" s="33">
        <f>IF(E1906="AM",1,(IF(E1906="BE",2,(IF(E1906="GV",3,(IF(E1906="RA",4,(IF(E1906="RM",5,(IF(E1906="AC",1,(IF(E1906="AT",2,(IF(E1906="DS",3,(IF(E1906="IP",4,(IF(E1906="MA",5,(IF(E1906="PT",6,(IF(E1906="AE",1,(IF(E1906="CM",2,(IF(E1906="DP",3,(IF(E1906="AN",1,(IF(E1906="CO",2,(IF(E1906="IM",3,(IF(E1906="MI",4,(IF(E1906="RP",5,(IF(E1906="SC",6,0)))))))))))))))))))))))))))))))))))))))</f>
        <v>2</v>
      </c>
      <c r="G1906" s="171">
        <v>7</v>
      </c>
      <c r="H1906" s="38" t="s">
        <v>511</v>
      </c>
      <c r="I1906" s="22" t="s">
        <v>936</v>
      </c>
      <c r="J1906" s="163" t="s">
        <v>891</v>
      </c>
      <c r="K1906" s="34" t="s">
        <v>975</v>
      </c>
      <c r="L1906" s="66">
        <f>IF(O1906="","",N1906*O1906*M1906)</f>
        <v>75</v>
      </c>
      <c r="M1906" s="8">
        <v>1</v>
      </c>
      <c r="N1906" s="3">
        <v>1</v>
      </c>
      <c r="O1906" s="15">
        <f>IF(SUM(Q1906:AF1906)&lt;1,"",SUM(Q1906:AF1906)/COUNTIF(Q1906:AF1906,"&gt;0"))</f>
        <v>75</v>
      </c>
      <c r="P1906" s="16"/>
      <c r="Q1906" s="13"/>
      <c r="R1906" s="4"/>
      <c r="S1906" s="4"/>
      <c r="T1906" s="4">
        <v>75</v>
      </c>
      <c r="U1906" s="2"/>
      <c r="V1906" s="2"/>
      <c r="W1906" s="2"/>
      <c r="X1906" s="2"/>
      <c r="Y1906" s="4"/>
      <c r="Z1906" s="2"/>
      <c r="AA1906" s="2"/>
      <c r="AB1906" s="4"/>
      <c r="AC1906" s="4"/>
      <c r="AD1906" s="4"/>
      <c r="AE1906" s="4"/>
      <c r="AF1906" s="14"/>
    </row>
    <row r="1907" spans="1:32" x14ac:dyDescent="0.25">
      <c r="A1907" s="33" t="str">
        <f>CONCATENATE(D1907,".",F1907,"-",G1907,".",H1907,"")</f>
        <v>3.2-7.1</v>
      </c>
      <c r="B1907" s="33" t="s">
        <v>814</v>
      </c>
      <c r="C1907" s="40" t="s">
        <v>336</v>
      </c>
      <c r="D1907" s="33">
        <f>IF(C1907="ID",1,(IF(C1907="PR",2,(IF(C1907="DE",3,(IF(C1907="RS",4,(IF(C1907="RC",5,0)))))))))</f>
        <v>3</v>
      </c>
      <c r="E1907" s="33" t="s">
        <v>259</v>
      </c>
      <c r="F1907" s="33">
        <f>IF(E1907="AM",1,(IF(E1907="BE",2,(IF(E1907="GV",3,(IF(E1907="RA",4,(IF(E1907="RM",5,(IF(E1907="AC",1,(IF(E1907="AT",2,(IF(E1907="DS",3,(IF(E1907="IP",4,(IF(E1907="MA",5,(IF(E1907="PT",6,(IF(E1907="AE",1,(IF(E1907="CM",2,(IF(E1907="DP",3,(IF(E1907="AN",1,(IF(E1907="CO",2,(IF(E1907="IM",3,(IF(E1907="MI",4,(IF(E1907="RP",5,(IF(E1907="SC",6,0)))))))))))))))))))))))))))))))))))))))</f>
        <v>2</v>
      </c>
      <c r="G1907" s="171">
        <v>7</v>
      </c>
      <c r="H1907" s="38" t="s">
        <v>511</v>
      </c>
      <c r="I1907" s="22" t="s">
        <v>936</v>
      </c>
      <c r="J1907" s="163" t="s">
        <v>916</v>
      </c>
      <c r="K1907" s="34" t="s">
        <v>944</v>
      </c>
      <c r="L1907" s="66">
        <f>IF(O1907="","",N1907*O1907*M1907)</f>
        <v>75</v>
      </c>
      <c r="M1907" s="8">
        <v>1</v>
      </c>
      <c r="N1907" s="3">
        <v>1</v>
      </c>
      <c r="O1907" s="15">
        <f>IF(SUM(Q1907:AF1907)&lt;1,"",SUM(Q1907:AF1907)/COUNTIF(Q1907:AF1907,"&gt;0"))</f>
        <v>75</v>
      </c>
      <c r="P1907" s="16"/>
      <c r="Q1907" s="13"/>
      <c r="R1907" s="4"/>
      <c r="S1907" s="4"/>
      <c r="T1907" s="4">
        <v>75</v>
      </c>
      <c r="U1907" s="2"/>
      <c r="V1907" s="2"/>
      <c r="W1907" s="2"/>
      <c r="X1907" s="2"/>
      <c r="Y1907" s="4"/>
      <c r="Z1907" s="2"/>
      <c r="AA1907" s="2"/>
      <c r="AB1907" s="4"/>
      <c r="AC1907" s="4"/>
      <c r="AD1907" s="4"/>
      <c r="AE1907" s="4"/>
      <c r="AF1907" s="14"/>
    </row>
    <row r="1908" spans="1:32" x14ac:dyDescent="0.25">
      <c r="A1908" s="33" t="str">
        <f>CONCATENATE(D1908,".",F1908,"-",G1908,".",H1908,"")</f>
        <v>3.2-7.1</v>
      </c>
      <c r="B1908" s="33" t="s">
        <v>814</v>
      </c>
      <c r="C1908" s="40" t="s">
        <v>336</v>
      </c>
      <c r="D1908" s="33">
        <f>IF(C1908="ID",1,(IF(C1908="PR",2,(IF(C1908="DE",3,(IF(C1908="RS",4,(IF(C1908="RC",5,0)))))))))</f>
        <v>3</v>
      </c>
      <c r="E1908" s="33" t="s">
        <v>259</v>
      </c>
      <c r="F1908" s="33">
        <f>IF(E1908="AM",1,(IF(E1908="BE",2,(IF(E1908="GV",3,(IF(E1908="RA",4,(IF(E1908="RM",5,(IF(E1908="AC",1,(IF(E1908="AT",2,(IF(E1908="DS",3,(IF(E1908="IP",4,(IF(E1908="MA",5,(IF(E1908="PT",6,(IF(E1908="AE",1,(IF(E1908="CM",2,(IF(E1908="DP",3,(IF(E1908="AN",1,(IF(E1908="CO",2,(IF(E1908="IM",3,(IF(E1908="MI",4,(IF(E1908="RP",5,(IF(E1908="SC",6,0)))))))))))))))))))))))))))))))))))))))</f>
        <v>2</v>
      </c>
      <c r="G1908" s="171">
        <v>7</v>
      </c>
      <c r="H1908" s="38" t="s">
        <v>511</v>
      </c>
      <c r="I1908" s="22" t="s">
        <v>936</v>
      </c>
      <c r="J1908" s="163" t="s">
        <v>917</v>
      </c>
      <c r="K1908" s="34" t="s">
        <v>947</v>
      </c>
      <c r="L1908" s="66">
        <f>IF(O1908="","",N1908*O1908*M1908)</f>
        <v>75</v>
      </c>
      <c r="M1908" s="8">
        <v>1</v>
      </c>
      <c r="N1908" s="3">
        <v>1</v>
      </c>
      <c r="O1908" s="15">
        <f>IF(SUM(Q1908:AF1908)&lt;1,"",SUM(Q1908:AF1908)/COUNTIF(Q1908:AF1908,"&gt;0"))</f>
        <v>75</v>
      </c>
      <c r="P1908" s="16"/>
      <c r="Q1908" s="13"/>
      <c r="R1908" s="4"/>
      <c r="S1908" s="4"/>
      <c r="T1908" s="4">
        <v>75</v>
      </c>
      <c r="U1908" s="2"/>
      <c r="V1908" s="2"/>
      <c r="W1908" s="2"/>
      <c r="X1908" s="2"/>
      <c r="Y1908" s="4"/>
      <c r="Z1908" s="2"/>
      <c r="AA1908" s="2"/>
      <c r="AB1908" s="4"/>
      <c r="AC1908" s="4"/>
      <c r="AD1908" s="4"/>
      <c r="AE1908" s="4"/>
      <c r="AF1908" s="14"/>
    </row>
    <row r="1909" spans="1:32" x14ac:dyDescent="0.25">
      <c r="A1909" s="33" t="str">
        <f>CONCATENATE(D1909,".",F1909,"-",G1909,".",H1909,"")</f>
        <v>3.2-7.1</v>
      </c>
      <c r="B1909" s="33" t="s">
        <v>814</v>
      </c>
      <c r="C1909" s="40" t="s">
        <v>336</v>
      </c>
      <c r="D1909" s="33">
        <f>IF(C1909="ID",1,(IF(C1909="PR",2,(IF(C1909="DE",3,(IF(C1909="RS",4,(IF(C1909="RC",5,0)))))))))</f>
        <v>3</v>
      </c>
      <c r="E1909" s="33" t="s">
        <v>259</v>
      </c>
      <c r="F1909" s="33">
        <f>IF(E1909="AM",1,(IF(E1909="BE",2,(IF(E1909="GV",3,(IF(E1909="RA",4,(IF(E1909="RM",5,(IF(E1909="AC",1,(IF(E1909="AT",2,(IF(E1909="DS",3,(IF(E1909="IP",4,(IF(E1909="MA",5,(IF(E1909="PT",6,(IF(E1909="AE",1,(IF(E1909="CM",2,(IF(E1909="DP",3,(IF(E1909="AN",1,(IF(E1909="CO",2,(IF(E1909="IM",3,(IF(E1909="MI",4,(IF(E1909="RP",5,(IF(E1909="SC",6,0)))))))))))))))))))))))))))))))))))))))</f>
        <v>2</v>
      </c>
      <c r="G1909" s="171">
        <v>7</v>
      </c>
      <c r="H1909" s="38" t="s">
        <v>511</v>
      </c>
      <c r="I1909" s="22" t="s">
        <v>936</v>
      </c>
      <c r="J1909" s="163" t="s">
        <v>866</v>
      </c>
      <c r="K1909" s="34" t="s">
        <v>937</v>
      </c>
      <c r="L1909" s="66">
        <f>IF(O1909="","",N1909*O1909*M1909)</f>
        <v>75</v>
      </c>
      <c r="M1909" s="8">
        <v>1</v>
      </c>
      <c r="N1909" s="3">
        <v>1</v>
      </c>
      <c r="O1909" s="15">
        <f>IF(SUM(Q1909:AF1909)&lt;1,"",SUM(Q1909:AF1909)/COUNTIF(Q1909:AF1909,"&gt;0"))</f>
        <v>75</v>
      </c>
      <c r="P1909" s="16"/>
      <c r="Q1909" s="13"/>
      <c r="R1909" s="4"/>
      <c r="S1909" s="4"/>
      <c r="T1909" s="4">
        <v>75</v>
      </c>
      <c r="U1909" s="2"/>
      <c r="V1909" s="2"/>
      <c r="W1909" s="2"/>
      <c r="X1909" s="2"/>
      <c r="Y1909" s="4"/>
      <c r="Z1909" s="2"/>
      <c r="AA1909" s="2"/>
      <c r="AB1909" s="4"/>
      <c r="AC1909" s="4"/>
      <c r="AD1909" s="4"/>
      <c r="AE1909" s="4"/>
      <c r="AF1909" s="14"/>
    </row>
    <row r="1910" spans="1:32" x14ac:dyDescent="0.25">
      <c r="A1910" s="33" t="str">
        <f>CONCATENATE(D1910,".",F1910,"-",G1910,".",H1910,"")</f>
        <v>3.2-7.1</v>
      </c>
      <c r="B1910" s="33" t="s">
        <v>814</v>
      </c>
      <c r="C1910" s="40" t="s">
        <v>336</v>
      </c>
      <c r="D1910" s="33">
        <f>IF(C1910="ID",1,(IF(C1910="PR",2,(IF(C1910="DE",3,(IF(C1910="RS",4,(IF(C1910="RC",5,0)))))))))</f>
        <v>3</v>
      </c>
      <c r="E1910" s="33" t="s">
        <v>259</v>
      </c>
      <c r="F1910" s="33">
        <f>IF(E1910="AM",1,(IF(E1910="BE",2,(IF(E1910="GV",3,(IF(E1910="RA",4,(IF(E1910="RM",5,(IF(E1910="AC",1,(IF(E1910="AT",2,(IF(E1910="DS",3,(IF(E1910="IP",4,(IF(E1910="MA",5,(IF(E1910="PT",6,(IF(E1910="AE",1,(IF(E1910="CM",2,(IF(E1910="DP",3,(IF(E1910="AN",1,(IF(E1910="CO",2,(IF(E1910="IM",3,(IF(E1910="MI",4,(IF(E1910="RP",5,(IF(E1910="SC",6,0)))))))))))))))))))))))))))))))))))))))</f>
        <v>2</v>
      </c>
      <c r="G1910" s="171">
        <v>7</v>
      </c>
      <c r="H1910" s="38" t="s">
        <v>511</v>
      </c>
      <c r="I1910" s="22" t="s">
        <v>936</v>
      </c>
      <c r="J1910" s="163" t="s">
        <v>908</v>
      </c>
      <c r="K1910" s="34" t="s">
        <v>943</v>
      </c>
      <c r="L1910" s="66">
        <f>IF(O1910="","",N1910*O1910*M1910)</f>
        <v>75</v>
      </c>
      <c r="M1910" s="8">
        <v>1</v>
      </c>
      <c r="N1910" s="3">
        <v>1</v>
      </c>
      <c r="O1910" s="15">
        <f>IF(SUM(Q1910:AF1910)&lt;1,"",SUM(Q1910:AF1910)/COUNTIF(Q1910:AF1910,"&gt;0"))</f>
        <v>75</v>
      </c>
      <c r="P1910" s="16"/>
      <c r="Q1910" s="13"/>
      <c r="R1910" s="4"/>
      <c r="S1910" s="4"/>
      <c r="T1910" s="4">
        <v>75</v>
      </c>
      <c r="U1910" s="2"/>
      <c r="V1910" s="2"/>
      <c r="W1910" s="2"/>
      <c r="X1910" s="2"/>
      <c r="Y1910" s="4"/>
      <c r="Z1910" s="2"/>
      <c r="AA1910" s="2"/>
      <c r="AB1910" s="4"/>
      <c r="AC1910" s="4"/>
      <c r="AD1910" s="4"/>
      <c r="AE1910" s="4"/>
      <c r="AF1910" s="14"/>
    </row>
    <row r="1911" spans="1:32" x14ac:dyDescent="0.25">
      <c r="A1911" s="33" t="str">
        <f>CONCATENATE(D1911,".",F1911,"-",G1911,".",H1911,"")</f>
        <v>3.2-7.1</v>
      </c>
      <c r="B1911" s="33" t="s">
        <v>814</v>
      </c>
      <c r="C1911" s="40" t="s">
        <v>336</v>
      </c>
      <c r="D1911" s="33">
        <f>IF(C1911="ID",1,(IF(C1911="PR",2,(IF(C1911="DE",3,(IF(C1911="RS",4,(IF(C1911="RC",5,0)))))))))</f>
        <v>3</v>
      </c>
      <c r="E1911" s="33" t="s">
        <v>259</v>
      </c>
      <c r="F1911" s="33">
        <f>IF(E1911="AM",1,(IF(E1911="BE",2,(IF(E1911="GV",3,(IF(E1911="RA",4,(IF(E1911="RM",5,(IF(E1911="AC",1,(IF(E1911="AT",2,(IF(E1911="DS",3,(IF(E1911="IP",4,(IF(E1911="MA",5,(IF(E1911="PT",6,(IF(E1911="AE",1,(IF(E1911="CM",2,(IF(E1911="DP",3,(IF(E1911="AN",1,(IF(E1911="CO",2,(IF(E1911="IM",3,(IF(E1911="MI",4,(IF(E1911="RP",5,(IF(E1911="SC",6,0)))))))))))))))))))))))))))))))))))))))</f>
        <v>2</v>
      </c>
      <c r="G1911" s="171">
        <v>7</v>
      </c>
      <c r="H1911" s="38" t="s">
        <v>511</v>
      </c>
      <c r="I1911" s="22" t="s">
        <v>936</v>
      </c>
      <c r="J1911" s="163" t="s">
        <v>909</v>
      </c>
      <c r="K1911" s="34" t="s">
        <v>999</v>
      </c>
      <c r="L1911" s="66">
        <f>IF(O1911="","",N1911*O1911*M1911)</f>
        <v>75</v>
      </c>
      <c r="M1911" s="8">
        <v>1</v>
      </c>
      <c r="N1911" s="3">
        <v>1</v>
      </c>
      <c r="O1911" s="15">
        <f>IF(SUM(Q1911:AF1911)&lt;1,"",SUM(Q1911:AF1911)/COUNTIF(Q1911:AF1911,"&gt;0"))</f>
        <v>75</v>
      </c>
      <c r="P1911" s="16"/>
      <c r="Q1911" s="13"/>
      <c r="R1911" s="4"/>
      <c r="S1911" s="4"/>
      <c r="T1911" s="4">
        <v>75</v>
      </c>
      <c r="U1911" s="2"/>
      <c r="V1911" s="2"/>
      <c r="W1911" s="2"/>
      <c r="X1911" s="2"/>
      <c r="Y1911" s="4"/>
      <c r="Z1911" s="2"/>
      <c r="AA1911" s="2"/>
      <c r="AB1911" s="4"/>
      <c r="AC1911" s="4"/>
      <c r="AD1911" s="4"/>
      <c r="AE1911" s="4"/>
      <c r="AF1911" s="14"/>
    </row>
    <row r="1912" spans="1:32" x14ac:dyDescent="0.25">
      <c r="A1912" s="33" t="str">
        <f>CONCATENATE(D1912,".",F1912,"-",G1912,".",H1912,"")</f>
        <v>3.2-7.1</v>
      </c>
      <c r="B1912" s="33" t="s">
        <v>814</v>
      </c>
      <c r="C1912" s="40" t="s">
        <v>336</v>
      </c>
      <c r="D1912" s="33">
        <f>IF(C1912="ID",1,(IF(C1912="PR",2,(IF(C1912="DE",3,(IF(C1912="RS",4,(IF(C1912="RC",5,0)))))))))</f>
        <v>3</v>
      </c>
      <c r="E1912" s="33" t="s">
        <v>259</v>
      </c>
      <c r="F1912" s="33">
        <f>IF(E1912="AM",1,(IF(E1912="BE",2,(IF(E1912="GV",3,(IF(E1912="RA",4,(IF(E1912="RM",5,(IF(E1912="AC",1,(IF(E1912="AT",2,(IF(E1912="DS",3,(IF(E1912="IP",4,(IF(E1912="MA",5,(IF(E1912="PT",6,(IF(E1912="AE",1,(IF(E1912="CM",2,(IF(E1912="DP",3,(IF(E1912="AN",1,(IF(E1912="CO",2,(IF(E1912="IM",3,(IF(E1912="MI",4,(IF(E1912="RP",5,(IF(E1912="SC",6,0)))))))))))))))))))))))))))))))))))))))</f>
        <v>2</v>
      </c>
      <c r="G1912" s="171">
        <v>7</v>
      </c>
      <c r="H1912" s="38" t="s">
        <v>511</v>
      </c>
      <c r="I1912" s="22" t="s">
        <v>936</v>
      </c>
      <c r="J1912" s="163" t="s">
        <v>913</v>
      </c>
      <c r="K1912" s="34" t="s">
        <v>954</v>
      </c>
      <c r="L1912" s="66">
        <f>IF(O1912="","",N1912*O1912*M1912)</f>
        <v>75</v>
      </c>
      <c r="M1912" s="8">
        <v>1</v>
      </c>
      <c r="N1912" s="3">
        <v>1</v>
      </c>
      <c r="O1912" s="15">
        <f>IF(SUM(Q1912:AF1912)&lt;1,"",SUM(Q1912:AF1912)/COUNTIF(Q1912:AF1912,"&gt;0"))</f>
        <v>75</v>
      </c>
      <c r="P1912" s="16"/>
      <c r="Q1912" s="13"/>
      <c r="R1912" s="4"/>
      <c r="S1912" s="4"/>
      <c r="T1912" s="4">
        <v>75</v>
      </c>
      <c r="U1912" s="2"/>
      <c r="V1912" s="2"/>
      <c r="W1912" s="2"/>
      <c r="X1912" s="2"/>
      <c r="Y1912" s="4"/>
      <c r="Z1912" s="2"/>
      <c r="AA1912" s="2"/>
      <c r="AB1912" s="4"/>
      <c r="AC1912" s="4"/>
      <c r="AD1912" s="4"/>
      <c r="AE1912" s="4"/>
      <c r="AF1912" s="14"/>
    </row>
    <row r="1913" spans="1:32" x14ac:dyDescent="0.25">
      <c r="A1913" s="33" t="str">
        <f>CONCATENATE(D1913,".",F1913,"-",G1913,".",H1913,"")</f>
        <v>3.2-7.1</v>
      </c>
      <c r="B1913" s="33" t="s">
        <v>814</v>
      </c>
      <c r="C1913" s="40" t="s">
        <v>336</v>
      </c>
      <c r="D1913" s="33">
        <f>IF(C1913="ID",1,(IF(C1913="PR",2,(IF(C1913="DE",3,(IF(C1913="RS",4,(IF(C1913="RC",5,0)))))))))</f>
        <v>3</v>
      </c>
      <c r="E1913" s="33" t="s">
        <v>259</v>
      </c>
      <c r="F1913" s="33">
        <f>IF(E1913="AM",1,(IF(E1913="BE",2,(IF(E1913="GV",3,(IF(E1913="RA",4,(IF(E1913="RM",5,(IF(E1913="AC",1,(IF(E1913="AT",2,(IF(E1913="DS",3,(IF(E1913="IP",4,(IF(E1913="MA",5,(IF(E1913="PT",6,(IF(E1913="AE",1,(IF(E1913="CM",2,(IF(E1913="DP",3,(IF(E1913="AN",1,(IF(E1913="CO",2,(IF(E1913="IM",3,(IF(E1913="MI",4,(IF(E1913="RP",5,(IF(E1913="SC",6,0)))))))))))))))))))))))))))))))))))))))</f>
        <v>2</v>
      </c>
      <c r="G1913" s="171">
        <v>7</v>
      </c>
      <c r="H1913" s="38" t="s">
        <v>511</v>
      </c>
      <c r="I1913" s="3" t="s">
        <v>821</v>
      </c>
      <c r="J1913" s="150" t="s">
        <v>175</v>
      </c>
      <c r="K1913" s="79" t="s">
        <v>1283</v>
      </c>
      <c r="L1913" s="66">
        <f>IF(O1913="","",N1913*O1913*M1913)</f>
        <v>75</v>
      </c>
      <c r="M1913" s="8">
        <v>1</v>
      </c>
      <c r="N1913" s="3">
        <v>1</v>
      </c>
      <c r="O1913" s="15">
        <f>IF(SUM(Q1913:AF1913)&lt;1,"",SUM(Q1913:AF1913)/COUNTIF(Q1913:AF1913,"&gt;0"))</f>
        <v>75</v>
      </c>
      <c r="P1913" s="16"/>
      <c r="Q1913" s="13"/>
      <c r="R1913" s="4"/>
      <c r="S1913" s="4"/>
      <c r="T1913" s="4">
        <v>75</v>
      </c>
      <c r="U1913" s="2"/>
      <c r="V1913" s="2"/>
      <c r="W1913" s="2"/>
      <c r="X1913" s="2"/>
      <c r="Y1913" s="4"/>
      <c r="Z1913" s="2"/>
      <c r="AA1913" s="2"/>
      <c r="AB1913" s="4"/>
      <c r="AC1913" s="4"/>
      <c r="AD1913" s="4"/>
      <c r="AE1913" s="4"/>
      <c r="AF1913" s="14"/>
    </row>
    <row r="1914" spans="1:32" x14ac:dyDescent="0.25">
      <c r="A1914" s="33" t="str">
        <f>CONCATENATE(D1914,".",F1914,"-",G1914,".",H1914,"")</f>
        <v>3.2-7.1</v>
      </c>
      <c r="B1914" s="33" t="s">
        <v>814</v>
      </c>
      <c r="C1914" s="41" t="s">
        <v>336</v>
      </c>
      <c r="D1914" s="33">
        <f>IF(C1914="ID",1,(IF(C1914="PR",2,(IF(C1914="DE",3,(IF(C1914="RS",4,(IF(C1914="RC",5,0)))))))))</f>
        <v>3</v>
      </c>
      <c r="E1914" s="33" t="s">
        <v>259</v>
      </c>
      <c r="F1914" s="33">
        <f>IF(E1914="AM",1,(IF(E1914="BE",2,(IF(E1914="GV",3,(IF(E1914="RA",4,(IF(E1914="RM",5,(IF(E1914="AC",1,(IF(E1914="AT",2,(IF(E1914="DS",3,(IF(E1914="IP",4,(IF(E1914="MA",5,(IF(E1914="PT",6,(IF(E1914="AE",1,(IF(E1914="CM",2,(IF(E1914="DP",3,(IF(E1914="AN",1,(IF(E1914="CO",2,(IF(E1914="IM",3,(IF(E1914="MI",4,(IF(E1914="RP",5,(IF(E1914="SC",6,0)))))))))))))))))))))))))))))))))))))))</f>
        <v>2</v>
      </c>
      <c r="G1914" s="170">
        <v>7</v>
      </c>
      <c r="H1914" s="38" t="s">
        <v>511</v>
      </c>
      <c r="I1914" s="22" t="s">
        <v>266</v>
      </c>
      <c r="J1914" s="149" t="s">
        <v>286</v>
      </c>
      <c r="K1914" s="79" t="s">
        <v>1323</v>
      </c>
      <c r="L1914" s="5">
        <f>IF(O1914="","",N1914*O1914*M1914)</f>
        <v>75</v>
      </c>
      <c r="M1914" s="8">
        <v>1</v>
      </c>
      <c r="N1914" s="1">
        <v>1</v>
      </c>
      <c r="O1914" s="15">
        <f>IF(SUM(Q1914:AF1914)&lt;1,"",SUM(Q1914:AF1914)/COUNTIF(Q1914:AF1914,"&gt;0"))</f>
        <v>75</v>
      </c>
      <c r="P1914" s="16"/>
      <c r="Q1914" s="13"/>
      <c r="R1914" s="4"/>
      <c r="S1914" s="4"/>
      <c r="T1914" s="4">
        <v>75</v>
      </c>
      <c r="U1914" s="2"/>
      <c r="V1914" s="2"/>
      <c r="W1914" s="2"/>
      <c r="X1914" s="2"/>
      <c r="Y1914" s="4"/>
      <c r="Z1914" s="2"/>
      <c r="AA1914" s="2"/>
      <c r="AB1914" s="4"/>
      <c r="AC1914" s="4"/>
      <c r="AD1914" s="4"/>
      <c r="AE1914" s="4"/>
      <c r="AF1914" s="14"/>
    </row>
    <row r="1915" spans="1:32" x14ac:dyDescent="0.25">
      <c r="A1915" s="33" t="str">
        <f>CONCATENATE(D1915,".",F1915,"-",G1915,".",H1915,"")</f>
        <v>3.2-7.1</v>
      </c>
      <c r="B1915" s="33" t="s">
        <v>814</v>
      </c>
      <c r="C1915" s="39" t="s">
        <v>336</v>
      </c>
      <c r="D1915" s="33">
        <f>IF(C1915="ID",1,(IF(C1915="PR",2,(IF(C1915="DE",3,(IF(C1915="RS",4,(IF(C1915="RC",5,0)))))))))</f>
        <v>3</v>
      </c>
      <c r="E1915" s="33" t="s">
        <v>259</v>
      </c>
      <c r="F1915" s="33">
        <f>IF(E1915="AM",1,(IF(E1915="BE",2,(IF(E1915="GV",3,(IF(E1915="RA",4,(IF(E1915="RM",5,(IF(E1915="AC",1,(IF(E1915="AT",2,(IF(E1915="DS",3,(IF(E1915="IP",4,(IF(E1915="MA",5,(IF(E1915="PT",6,(IF(E1915="AE",1,(IF(E1915="CM",2,(IF(E1915="DP",3,(IF(E1915="AN",1,(IF(E1915="CO",2,(IF(E1915="IM",3,(IF(E1915="MI",4,(IF(E1915="RP",5,(IF(E1915="SC",6,0)))))))))))))))))))))))))))))))))))))))</f>
        <v>2</v>
      </c>
      <c r="G1915" s="170">
        <v>7</v>
      </c>
      <c r="H1915" s="33">
        <v>1</v>
      </c>
      <c r="I1915" s="22" t="s">
        <v>266</v>
      </c>
      <c r="J1915" s="150" t="s">
        <v>288</v>
      </c>
      <c r="K1915" s="79" t="s">
        <v>1346</v>
      </c>
      <c r="L1915" s="5">
        <f>IF(O1915="","",N1915*O1915*M1915)</f>
        <v>75</v>
      </c>
      <c r="M1915" s="8">
        <v>1</v>
      </c>
      <c r="N1915" s="1">
        <v>1</v>
      </c>
      <c r="O1915" s="15">
        <f>IF(SUM(Q1915:AF1915)&lt;1,"",SUM(Q1915:AF1915)/COUNTIF(Q1915:AF1915,"&gt;0"))</f>
        <v>75</v>
      </c>
      <c r="P1915" s="16"/>
      <c r="Q1915" s="13"/>
      <c r="T1915" s="4">
        <v>75</v>
      </c>
      <c r="AF1915" s="104"/>
    </row>
    <row r="1916" spans="1:32" x14ac:dyDescent="0.25">
      <c r="A1916" s="33" t="str">
        <f>CONCATENATE(D1916,".",F1916,"-",G1916,".",H1916,"")</f>
        <v>3.2-7.1</v>
      </c>
      <c r="B1916" s="33" t="s">
        <v>814</v>
      </c>
      <c r="C1916" s="39" t="s">
        <v>336</v>
      </c>
      <c r="D1916" s="33">
        <f>IF(C1916="ID",1,(IF(C1916="PR",2,(IF(C1916="DE",3,(IF(C1916="RS",4,(IF(C1916="RC",5,0)))))))))</f>
        <v>3</v>
      </c>
      <c r="E1916" s="33" t="s">
        <v>259</v>
      </c>
      <c r="F1916" s="33">
        <f>IF(E1916="AM",1,(IF(E1916="BE",2,(IF(E1916="GV",3,(IF(E1916="RA",4,(IF(E1916="RM",5,(IF(E1916="AC",1,(IF(E1916="AT",2,(IF(E1916="DS",3,(IF(E1916="IP",4,(IF(E1916="MA",5,(IF(E1916="PT",6,(IF(E1916="AE",1,(IF(E1916="CM",2,(IF(E1916="DP",3,(IF(E1916="AN",1,(IF(E1916="CO",2,(IF(E1916="IM",3,(IF(E1916="MI",4,(IF(E1916="RP",5,(IF(E1916="SC",6,0)))))))))))))))))))))))))))))))))))))))</f>
        <v>2</v>
      </c>
      <c r="G1916" s="170">
        <v>7</v>
      </c>
      <c r="H1916" s="33">
        <v>1</v>
      </c>
      <c r="I1916" s="22" t="s">
        <v>266</v>
      </c>
      <c r="J1916" s="150" t="s">
        <v>289</v>
      </c>
      <c r="K1916" s="79" t="s">
        <v>1347</v>
      </c>
      <c r="L1916" s="5">
        <f>IF(O1916="","",N1916*O1916*M1916)</f>
        <v>75</v>
      </c>
      <c r="M1916" s="8">
        <v>1</v>
      </c>
      <c r="N1916" s="1">
        <v>1</v>
      </c>
      <c r="O1916" s="15">
        <f>IF(SUM(Q1916:AF1916)&lt;1,"",SUM(Q1916:AF1916)/COUNTIF(Q1916:AF1916,"&gt;0"))</f>
        <v>75</v>
      </c>
      <c r="P1916" s="16"/>
      <c r="Q1916" s="13"/>
      <c r="T1916" s="4">
        <v>75</v>
      </c>
      <c r="AF1916" s="104"/>
    </row>
    <row r="1917" spans="1:32" x14ac:dyDescent="0.25">
      <c r="A1917" s="33" t="str">
        <f>CONCATENATE(D1917,".",F1917,"-",G1917,".",H1917,"")</f>
        <v>3.2-7.1</v>
      </c>
      <c r="B1917" s="33" t="s">
        <v>814</v>
      </c>
      <c r="C1917" s="39" t="s">
        <v>336</v>
      </c>
      <c r="D1917" s="33">
        <f>IF(C1917="ID",1,(IF(C1917="PR",2,(IF(C1917="DE",3,(IF(C1917="RS",4,(IF(C1917="RC",5,0)))))))))</f>
        <v>3</v>
      </c>
      <c r="E1917" s="33" t="s">
        <v>259</v>
      </c>
      <c r="F1917" s="33">
        <f>IF(E1917="AM",1,(IF(E1917="BE",2,(IF(E1917="GV",3,(IF(E1917="RA",4,(IF(E1917="RM",5,(IF(E1917="AC",1,(IF(E1917="AT",2,(IF(E1917="DS",3,(IF(E1917="IP",4,(IF(E1917="MA",5,(IF(E1917="PT",6,(IF(E1917="AE",1,(IF(E1917="CM",2,(IF(E1917="DP",3,(IF(E1917="AN",1,(IF(E1917="CO",2,(IF(E1917="IM",3,(IF(E1917="MI",4,(IF(E1917="RP",5,(IF(E1917="SC",6,0)))))))))))))))))))))))))))))))))))))))</f>
        <v>2</v>
      </c>
      <c r="G1917" s="170">
        <v>7</v>
      </c>
      <c r="H1917" s="38" t="s">
        <v>511</v>
      </c>
      <c r="I1917" s="79" t="s">
        <v>1176</v>
      </c>
      <c r="J1917" s="162">
        <v>5.4</v>
      </c>
      <c r="K1917" s="80" t="s">
        <v>1064</v>
      </c>
      <c r="L1917" s="66">
        <f>IF(O1917="","",N1917*O1917*M1917)</f>
        <v>75</v>
      </c>
      <c r="M1917" s="8">
        <v>1</v>
      </c>
      <c r="N1917" s="3">
        <v>1</v>
      </c>
      <c r="O1917" s="15">
        <f>IF(SUM(Q1917:AF1917)&lt;1,"",SUM(Q1917:AF1917)/COUNTIF(Q1917:AF1917,"&gt;0"))</f>
        <v>75</v>
      </c>
      <c r="P1917" s="16"/>
      <c r="Q1917" s="13"/>
      <c r="R1917" s="4"/>
      <c r="S1917" s="4"/>
      <c r="T1917" s="4">
        <v>75</v>
      </c>
      <c r="U1917" s="2"/>
      <c r="V1917" s="2"/>
      <c r="W1917" s="2"/>
      <c r="X1917" s="2"/>
      <c r="Y1917" s="4"/>
      <c r="Z1917" s="2"/>
      <c r="AA1917" s="2"/>
      <c r="AB1917" s="4"/>
      <c r="AC1917" s="4"/>
      <c r="AD1917" s="4"/>
      <c r="AE1917" s="4"/>
      <c r="AF1917" s="14"/>
    </row>
    <row r="1918" spans="1:32" x14ac:dyDescent="0.25">
      <c r="A1918" s="33" t="str">
        <f>CONCATENATE(D1918,".",F1918,"-",G1918,".",H1918,"")</f>
        <v>3.2-7.1</v>
      </c>
      <c r="B1918" s="33" t="s">
        <v>814</v>
      </c>
      <c r="C1918" s="40" t="s">
        <v>336</v>
      </c>
      <c r="D1918" s="33">
        <f>IF(C1918="ID",1,(IF(C1918="PR",2,(IF(C1918="DE",3,(IF(C1918="RS",4,(IF(C1918="RC",5,0)))))))))</f>
        <v>3</v>
      </c>
      <c r="E1918" s="37" t="s">
        <v>259</v>
      </c>
      <c r="F1918" s="33">
        <f>IF(E1918="AM",1,(IF(E1918="BE",2,(IF(E1918="GV",3,(IF(E1918="RA",4,(IF(E1918="RM",5,(IF(E1918="AC",1,(IF(E1918="AT",2,(IF(E1918="DS",3,(IF(E1918="IP",4,(IF(E1918="MA",5,(IF(E1918="PT",6,(IF(E1918="AE",1,(IF(E1918="CM",2,(IF(E1918="DP",3,(IF(E1918="AN",1,(IF(E1918="CO",2,(IF(E1918="IM",3,(IF(E1918="MI",4,(IF(E1918="RP",5,(IF(E1918="SC",6,0)))))))))))))))))))))))))))))))))))))))</f>
        <v>2</v>
      </c>
      <c r="G1918" s="170">
        <v>7</v>
      </c>
      <c r="H1918" s="38" t="s">
        <v>511</v>
      </c>
      <c r="I1918" s="79" t="s">
        <v>1176</v>
      </c>
      <c r="J1918" s="162">
        <v>9.3000000000000007</v>
      </c>
      <c r="K1918" s="80" t="s">
        <v>1084</v>
      </c>
      <c r="L1918" s="66">
        <f>IF(O1918="","",N1918*O1918*M1918)</f>
        <v>75</v>
      </c>
      <c r="M1918" s="8">
        <v>1</v>
      </c>
      <c r="N1918" s="3">
        <v>1</v>
      </c>
      <c r="O1918" s="15">
        <f>IF(SUM(Q1918:AF1918)&lt;1,"",SUM(Q1918:AF1918)/COUNTIF(Q1918:AF1918,"&gt;0"))</f>
        <v>75</v>
      </c>
      <c r="P1918" s="16"/>
      <c r="Q1918" s="13"/>
      <c r="R1918" s="4"/>
      <c r="S1918" s="4"/>
      <c r="T1918" s="4">
        <v>75</v>
      </c>
      <c r="U1918" s="2"/>
      <c r="V1918" s="2"/>
      <c r="W1918" s="2"/>
      <c r="X1918" s="2"/>
      <c r="Y1918" s="4"/>
      <c r="Z1918" s="2"/>
      <c r="AA1918" s="2"/>
      <c r="AB1918" s="4"/>
      <c r="AC1918" s="4"/>
      <c r="AD1918" s="4"/>
      <c r="AE1918" s="4"/>
      <c r="AF1918" s="14"/>
    </row>
    <row r="1919" spans="1:32" x14ac:dyDescent="0.25">
      <c r="A1919" s="33" t="str">
        <f>CONCATENATE(D1919,".",F1919,"-",G1919,".",H1919,"")</f>
        <v>3.2-7.1</v>
      </c>
      <c r="B1919" s="33" t="s">
        <v>814</v>
      </c>
      <c r="C1919" s="39" t="s">
        <v>336</v>
      </c>
      <c r="D1919" s="33">
        <f>IF(C1919="ID",1,(IF(C1919="PR",2,(IF(C1919="DE",3,(IF(C1919="RS",4,(IF(C1919="RC",5,0)))))))))</f>
        <v>3</v>
      </c>
      <c r="E1919" s="33" t="s">
        <v>259</v>
      </c>
      <c r="F1919" s="33">
        <f>IF(E1919="AM",1,(IF(E1919="BE",2,(IF(E1919="GV",3,(IF(E1919="RA",4,(IF(E1919="RM",5,(IF(E1919="AC",1,(IF(E1919="AT",2,(IF(E1919="DS",3,(IF(E1919="IP",4,(IF(E1919="MA",5,(IF(E1919="PT",6,(IF(E1919="AE",1,(IF(E1919="CM",2,(IF(E1919="DP",3,(IF(E1919="AN",1,(IF(E1919="CO",2,(IF(E1919="IM",3,(IF(E1919="MI",4,(IF(E1919="RP",5,(IF(E1919="SC",6,0)))))))))))))))))))))))))))))))))))))))</f>
        <v>2</v>
      </c>
      <c r="G1919" s="170">
        <v>7</v>
      </c>
      <c r="H1919" s="38" t="s">
        <v>511</v>
      </c>
      <c r="I1919" s="79" t="s">
        <v>1176</v>
      </c>
      <c r="J1919" s="162">
        <v>12.8</v>
      </c>
      <c r="K1919" s="80" t="s">
        <v>1107</v>
      </c>
      <c r="L1919" s="66">
        <f>IF(O1919="","",N1919*O1919*M1919)</f>
        <v>75</v>
      </c>
      <c r="M1919" s="8">
        <v>1</v>
      </c>
      <c r="N1919" s="3">
        <v>1</v>
      </c>
      <c r="O1919" s="15">
        <f>IF(SUM(Q1919:AF1919)&lt;1,"",SUM(Q1919:AF1919)/COUNTIF(Q1919:AF1919,"&gt;0"))</f>
        <v>75</v>
      </c>
      <c r="P1919" s="16"/>
      <c r="Q1919" s="13"/>
      <c r="R1919" s="4"/>
      <c r="S1919" s="4"/>
      <c r="T1919" s="4">
        <v>75</v>
      </c>
      <c r="U1919" s="2"/>
      <c r="V1919" s="2"/>
      <c r="W1919" s="2"/>
      <c r="X1919" s="2"/>
      <c r="Y1919" s="4"/>
      <c r="Z1919" s="2"/>
      <c r="AA1919" s="2"/>
      <c r="AB1919" s="4"/>
      <c r="AC1919" s="4"/>
      <c r="AD1919" s="4"/>
      <c r="AE1919" s="4"/>
      <c r="AF1919" s="14"/>
    </row>
    <row r="1920" spans="1:32" x14ac:dyDescent="0.25">
      <c r="A1920" s="33" t="str">
        <f>CONCATENATE(D1920,".",F1920,"-",G1920,".",H1920,"")</f>
        <v>3.2-7.1</v>
      </c>
      <c r="B1920" s="33" t="s">
        <v>814</v>
      </c>
      <c r="C1920" s="39" t="s">
        <v>336</v>
      </c>
      <c r="D1920" s="33">
        <f>IF(C1920="ID",1,(IF(C1920="PR",2,(IF(C1920="DE",3,(IF(C1920="RS",4,(IF(C1920="RC",5,0)))))))))</f>
        <v>3</v>
      </c>
      <c r="E1920" s="33" t="s">
        <v>259</v>
      </c>
      <c r="F1920" s="33">
        <f>IF(E1920="AM",1,(IF(E1920="BE",2,(IF(E1920="GV",3,(IF(E1920="RA",4,(IF(E1920="RM",5,(IF(E1920="AC",1,(IF(E1920="AT",2,(IF(E1920="DS",3,(IF(E1920="IP",4,(IF(E1920="MA",5,(IF(E1920="PT",6,(IF(E1920="AE",1,(IF(E1920="CM",2,(IF(E1920="DP",3,(IF(E1920="AN",1,(IF(E1920="CO",2,(IF(E1920="IM",3,(IF(E1920="MI",4,(IF(E1920="RP",5,(IF(E1920="SC",6,0)))))))))))))))))))))))))))))))))))))))</f>
        <v>2</v>
      </c>
      <c r="G1920" s="170">
        <v>7</v>
      </c>
      <c r="H1920" s="38" t="s">
        <v>511</v>
      </c>
      <c r="I1920" s="79" t="s">
        <v>1176</v>
      </c>
      <c r="J1920" s="162">
        <v>13.4</v>
      </c>
      <c r="K1920" s="80" t="s">
        <v>1114</v>
      </c>
      <c r="L1920" s="66">
        <f>IF(O1920="","",N1920*O1920*M1920)</f>
        <v>75</v>
      </c>
      <c r="M1920" s="8">
        <v>1</v>
      </c>
      <c r="N1920" s="3">
        <v>1</v>
      </c>
      <c r="O1920" s="15">
        <f>IF(SUM(Q1920:AF1920)&lt;1,"",SUM(Q1920:AF1920)/COUNTIF(Q1920:AF1920,"&gt;0"))</f>
        <v>75</v>
      </c>
      <c r="P1920" s="16"/>
      <c r="Q1920" s="13"/>
      <c r="R1920" s="4"/>
      <c r="S1920" s="4"/>
      <c r="T1920" s="4">
        <v>75</v>
      </c>
      <c r="U1920" s="2"/>
      <c r="V1920" s="2"/>
      <c r="W1920" s="2"/>
      <c r="X1920" s="2"/>
      <c r="Y1920" s="4"/>
      <c r="Z1920" s="2"/>
      <c r="AA1920" s="2"/>
      <c r="AB1920" s="4"/>
      <c r="AC1920" s="4"/>
      <c r="AD1920" s="4"/>
      <c r="AE1920" s="4"/>
      <c r="AF1920" s="14"/>
    </row>
    <row r="1921" spans="1:32" x14ac:dyDescent="0.25">
      <c r="A1921" s="33" t="str">
        <f>CONCATENATE(D1921,".",F1921,"-",G1921,".",H1921,"")</f>
        <v>3.2-7.1</v>
      </c>
      <c r="B1921" s="33" t="s">
        <v>814</v>
      </c>
      <c r="C1921" s="39" t="s">
        <v>336</v>
      </c>
      <c r="D1921" s="33">
        <f>IF(C1921="ID",1,(IF(C1921="PR",2,(IF(C1921="DE",3,(IF(C1921="RS",4,(IF(C1921="RC",5,0)))))))))</f>
        <v>3</v>
      </c>
      <c r="E1921" s="33" t="s">
        <v>259</v>
      </c>
      <c r="F1921" s="33">
        <f>IF(E1921="AM",1,(IF(E1921="BE",2,(IF(E1921="GV",3,(IF(E1921="RA",4,(IF(E1921="RM",5,(IF(E1921="AC",1,(IF(E1921="AT",2,(IF(E1921="DS",3,(IF(E1921="IP",4,(IF(E1921="MA",5,(IF(E1921="PT",6,(IF(E1921="AE",1,(IF(E1921="CM",2,(IF(E1921="DP",3,(IF(E1921="AN",1,(IF(E1921="CO",2,(IF(E1921="IM",3,(IF(E1921="MI",4,(IF(E1921="RP",5,(IF(E1921="SC",6,0)))))))))))))))))))))))))))))))))))))))</f>
        <v>2</v>
      </c>
      <c r="G1921" s="170">
        <v>7</v>
      </c>
      <c r="H1921" s="38" t="s">
        <v>511</v>
      </c>
      <c r="I1921" s="79" t="s">
        <v>1176</v>
      </c>
      <c r="J1921" s="162">
        <v>14.6</v>
      </c>
      <c r="K1921" s="80" t="s">
        <v>1124</v>
      </c>
      <c r="L1921" s="66">
        <f>IF(O1921="","",N1921*O1921*M1921)</f>
        <v>75</v>
      </c>
      <c r="M1921" s="8">
        <v>1</v>
      </c>
      <c r="N1921" s="3">
        <v>1</v>
      </c>
      <c r="O1921" s="15">
        <f>IF(SUM(Q1921:AF1921)&lt;1,"",SUM(Q1921:AF1921)/COUNTIF(Q1921:AF1921,"&gt;0"))</f>
        <v>75</v>
      </c>
      <c r="P1921" s="16"/>
      <c r="Q1921" s="13"/>
      <c r="R1921" s="4"/>
      <c r="S1921" s="4"/>
      <c r="T1921" s="4">
        <v>75</v>
      </c>
      <c r="U1921" s="2"/>
      <c r="V1921" s="2"/>
      <c r="W1921" s="2"/>
      <c r="X1921" s="2"/>
      <c r="Y1921" s="4"/>
      <c r="Z1921" s="2"/>
      <c r="AA1921" s="2"/>
      <c r="AB1921" s="4"/>
      <c r="AC1921" s="4"/>
      <c r="AD1921" s="4"/>
      <c r="AE1921" s="4"/>
      <c r="AF1921" s="14"/>
    </row>
    <row r="1922" spans="1:32" x14ac:dyDescent="0.25">
      <c r="A1922" s="33" t="str">
        <f>CONCATENATE(D1922,".",F1922,"-",G1922,".",H1922,"")</f>
        <v>3.2-7.1</v>
      </c>
      <c r="B1922" s="33" t="s">
        <v>814</v>
      </c>
      <c r="C1922" s="39" t="s">
        <v>336</v>
      </c>
      <c r="D1922" s="33">
        <f>IF(C1922="ID",1,(IF(C1922="PR",2,(IF(C1922="DE",3,(IF(C1922="RS",4,(IF(C1922="RC",5,0)))))))))</f>
        <v>3</v>
      </c>
      <c r="E1922" s="33" t="s">
        <v>259</v>
      </c>
      <c r="F1922" s="33">
        <f>IF(E1922="AM",1,(IF(E1922="BE",2,(IF(E1922="GV",3,(IF(E1922="RA",4,(IF(E1922="RM",5,(IF(E1922="AC",1,(IF(E1922="AT",2,(IF(E1922="DS",3,(IF(E1922="IP",4,(IF(E1922="MA",5,(IF(E1922="PT",6,(IF(E1922="AE",1,(IF(E1922="CM",2,(IF(E1922="DP",3,(IF(E1922="AN",1,(IF(E1922="CO",2,(IF(E1922="IM",3,(IF(E1922="MI",4,(IF(E1922="RP",5,(IF(E1922="SC",6,0)))))))))))))))))))))))))))))))))))))))</f>
        <v>2</v>
      </c>
      <c r="G1922" s="170">
        <v>7</v>
      </c>
      <c r="H1922" s="38" t="s">
        <v>511</v>
      </c>
      <c r="I1922" s="79" t="s">
        <v>1176</v>
      </c>
      <c r="J1922" s="162">
        <v>15.2</v>
      </c>
      <c r="K1922" s="80" t="s">
        <v>1128</v>
      </c>
      <c r="L1922" s="66">
        <f>IF(O1922="","",N1922*O1922*M1922)</f>
        <v>75</v>
      </c>
      <c r="M1922" s="8">
        <v>1</v>
      </c>
      <c r="N1922" s="3">
        <v>1</v>
      </c>
      <c r="O1922" s="15">
        <f>IF(SUM(Q1922:AF1922)&lt;1,"",SUM(Q1922:AF1922)/COUNTIF(Q1922:AF1922,"&gt;0"))</f>
        <v>75</v>
      </c>
      <c r="P1922" s="16"/>
      <c r="Q1922" s="13"/>
      <c r="R1922" s="4"/>
      <c r="S1922" s="4"/>
      <c r="T1922" s="4">
        <v>75</v>
      </c>
      <c r="U1922" s="2"/>
      <c r="V1922" s="2"/>
      <c r="W1922" s="2"/>
      <c r="X1922" s="2"/>
      <c r="Y1922" s="4"/>
      <c r="Z1922" s="2"/>
      <c r="AA1922" s="2"/>
      <c r="AB1922" s="4"/>
      <c r="AC1922" s="4"/>
      <c r="AD1922" s="4"/>
      <c r="AE1922" s="4"/>
      <c r="AF1922" s="14"/>
    </row>
    <row r="1923" spans="1:32" x14ac:dyDescent="0.25">
      <c r="A1923" s="33" t="str">
        <f>CONCATENATE(D1923,".",F1923,"-",G1923,".",H1923,"")</f>
        <v>3.2-7.1</v>
      </c>
      <c r="B1923" s="33" t="s">
        <v>814</v>
      </c>
      <c r="C1923" s="39" t="s">
        <v>336</v>
      </c>
      <c r="D1923" s="33">
        <f>IF(C1923="ID",1,(IF(C1923="PR",2,(IF(C1923="DE",3,(IF(C1923="RS",4,(IF(C1923="RC",5,0)))))))))</f>
        <v>3</v>
      </c>
      <c r="E1923" s="33" t="s">
        <v>259</v>
      </c>
      <c r="F1923" s="33">
        <f>IF(E1923="AM",1,(IF(E1923="BE",2,(IF(E1923="GV",3,(IF(E1923="RA",4,(IF(E1923="RM",5,(IF(E1923="AC",1,(IF(E1923="AT",2,(IF(E1923="DS",3,(IF(E1923="IP",4,(IF(E1923="MA",5,(IF(E1923="PT",6,(IF(E1923="AE",1,(IF(E1923="CM",2,(IF(E1923="DP",3,(IF(E1923="AN",1,(IF(E1923="CO",2,(IF(E1923="IM",3,(IF(E1923="MI",4,(IF(E1923="RP",5,(IF(E1923="SC",6,0)))))))))))))))))))))))))))))))))))))))</f>
        <v>2</v>
      </c>
      <c r="G1923" s="170">
        <v>7</v>
      </c>
      <c r="H1923" s="38" t="s">
        <v>511</v>
      </c>
      <c r="I1923" s="3" t="s">
        <v>1449</v>
      </c>
      <c r="J1923" s="157" t="s">
        <v>1486</v>
      </c>
      <c r="K1923" s="34" t="s">
        <v>1487</v>
      </c>
      <c r="L1923" s="5">
        <f>IF(O1923="","",N1923*O1923*M1923)</f>
        <v>99</v>
      </c>
      <c r="M1923" s="8">
        <v>1</v>
      </c>
      <c r="N1923" s="1">
        <v>1</v>
      </c>
      <c r="O1923" s="15">
        <f>IF(SUM(Q1923:AF1923)&lt;1,"",SUM(Q1923:AF1923)/COUNTIF(Q1923:AF1923,"&gt;0"))</f>
        <v>99</v>
      </c>
      <c r="P1923" s="16"/>
      <c r="Q1923" s="13"/>
      <c r="R1923" s="4"/>
      <c r="S1923" s="4"/>
      <c r="T1923" s="4">
        <v>99</v>
      </c>
      <c r="U1923" s="2"/>
      <c r="V1923" s="2"/>
      <c r="W1923" s="2"/>
      <c r="X1923" s="2"/>
      <c r="Y1923" s="4"/>
      <c r="Z1923" s="2"/>
      <c r="AA1923" s="2"/>
      <c r="AB1923" s="4"/>
      <c r="AC1923" s="4"/>
      <c r="AD1923" s="4"/>
      <c r="AE1923" s="4"/>
      <c r="AF1923" s="14"/>
    </row>
    <row r="1924" spans="1:32" x14ac:dyDescent="0.25">
      <c r="A1924" s="33" t="str">
        <f>CONCATENATE(D1924,".",F1924,"-",G1924,".",H1924,"")</f>
        <v>3.2-7.1</v>
      </c>
      <c r="B1924" s="33" t="s">
        <v>814</v>
      </c>
      <c r="C1924" s="39" t="s">
        <v>336</v>
      </c>
      <c r="D1924" s="33">
        <f>IF(C1924="ID",1,(IF(C1924="PR",2,(IF(C1924="DE",3,(IF(C1924="RS",4,(IF(C1924="RC",5,0)))))))))</f>
        <v>3</v>
      </c>
      <c r="E1924" s="33" t="s">
        <v>259</v>
      </c>
      <c r="F1924" s="33">
        <f>IF(E1924="AM",1,(IF(E1924="BE",2,(IF(E1924="GV",3,(IF(E1924="RA",4,(IF(E1924="RM",5,(IF(E1924="AC",1,(IF(E1924="AT",2,(IF(E1924="DS",3,(IF(E1924="IP",4,(IF(E1924="MA",5,(IF(E1924="PT",6,(IF(E1924="AE",1,(IF(E1924="CM",2,(IF(E1924="DP",3,(IF(E1924="AN",1,(IF(E1924="CO",2,(IF(E1924="IM",3,(IF(E1924="MI",4,(IF(E1924="RP",5,(IF(E1924="SC",6,0)))))))))))))))))))))))))))))))))))))))</f>
        <v>2</v>
      </c>
      <c r="G1924" s="170">
        <v>7</v>
      </c>
      <c r="H1924" s="38" t="s">
        <v>511</v>
      </c>
      <c r="I1924" s="3" t="s">
        <v>1449</v>
      </c>
      <c r="J1924" s="157" t="s">
        <v>1584</v>
      </c>
      <c r="K1924" s="34" t="s">
        <v>1585</v>
      </c>
      <c r="L1924" s="5">
        <f>IF(O1924="","",N1924*O1924*M1924)</f>
        <v>99</v>
      </c>
      <c r="M1924" s="8">
        <v>1</v>
      </c>
      <c r="N1924" s="1">
        <v>1</v>
      </c>
      <c r="O1924" s="15">
        <f>IF(SUM(Q1924:AF1924)&lt;1,"",SUM(Q1924:AF1924)/COUNTIF(Q1924:AF1924,"&gt;0"))</f>
        <v>99</v>
      </c>
      <c r="P1924" s="16"/>
      <c r="Q1924" s="13"/>
      <c r="R1924" s="4"/>
      <c r="S1924" s="4"/>
      <c r="T1924" s="4">
        <v>99</v>
      </c>
      <c r="U1924" s="2"/>
      <c r="V1924" s="2"/>
      <c r="W1924" s="2"/>
      <c r="X1924" s="2"/>
      <c r="Y1924" s="4"/>
      <c r="Z1924" s="2"/>
      <c r="AA1924" s="2"/>
      <c r="AB1924" s="4"/>
      <c r="AC1924" s="4"/>
      <c r="AD1924" s="4"/>
      <c r="AE1924" s="4"/>
      <c r="AF1924" s="14"/>
    </row>
    <row r="1925" spans="1:32" x14ac:dyDescent="0.25">
      <c r="A1925" s="33" t="str">
        <f>CONCATENATE(D1925,".",F1925,"-",G1925,".",H1925,"")</f>
        <v>3.2-7.1</v>
      </c>
      <c r="B1925" s="33" t="s">
        <v>814</v>
      </c>
      <c r="C1925" s="39" t="s">
        <v>336</v>
      </c>
      <c r="D1925" s="33">
        <f>IF(C1925="ID",1,(IF(C1925="PR",2,(IF(C1925="DE",3,(IF(C1925="RS",4,(IF(C1925="RC",5,0)))))))))</f>
        <v>3</v>
      </c>
      <c r="E1925" s="33" t="s">
        <v>259</v>
      </c>
      <c r="F1925" s="33">
        <f>IF(E1925="AM",1,(IF(E1925="BE",2,(IF(E1925="GV",3,(IF(E1925="RA",4,(IF(E1925="RM",5,(IF(E1925="AC",1,(IF(E1925="AT",2,(IF(E1925="DS",3,(IF(E1925="IP",4,(IF(E1925="MA",5,(IF(E1925="PT",6,(IF(E1925="AE",1,(IF(E1925="CM",2,(IF(E1925="DP",3,(IF(E1925="AN",1,(IF(E1925="CO",2,(IF(E1925="IM",3,(IF(E1925="MI",4,(IF(E1925="RP",5,(IF(E1925="SC",6,0)))))))))))))))))))))))))))))))))))))))</f>
        <v>2</v>
      </c>
      <c r="G1925" s="170">
        <v>7</v>
      </c>
      <c r="H1925" s="38" t="s">
        <v>511</v>
      </c>
      <c r="I1925" s="3" t="s">
        <v>1449</v>
      </c>
      <c r="J1925" s="157" t="s">
        <v>1596</v>
      </c>
      <c r="K1925" s="34" t="s">
        <v>1597</v>
      </c>
      <c r="L1925" s="5">
        <f>IF(O1925="","",N1925*O1925*M1925)</f>
        <v>99</v>
      </c>
      <c r="M1925" s="8">
        <v>1</v>
      </c>
      <c r="N1925" s="1">
        <v>1</v>
      </c>
      <c r="O1925" s="15">
        <f>IF(SUM(Q1925:AF1925)&lt;1,"",SUM(Q1925:AF1925)/COUNTIF(Q1925:AF1925,"&gt;0"))</f>
        <v>99</v>
      </c>
      <c r="P1925" s="16"/>
      <c r="Q1925" s="13"/>
      <c r="R1925" s="4"/>
      <c r="S1925" s="4"/>
      <c r="T1925" s="4">
        <v>99</v>
      </c>
      <c r="U1925" s="2"/>
      <c r="V1925" s="2"/>
      <c r="W1925" s="2"/>
      <c r="X1925" s="2"/>
      <c r="Y1925" s="4"/>
      <c r="Z1925" s="2"/>
      <c r="AA1925" s="2"/>
      <c r="AB1925" s="4"/>
      <c r="AC1925" s="4"/>
      <c r="AD1925" s="4"/>
      <c r="AE1925" s="4"/>
      <c r="AF1925" s="14"/>
    </row>
    <row r="1926" spans="1:32" x14ac:dyDescent="0.25">
      <c r="A1926" s="33" t="str">
        <f>CONCATENATE(D1926,".",F1926,"-",G1926,".",H1926,"")</f>
        <v>3.2-7.1</v>
      </c>
      <c r="B1926" s="33" t="s">
        <v>814</v>
      </c>
      <c r="C1926" s="39" t="s">
        <v>336</v>
      </c>
      <c r="D1926" s="33">
        <f>IF(C1926="ID",1,(IF(C1926="PR",2,(IF(C1926="DE",3,(IF(C1926="RS",4,(IF(C1926="RC",5,0)))))))))</f>
        <v>3</v>
      </c>
      <c r="E1926" s="33" t="s">
        <v>259</v>
      </c>
      <c r="F1926" s="33">
        <f>IF(E1926="AM",1,(IF(E1926="BE",2,(IF(E1926="GV",3,(IF(E1926="RA",4,(IF(E1926="RM",5,(IF(E1926="AC",1,(IF(E1926="AT",2,(IF(E1926="DS",3,(IF(E1926="IP",4,(IF(E1926="MA",5,(IF(E1926="PT",6,(IF(E1926="AE",1,(IF(E1926="CM",2,(IF(E1926="DP",3,(IF(E1926="AN",1,(IF(E1926="CO",2,(IF(E1926="IM",3,(IF(E1926="MI",4,(IF(E1926="RP",5,(IF(E1926="SC",6,0)))))))))))))))))))))))))))))))))))))))</f>
        <v>2</v>
      </c>
      <c r="G1926" s="170">
        <v>7</v>
      </c>
      <c r="H1926" s="38" t="s">
        <v>511</v>
      </c>
      <c r="I1926" s="3" t="s">
        <v>1449</v>
      </c>
      <c r="J1926" s="157" t="s">
        <v>1600</v>
      </c>
      <c r="K1926" s="34" t="s">
        <v>1601</v>
      </c>
      <c r="L1926" s="5">
        <f>IF(O1926="","",N1926*O1926*M1926)</f>
        <v>99</v>
      </c>
      <c r="M1926" s="8">
        <v>1</v>
      </c>
      <c r="N1926" s="1">
        <v>1</v>
      </c>
      <c r="O1926" s="15">
        <f>IF(SUM(Q1926:AF1926)&lt;1,"",SUM(Q1926:AF1926)/COUNTIF(Q1926:AF1926,"&gt;0"))</f>
        <v>99</v>
      </c>
      <c r="P1926" s="16"/>
      <c r="Q1926" s="13"/>
      <c r="R1926" s="4"/>
      <c r="S1926" s="4"/>
      <c r="T1926" s="4">
        <v>99</v>
      </c>
      <c r="U1926" s="2"/>
      <c r="V1926" s="2"/>
      <c r="W1926" s="2"/>
      <c r="X1926" s="2"/>
      <c r="Y1926" s="4"/>
      <c r="Z1926" s="2"/>
      <c r="AA1926" s="2"/>
      <c r="AB1926" s="4"/>
      <c r="AC1926" s="4"/>
      <c r="AD1926" s="4"/>
      <c r="AE1926" s="4"/>
      <c r="AF1926" s="14"/>
    </row>
    <row r="1927" spans="1:32" x14ac:dyDescent="0.25">
      <c r="A1927" s="33" t="str">
        <f>CONCATENATE(D1927,".",F1927,"-",G1927,".",H1927,"")</f>
        <v>3.2-7.1</v>
      </c>
      <c r="B1927" s="33" t="s">
        <v>814</v>
      </c>
      <c r="C1927" s="39" t="s">
        <v>336</v>
      </c>
      <c r="D1927" s="33">
        <f>IF(C1927="ID",1,(IF(C1927="PR",2,(IF(C1927="DE",3,(IF(C1927="RS",4,(IF(C1927="RC",5,0)))))))))</f>
        <v>3</v>
      </c>
      <c r="E1927" s="33" t="s">
        <v>259</v>
      </c>
      <c r="F1927" s="33">
        <f>IF(E1927="AM",1,(IF(E1927="BE",2,(IF(E1927="GV",3,(IF(E1927="RA",4,(IF(E1927="RM",5,(IF(E1927="AC",1,(IF(E1927="AT",2,(IF(E1927="DS",3,(IF(E1927="IP",4,(IF(E1927="MA",5,(IF(E1927="PT",6,(IF(E1927="AE",1,(IF(E1927="CM",2,(IF(E1927="DP",3,(IF(E1927="AN",1,(IF(E1927="CO",2,(IF(E1927="IM",3,(IF(E1927="MI",4,(IF(E1927="RP",5,(IF(E1927="SC",6,0)))))))))))))))))))))))))))))))))))))))</f>
        <v>2</v>
      </c>
      <c r="G1927" s="170">
        <v>7</v>
      </c>
      <c r="H1927" s="38" t="s">
        <v>511</v>
      </c>
      <c r="I1927" s="3" t="s">
        <v>1449</v>
      </c>
      <c r="J1927" s="157" t="s">
        <v>1622</v>
      </c>
      <c r="K1927" s="34" t="s">
        <v>1623</v>
      </c>
      <c r="L1927" s="5">
        <f>IF(O1927="","",N1927*O1927*M1927)</f>
        <v>99</v>
      </c>
      <c r="M1927" s="8">
        <v>1</v>
      </c>
      <c r="N1927" s="1">
        <v>1</v>
      </c>
      <c r="O1927" s="15">
        <f>IF(SUM(Q1927:AF1927)&lt;1,"",SUM(Q1927:AF1927)/COUNTIF(Q1927:AF1927,"&gt;0"))</f>
        <v>99</v>
      </c>
      <c r="P1927" s="16"/>
      <c r="Q1927" s="13"/>
      <c r="R1927" s="4"/>
      <c r="S1927" s="4"/>
      <c r="T1927" s="4">
        <v>99</v>
      </c>
      <c r="U1927" s="2"/>
      <c r="V1927" s="2"/>
      <c r="W1927" s="2"/>
      <c r="X1927" s="2"/>
      <c r="Y1927" s="4"/>
      <c r="Z1927" s="2"/>
      <c r="AA1927" s="2"/>
      <c r="AB1927" s="4"/>
      <c r="AC1927" s="4"/>
      <c r="AD1927" s="4"/>
      <c r="AE1927" s="4"/>
      <c r="AF1927" s="14"/>
    </row>
    <row r="1928" spans="1:32" x14ac:dyDescent="0.25">
      <c r="A1928" s="33" t="str">
        <f>CONCATENATE(D1928,".",F1928,"-",G1928,".",H1928,"")</f>
        <v>3.2-7.1</v>
      </c>
      <c r="B1928" s="33" t="s">
        <v>814</v>
      </c>
      <c r="C1928" s="39" t="s">
        <v>336</v>
      </c>
      <c r="D1928" s="33">
        <f>IF(C1928="ID",1,(IF(C1928="PR",2,(IF(C1928="DE",3,(IF(C1928="RS",4,(IF(C1928="RC",5,0)))))))))</f>
        <v>3</v>
      </c>
      <c r="E1928" s="33" t="s">
        <v>259</v>
      </c>
      <c r="F1928" s="33">
        <f>IF(E1928="AM",1,(IF(E1928="BE",2,(IF(E1928="GV",3,(IF(E1928="RA",4,(IF(E1928="RM",5,(IF(E1928="AC",1,(IF(E1928="AT",2,(IF(E1928="DS",3,(IF(E1928="IP",4,(IF(E1928="MA",5,(IF(E1928="PT",6,(IF(E1928="AE",1,(IF(E1928="CM",2,(IF(E1928="DP",3,(IF(E1928="AN",1,(IF(E1928="CO",2,(IF(E1928="IM",3,(IF(E1928="MI",4,(IF(E1928="RP",5,(IF(E1928="SC",6,0)))))))))))))))))))))))))))))))))))))))</f>
        <v>2</v>
      </c>
      <c r="G1928" s="170">
        <v>7</v>
      </c>
      <c r="H1928" s="38" t="s">
        <v>511</v>
      </c>
      <c r="I1928" s="3" t="s">
        <v>1449</v>
      </c>
      <c r="J1928" s="157" t="s">
        <v>1654</v>
      </c>
      <c r="K1928" s="34" t="s">
        <v>1655</v>
      </c>
      <c r="L1928" s="5">
        <f>IF(O1928="","",N1928*O1928*M1928)</f>
        <v>99</v>
      </c>
      <c r="M1928" s="8">
        <v>1</v>
      </c>
      <c r="N1928" s="1">
        <v>1</v>
      </c>
      <c r="O1928" s="15">
        <f>IF(SUM(Q1928:AF1928)&lt;1,"",SUM(Q1928:AF1928)/COUNTIF(Q1928:AF1928,"&gt;0"))</f>
        <v>99</v>
      </c>
      <c r="P1928" s="16"/>
      <c r="Q1928" s="13"/>
      <c r="R1928" s="4"/>
      <c r="S1928" s="4"/>
      <c r="T1928" s="4">
        <v>99</v>
      </c>
      <c r="U1928" s="2"/>
      <c r="V1928" s="2"/>
      <c r="W1928" s="2"/>
      <c r="X1928" s="2"/>
      <c r="Y1928" s="4"/>
      <c r="Z1928" s="2"/>
      <c r="AA1928" s="2"/>
      <c r="AB1928" s="4"/>
      <c r="AC1928" s="4"/>
      <c r="AD1928" s="4"/>
      <c r="AE1928" s="4"/>
      <c r="AF1928" s="14"/>
    </row>
    <row r="1929" spans="1:32" x14ac:dyDescent="0.25">
      <c r="A1929" s="33" t="str">
        <f>CONCATENATE(D1929,".",F1929,"-",G1929,".",H1929,"")</f>
        <v>3.2-7.1</v>
      </c>
      <c r="B1929" s="33" t="s">
        <v>814</v>
      </c>
      <c r="C1929" s="39" t="s">
        <v>336</v>
      </c>
      <c r="D1929" s="33">
        <f>IF(C1929="ID",1,(IF(C1929="PR",2,(IF(C1929="DE",3,(IF(C1929="RS",4,(IF(C1929="RC",5,0)))))))))</f>
        <v>3</v>
      </c>
      <c r="E1929" s="33" t="s">
        <v>259</v>
      </c>
      <c r="F1929" s="33">
        <f>IF(E1929="AM",1,(IF(E1929="BE",2,(IF(E1929="GV",3,(IF(E1929="RA",4,(IF(E1929="RM",5,(IF(E1929="AC",1,(IF(E1929="AT",2,(IF(E1929="DS",3,(IF(E1929="IP",4,(IF(E1929="MA",5,(IF(E1929="PT",6,(IF(E1929="AE",1,(IF(E1929="CM",2,(IF(E1929="DP",3,(IF(E1929="AN",1,(IF(E1929="CO",2,(IF(E1929="IM",3,(IF(E1929="MI",4,(IF(E1929="RP",5,(IF(E1929="SC",6,0)))))))))))))))))))))))))))))))))))))))</f>
        <v>2</v>
      </c>
      <c r="G1929" s="170">
        <v>7</v>
      </c>
      <c r="H1929" s="38" t="s">
        <v>511</v>
      </c>
      <c r="I1929" s="3" t="s">
        <v>1449</v>
      </c>
      <c r="J1929" s="157" t="s">
        <v>1662</v>
      </c>
      <c r="K1929" s="34" t="s">
        <v>1663</v>
      </c>
      <c r="L1929" s="5">
        <f>IF(O1929="","",N1929*O1929*M1929)</f>
        <v>99</v>
      </c>
      <c r="M1929" s="8">
        <v>1</v>
      </c>
      <c r="N1929" s="1">
        <v>1</v>
      </c>
      <c r="O1929" s="15">
        <f>IF(SUM(Q1929:AF1929)&lt;1,"",SUM(Q1929:AF1929)/COUNTIF(Q1929:AF1929,"&gt;0"))</f>
        <v>99</v>
      </c>
      <c r="P1929" s="16"/>
      <c r="Q1929" s="13"/>
      <c r="R1929" s="4"/>
      <c r="S1929" s="4"/>
      <c r="T1929" s="4">
        <v>99</v>
      </c>
      <c r="U1929" s="2"/>
      <c r="V1929" s="2"/>
      <c r="W1929" s="2"/>
      <c r="X1929" s="2"/>
      <c r="Y1929" s="4"/>
      <c r="Z1929" s="2"/>
      <c r="AA1929" s="2"/>
      <c r="AB1929" s="4"/>
      <c r="AC1929" s="4"/>
      <c r="AD1929" s="4"/>
      <c r="AE1929" s="4"/>
      <c r="AF1929" s="14"/>
    </row>
    <row r="1930" spans="1:32" x14ac:dyDescent="0.25">
      <c r="A1930" s="33" t="str">
        <f>CONCATENATE(D1930,".",F1930,"-",G1930,".",H1930,"")</f>
        <v>3.2-7.1</v>
      </c>
      <c r="B1930" s="33" t="s">
        <v>814</v>
      </c>
      <c r="C1930" s="39" t="s">
        <v>336</v>
      </c>
      <c r="D1930" s="33">
        <f>IF(C1930="ID",1,(IF(C1930="PR",2,(IF(C1930="DE",3,(IF(C1930="RS",4,(IF(C1930="RC",5,0)))))))))</f>
        <v>3</v>
      </c>
      <c r="E1930" s="33" t="s">
        <v>259</v>
      </c>
      <c r="F1930" s="33">
        <f>IF(E1930="AM",1,(IF(E1930="BE",2,(IF(E1930="GV",3,(IF(E1930="RA",4,(IF(E1930="RM",5,(IF(E1930="AC",1,(IF(E1930="AT",2,(IF(E1930="DS",3,(IF(E1930="IP",4,(IF(E1930="MA",5,(IF(E1930="PT",6,(IF(E1930="AE",1,(IF(E1930="CM",2,(IF(E1930="DP",3,(IF(E1930="AN",1,(IF(E1930="CO",2,(IF(E1930="IM",3,(IF(E1930="MI",4,(IF(E1930="RP",5,(IF(E1930="SC",6,0)))))))))))))))))))))))))))))))))))))))</f>
        <v>2</v>
      </c>
      <c r="G1930" s="170">
        <v>7</v>
      </c>
      <c r="H1930" s="38" t="s">
        <v>511</v>
      </c>
      <c r="I1930" s="3" t="s">
        <v>1449</v>
      </c>
      <c r="J1930" s="157" t="s">
        <v>1664</v>
      </c>
      <c r="K1930" s="34" t="s">
        <v>1665</v>
      </c>
      <c r="L1930" s="5">
        <f>IF(O1930="","",N1930*O1930*M1930)</f>
        <v>99</v>
      </c>
      <c r="M1930" s="8">
        <v>1</v>
      </c>
      <c r="N1930" s="1">
        <v>1</v>
      </c>
      <c r="O1930" s="15">
        <f>IF(SUM(Q1930:AF1930)&lt;1,"",SUM(Q1930:AF1930)/COUNTIF(Q1930:AF1930,"&gt;0"))</f>
        <v>99</v>
      </c>
      <c r="P1930" s="16"/>
      <c r="Q1930" s="13"/>
      <c r="R1930" s="4"/>
      <c r="S1930" s="4"/>
      <c r="T1930" s="4">
        <v>99</v>
      </c>
      <c r="U1930" s="2"/>
      <c r="V1930" s="2"/>
      <c r="W1930" s="2"/>
      <c r="X1930" s="2"/>
      <c r="Y1930" s="4"/>
      <c r="Z1930" s="2"/>
      <c r="AA1930" s="2"/>
      <c r="AB1930" s="4"/>
      <c r="AC1930" s="4"/>
      <c r="AD1930" s="4"/>
      <c r="AE1930" s="4"/>
      <c r="AF1930" s="14"/>
    </row>
    <row r="1931" spans="1:32" x14ac:dyDescent="0.25">
      <c r="A1931" s="33" t="str">
        <f>CONCATENATE(D1931,".",F1931,"-",G1931,".",H1931,"")</f>
        <v>3.2-7.1</v>
      </c>
      <c r="B1931" s="33" t="s">
        <v>814</v>
      </c>
      <c r="C1931" s="39" t="s">
        <v>336</v>
      </c>
      <c r="D1931" s="33">
        <f>IF(C1931="ID",1,(IF(C1931="PR",2,(IF(C1931="DE",3,(IF(C1931="RS",4,(IF(C1931="RC",5,0)))))))))</f>
        <v>3</v>
      </c>
      <c r="E1931" s="33" t="s">
        <v>259</v>
      </c>
      <c r="F1931" s="33">
        <f>IF(E1931="AM",1,(IF(E1931="BE",2,(IF(E1931="GV",3,(IF(E1931="RA",4,(IF(E1931="RM",5,(IF(E1931="AC",1,(IF(E1931="AT",2,(IF(E1931="DS",3,(IF(E1931="IP",4,(IF(E1931="MA",5,(IF(E1931="PT",6,(IF(E1931="AE",1,(IF(E1931="CM",2,(IF(E1931="DP",3,(IF(E1931="AN",1,(IF(E1931="CO",2,(IF(E1931="IM",3,(IF(E1931="MI",4,(IF(E1931="RP",5,(IF(E1931="SC",6,0)))))))))))))))))))))))))))))))))))))))</f>
        <v>2</v>
      </c>
      <c r="G1931" s="170">
        <v>7</v>
      </c>
      <c r="H1931" s="38" t="s">
        <v>511</v>
      </c>
      <c r="I1931" s="3" t="s">
        <v>1449</v>
      </c>
      <c r="J1931" s="157" t="s">
        <v>1666</v>
      </c>
      <c r="K1931" s="34" t="s">
        <v>1667</v>
      </c>
      <c r="L1931" s="5">
        <f>IF(O1931="","",N1931*O1931*M1931)</f>
        <v>99</v>
      </c>
      <c r="M1931" s="8">
        <v>1</v>
      </c>
      <c r="N1931" s="1">
        <v>1</v>
      </c>
      <c r="O1931" s="15">
        <f>IF(SUM(Q1931:AF1931)&lt;1,"",SUM(Q1931:AF1931)/COUNTIF(Q1931:AF1931,"&gt;0"))</f>
        <v>99</v>
      </c>
      <c r="P1931" s="16"/>
      <c r="Q1931" s="13"/>
      <c r="R1931" s="4"/>
      <c r="S1931" s="4"/>
      <c r="T1931" s="4">
        <v>99</v>
      </c>
      <c r="U1931" s="2"/>
      <c r="V1931" s="2"/>
      <c r="W1931" s="2"/>
      <c r="X1931" s="2"/>
      <c r="Y1931" s="4"/>
      <c r="Z1931" s="2"/>
      <c r="AA1931" s="2"/>
      <c r="AB1931" s="4"/>
      <c r="AC1931" s="4"/>
      <c r="AD1931" s="4"/>
      <c r="AE1931" s="4"/>
      <c r="AF1931" s="14"/>
    </row>
    <row r="1932" spans="1:32" x14ac:dyDescent="0.25">
      <c r="A1932" s="33" t="str">
        <f>CONCATENATE(D1932,".",F1932,"-",G1932,".",H1932,"")</f>
        <v>3.2-7.1</v>
      </c>
      <c r="C1932" s="39" t="s">
        <v>336</v>
      </c>
      <c r="D1932" s="33">
        <f>IF(C1932="ID",1,(IF(C1932="PR",2,(IF(C1932="DE",3,(IF(C1932="RS",4,(IF(C1932="RC",5,0)))))))))</f>
        <v>3</v>
      </c>
      <c r="E1932" s="33" t="s">
        <v>259</v>
      </c>
      <c r="F1932" s="33">
        <f>IF(E1932="AM",1,(IF(E1932="BE",2,(IF(E1932="GV",3,(IF(E1932="RA",4,(IF(E1932="RM",5,(IF(E1932="AC",1,(IF(E1932="AT",2,(IF(E1932="DS",3,(IF(E1932="IP",4,(IF(E1932="MA",5,(IF(E1932="PT",6,(IF(E1932="AE",1,(IF(E1932="CM",2,(IF(E1932="DP",3,(IF(E1932="AN",1,(IF(E1932="CO",2,(IF(E1932="IM",3,(IF(E1932="MI",4,(IF(E1932="RP",5,(IF(E1932="SC",6,0)))))))))))))))))))))))))))))))))))))))</f>
        <v>2</v>
      </c>
      <c r="G1932" s="170">
        <v>7</v>
      </c>
      <c r="H1932" s="38" t="s">
        <v>511</v>
      </c>
      <c r="I1932" s="3" t="s">
        <v>1449</v>
      </c>
      <c r="J1932" s="157" t="s">
        <v>1947</v>
      </c>
      <c r="K1932" s="34" t="s">
        <v>1948</v>
      </c>
      <c r="L1932" s="5">
        <f>IF(O1932="","",N1932*O1932*M1932)</f>
        <v>99</v>
      </c>
      <c r="M1932" s="8">
        <v>1</v>
      </c>
      <c r="N1932" s="1">
        <v>1</v>
      </c>
      <c r="O1932" s="15">
        <f>IF(SUM(Q1932:AF1932)&lt;1,"",SUM(Q1932:AF1932)/COUNTIF(Q1932:AF1932,"&gt;0"))</f>
        <v>99</v>
      </c>
      <c r="P1932" s="16"/>
      <c r="Q1932" s="13"/>
      <c r="R1932" s="4"/>
      <c r="S1932" s="4"/>
      <c r="T1932" s="4">
        <v>99</v>
      </c>
      <c r="U1932" s="2"/>
      <c r="V1932" s="2"/>
      <c r="W1932" s="2"/>
      <c r="X1932" s="2"/>
      <c r="Y1932" s="4"/>
      <c r="Z1932" s="2"/>
      <c r="AA1932" s="2"/>
      <c r="AB1932" s="4"/>
      <c r="AC1932" s="4"/>
      <c r="AD1932" s="4"/>
      <c r="AE1932" s="4"/>
      <c r="AF1932" s="14"/>
    </row>
    <row r="1933" spans="1:32" x14ac:dyDescent="0.25">
      <c r="A1933" s="33" t="str">
        <f>CONCATENATE(D1933,".",F1933,"-",G1933,".",H1933,"")</f>
        <v>3.2-7.1</v>
      </c>
      <c r="C1933" s="39" t="s">
        <v>336</v>
      </c>
      <c r="D1933" s="33">
        <f>IF(C1933="ID",1,(IF(C1933="PR",2,(IF(C1933="DE",3,(IF(C1933="RS",4,(IF(C1933="RC",5,0)))))))))</f>
        <v>3</v>
      </c>
      <c r="E1933" s="33" t="s">
        <v>259</v>
      </c>
      <c r="F1933" s="33">
        <f>IF(E1933="AM",1,(IF(E1933="BE",2,(IF(E1933="GV",3,(IF(E1933="RA",4,(IF(E1933="RM",5,(IF(E1933="AC",1,(IF(E1933="AT",2,(IF(E1933="DS",3,(IF(E1933="IP",4,(IF(E1933="MA",5,(IF(E1933="PT",6,(IF(E1933="AE",1,(IF(E1933="CM",2,(IF(E1933="DP",3,(IF(E1933="AN",1,(IF(E1933="CO",2,(IF(E1933="IM",3,(IF(E1933="MI",4,(IF(E1933="RP",5,(IF(E1933="SC",6,0)))))))))))))))))))))))))))))))))))))))</f>
        <v>2</v>
      </c>
      <c r="G1933" s="170">
        <v>7</v>
      </c>
      <c r="H1933" s="38" t="s">
        <v>511</v>
      </c>
      <c r="I1933" s="3" t="s">
        <v>1449</v>
      </c>
      <c r="J1933" s="157" t="s">
        <v>1949</v>
      </c>
      <c r="K1933" s="34" t="s">
        <v>1950</v>
      </c>
      <c r="L1933" s="5">
        <f>IF(O1933="","",N1933*O1933*M1933)</f>
        <v>99</v>
      </c>
      <c r="M1933" s="8">
        <v>1</v>
      </c>
      <c r="N1933" s="1">
        <v>1</v>
      </c>
      <c r="O1933" s="15">
        <f>IF(SUM(Q1933:AF1933)&lt;1,"",SUM(Q1933:AF1933)/COUNTIF(Q1933:AF1933,"&gt;0"))</f>
        <v>99</v>
      </c>
      <c r="P1933" s="16"/>
      <c r="Q1933" s="13"/>
      <c r="R1933" s="4"/>
      <c r="S1933" s="4"/>
      <c r="T1933" s="4">
        <v>99</v>
      </c>
      <c r="U1933" s="2"/>
      <c r="V1933" s="2"/>
      <c r="W1933" s="2"/>
      <c r="X1933" s="2"/>
      <c r="Y1933" s="4"/>
      <c r="Z1933" s="2"/>
      <c r="AA1933" s="2"/>
      <c r="AB1933" s="4"/>
      <c r="AC1933" s="4"/>
      <c r="AD1933" s="4"/>
      <c r="AE1933" s="4"/>
      <c r="AF1933" s="14"/>
    </row>
    <row r="1934" spans="1:32" x14ac:dyDescent="0.25">
      <c r="A1934" s="33" t="str">
        <f>CONCATENATE(D1934,".",F1934,"-",G1934,".",H1934,"")</f>
        <v>3.2-7.1</v>
      </c>
      <c r="C1934" s="39" t="s">
        <v>336</v>
      </c>
      <c r="D1934" s="33">
        <f>IF(C1934="ID",1,(IF(C1934="PR",2,(IF(C1934="DE",3,(IF(C1934="RS",4,(IF(C1934="RC",5,0)))))))))</f>
        <v>3</v>
      </c>
      <c r="E1934" s="33" t="s">
        <v>259</v>
      </c>
      <c r="F1934" s="33">
        <f>IF(E1934="AM",1,(IF(E1934="BE",2,(IF(E1934="GV",3,(IF(E1934="RA",4,(IF(E1934="RM",5,(IF(E1934="AC",1,(IF(E1934="AT",2,(IF(E1934="DS",3,(IF(E1934="IP",4,(IF(E1934="MA",5,(IF(E1934="PT",6,(IF(E1934="AE",1,(IF(E1934="CM",2,(IF(E1934="DP",3,(IF(E1934="AN",1,(IF(E1934="CO",2,(IF(E1934="IM",3,(IF(E1934="MI",4,(IF(E1934="RP",5,(IF(E1934="SC",6,0)))))))))))))))))))))))))))))))))))))))</f>
        <v>2</v>
      </c>
      <c r="G1934" s="170">
        <v>7</v>
      </c>
      <c r="H1934" s="38" t="s">
        <v>511</v>
      </c>
      <c r="I1934" s="3" t="s">
        <v>1449</v>
      </c>
      <c r="J1934" s="157" t="s">
        <v>2689</v>
      </c>
      <c r="K1934" s="34" t="s">
        <v>2690</v>
      </c>
      <c r="L1934" s="5">
        <f>IF(O1934="","",N1934*O1934*M1934)</f>
        <v>99</v>
      </c>
      <c r="M1934" s="8">
        <v>1</v>
      </c>
      <c r="N1934" s="1">
        <v>1</v>
      </c>
      <c r="O1934" s="15">
        <f>IF(SUM(Q1934:AF1934)&lt;1,"",SUM(Q1934:AF1934)/COUNTIF(Q1934:AF1934,"&gt;0"))</f>
        <v>99</v>
      </c>
      <c r="P1934" s="16"/>
      <c r="Q1934" s="13"/>
      <c r="R1934" s="4"/>
      <c r="S1934" s="4"/>
      <c r="T1934" s="4">
        <v>99</v>
      </c>
      <c r="U1934" s="2"/>
      <c r="V1934" s="2"/>
      <c r="W1934" s="2"/>
      <c r="X1934" s="2"/>
      <c r="Y1934" s="4"/>
      <c r="Z1934" s="2"/>
      <c r="AA1934" s="2"/>
      <c r="AB1934" s="4"/>
      <c r="AC1934" s="4"/>
      <c r="AD1934" s="4"/>
      <c r="AE1934" s="4"/>
      <c r="AF1934" s="14"/>
    </row>
    <row r="1935" spans="1:32" x14ac:dyDescent="0.25">
      <c r="A1935" s="33" t="str">
        <f>CONCATENATE(D1935,".",F1935,"-",G1935,".",H1935,"")</f>
        <v>3.2-8.0</v>
      </c>
      <c r="B1935" s="33" t="s">
        <v>814</v>
      </c>
      <c r="C1935" s="40" t="s">
        <v>336</v>
      </c>
      <c r="D1935" s="33">
        <f>IF(C1935="ID",1,(IF(C1935="PR",2,(IF(C1935="DE",3,(IF(C1935="RS",4,(IF(C1935="RC",5,0)))))))))</f>
        <v>3</v>
      </c>
      <c r="E1935" s="33" t="s">
        <v>259</v>
      </c>
      <c r="F1935" s="33">
        <f>IF(E1935="AM",1,(IF(E1935="BE",2,(IF(E1935="GV",3,(IF(E1935="RA",4,(IF(E1935="RM",5,(IF(E1935="AC",1,(IF(E1935="AT",2,(IF(E1935="DS",3,(IF(E1935="IP",4,(IF(E1935="MA",5,(IF(E1935="PT",6,(IF(E1935="AE",1,(IF(E1935="CM",2,(IF(E1935="DP",3,(IF(E1935="AN",1,(IF(E1935="CO",2,(IF(E1935="IM",3,(IF(E1935="MI",4,(IF(E1935="RP",5,(IF(E1935="SC",6,0)))))))))))))))))))))))))))))))))))))))</f>
        <v>2</v>
      </c>
      <c r="G1935" s="170">
        <v>8</v>
      </c>
      <c r="H1935" s="38" t="s">
        <v>597</v>
      </c>
      <c r="I1935" s="22" t="s">
        <v>1200</v>
      </c>
      <c r="J1935" s="149" t="s">
        <v>636</v>
      </c>
      <c r="K1935" s="99" t="s">
        <v>413</v>
      </c>
      <c r="L1935" s="66">
        <f>IF(O1935="","",N1935*O1935*M1935)</f>
        <v>75</v>
      </c>
      <c r="M1935" s="8">
        <v>1</v>
      </c>
      <c r="N1935" s="1">
        <v>1</v>
      </c>
      <c r="O1935" s="15">
        <f>IF(SUM(Q1935:AF1935)&lt;1,"",SUM(Q1935:AF1935)/COUNTIF(Q1935:AF1935,"&gt;0"))</f>
        <v>75</v>
      </c>
      <c r="P1935" s="16"/>
      <c r="Q1935" s="13"/>
      <c r="R1935" s="4"/>
      <c r="S1935" s="4"/>
      <c r="T1935" s="4">
        <v>75</v>
      </c>
      <c r="U1935" s="2"/>
      <c r="V1935" s="2"/>
      <c r="W1935" s="2"/>
      <c r="X1935" s="2"/>
      <c r="Y1935" s="4"/>
      <c r="Z1935" s="2"/>
      <c r="AA1935" s="2"/>
      <c r="AB1935" s="4"/>
      <c r="AC1935" s="4"/>
      <c r="AD1935" s="4"/>
      <c r="AE1935" s="4"/>
      <c r="AF1935" s="14"/>
    </row>
    <row r="1936" spans="1:32" x14ac:dyDescent="0.25">
      <c r="A1936" s="33" t="str">
        <f>CONCATENATE(D1936,".",F1936,"-",G1936,".",H1936,"")</f>
        <v>3.2-8.1</v>
      </c>
      <c r="B1936" s="33" t="s">
        <v>814</v>
      </c>
      <c r="C1936" s="39" t="s">
        <v>336</v>
      </c>
      <c r="D1936" s="33">
        <f>IF(C1936="ID",1,(IF(C1936="PR",2,(IF(C1936="DE",3,(IF(C1936="RS",4,(IF(C1936="RC",5,0)))))))))</f>
        <v>3</v>
      </c>
      <c r="E1936" s="33" t="s">
        <v>259</v>
      </c>
      <c r="F1936" s="33">
        <f>IF(E1936="AM",1,(IF(E1936="BE",2,(IF(E1936="GV",3,(IF(E1936="RA",4,(IF(E1936="RM",5,(IF(E1936="AC",1,(IF(E1936="AT",2,(IF(E1936="DS",3,(IF(E1936="IP",4,(IF(E1936="MA",5,(IF(E1936="PT",6,(IF(E1936="AE",1,(IF(E1936="CM",2,(IF(E1936="DP",3,(IF(E1936="AN",1,(IF(E1936="CO",2,(IF(E1936="IM",3,(IF(E1936="MI",4,(IF(E1936="RP",5,(IF(E1936="SC",6,0)))))))))))))))))))))))))))))))))))))))</f>
        <v>2</v>
      </c>
      <c r="G1936" s="170">
        <v>8</v>
      </c>
      <c r="H1936" s="38" t="s">
        <v>511</v>
      </c>
      <c r="I1936" s="3" t="s">
        <v>821</v>
      </c>
      <c r="J1936" s="150">
        <v>6.6</v>
      </c>
      <c r="K1936" s="79" t="s">
        <v>1283</v>
      </c>
      <c r="L1936" s="66">
        <f>IF(O1936="","",N1936*O1936*M1936)</f>
        <v>75</v>
      </c>
      <c r="M1936" s="8">
        <v>1</v>
      </c>
      <c r="N1936" s="3">
        <v>1</v>
      </c>
      <c r="O1936" s="15">
        <f>IF(SUM(Q1936:AF1936)&lt;1,"",SUM(Q1936:AF1936)/COUNTIF(Q1936:AF1936,"&gt;0"))</f>
        <v>75</v>
      </c>
      <c r="P1936" s="16"/>
      <c r="Q1936" s="13"/>
      <c r="R1936" s="4"/>
      <c r="S1936" s="4"/>
      <c r="T1936" s="4">
        <v>75</v>
      </c>
      <c r="U1936" s="2"/>
      <c r="V1936" s="2"/>
      <c r="W1936" s="2"/>
      <c r="X1936" s="2"/>
      <c r="Y1936" s="4"/>
      <c r="Z1936" s="2"/>
      <c r="AA1936" s="2"/>
      <c r="AB1936" s="4"/>
      <c r="AC1936" s="4"/>
      <c r="AD1936" s="4"/>
      <c r="AE1936" s="4"/>
      <c r="AF1936" s="14"/>
    </row>
    <row r="1937" spans="1:32" x14ac:dyDescent="0.25">
      <c r="A1937" s="33" t="str">
        <f>CONCATENATE(D1937,".",F1937,"-",G1937,".",H1937,"")</f>
        <v>3.2-8.1</v>
      </c>
      <c r="B1937" s="33" t="s">
        <v>814</v>
      </c>
      <c r="C1937" s="40" t="s">
        <v>336</v>
      </c>
      <c r="D1937" s="33">
        <f>IF(C1937="ID",1,(IF(C1937="PR",2,(IF(C1937="DE",3,(IF(C1937="RS",4,(IF(C1937="RC",5,0)))))))))</f>
        <v>3</v>
      </c>
      <c r="E1937" s="33" t="s">
        <v>259</v>
      </c>
      <c r="F1937" s="33">
        <f>IF(E1937="AM",1,(IF(E1937="BE",2,(IF(E1937="GV",3,(IF(E1937="RA",4,(IF(E1937="RM",5,(IF(E1937="AC",1,(IF(E1937="AT",2,(IF(E1937="DS",3,(IF(E1937="IP",4,(IF(E1937="MA",5,(IF(E1937="PT",6,(IF(E1937="AE",1,(IF(E1937="CM",2,(IF(E1937="DP",3,(IF(E1937="AN",1,(IF(E1937="CO",2,(IF(E1937="IM",3,(IF(E1937="MI",4,(IF(E1937="RP",5,(IF(E1937="SC",6,0)))))))))))))))))))))))))))))))))))))))</f>
        <v>2</v>
      </c>
      <c r="G1937" s="171">
        <v>8</v>
      </c>
      <c r="H1937" s="38" t="s">
        <v>511</v>
      </c>
      <c r="I1937" s="3" t="s">
        <v>821</v>
      </c>
      <c r="J1937" s="150">
        <v>11.2</v>
      </c>
      <c r="K1937" s="79" t="s">
        <v>1283</v>
      </c>
      <c r="L1937" s="66">
        <f>IF(O1937="","",N1937*O1937*M1937)</f>
        <v>75</v>
      </c>
      <c r="M1937" s="8">
        <v>1</v>
      </c>
      <c r="N1937" s="3">
        <v>1</v>
      </c>
      <c r="O1937" s="15">
        <f>IF(SUM(Q1937:AF1937)&lt;1,"",SUM(Q1937:AF1937)/COUNTIF(Q1937:AF1937,"&gt;0"))</f>
        <v>75</v>
      </c>
      <c r="P1937" s="16"/>
      <c r="Q1937" s="13"/>
      <c r="R1937" s="4"/>
      <c r="S1937" s="4"/>
      <c r="T1937" s="4">
        <v>75</v>
      </c>
      <c r="U1937" s="2"/>
      <c r="V1937" s="2"/>
      <c r="W1937" s="2"/>
      <c r="X1937" s="2"/>
      <c r="Y1937" s="4"/>
      <c r="Z1937" s="2"/>
      <c r="AA1937" s="2"/>
      <c r="AB1937" s="4"/>
      <c r="AC1937" s="4"/>
      <c r="AD1937" s="4"/>
      <c r="AE1937" s="4"/>
      <c r="AF1937" s="14"/>
    </row>
    <row r="1938" spans="1:32" x14ac:dyDescent="0.25">
      <c r="A1938" s="33" t="str">
        <f>CONCATENATE(D1938,".",F1938,"-",G1938,".",H1938,"")</f>
        <v>3.2-8.1</v>
      </c>
      <c r="B1938" s="33" t="s">
        <v>814</v>
      </c>
      <c r="C1938" s="40" t="s">
        <v>336</v>
      </c>
      <c r="D1938" s="33">
        <f>IF(C1938="ID",1,(IF(C1938="PR",2,(IF(C1938="DE",3,(IF(C1938="RS",4,(IF(C1938="RC",5,0)))))))))</f>
        <v>3</v>
      </c>
      <c r="E1938" s="33" t="s">
        <v>259</v>
      </c>
      <c r="F1938" s="33">
        <f>IF(E1938="AM",1,(IF(E1938="BE",2,(IF(E1938="GV",3,(IF(E1938="RA",4,(IF(E1938="RM",5,(IF(E1938="AC",1,(IF(E1938="AT",2,(IF(E1938="DS",3,(IF(E1938="IP",4,(IF(E1938="MA",5,(IF(E1938="PT",6,(IF(E1938="AE",1,(IF(E1938="CM",2,(IF(E1938="DP",3,(IF(E1938="AN",1,(IF(E1938="CO",2,(IF(E1938="IM",3,(IF(E1938="MI",4,(IF(E1938="RP",5,(IF(E1938="SC",6,0)))))))))))))))))))))))))))))))))))))))</f>
        <v>2</v>
      </c>
      <c r="G1938" s="171">
        <v>8</v>
      </c>
      <c r="H1938" s="38" t="s">
        <v>511</v>
      </c>
      <c r="I1938" s="3" t="s">
        <v>821</v>
      </c>
      <c r="J1938" s="149" t="s">
        <v>211</v>
      </c>
      <c r="K1938" s="79" t="s">
        <v>1283</v>
      </c>
      <c r="L1938" s="66">
        <f>IF(O1938="","",N1938*O1938*M1938)</f>
        <v>75</v>
      </c>
      <c r="M1938" s="8">
        <v>1</v>
      </c>
      <c r="N1938" s="1">
        <v>1</v>
      </c>
      <c r="O1938" s="15">
        <f>IF(SUM(Q1938:AF1938)&lt;1,"",SUM(Q1938:AF1938)/COUNTIF(Q1938:AF1938,"&gt;0"))</f>
        <v>75</v>
      </c>
      <c r="P1938" s="16"/>
      <c r="Q1938" s="13"/>
      <c r="R1938" s="4"/>
      <c r="S1938" s="4"/>
      <c r="T1938" s="4">
        <v>75</v>
      </c>
      <c r="U1938" s="2"/>
      <c r="V1938" s="2"/>
      <c r="W1938" s="2"/>
      <c r="X1938" s="2"/>
      <c r="Y1938" s="4"/>
      <c r="Z1938" s="2"/>
      <c r="AA1938" s="2"/>
      <c r="AB1938" s="4"/>
      <c r="AC1938" s="4"/>
      <c r="AD1938" s="4"/>
      <c r="AE1938" s="4"/>
      <c r="AF1938" s="14"/>
    </row>
    <row r="1939" spans="1:32" x14ac:dyDescent="0.25">
      <c r="A1939" s="33" t="str">
        <f>CONCATENATE(D1939,".",F1939,"-",G1939,".",H1939,"")</f>
        <v>3.2-8.1</v>
      </c>
      <c r="B1939" s="33" t="s">
        <v>814</v>
      </c>
      <c r="C1939" s="40" t="s">
        <v>336</v>
      </c>
      <c r="D1939" s="33">
        <f>IF(C1939="ID",1,(IF(C1939="PR",2,(IF(C1939="DE",3,(IF(C1939="RS",4,(IF(C1939="RC",5,0)))))))))</f>
        <v>3</v>
      </c>
      <c r="E1939" s="33" t="s">
        <v>259</v>
      </c>
      <c r="F1939" s="33">
        <f>IF(E1939="AM",1,(IF(E1939="BE",2,(IF(E1939="GV",3,(IF(E1939="RA",4,(IF(E1939="RM",5,(IF(E1939="AC",1,(IF(E1939="AT",2,(IF(E1939="DS",3,(IF(E1939="IP",4,(IF(E1939="MA",5,(IF(E1939="PT",6,(IF(E1939="AE",1,(IF(E1939="CM",2,(IF(E1939="DP",3,(IF(E1939="AN",1,(IF(E1939="CO",2,(IF(E1939="IM",3,(IF(E1939="MI",4,(IF(E1939="RP",5,(IF(E1939="SC",6,0)))))))))))))))))))))))))))))))))))))))</f>
        <v>2</v>
      </c>
      <c r="G1939" s="171">
        <v>8</v>
      </c>
      <c r="H1939" s="38" t="s">
        <v>511</v>
      </c>
      <c r="I1939" s="3" t="s">
        <v>821</v>
      </c>
      <c r="J1939" s="149" t="s">
        <v>212</v>
      </c>
      <c r="K1939" s="79" t="s">
        <v>1283</v>
      </c>
      <c r="L1939" s="66">
        <f>IF(O1939="","",N1939*O1939*M1939)</f>
        <v>75</v>
      </c>
      <c r="M1939" s="8">
        <v>1</v>
      </c>
      <c r="N1939" s="1">
        <v>1</v>
      </c>
      <c r="O1939" s="15">
        <f>IF(SUM(Q1939:AF1939)&lt;1,"",SUM(Q1939:AF1939)/COUNTIF(Q1939:AF1939,"&gt;0"))</f>
        <v>75</v>
      </c>
      <c r="P1939" s="16"/>
      <c r="Q1939" s="13"/>
      <c r="R1939" s="4"/>
      <c r="S1939" s="4"/>
      <c r="T1939" s="4">
        <v>75</v>
      </c>
      <c r="U1939" s="2"/>
      <c r="V1939" s="2"/>
      <c r="W1939" s="2"/>
      <c r="X1939" s="2"/>
      <c r="Y1939" s="4"/>
      <c r="Z1939" s="2"/>
      <c r="AA1939" s="2"/>
      <c r="AB1939" s="4"/>
      <c r="AC1939" s="4"/>
      <c r="AD1939" s="4"/>
      <c r="AE1939" s="4"/>
      <c r="AF1939" s="14"/>
    </row>
    <row r="1940" spans="1:32" x14ac:dyDescent="0.25">
      <c r="A1940" s="33" t="str">
        <f>CONCATENATE(D1940,".",F1940,"-",G1940,".",H1940,"")</f>
        <v>3.2-8.1</v>
      </c>
      <c r="B1940" s="33" t="s">
        <v>814</v>
      </c>
      <c r="C1940" s="40" t="s">
        <v>336</v>
      </c>
      <c r="D1940" s="33">
        <f>IF(C1940="ID",1,(IF(C1940="PR",2,(IF(C1940="DE",3,(IF(C1940="RS",4,(IF(C1940="RC",5,0)))))))))</f>
        <v>3</v>
      </c>
      <c r="E1940" s="33" t="s">
        <v>259</v>
      </c>
      <c r="F1940" s="33">
        <f>IF(E1940="AM",1,(IF(E1940="BE",2,(IF(E1940="GV",3,(IF(E1940="RA",4,(IF(E1940="RM",5,(IF(E1940="AC",1,(IF(E1940="AT",2,(IF(E1940="DS",3,(IF(E1940="IP",4,(IF(E1940="MA",5,(IF(E1940="PT",6,(IF(E1940="AE",1,(IF(E1940="CM",2,(IF(E1940="DP",3,(IF(E1940="AN",1,(IF(E1940="CO",2,(IF(E1940="IM",3,(IF(E1940="MI",4,(IF(E1940="RP",5,(IF(E1940="SC",6,0)))))))))))))))))))))))))))))))))))))))</f>
        <v>2</v>
      </c>
      <c r="G1940" s="171">
        <v>8</v>
      </c>
      <c r="H1940" s="38" t="s">
        <v>511</v>
      </c>
      <c r="I1940" s="3" t="s">
        <v>821</v>
      </c>
      <c r="J1940" s="149" t="s">
        <v>213</v>
      </c>
      <c r="K1940" s="79" t="s">
        <v>1283</v>
      </c>
      <c r="L1940" s="66">
        <f>IF(O1940="","",N1940*O1940*M1940)</f>
        <v>75</v>
      </c>
      <c r="M1940" s="8">
        <v>1</v>
      </c>
      <c r="N1940" s="1">
        <v>1</v>
      </c>
      <c r="O1940" s="15">
        <f>IF(SUM(Q1940:AF1940)&lt;1,"",SUM(Q1940:AF1940)/COUNTIF(Q1940:AF1940,"&gt;0"))</f>
        <v>75</v>
      </c>
      <c r="P1940" s="16"/>
      <c r="Q1940" s="13"/>
      <c r="R1940" s="4"/>
      <c r="S1940" s="4"/>
      <c r="T1940" s="4">
        <v>75</v>
      </c>
      <c r="U1940" s="2"/>
      <c r="V1940" s="2"/>
      <c r="W1940" s="2"/>
      <c r="X1940" s="2"/>
      <c r="Y1940" s="4"/>
      <c r="Z1940" s="2"/>
      <c r="AA1940" s="2"/>
      <c r="AB1940" s="4"/>
      <c r="AC1940" s="4"/>
      <c r="AD1940" s="4"/>
      <c r="AE1940" s="4"/>
      <c r="AF1940" s="14"/>
    </row>
    <row r="1941" spans="1:32" x14ac:dyDescent="0.25">
      <c r="A1941" s="33" t="str">
        <f>CONCATENATE(D1941,".",F1941,"-",G1941,".",H1941,"")</f>
        <v>3.2-8.1</v>
      </c>
      <c r="B1941" s="33" t="s">
        <v>814</v>
      </c>
      <c r="C1941" s="39" t="s">
        <v>336</v>
      </c>
      <c r="D1941" s="33">
        <f>IF(C1941="ID",1,(IF(C1941="PR",2,(IF(C1941="DE",3,(IF(C1941="RS",4,(IF(C1941="RC",5,0)))))))))</f>
        <v>3</v>
      </c>
      <c r="E1941" s="33" t="s">
        <v>259</v>
      </c>
      <c r="F1941" s="33">
        <f>IF(E1941="AM",1,(IF(E1941="BE",2,(IF(E1941="GV",3,(IF(E1941="RA",4,(IF(E1941="RM",5,(IF(E1941="AC",1,(IF(E1941="AT",2,(IF(E1941="DS",3,(IF(E1941="IP",4,(IF(E1941="MA",5,(IF(E1941="PT",6,(IF(E1941="AE",1,(IF(E1941="CM",2,(IF(E1941="DP",3,(IF(E1941="AN",1,(IF(E1941="CO",2,(IF(E1941="IM",3,(IF(E1941="MI",4,(IF(E1941="RP",5,(IF(E1941="SC",6,0)))))))))))))))))))))))))))))))))))))))</f>
        <v>2</v>
      </c>
      <c r="G1941" s="170">
        <v>8</v>
      </c>
      <c r="H1941" s="38" t="s">
        <v>511</v>
      </c>
      <c r="I1941" s="3" t="s">
        <v>821</v>
      </c>
      <c r="J1941" s="150" t="s">
        <v>214</v>
      </c>
      <c r="K1941" s="79" t="s">
        <v>1283</v>
      </c>
      <c r="L1941" s="66">
        <f>IF(O1941="","",N1941*O1941*M1941)</f>
        <v>75</v>
      </c>
      <c r="M1941" s="8">
        <v>1</v>
      </c>
      <c r="N1941" s="3">
        <v>1</v>
      </c>
      <c r="O1941" s="15">
        <f>IF(SUM(Q1941:AF1941)&lt;1,"",SUM(Q1941:AF1941)/COUNTIF(Q1941:AF1941,"&gt;0"))</f>
        <v>75</v>
      </c>
      <c r="P1941" s="16"/>
      <c r="Q1941" s="13"/>
      <c r="R1941" s="4"/>
      <c r="S1941" s="4"/>
      <c r="T1941" s="4">
        <v>75</v>
      </c>
      <c r="U1941" s="2"/>
      <c r="V1941" s="2"/>
      <c r="W1941" s="2"/>
      <c r="X1941" s="2"/>
      <c r="Y1941" s="4"/>
      <c r="Z1941" s="2"/>
      <c r="AA1941" s="2"/>
      <c r="AB1941" s="4"/>
      <c r="AC1941" s="4"/>
      <c r="AD1941" s="4"/>
      <c r="AE1941" s="4"/>
      <c r="AF1941" s="14"/>
    </row>
    <row r="1942" spans="1:32" x14ac:dyDescent="0.25">
      <c r="A1942" s="33" t="str">
        <f>CONCATENATE(D1942,".",F1942,"-",G1942,".",H1942,"")</f>
        <v>3.2-8.1</v>
      </c>
      <c r="B1942" s="33" t="s">
        <v>814</v>
      </c>
      <c r="C1942" s="39" t="s">
        <v>336</v>
      </c>
      <c r="D1942" s="33">
        <f>IF(C1942="ID",1,(IF(C1942="PR",2,(IF(C1942="DE",3,(IF(C1942="RS",4,(IF(C1942="RC",5,0)))))))))</f>
        <v>3</v>
      </c>
      <c r="E1942" s="33" t="s">
        <v>259</v>
      </c>
      <c r="F1942" s="33">
        <f>IF(E1942="AM",1,(IF(E1942="BE",2,(IF(E1942="GV",3,(IF(E1942="RA",4,(IF(E1942="RM",5,(IF(E1942="AC",1,(IF(E1942="AT",2,(IF(E1942="DS",3,(IF(E1942="IP",4,(IF(E1942="MA",5,(IF(E1942="PT",6,(IF(E1942="AE",1,(IF(E1942="CM",2,(IF(E1942="DP",3,(IF(E1942="AN",1,(IF(E1942="CO",2,(IF(E1942="IM",3,(IF(E1942="MI",4,(IF(E1942="RP",5,(IF(E1942="SC",6,0)))))))))))))))))))))))))))))))))))))))</f>
        <v>2</v>
      </c>
      <c r="G1942" s="170">
        <v>8</v>
      </c>
      <c r="H1942" s="38" t="s">
        <v>511</v>
      </c>
      <c r="I1942" s="3" t="s">
        <v>821</v>
      </c>
      <c r="J1942" s="150" t="s">
        <v>215</v>
      </c>
      <c r="K1942" s="79" t="s">
        <v>1283</v>
      </c>
      <c r="L1942" s="66">
        <f>IF(O1942="","",N1942*O1942*M1942)</f>
        <v>75</v>
      </c>
      <c r="M1942" s="8">
        <v>1</v>
      </c>
      <c r="N1942" s="3">
        <v>1</v>
      </c>
      <c r="O1942" s="15">
        <f>IF(SUM(Q1942:AF1942)&lt;1,"",SUM(Q1942:AF1942)/COUNTIF(Q1942:AF1942,"&gt;0"))</f>
        <v>75</v>
      </c>
      <c r="P1942" s="16"/>
      <c r="Q1942" s="13"/>
      <c r="R1942" s="4"/>
      <c r="S1942" s="4"/>
      <c r="T1942" s="4">
        <v>75</v>
      </c>
      <c r="U1942" s="2"/>
      <c r="V1942" s="2"/>
      <c r="W1942" s="2"/>
      <c r="X1942" s="2"/>
      <c r="Y1942" s="4"/>
      <c r="Z1942" s="2"/>
      <c r="AA1942" s="2"/>
      <c r="AB1942" s="4"/>
      <c r="AC1942" s="4"/>
      <c r="AD1942" s="4"/>
      <c r="AE1942" s="4"/>
      <c r="AF1942" s="14"/>
    </row>
    <row r="1943" spans="1:32" x14ac:dyDescent="0.25">
      <c r="A1943" s="33" t="str">
        <f>CONCATENATE(D1943,".",F1943,"-",G1943,".",H1943,"")</f>
        <v>3.2-8.1</v>
      </c>
      <c r="B1943" s="33" t="s">
        <v>814</v>
      </c>
      <c r="C1943" s="39" t="s">
        <v>336</v>
      </c>
      <c r="D1943" s="33">
        <f>IF(C1943="ID",1,(IF(C1943="PR",2,(IF(C1943="DE",3,(IF(C1943="RS",4,(IF(C1943="RC",5,0)))))))))</f>
        <v>3</v>
      </c>
      <c r="E1943" s="33" t="s">
        <v>259</v>
      </c>
      <c r="F1943" s="33">
        <f>IF(E1943="AM",1,(IF(E1943="BE",2,(IF(E1943="GV",3,(IF(E1943="RA",4,(IF(E1943="RM",5,(IF(E1943="AC",1,(IF(E1943="AT",2,(IF(E1943="DS",3,(IF(E1943="IP",4,(IF(E1943="MA",5,(IF(E1943="PT",6,(IF(E1943="AE",1,(IF(E1943="CM",2,(IF(E1943="DP",3,(IF(E1943="AN",1,(IF(E1943="CO",2,(IF(E1943="IM",3,(IF(E1943="MI",4,(IF(E1943="RP",5,(IF(E1943="SC",6,0)))))))))))))))))))))))))))))))))))))))</f>
        <v>2</v>
      </c>
      <c r="G1943" s="170">
        <v>8</v>
      </c>
      <c r="H1943" s="38" t="s">
        <v>511</v>
      </c>
      <c r="I1943" s="3" t="s">
        <v>821</v>
      </c>
      <c r="J1943" s="150" t="s">
        <v>217</v>
      </c>
      <c r="K1943" s="79" t="s">
        <v>1283</v>
      </c>
      <c r="L1943" s="66">
        <f>IF(O1943="","",N1943*O1943*M1943)</f>
        <v>75</v>
      </c>
      <c r="M1943" s="8">
        <v>1</v>
      </c>
      <c r="N1943" s="3">
        <v>1</v>
      </c>
      <c r="O1943" s="15">
        <f>IF(SUM(Q1943:AF1943)&lt;1,"",SUM(Q1943:AF1943)/COUNTIF(Q1943:AF1943,"&gt;0"))</f>
        <v>75</v>
      </c>
      <c r="P1943" s="16"/>
      <c r="Q1943" s="13"/>
      <c r="R1943" s="4"/>
      <c r="S1943" s="4"/>
      <c r="T1943" s="4">
        <v>75</v>
      </c>
      <c r="U1943" s="2"/>
      <c r="V1943" s="2"/>
      <c r="W1943" s="2"/>
      <c r="X1943" s="2"/>
      <c r="Y1943" s="4"/>
      <c r="Z1943" s="2"/>
      <c r="AA1943" s="2"/>
      <c r="AB1943" s="4"/>
      <c r="AC1943" s="4"/>
      <c r="AD1943" s="4"/>
      <c r="AE1943" s="4"/>
      <c r="AF1943" s="14"/>
    </row>
    <row r="1944" spans="1:32" x14ac:dyDescent="0.25">
      <c r="A1944" s="33" t="str">
        <f>CONCATENATE(D1944,".",F1944,"-",G1944,".",H1944,"")</f>
        <v>3.2-8.1</v>
      </c>
      <c r="B1944" s="33" t="s">
        <v>814</v>
      </c>
      <c r="C1944" s="40" t="s">
        <v>336</v>
      </c>
      <c r="D1944" s="33">
        <f>IF(C1944="ID",1,(IF(C1944="PR",2,(IF(C1944="DE",3,(IF(C1944="RS",4,(IF(C1944="RC",5,0)))))))))</f>
        <v>3</v>
      </c>
      <c r="E1944" s="33" t="s">
        <v>259</v>
      </c>
      <c r="F1944" s="33">
        <f>IF(E1944="AM",1,(IF(E1944="BE",2,(IF(E1944="GV",3,(IF(E1944="RA",4,(IF(E1944="RM",5,(IF(E1944="AC",1,(IF(E1944="AT",2,(IF(E1944="DS",3,(IF(E1944="IP",4,(IF(E1944="MA",5,(IF(E1944="PT",6,(IF(E1944="AE",1,(IF(E1944="CM",2,(IF(E1944="DP",3,(IF(E1944="AN",1,(IF(E1944="CO",2,(IF(E1944="IM",3,(IF(E1944="MI",4,(IF(E1944="RP",5,(IF(E1944="SC",6,0)))))))))))))))))))))))))))))))))))))))</f>
        <v>2</v>
      </c>
      <c r="G1944" s="171">
        <v>8</v>
      </c>
      <c r="H1944" s="38" t="s">
        <v>511</v>
      </c>
      <c r="I1944" s="22" t="s">
        <v>936</v>
      </c>
      <c r="J1944" s="163" t="s">
        <v>869</v>
      </c>
      <c r="K1944" s="34" t="s">
        <v>992</v>
      </c>
      <c r="L1944" s="66">
        <f>IF(O1944="","",N1944*O1944*M1944)</f>
        <v>75</v>
      </c>
      <c r="M1944" s="8">
        <v>1</v>
      </c>
      <c r="N1944" s="3">
        <v>1</v>
      </c>
      <c r="O1944" s="15">
        <f>IF(SUM(Q1944:AF1944)&lt;1,"",SUM(Q1944:AF1944)/COUNTIF(Q1944:AF1944,"&gt;0"))</f>
        <v>75</v>
      </c>
      <c r="P1944" s="16"/>
      <c r="Q1944" s="13"/>
      <c r="R1944" s="4"/>
      <c r="S1944" s="4"/>
      <c r="T1944" s="4">
        <v>75</v>
      </c>
      <c r="U1944" s="2"/>
      <c r="V1944" s="2"/>
      <c r="W1944" s="2"/>
      <c r="X1944" s="2"/>
      <c r="Y1944" s="4"/>
      <c r="Z1944" s="2"/>
      <c r="AA1944" s="2"/>
      <c r="AB1944" s="4"/>
      <c r="AC1944" s="4"/>
      <c r="AD1944" s="4"/>
      <c r="AE1944" s="4"/>
      <c r="AF1944" s="14"/>
    </row>
    <row r="1945" spans="1:32" x14ac:dyDescent="0.25">
      <c r="A1945" s="33" t="str">
        <f>CONCATENATE(D1945,".",F1945,"-",G1945,".",H1945,"")</f>
        <v>3.2-8.1</v>
      </c>
      <c r="B1945" s="33" t="s">
        <v>814</v>
      </c>
      <c r="C1945" s="39" t="s">
        <v>336</v>
      </c>
      <c r="D1945" s="33">
        <f>IF(C1945="ID",1,(IF(C1945="PR",2,(IF(C1945="DE",3,(IF(C1945="RS",4,(IF(C1945="RC",5,0)))))))))</f>
        <v>3</v>
      </c>
      <c r="E1945" s="33" t="s">
        <v>259</v>
      </c>
      <c r="F1945" s="33">
        <f>IF(E1945="AM",1,(IF(E1945="BE",2,(IF(E1945="GV",3,(IF(E1945="RA",4,(IF(E1945="RM",5,(IF(E1945="AC",1,(IF(E1945="AT",2,(IF(E1945="DS",3,(IF(E1945="IP",4,(IF(E1945="MA",5,(IF(E1945="PT",6,(IF(E1945="AE",1,(IF(E1945="CM",2,(IF(E1945="DP",3,(IF(E1945="AN",1,(IF(E1945="CO",2,(IF(E1945="IM",3,(IF(E1945="MI",4,(IF(E1945="RP",5,(IF(E1945="SC",6,0)))))))))))))))))))))))))))))))))))))))</f>
        <v>2</v>
      </c>
      <c r="G1945" s="170">
        <v>8</v>
      </c>
      <c r="H1945" s="38" t="s">
        <v>511</v>
      </c>
      <c r="I1945" s="22" t="s">
        <v>266</v>
      </c>
      <c r="J1945" s="149" t="s">
        <v>462</v>
      </c>
      <c r="K1945" s="79" t="s">
        <v>1324</v>
      </c>
      <c r="L1945" s="66">
        <f>IF(O1945="","",N1945*O1945*M1945)</f>
        <v>75</v>
      </c>
      <c r="M1945" s="8">
        <v>1</v>
      </c>
      <c r="N1945" s="1">
        <v>1</v>
      </c>
      <c r="O1945" s="15">
        <f>IF(SUM(Q1945:AF1945)&lt;1,"",SUM(Q1945:AF1945)/COUNTIF(Q1945:AF1945,"&gt;0"))</f>
        <v>75</v>
      </c>
      <c r="P1945" s="16"/>
      <c r="Q1945" s="13"/>
      <c r="R1945" s="4"/>
      <c r="S1945" s="4"/>
      <c r="T1945" s="4">
        <v>75</v>
      </c>
      <c r="U1945" s="2"/>
      <c r="V1945" s="2"/>
      <c r="W1945" s="2"/>
      <c r="X1945" s="2"/>
      <c r="Y1945" s="4"/>
      <c r="Z1945" s="2"/>
      <c r="AA1945" s="2"/>
      <c r="AB1945" s="4"/>
      <c r="AC1945" s="4"/>
      <c r="AD1945" s="4"/>
      <c r="AE1945" s="4"/>
      <c r="AF1945" s="14"/>
    </row>
    <row r="1946" spans="1:32" x14ac:dyDescent="0.25">
      <c r="A1946" s="33" t="str">
        <f>CONCATENATE(D1946,".",F1946,"-",G1946,".",H1946,"")</f>
        <v>3.2-8.1</v>
      </c>
      <c r="B1946" s="33" t="s">
        <v>814</v>
      </c>
      <c r="C1946" s="41" t="s">
        <v>336</v>
      </c>
      <c r="D1946" s="33">
        <f>IF(C1946="ID",1,(IF(C1946="PR",2,(IF(C1946="DE",3,(IF(C1946="RS",4,(IF(C1946="RC",5,0)))))))))</f>
        <v>3</v>
      </c>
      <c r="E1946" s="33" t="s">
        <v>259</v>
      </c>
      <c r="F1946" s="33">
        <f>IF(E1946="AM",1,(IF(E1946="BE",2,(IF(E1946="GV",3,(IF(E1946="RA",4,(IF(E1946="RM",5,(IF(E1946="AC",1,(IF(E1946="AT",2,(IF(E1946="DS",3,(IF(E1946="IP",4,(IF(E1946="MA",5,(IF(E1946="PT",6,(IF(E1946="AE",1,(IF(E1946="CM",2,(IF(E1946="DP",3,(IF(E1946="AN",1,(IF(E1946="CO",2,(IF(E1946="IM",3,(IF(E1946="MI",4,(IF(E1946="RP",5,(IF(E1946="SC",6,0)))))))))))))))))))))))))))))))))))))))</f>
        <v>2</v>
      </c>
      <c r="G1946" s="170">
        <v>8</v>
      </c>
      <c r="H1946" s="38" t="s">
        <v>511</v>
      </c>
      <c r="I1946" s="22" t="s">
        <v>266</v>
      </c>
      <c r="J1946" s="149" t="s">
        <v>272</v>
      </c>
      <c r="K1946" s="79" t="s">
        <v>1325</v>
      </c>
      <c r="L1946" s="5">
        <f>IF(O1946="","",N1946*O1946*M1946)</f>
        <v>75</v>
      </c>
      <c r="M1946" s="8">
        <v>1</v>
      </c>
      <c r="N1946" s="1">
        <v>1</v>
      </c>
      <c r="O1946" s="15">
        <f>IF(SUM(Q1946:AF1946)&lt;1,"",SUM(Q1946:AF1946)/COUNTIF(Q1946:AF1946,"&gt;0"))</f>
        <v>75</v>
      </c>
      <c r="P1946" s="16"/>
      <c r="Q1946" s="13"/>
      <c r="R1946" s="4"/>
      <c r="S1946" s="4"/>
      <c r="T1946" s="4">
        <v>75</v>
      </c>
      <c r="U1946" s="2"/>
      <c r="V1946" s="2"/>
      <c r="W1946" s="2"/>
      <c r="X1946" s="2"/>
      <c r="Y1946" s="4"/>
      <c r="Z1946" s="2"/>
      <c r="AA1946" s="2"/>
      <c r="AB1946" s="4"/>
      <c r="AC1946" s="4"/>
      <c r="AD1946" s="4"/>
      <c r="AE1946" s="4"/>
      <c r="AF1946" s="14"/>
    </row>
    <row r="1947" spans="1:32" x14ac:dyDescent="0.25">
      <c r="A1947" s="33" t="str">
        <f>CONCATENATE(D1947,".",F1947,"-",G1947,".",H1947,"")</f>
        <v>3.2-8.1</v>
      </c>
      <c r="B1947" s="33" t="s">
        <v>814</v>
      </c>
      <c r="C1947" s="39" t="s">
        <v>336</v>
      </c>
      <c r="D1947" s="33">
        <f>IF(C1947="ID",1,(IF(C1947="PR",2,(IF(C1947="DE",3,(IF(C1947="RS",4,(IF(C1947="RC",5,0)))))))))</f>
        <v>3</v>
      </c>
      <c r="E1947" s="33" t="s">
        <v>259</v>
      </c>
      <c r="F1947" s="33">
        <f>IF(E1947="AM",1,(IF(E1947="BE",2,(IF(E1947="GV",3,(IF(E1947="RA",4,(IF(E1947="RM",5,(IF(E1947="AC",1,(IF(E1947="AT",2,(IF(E1947="DS",3,(IF(E1947="IP",4,(IF(E1947="MA",5,(IF(E1947="PT",6,(IF(E1947="AE",1,(IF(E1947="CM",2,(IF(E1947="DP",3,(IF(E1947="AN",1,(IF(E1947="CO",2,(IF(E1947="IM",3,(IF(E1947="MI",4,(IF(E1947="RP",5,(IF(E1947="SC",6,0)))))))))))))))))))))))))))))))))))))))</f>
        <v>2</v>
      </c>
      <c r="G1947" s="170">
        <v>8</v>
      </c>
      <c r="H1947" s="38" t="s">
        <v>511</v>
      </c>
      <c r="I1947" s="79" t="s">
        <v>1176</v>
      </c>
      <c r="J1947" s="162">
        <v>4.3</v>
      </c>
      <c r="K1947" t="s">
        <v>1056</v>
      </c>
      <c r="L1947" s="66">
        <f>IF(O1947="","",N1947*O1947*M1947)</f>
        <v>75</v>
      </c>
      <c r="M1947" s="8">
        <v>1</v>
      </c>
      <c r="N1947" s="3">
        <v>1</v>
      </c>
      <c r="O1947" s="15">
        <f>IF(SUM(Q1947:AF1947)&lt;1,"",SUM(Q1947:AF1947)/COUNTIF(Q1947:AF1947,"&gt;0"))</f>
        <v>75</v>
      </c>
      <c r="P1947" s="16"/>
      <c r="Q1947" s="13"/>
      <c r="R1947" s="4"/>
      <c r="S1947" s="4"/>
      <c r="T1947" s="4">
        <v>75</v>
      </c>
      <c r="U1947" s="2"/>
      <c r="V1947" s="2"/>
      <c r="W1947" s="2"/>
      <c r="X1947" s="2"/>
      <c r="Y1947" s="4"/>
      <c r="Z1947" s="2"/>
      <c r="AA1947" s="2"/>
      <c r="AB1947" s="4"/>
      <c r="AC1947" s="4"/>
      <c r="AD1947" s="4"/>
      <c r="AE1947" s="4"/>
      <c r="AF1947" s="14"/>
    </row>
    <row r="1948" spans="1:32" x14ac:dyDescent="0.25">
      <c r="A1948" s="33" t="str">
        <f>CONCATENATE(D1948,".",F1948,"-",G1948,".",H1948,"")</f>
        <v>3.2-8.1</v>
      </c>
      <c r="B1948" s="33" t="s">
        <v>814</v>
      </c>
      <c r="C1948" s="39" t="s">
        <v>336</v>
      </c>
      <c r="D1948" s="33">
        <f>IF(C1948="ID",1,(IF(C1948="PR",2,(IF(C1948="DE",3,(IF(C1948="RS",4,(IF(C1948="RC",5,0)))))))))</f>
        <v>3</v>
      </c>
      <c r="E1948" s="33" t="s">
        <v>259</v>
      </c>
      <c r="F1948" s="33">
        <f>IF(E1948="AM",1,(IF(E1948="BE",2,(IF(E1948="GV",3,(IF(E1948="RA",4,(IF(E1948="RM",5,(IF(E1948="AC",1,(IF(E1948="AT",2,(IF(E1948="DS",3,(IF(E1948="IP",4,(IF(E1948="MA",5,(IF(E1948="PT",6,(IF(E1948="AE",1,(IF(E1948="CM",2,(IF(E1948="DP",3,(IF(E1948="AN",1,(IF(E1948="CO",2,(IF(E1948="IM",3,(IF(E1948="MI",4,(IF(E1948="RP",5,(IF(E1948="SC",6,0)))))))))))))))))))))))))))))))))))))))</f>
        <v>2</v>
      </c>
      <c r="G1948" s="170">
        <v>8</v>
      </c>
      <c r="H1948" s="38" t="s">
        <v>511</v>
      </c>
      <c r="I1948" s="79" t="s">
        <v>1176</v>
      </c>
      <c r="J1948" s="162">
        <v>4.5999999999999996</v>
      </c>
      <c r="K1948" t="s">
        <v>1059</v>
      </c>
      <c r="L1948" s="66">
        <f>IF(O1948="","",N1948*O1948*M1948)</f>
        <v>75</v>
      </c>
      <c r="M1948" s="8">
        <v>1</v>
      </c>
      <c r="N1948" s="3">
        <v>1</v>
      </c>
      <c r="O1948" s="15">
        <f>IF(SUM(Q1948:AF1948)&lt;1,"",SUM(Q1948:AF1948)/COUNTIF(Q1948:AF1948,"&gt;0"))</f>
        <v>75</v>
      </c>
      <c r="P1948" s="16"/>
      <c r="Q1948" s="13"/>
      <c r="R1948" s="4"/>
      <c r="S1948" s="4"/>
      <c r="T1948" s="4">
        <v>75</v>
      </c>
      <c r="U1948" s="2"/>
      <c r="V1948" s="2"/>
      <c r="W1948" s="2"/>
      <c r="X1948" s="2"/>
      <c r="Y1948" s="4"/>
      <c r="Z1948" s="2"/>
      <c r="AA1948" s="2"/>
      <c r="AB1948" s="4"/>
      <c r="AC1948" s="4"/>
      <c r="AD1948" s="4"/>
      <c r="AE1948" s="4"/>
      <c r="AF1948" s="14"/>
    </row>
    <row r="1949" spans="1:32" x14ac:dyDescent="0.25">
      <c r="A1949" s="33" t="str">
        <f>CONCATENATE(D1949,".",F1949,"-",G1949,".",H1949,"")</f>
        <v>3.2-8.1</v>
      </c>
      <c r="B1949" s="33" t="s">
        <v>814</v>
      </c>
      <c r="C1949" s="39" t="s">
        <v>336</v>
      </c>
      <c r="D1949" s="33">
        <f>IF(C1949="ID",1,(IF(C1949="PR",2,(IF(C1949="DE",3,(IF(C1949="RS",4,(IF(C1949="RC",5,0)))))))))</f>
        <v>3</v>
      </c>
      <c r="E1949" s="33" t="s">
        <v>259</v>
      </c>
      <c r="F1949" s="33">
        <f>IF(E1949="AM",1,(IF(E1949="BE",2,(IF(E1949="GV",3,(IF(E1949="RA",4,(IF(E1949="RM",5,(IF(E1949="AC",1,(IF(E1949="AT",2,(IF(E1949="DS",3,(IF(E1949="IP",4,(IF(E1949="MA",5,(IF(E1949="PT",6,(IF(E1949="AE",1,(IF(E1949="CM",2,(IF(E1949="DP",3,(IF(E1949="AN",1,(IF(E1949="CO",2,(IF(E1949="IM",3,(IF(E1949="MI",4,(IF(E1949="RP",5,(IF(E1949="SC",6,0)))))))))))))))))))))))))))))))))))))))</f>
        <v>2</v>
      </c>
      <c r="G1949" s="170">
        <v>8</v>
      </c>
      <c r="H1949" s="38" t="s">
        <v>511</v>
      </c>
      <c r="I1949" s="79" t="s">
        <v>1176</v>
      </c>
      <c r="J1949" s="162">
        <v>20</v>
      </c>
      <c r="K1949" s="80" t="s">
        <v>1168</v>
      </c>
      <c r="L1949" s="66">
        <f>IF(O1949="","",N1949*O1949*M1949)</f>
        <v>75</v>
      </c>
      <c r="M1949" s="8">
        <v>1</v>
      </c>
      <c r="N1949" s="3">
        <v>1</v>
      </c>
      <c r="O1949" s="15">
        <f>IF(SUM(Q1949:AF1949)&lt;1,"",SUM(Q1949:AF1949)/COUNTIF(Q1949:AF1949,"&gt;0"))</f>
        <v>75</v>
      </c>
      <c r="P1949" s="16"/>
      <c r="Q1949" s="13"/>
      <c r="R1949" s="4"/>
      <c r="S1949" s="4"/>
      <c r="T1949" s="4">
        <v>75</v>
      </c>
      <c r="U1949" s="2"/>
      <c r="V1949" s="2"/>
      <c r="W1949" s="2"/>
      <c r="X1949" s="2"/>
      <c r="Y1949" s="4"/>
      <c r="Z1949" s="2"/>
      <c r="AA1949" s="2"/>
      <c r="AB1949" s="4"/>
      <c r="AC1949" s="4"/>
      <c r="AD1949" s="4"/>
      <c r="AE1949" s="4"/>
      <c r="AF1949" s="14"/>
    </row>
    <row r="1950" spans="1:32" x14ac:dyDescent="0.25">
      <c r="A1950" s="33" t="str">
        <f>CONCATENATE(D1950,".",F1950,"-",G1950,".",H1950,"")</f>
        <v>3.2-8.1</v>
      </c>
      <c r="B1950" s="33" t="s">
        <v>814</v>
      </c>
      <c r="C1950" s="39" t="s">
        <v>336</v>
      </c>
      <c r="D1950" s="33">
        <f>IF(C1950="ID",1,(IF(C1950="PR",2,(IF(C1950="DE",3,(IF(C1950="RS",4,(IF(C1950="RC",5,0)))))))))</f>
        <v>3</v>
      </c>
      <c r="E1950" s="33" t="s">
        <v>259</v>
      </c>
      <c r="F1950" s="33">
        <f>IF(E1950="AM",1,(IF(E1950="BE",2,(IF(E1950="GV",3,(IF(E1950="RA",4,(IF(E1950="RM",5,(IF(E1950="AC",1,(IF(E1950="AT",2,(IF(E1950="DS",3,(IF(E1950="IP",4,(IF(E1950="MA",5,(IF(E1950="PT",6,(IF(E1950="AE",1,(IF(E1950="CM",2,(IF(E1950="DP",3,(IF(E1950="AN",1,(IF(E1950="CO",2,(IF(E1950="IM",3,(IF(E1950="MI",4,(IF(E1950="RP",5,(IF(E1950="SC",6,0)))))))))))))))))))))))))))))))))))))))</f>
        <v>2</v>
      </c>
      <c r="G1950" s="170">
        <v>8</v>
      </c>
      <c r="H1950" s="38" t="s">
        <v>511</v>
      </c>
      <c r="I1950" s="79" t="s">
        <v>1176</v>
      </c>
      <c r="J1950" s="162">
        <v>20.100000000000001</v>
      </c>
      <c r="K1950" s="80" t="s">
        <v>1169</v>
      </c>
      <c r="L1950" s="66">
        <f>IF(O1950="","",N1950*O1950*M1950)</f>
        <v>75</v>
      </c>
      <c r="M1950" s="8">
        <v>1</v>
      </c>
      <c r="N1950" s="3">
        <v>1</v>
      </c>
      <c r="O1950" s="15">
        <f>IF(SUM(Q1950:AF1950)&lt;1,"",SUM(Q1950:AF1950)/COUNTIF(Q1950:AF1950,"&gt;0"))</f>
        <v>75</v>
      </c>
      <c r="P1950" s="16"/>
      <c r="Q1950" s="13"/>
      <c r="R1950" s="4"/>
      <c r="S1950" s="4"/>
      <c r="T1950" s="4">
        <v>75</v>
      </c>
      <c r="U1950" s="2"/>
      <c r="V1950" s="2"/>
      <c r="W1950" s="2"/>
      <c r="X1950" s="2"/>
      <c r="Y1950" s="4"/>
      <c r="Z1950" s="2"/>
      <c r="AA1950" s="2"/>
      <c r="AB1950" s="4"/>
      <c r="AC1950" s="4"/>
      <c r="AD1950" s="4"/>
      <c r="AE1950" s="4"/>
      <c r="AF1950" s="14"/>
    </row>
    <row r="1951" spans="1:32" x14ac:dyDescent="0.25">
      <c r="A1951" s="33" t="str">
        <f>CONCATENATE(D1951,".",F1951,"-",G1951,".",H1951,"")</f>
        <v>3.2-8.1</v>
      </c>
      <c r="B1951" s="33" t="s">
        <v>814</v>
      </c>
      <c r="C1951" s="39" t="s">
        <v>336</v>
      </c>
      <c r="D1951" s="33">
        <f>IF(C1951="ID",1,(IF(C1951="PR",2,(IF(C1951="DE",3,(IF(C1951="RS",4,(IF(C1951="RC",5,0)))))))))</f>
        <v>3</v>
      </c>
      <c r="E1951" s="33" t="s">
        <v>259</v>
      </c>
      <c r="F1951" s="33">
        <f>IF(E1951="AM",1,(IF(E1951="BE",2,(IF(E1951="GV",3,(IF(E1951="RA",4,(IF(E1951="RM",5,(IF(E1951="AC",1,(IF(E1951="AT",2,(IF(E1951="DS",3,(IF(E1951="IP",4,(IF(E1951="MA",5,(IF(E1951="PT",6,(IF(E1951="AE",1,(IF(E1951="CM",2,(IF(E1951="DP",3,(IF(E1951="AN",1,(IF(E1951="CO",2,(IF(E1951="IM",3,(IF(E1951="MI",4,(IF(E1951="RP",5,(IF(E1951="SC",6,0)))))))))))))))))))))))))))))))))))))))</f>
        <v>2</v>
      </c>
      <c r="G1951" s="170">
        <v>8</v>
      </c>
      <c r="H1951" s="38" t="s">
        <v>511</v>
      </c>
      <c r="I1951" s="79" t="s">
        <v>1176</v>
      </c>
      <c r="J1951" s="162">
        <v>20.3</v>
      </c>
      <c r="K1951" s="80" t="s">
        <v>1171</v>
      </c>
      <c r="L1951" s="66">
        <f>IF(O1951="","",N1951*O1951*M1951)</f>
        <v>75</v>
      </c>
      <c r="M1951" s="8">
        <v>1</v>
      </c>
      <c r="N1951" s="3">
        <v>1</v>
      </c>
      <c r="O1951" s="15">
        <f>IF(SUM(Q1951:AF1951)&lt;1,"",SUM(Q1951:AF1951)/COUNTIF(Q1951:AF1951,"&gt;0"))</f>
        <v>75</v>
      </c>
      <c r="P1951" s="16"/>
      <c r="Q1951" s="13"/>
      <c r="R1951" s="4"/>
      <c r="S1951" s="4"/>
      <c r="T1951" s="4">
        <v>75</v>
      </c>
      <c r="U1951" s="2"/>
      <c r="V1951" s="2"/>
      <c r="W1951" s="2"/>
      <c r="X1951" s="2"/>
      <c r="Y1951" s="4"/>
      <c r="Z1951" s="2"/>
      <c r="AA1951" s="2"/>
      <c r="AB1951" s="4"/>
      <c r="AC1951" s="4"/>
      <c r="AD1951" s="4"/>
      <c r="AE1951" s="4"/>
      <c r="AF1951" s="14"/>
    </row>
    <row r="1952" spans="1:32" x14ac:dyDescent="0.25">
      <c r="A1952" s="33" t="str">
        <f>CONCATENATE(D1952,".",F1952,"-",G1952,".",H1952,"")</f>
        <v>3.2-8.1</v>
      </c>
      <c r="B1952" s="33" t="s">
        <v>814</v>
      </c>
      <c r="C1952" s="39" t="s">
        <v>336</v>
      </c>
      <c r="D1952" s="33">
        <f>IF(C1952="ID",1,(IF(C1952="PR",2,(IF(C1952="DE",3,(IF(C1952="RS",4,(IF(C1952="RC",5,0)))))))))</f>
        <v>3</v>
      </c>
      <c r="E1952" s="33" t="s">
        <v>259</v>
      </c>
      <c r="F1952" s="33">
        <f>IF(E1952="AM",1,(IF(E1952="BE",2,(IF(E1952="GV",3,(IF(E1952="RA",4,(IF(E1952="RM",5,(IF(E1952="AC",1,(IF(E1952="AT",2,(IF(E1952="DS",3,(IF(E1952="IP",4,(IF(E1952="MA",5,(IF(E1952="PT",6,(IF(E1952="AE",1,(IF(E1952="CM",2,(IF(E1952="DP",3,(IF(E1952="AN",1,(IF(E1952="CO",2,(IF(E1952="IM",3,(IF(E1952="MI",4,(IF(E1952="RP",5,(IF(E1952="SC",6,0)))))))))))))))))))))))))))))))))))))))</f>
        <v>2</v>
      </c>
      <c r="G1952" s="170">
        <v>8</v>
      </c>
      <c r="H1952" s="38" t="s">
        <v>511</v>
      </c>
      <c r="I1952" s="79" t="s">
        <v>1176</v>
      </c>
      <c r="J1952" s="162">
        <v>20.399999999999999</v>
      </c>
      <c r="K1952" s="80" t="s">
        <v>1172</v>
      </c>
      <c r="L1952" s="66">
        <f>IF(O1952="","",N1952*O1952*M1952)</f>
        <v>75</v>
      </c>
      <c r="M1952" s="8">
        <v>1</v>
      </c>
      <c r="N1952" s="3">
        <v>1</v>
      </c>
      <c r="O1952" s="15">
        <f>IF(SUM(Q1952:AF1952)&lt;1,"",SUM(Q1952:AF1952)/COUNTIF(Q1952:AF1952,"&gt;0"))</f>
        <v>75</v>
      </c>
      <c r="P1952" s="16"/>
      <c r="Q1952" s="13"/>
      <c r="R1952" s="4"/>
      <c r="S1952" s="4"/>
      <c r="T1952" s="4">
        <v>75</v>
      </c>
      <c r="U1952" s="2"/>
      <c r="V1952" s="2"/>
      <c r="W1952" s="2"/>
      <c r="X1952" s="2"/>
      <c r="Y1952" s="4"/>
      <c r="Z1952" s="2"/>
      <c r="AA1952" s="2"/>
      <c r="AB1952" s="4"/>
      <c r="AC1952" s="4"/>
      <c r="AD1952" s="4"/>
      <c r="AE1952" s="4"/>
      <c r="AF1952" s="14"/>
    </row>
    <row r="1953" spans="1:32" x14ac:dyDescent="0.25">
      <c r="A1953" s="33" t="str">
        <f>CONCATENATE(D1953,".",F1953,"-",G1953,".",H1953,"")</f>
        <v>3.2-8.1</v>
      </c>
      <c r="B1953" s="33" t="s">
        <v>814</v>
      </c>
      <c r="C1953" s="39" t="s">
        <v>336</v>
      </c>
      <c r="D1953" s="33">
        <f>IF(C1953="ID",1,(IF(C1953="PR",2,(IF(C1953="DE",3,(IF(C1953="RS",4,(IF(C1953="RC",5,0)))))))))</f>
        <v>3</v>
      </c>
      <c r="E1953" s="33" t="s">
        <v>259</v>
      </c>
      <c r="F1953" s="33">
        <f>IF(E1953="AM",1,(IF(E1953="BE",2,(IF(E1953="GV",3,(IF(E1953="RA",4,(IF(E1953="RM",5,(IF(E1953="AC",1,(IF(E1953="AT",2,(IF(E1953="DS",3,(IF(E1953="IP",4,(IF(E1953="MA",5,(IF(E1953="PT",6,(IF(E1953="AE",1,(IF(E1953="CM",2,(IF(E1953="DP",3,(IF(E1953="AN",1,(IF(E1953="CO",2,(IF(E1953="IM",3,(IF(E1953="MI",4,(IF(E1953="RP",5,(IF(E1953="SC",6,0)))))))))))))))))))))))))))))))))))))))</f>
        <v>2</v>
      </c>
      <c r="G1953" s="170">
        <v>8</v>
      </c>
      <c r="H1953" s="38" t="s">
        <v>511</v>
      </c>
      <c r="I1953" s="79" t="s">
        <v>1176</v>
      </c>
      <c r="J1953" s="162">
        <v>20.5</v>
      </c>
      <c r="K1953" s="80" t="s">
        <v>1173</v>
      </c>
      <c r="L1953" s="66">
        <f>IF(O1953="","",N1953*O1953*M1953)</f>
        <v>75</v>
      </c>
      <c r="M1953" s="8">
        <v>1</v>
      </c>
      <c r="N1953" s="3">
        <v>1</v>
      </c>
      <c r="O1953" s="15">
        <f>IF(SUM(Q1953:AF1953)&lt;1,"",SUM(Q1953:AF1953)/COUNTIF(Q1953:AF1953,"&gt;0"))</f>
        <v>75</v>
      </c>
      <c r="P1953" s="16"/>
      <c r="Q1953" s="13"/>
      <c r="R1953" s="4"/>
      <c r="S1953" s="4"/>
      <c r="T1953" s="4">
        <v>75</v>
      </c>
      <c r="U1953" s="2"/>
      <c r="V1953" s="2"/>
      <c r="W1953" s="2"/>
      <c r="X1953" s="2"/>
      <c r="Y1953" s="4"/>
      <c r="Z1953" s="2"/>
      <c r="AA1953" s="2"/>
      <c r="AB1953" s="4"/>
      <c r="AC1953" s="4"/>
      <c r="AD1953" s="4"/>
      <c r="AE1953" s="4"/>
      <c r="AF1953" s="14"/>
    </row>
    <row r="1954" spans="1:32" x14ac:dyDescent="0.25">
      <c r="A1954" s="33" t="str">
        <f>CONCATENATE(D1954,".",F1954,"-",G1954,".",H1954,"")</f>
        <v>3.2-8.1</v>
      </c>
      <c r="B1954" s="33" t="s">
        <v>814</v>
      </c>
      <c r="C1954" s="39" t="s">
        <v>336</v>
      </c>
      <c r="D1954" s="33">
        <f>IF(C1954="ID",1,(IF(C1954="PR",2,(IF(C1954="DE",3,(IF(C1954="RS",4,(IF(C1954="RC",5,0)))))))))</f>
        <v>3</v>
      </c>
      <c r="E1954" s="33" t="s">
        <v>259</v>
      </c>
      <c r="F1954" s="33">
        <f>IF(E1954="AM",1,(IF(E1954="BE",2,(IF(E1954="GV",3,(IF(E1954="RA",4,(IF(E1954="RM",5,(IF(E1954="AC",1,(IF(E1954="AT",2,(IF(E1954="DS",3,(IF(E1954="IP",4,(IF(E1954="MA",5,(IF(E1954="PT",6,(IF(E1954="AE",1,(IF(E1954="CM",2,(IF(E1954="DP",3,(IF(E1954="AN",1,(IF(E1954="CO",2,(IF(E1954="IM",3,(IF(E1954="MI",4,(IF(E1954="RP",5,(IF(E1954="SC",6,0)))))))))))))))))))))))))))))))))))))))</f>
        <v>2</v>
      </c>
      <c r="G1954" s="170">
        <v>8</v>
      </c>
      <c r="H1954" s="38" t="s">
        <v>511</v>
      </c>
      <c r="I1954" s="79" t="s">
        <v>1176</v>
      </c>
      <c r="J1954" s="162">
        <v>20.6</v>
      </c>
      <c r="K1954" s="80" t="s">
        <v>1174</v>
      </c>
      <c r="L1954" s="66">
        <f>IF(O1954="","",N1954*O1954*M1954)</f>
        <v>75</v>
      </c>
      <c r="M1954" s="8">
        <v>1</v>
      </c>
      <c r="N1954" s="3">
        <v>1</v>
      </c>
      <c r="O1954" s="15">
        <f>IF(SUM(Q1954:AF1954)&lt;1,"",SUM(Q1954:AF1954)/COUNTIF(Q1954:AF1954,"&gt;0"))</f>
        <v>75</v>
      </c>
      <c r="P1954" s="16"/>
      <c r="Q1954" s="13"/>
      <c r="R1954" s="4"/>
      <c r="S1954" s="4"/>
      <c r="T1954" s="4">
        <v>75</v>
      </c>
      <c r="U1954" s="2"/>
      <c r="V1954" s="2"/>
      <c r="W1954" s="2"/>
      <c r="X1954" s="2"/>
      <c r="Y1954" s="4"/>
      <c r="Z1954" s="2"/>
      <c r="AA1954" s="2"/>
      <c r="AB1954" s="4"/>
      <c r="AC1954" s="4"/>
      <c r="AD1954" s="4"/>
      <c r="AE1954" s="4"/>
      <c r="AF1954" s="14"/>
    </row>
    <row r="1955" spans="1:32" x14ac:dyDescent="0.25">
      <c r="A1955" s="33" t="str">
        <f>CONCATENATE(D1955,".",F1955,"-",G1955,".",H1955,"")</f>
        <v>3.2-8.1</v>
      </c>
      <c r="B1955" s="33" t="s">
        <v>814</v>
      </c>
      <c r="C1955" s="39" t="s">
        <v>336</v>
      </c>
      <c r="D1955" s="33">
        <f>IF(C1955="ID",1,(IF(C1955="PR",2,(IF(C1955="DE",3,(IF(C1955="RS",4,(IF(C1955="RC",5,0)))))))))</f>
        <v>3</v>
      </c>
      <c r="E1955" s="33" t="s">
        <v>259</v>
      </c>
      <c r="F1955" s="33">
        <f>IF(E1955="AM",1,(IF(E1955="BE",2,(IF(E1955="GV",3,(IF(E1955="RA",4,(IF(E1955="RM",5,(IF(E1955="AC",1,(IF(E1955="AT",2,(IF(E1955="DS",3,(IF(E1955="IP",4,(IF(E1955="MA",5,(IF(E1955="PT",6,(IF(E1955="AE",1,(IF(E1955="CM",2,(IF(E1955="DP",3,(IF(E1955="AN",1,(IF(E1955="CO",2,(IF(E1955="IM",3,(IF(E1955="MI",4,(IF(E1955="RP",5,(IF(E1955="SC",6,0)))))))))))))))))))))))))))))))))))))))</f>
        <v>2</v>
      </c>
      <c r="G1955" s="170">
        <v>8</v>
      </c>
      <c r="H1955" s="38" t="s">
        <v>511</v>
      </c>
      <c r="I1955" s="79" t="s">
        <v>1176</v>
      </c>
      <c r="J1955" s="162">
        <v>20.7</v>
      </c>
      <c r="K1955" s="80" t="s">
        <v>1245</v>
      </c>
      <c r="L1955" s="66">
        <f>IF(O1955="","",N1955*O1955*M1955)</f>
        <v>75</v>
      </c>
      <c r="M1955" s="8">
        <v>1</v>
      </c>
      <c r="N1955" s="3">
        <v>1</v>
      </c>
      <c r="O1955" s="15">
        <f>IF(SUM(Q1955:AF1955)&lt;1,"",SUM(Q1955:AF1955)/COUNTIF(Q1955:AF1955,"&gt;0"))</f>
        <v>75</v>
      </c>
      <c r="P1955" s="16"/>
      <c r="Q1955" s="13"/>
      <c r="R1955" s="4"/>
      <c r="S1955" s="4"/>
      <c r="T1955" s="4">
        <v>75</v>
      </c>
      <c r="U1955" s="2"/>
      <c r="V1955" s="2"/>
      <c r="W1955" s="2"/>
      <c r="X1955" s="2"/>
      <c r="Y1955" s="4"/>
      <c r="Z1955" s="2"/>
      <c r="AA1955" s="2"/>
      <c r="AB1955" s="4"/>
      <c r="AC1955" s="4"/>
      <c r="AD1955" s="4"/>
      <c r="AE1955" s="4"/>
      <c r="AF1955" s="14"/>
    </row>
    <row r="1956" spans="1:32" x14ac:dyDescent="0.25">
      <c r="A1956" s="33" t="str">
        <f>CONCATENATE(D1956,".",F1956,"-",G1956,".",H1956,"")</f>
        <v>3.2-8.1</v>
      </c>
      <c r="B1956" s="33" t="s">
        <v>814</v>
      </c>
      <c r="C1956" s="39" t="s">
        <v>336</v>
      </c>
      <c r="D1956" s="33">
        <f>IF(C1956="ID",1,(IF(C1956="PR",2,(IF(C1956="DE",3,(IF(C1956="RS",4,(IF(C1956="RC",5,0)))))))))</f>
        <v>3</v>
      </c>
      <c r="E1956" s="33" t="s">
        <v>259</v>
      </c>
      <c r="F1956" s="33">
        <f>IF(E1956="AM",1,(IF(E1956="BE",2,(IF(E1956="GV",3,(IF(E1956="RA",4,(IF(E1956="RM",5,(IF(E1956="AC",1,(IF(E1956="AT",2,(IF(E1956="DS",3,(IF(E1956="IP",4,(IF(E1956="MA",5,(IF(E1956="PT",6,(IF(E1956="AE",1,(IF(E1956="CM",2,(IF(E1956="DP",3,(IF(E1956="AN",1,(IF(E1956="CO",2,(IF(E1956="IM",3,(IF(E1956="MI",4,(IF(E1956="RP",5,(IF(E1956="SC",6,0)))))))))))))))))))))))))))))))))))))))</f>
        <v>2</v>
      </c>
      <c r="G1956" s="170">
        <v>8</v>
      </c>
      <c r="H1956" s="38" t="s">
        <v>511</v>
      </c>
      <c r="I1956" s="79" t="s">
        <v>1176</v>
      </c>
      <c r="J1956" s="162">
        <v>20.8</v>
      </c>
      <c r="K1956" s="80" t="s">
        <v>1175</v>
      </c>
      <c r="L1956" s="66">
        <f>IF(O1956="","",N1956*O1956*M1956)</f>
        <v>75</v>
      </c>
      <c r="M1956" s="8">
        <v>1</v>
      </c>
      <c r="N1956" s="3">
        <v>1</v>
      </c>
      <c r="O1956" s="15">
        <f>IF(SUM(Q1956:AF1956)&lt;1,"",SUM(Q1956:AF1956)/COUNTIF(Q1956:AF1956,"&gt;0"))</f>
        <v>75</v>
      </c>
      <c r="P1956" s="16"/>
      <c r="Q1956" s="13"/>
      <c r="R1956" s="4"/>
      <c r="S1956" s="4"/>
      <c r="T1956" s="4">
        <v>75</v>
      </c>
      <c r="U1956" s="2"/>
      <c r="V1956" s="2"/>
      <c r="W1956" s="2"/>
      <c r="X1956" s="2"/>
      <c r="Y1956" s="4"/>
      <c r="Z1956" s="2"/>
      <c r="AA1956" s="2"/>
      <c r="AB1956" s="4"/>
      <c r="AC1956" s="4"/>
      <c r="AD1956" s="4"/>
      <c r="AE1956" s="4"/>
      <c r="AF1956" s="14"/>
    </row>
    <row r="1957" spans="1:32" x14ac:dyDescent="0.25">
      <c r="A1957" s="33" t="str">
        <f>CONCATENATE(D1957,".",F1957,"-",G1957,".",H1957,"")</f>
        <v>3.2-8.1</v>
      </c>
      <c r="B1957" s="33" t="s">
        <v>814</v>
      </c>
      <c r="C1957" s="39" t="s">
        <v>336</v>
      </c>
      <c r="D1957" s="33">
        <f>IF(C1957="ID",1,(IF(C1957="PR",2,(IF(C1957="DE",3,(IF(C1957="RS",4,(IF(C1957="RC",5,0)))))))))</f>
        <v>3</v>
      </c>
      <c r="E1957" s="33" t="s">
        <v>259</v>
      </c>
      <c r="F1957" s="33">
        <f>IF(E1957="AM",1,(IF(E1957="BE",2,(IF(E1957="GV",3,(IF(E1957="RA",4,(IF(E1957="RM",5,(IF(E1957="AC",1,(IF(E1957="AT",2,(IF(E1957="DS",3,(IF(E1957="IP",4,(IF(E1957="MA",5,(IF(E1957="PT",6,(IF(E1957="AE",1,(IF(E1957="CM",2,(IF(E1957="DP",3,(IF(E1957="AN",1,(IF(E1957="CO",2,(IF(E1957="IM",3,(IF(E1957="MI",4,(IF(E1957="RP",5,(IF(E1957="SC",6,0)))))))))))))))))))))))))))))))))))))))</f>
        <v>2</v>
      </c>
      <c r="G1957" s="170">
        <v>8</v>
      </c>
      <c r="H1957" s="38" t="s">
        <v>511</v>
      </c>
      <c r="I1957" s="3" t="s">
        <v>1449</v>
      </c>
      <c r="J1957" s="157" t="s">
        <v>2609</v>
      </c>
      <c r="K1957" s="34" t="s">
        <v>2610</v>
      </c>
      <c r="L1957" s="5">
        <f>IF(O1957="","",N1957*O1957*M1957)</f>
        <v>99</v>
      </c>
      <c r="M1957" s="8">
        <v>1</v>
      </c>
      <c r="N1957" s="1">
        <v>1</v>
      </c>
      <c r="O1957" s="15">
        <f>IF(SUM(Q1957:AF1957)&lt;1,"",SUM(Q1957:AF1957)/COUNTIF(Q1957:AF1957,"&gt;0"))</f>
        <v>99</v>
      </c>
      <c r="P1957" s="16"/>
      <c r="Q1957" s="13"/>
      <c r="R1957" s="4"/>
      <c r="S1957" s="4"/>
      <c r="T1957" s="4">
        <v>99</v>
      </c>
      <c r="U1957" s="2"/>
      <c r="V1957" s="2"/>
      <c r="W1957" s="2"/>
      <c r="X1957" s="2"/>
      <c r="Y1957" s="4"/>
      <c r="Z1957" s="2"/>
      <c r="AA1957" s="2"/>
      <c r="AB1957" s="4"/>
      <c r="AC1957" s="4"/>
      <c r="AD1957" s="4"/>
      <c r="AE1957" s="4"/>
      <c r="AF1957" s="14"/>
    </row>
    <row r="1958" spans="1:32" x14ac:dyDescent="0.25">
      <c r="A1958" s="33" t="str">
        <f>CONCATENATE(D1958,".",F1958,"-",G1958,".",H1958,"")</f>
        <v>3.2-8.1</v>
      </c>
      <c r="B1958" s="33" t="s">
        <v>814</v>
      </c>
      <c r="C1958" s="39" t="s">
        <v>336</v>
      </c>
      <c r="D1958" s="33">
        <f>IF(C1958="ID",1,(IF(C1958="PR",2,(IF(C1958="DE",3,(IF(C1958="RS",4,(IF(C1958="RC",5,0)))))))))</f>
        <v>3</v>
      </c>
      <c r="E1958" s="33" t="s">
        <v>259</v>
      </c>
      <c r="F1958" s="33">
        <f>IF(E1958="AM",1,(IF(E1958="BE",2,(IF(E1958="GV",3,(IF(E1958="RA",4,(IF(E1958="RM",5,(IF(E1958="AC",1,(IF(E1958="AT",2,(IF(E1958="DS",3,(IF(E1958="IP",4,(IF(E1958="MA",5,(IF(E1958="PT",6,(IF(E1958="AE",1,(IF(E1958="CM",2,(IF(E1958="DP",3,(IF(E1958="AN",1,(IF(E1958="CO",2,(IF(E1958="IM",3,(IF(E1958="MI",4,(IF(E1958="RP",5,(IF(E1958="SC",6,0)))))))))))))))))))))))))))))))))))))))</f>
        <v>2</v>
      </c>
      <c r="G1958" s="170">
        <v>8</v>
      </c>
      <c r="H1958" s="38" t="s">
        <v>511</v>
      </c>
      <c r="I1958" s="3" t="s">
        <v>1449</v>
      </c>
      <c r="J1958" s="157" t="s">
        <v>2617</v>
      </c>
      <c r="K1958" s="34" t="s">
        <v>2618</v>
      </c>
      <c r="L1958" s="5">
        <f>IF(O1958="","",N1958*O1958*M1958)</f>
        <v>99</v>
      </c>
      <c r="M1958" s="8">
        <v>1</v>
      </c>
      <c r="N1958" s="1">
        <v>1</v>
      </c>
      <c r="O1958" s="15">
        <f>IF(SUM(Q1958:AF1958)&lt;1,"",SUM(Q1958:AF1958)/COUNTIF(Q1958:AF1958,"&gt;0"))</f>
        <v>99</v>
      </c>
      <c r="P1958" s="16"/>
      <c r="Q1958" s="13"/>
      <c r="R1958" s="4"/>
      <c r="S1958" s="4"/>
      <c r="T1958" s="4">
        <v>99</v>
      </c>
      <c r="U1958" s="2"/>
      <c r="V1958" s="2"/>
      <c r="W1958" s="2"/>
      <c r="X1958" s="2"/>
      <c r="Y1958" s="4"/>
      <c r="Z1958" s="2"/>
      <c r="AA1958" s="2"/>
      <c r="AB1958" s="4"/>
      <c r="AC1958" s="4"/>
      <c r="AD1958" s="4"/>
      <c r="AE1958" s="4"/>
      <c r="AF1958" s="14"/>
    </row>
    <row r="1959" spans="1:32" x14ac:dyDescent="0.25">
      <c r="A1959" s="33" t="str">
        <f>CONCATENATE(D1959,".",F1959,"-",G1959,".",H1959,"")</f>
        <v>3.3-0.0</v>
      </c>
      <c r="B1959" s="33" t="s">
        <v>1229</v>
      </c>
      <c r="C1959" s="40" t="s">
        <v>336</v>
      </c>
      <c r="D1959" s="33">
        <f>IF(C1959="ID",1,(IF(C1959="PR",2,(IF(C1959="DE",3,(IF(C1959="RS",4,(IF(C1959="RC",5,0)))))))))</f>
        <v>3</v>
      </c>
      <c r="E1959" s="33" t="s">
        <v>347</v>
      </c>
      <c r="F1959" s="33">
        <f>IF(E1959="AM",1,(IF(E1959="BE",2,(IF(E1959="GV",3,(IF(E1959="RA",4,(IF(E1959="RM",5,(IF(E1959="AC",1,(IF(E1959="AT",2,(IF(E1959="DS",3,(IF(E1959="IP",4,(IF(E1959="MA",5,(IF(E1959="PT",6,(IF(E1959="AE",1,(IF(E1959="CM",2,(IF(E1959="DP",3,(IF(E1959="AN",1,(IF(E1959="CO",2,(IF(E1959="IM",3,(IF(E1959="MI",4,(IF(E1959="RP",5,(IF(E1959="SC",6,0)))))))))))))))))))))))))))))))))))))))</f>
        <v>3</v>
      </c>
      <c r="G1959" s="170">
        <v>0</v>
      </c>
      <c r="H1959" s="38" t="s">
        <v>597</v>
      </c>
      <c r="I1959" s="22" t="s">
        <v>1200</v>
      </c>
      <c r="J1959" s="153" t="s">
        <v>637</v>
      </c>
      <c r="K1959" s="99" t="s">
        <v>740</v>
      </c>
      <c r="L1959" s="66" t="str">
        <f>IF(O1959="","",N1959*O1959*M1959)</f>
        <v/>
      </c>
      <c r="M1959" s="8">
        <v>1</v>
      </c>
      <c r="N1959" s="1">
        <v>1</v>
      </c>
      <c r="O1959" s="15" t="str">
        <f>IF(SUM(Q1959:AF1959)&lt;1,"",SUM(Q1959:AF1959)/COUNTIF(Q1959:AF1959,"&gt;0"))</f>
        <v/>
      </c>
      <c r="P1959" s="16"/>
      <c r="Q1959" s="13"/>
      <c r="R1959" s="4"/>
      <c r="S1959" s="4"/>
      <c r="T1959" s="2"/>
      <c r="U1959" s="2"/>
      <c r="V1959" s="2"/>
      <c r="W1959" s="2"/>
      <c r="X1959" s="2"/>
      <c r="Y1959" s="4"/>
      <c r="Z1959" s="2"/>
      <c r="AA1959" s="2"/>
      <c r="AB1959" s="4"/>
      <c r="AC1959" s="4"/>
      <c r="AD1959" s="4"/>
      <c r="AE1959" s="4"/>
      <c r="AF1959" s="14"/>
    </row>
    <row r="1960" spans="1:32" x14ac:dyDescent="0.25">
      <c r="A1960" s="33" t="str">
        <f>CONCATENATE(D1960,".",F1960,"-",G1960,".",H1960,"")</f>
        <v>3.3-0.1</v>
      </c>
      <c r="B1960" s="33" t="s">
        <v>1229</v>
      </c>
      <c r="C1960" s="40" t="s">
        <v>336</v>
      </c>
      <c r="D1960" s="33">
        <f>IF(C1960="ID",1,(IF(C1960="PR",2,(IF(C1960="DE",3,(IF(C1960="RS",4,(IF(C1960="RC",5,0)))))))))</f>
        <v>3</v>
      </c>
      <c r="E1960" s="33" t="s">
        <v>347</v>
      </c>
      <c r="F1960" s="33">
        <f>IF(E1960="AM",1,(IF(E1960="BE",2,(IF(E1960="GV",3,(IF(E1960="RA",4,(IF(E1960="RM",5,(IF(E1960="AC",1,(IF(E1960="AT",2,(IF(E1960="DS",3,(IF(E1960="IP",4,(IF(E1960="MA",5,(IF(E1960="PT",6,(IF(E1960="AE",1,(IF(E1960="CM",2,(IF(E1960="DP",3,(IF(E1960="AN",1,(IF(E1960="CO",2,(IF(E1960="IM",3,(IF(E1960="MI",4,(IF(E1960="RP",5,(IF(E1960="SC",6,0)))))))))))))))))))))))))))))))))))))))</f>
        <v>3</v>
      </c>
      <c r="G1960" s="170">
        <v>0</v>
      </c>
      <c r="H1960" s="38" t="s">
        <v>511</v>
      </c>
      <c r="I1960" s="22" t="s">
        <v>1200</v>
      </c>
      <c r="J1960" s="153" t="s">
        <v>637</v>
      </c>
      <c r="K1960" s="99" t="s">
        <v>757</v>
      </c>
      <c r="L1960" s="5" t="str">
        <f>IF(O1960="","",N1960*O1960*M1960)</f>
        <v/>
      </c>
      <c r="M1960" s="8">
        <v>1</v>
      </c>
      <c r="N1960" s="1">
        <v>1</v>
      </c>
      <c r="O1960" s="15" t="str">
        <f>IF(SUM(Q1960:AF1960)&lt;1,"",SUM(Q1960:AF1960)/COUNTIF(Q1960:AF1960,"&gt;0"))</f>
        <v/>
      </c>
      <c r="P1960" s="16"/>
      <c r="Q1960" s="13"/>
      <c r="R1960" s="4"/>
      <c r="S1960" s="4"/>
      <c r="T1960" s="2"/>
      <c r="U1960" s="2"/>
      <c r="V1960" s="2"/>
      <c r="W1960" s="2"/>
      <c r="X1960" s="2"/>
      <c r="Y1960" s="4"/>
      <c r="Z1960" s="2"/>
      <c r="AA1960" s="2"/>
      <c r="AB1960" s="4"/>
      <c r="AC1960" s="4"/>
      <c r="AD1960" s="4"/>
      <c r="AE1960" s="4"/>
      <c r="AF1960" s="14"/>
    </row>
    <row r="1961" spans="1:32" x14ac:dyDescent="0.25">
      <c r="A1961" s="33" t="str">
        <f>CONCATENATE(D1961,".",F1961,"-",G1961,".",H1961,"")</f>
        <v>3.3-1.0</v>
      </c>
      <c r="B1961" s="33" t="s">
        <v>814</v>
      </c>
      <c r="C1961" s="41" t="s">
        <v>336</v>
      </c>
      <c r="D1961" s="33">
        <f>IF(C1961="ID",1,(IF(C1961="PR",2,(IF(C1961="DE",3,(IF(C1961="RS",4,(IF(C1961="RC",5,0)))))))))</f>
        <v>3</v>
      </c>
      <c r="E1961" s="33" t="s">
        <v>347</v>
      </c>
      <c r="F1961" s="33">
        <f>IF(E1961="AM",1,(IF(E1961="BE",2,(IF(E1961="GV",3,(IF(E1961="RA",4,(IF(E1961="RM",5,(IF(E1961="AC",1,(IF(E1961="AT",2,(IF(E1961="DS",3,(IF(E1961="IP",4,(IF(E1961="MA",5,(IF(E1961="PT",6,(IF(E1961="AE",1,(IF(E1961="CM",2,(IF(E1961="DP",3,(IF(E1961="AN",1,(IF(E1961="CO",2,(IF(E1961="IM",3,(IF(E1961="MI",4,(IF(E1961="RP",5,(IF(E1961="SC",6,0)))))))))))))))))))))))))))))))))))))))</f>
        <v>3</v>
      </c>
      <c r="G1961" s="170">
        <v>1</v>
      </c>
      <c r="H1961" s="38">
        <v>0</v>
      </c>
      <c r="I1961" s="22" t="s">
        <v>266</v>
      </c>
      <c r="J1961" s="149" t="s">
        <v>327</v>
      </c>
      <c r="K1961" s="79" t="s">
        <v>1369</v>
      </c>
      <c r="L1961" s="5">
        <f>IF(O1961="","",N1961*O1961*M1961)</f>
        <v>75</v>
      </c>
      <c r="M1961" s="8">
        <v>1</v>
      </c>
      <c r="N1961" s="1">
        <v>1</v>
      </c>
      <c r="O1961" s="15">
        <f>IF(SUM(Q1961:AF1961)&lt;1,"",SUM(Q1961:AF1961)/COUNTIF(Q1961:AF1961,"&gt;0"))</f>
        <v>75</v>
      </c>
      <c r="P1961" s="16"/>
      <c r="Q1961" s="13"/>
      <c r="R1961" s="4"/>
      <c r="S1961" s="4"/>
      <c r="T1961" s="4">
        <v>75</v>
      </c>
      <c r="U1961" s="2"/>
      <c r="V1961" s="2"/>
      <c r="W1961" s="2"/>
      <c r="X1961" s="2"/>
      <c r="Y1961" s="4"/>
      <c r="Z1961" s="2"/>
      <c r="AA1961" s="2"/>
      <c r="AB1961" s="4"/>
      <c r="AC1961" s="4"/>
      <c r="AD1961" s="4"/>
      <c r="AE1961" s="4"/>
      <c r="AF1961" s="14"/>
    </row>
    <row r="1962" spans="1:32" x14ac:dyDescent="0.25">
      <c r="A1962" s="33" t="str">
        <f>CONCATENATE(D1962,".",F1962,"-",G1962,".",H1962,"")</f>
        <v>3.3-1.0</v>
      </c>
      <c r="B1962" s="33" t="s">
        <v>814</v>
      </c>
      <c r="C1962" s="40" t="s">
        <v>336</v>
      </c>
      <c r="D1962" s="33">
        <f>IF(C1962="ID",1,(IF(C1962="PR",2,(IF(C1962="DE",3,(IF(C1962="RS",4,(IF(C1962="RC",5,0)))))))))</f>
        <v>3</v>
      </c>
      <c r="E1962" s="33" t="s">
        <v>347</v>
      </c>
      <c r="F1962" s="33">
        <f>IF(E1962="AM",1,(IF(E1962="BE",2,(IF(E1962="GV",3,(IF(E1962="RA",4,(IF(E1962="RM",5,(IF(E1962="AC",1,(IF(E1962="AT",2,(IF(E1962="DS",3,(IF(E1962="IP",4,(IF(E1962="MA",5,(IF(E1962="PT",6,(IF(E1962="AE",1,(IF(E1962="CM",2,(IF(E1962="DP",3,(IF(E1962="AN",1,(IF(E1962="CO",2,(IF(E1962="IM",3,(IF(E1962="MI",4,(IF(E1962="RP",5,(IF(E1962="SC",6,0)))))))))))))))))))))))))))))))))))))))</f>
        <v>3</v>
      </c>
      <c r="G1962" s="170">
        <v>1</v>
      </c>
      <c r="H1962" s="38" t="s">
        <v>597</v>
      </c>
      <c r="I1962" s="22" t="s">
        <v>1200</v>
      </c>
      <c r="J1962" s="149" t="s">
        <v>638</v>
      </c>
      <c r="K1962" s="99" t="s">
        <v>414</v>
      </c>
      <c r="L1962" s="66">
        <f>IF(O1962="","",N1962*O1962*M1962)</f>
        <v>75</v>
      </c>
      <c r="M1962" s="8">
        <v>1</v>
      </c>
      <c r="N1962" s="1">
        <v>1</v>
      </c>
      <c r="O1962" s="15">
        <f>IF(SUM(Q1962:AF1962)&lt;1,"",SUM(Q1962:AF1962)/COUNTIF(Q1962:AF1962,"&gt;0"))</f>
        <v>75</v>
      </c>
      <c r="P1962" s="16"/>
      <c r="Q1962" s="13"/>
      <c r="R1962" s="4"/>
      <c r="S1962" s="4"/>
      <c r="T1962" s="4">
        <v>75</v>
      </c>
      <c r="U1962" s="2"/>
      <c r="V1962" s="2"/>
      <c r="W1962" s="2"/>
      <c r="X1962" s="2"/>
      <c r="Y1962" s="4"/>
      <c r="Z1962" s="2"/>
      <c r="AA1962" s="2"/>
      <c r="AB1962" s="4"/>
      <c r="AC1962" s="4"/>
      <c r="AD1962" s="4"/>
      <c r="AE1962" s="4"/>
      <c r="AF1962" s="14"/>
    </row>
    <row r="1963" spans="1:32" x14ac:dyDescent="0.25">
      <c r="A1963" s="33" t="str">
        <f>CONCATENATE(D1963,".",F1963,"-",G1963,".",H1963,"")</f>
        <v>3.3-1.1</v>
      </c>
      <c r="B1963" s="33" t="s">
        <v>814</v>
      </c>
      <c r="C1963" s="40" t="s">
        <v>336</v>
      </c>
      <c r="D1963" s="33">
        <f>IF(C1963="ID",1,(IF(C1963="PR",2,(IF(C1963="DE",3,(IF(C1963="RS",4,(IF(C1963="RC",5,0)))))))))</f>
        <v>3</v>
      </c>
      <c r="E1963" s="33" t="s">
        <v>347</v>
      </c>
      <c r="F1963" s="33">
        <f>IF(E1963="AM",1,(IF(E1963="BE",2,(IF(E1963="GV",3,(IF(E1963="RA",4,(IF(E1963="RM",5,(IF(E1963="AC",1,(IF(E1963="AT",2,(IF(E1963="DS",3,(IF(E1963="IP",4,(IF(E1963="MA",5,(IF(E1963="PT",6,(IF(E1963="AE",1,(IF(E1963="CM",2,(IF(E1963="DP",3,(IF(E1963="AN",1,(IF(E1963="CO",2,(IF(E1963="IM",3,(IF(E1963="MI",4,(IF(E1963="RP",5,(IF(E1963="SC",6,0)))))))))))))))))))))))))))))))))))))))</f>
        <v>3</v>
      </c>
      <c r="G1963" s="171">
        <v>1</v>
      </c>
      <c r="H1963" s="38" t="s">
        <v>511</v>
      </c>
      <c r="I1963" s="3" t="s">
        <v>821</v>
      </c>
      <c r="J1963" s="150">
        <v>12.11</v>
      </c>
      <c r="K1963" s="79" t="s">
        <v>1283</v>
      </c>
      <c r="L1963" s="66">
        <f>IF(O1963="","",N1963*O1963*M1963)</f>
        <v>75</v>
      </c>
      <c r="M1963" s="8">
        <v>1</v>
      </c>
      <c r="N1963" s="3">
        <v>1</v>
      </c>
      <c r="O1963" s="15">
        <f>IF(SUM(Q1963:AF1963)&lt;1,"",SUM(Q1963:AF1963)/COUNTIF(Q1963:AF1963,"&gt;0"))</f>
        <v>75</v>
      </c>
      <c r="P1963" s="16"/>
      <c r="Q1963" s="13"/>
      <c r="R1963" s="4"/>
      <c r="S1963" s="4"/>
      <c r="T1963" s="4">
        <v>75</v>
      </c>
      <c r="U1963" s="2"/>
      <c r="V1963" s="2"/>
      <c r="W1963" s="2"/>
      <c r="X1963" s="2"/>
      <c r="Y1963" s="4"/>
      <c r="Z1963" s="2"/>
      <c r="AA1963" s="2"/>
      <c r="AB1963" s="4"/>
      <c r="AC1963" s="4"/>
      <c r="AD1963" s="4"/>
      <c r="AE1963" s="4"/>
      <c r="AF1963" s="14"/>
    </row>
    <row r="1964" spans="1:32" x14ac:dyDescent="0.25">
      <c r="A1964" s="33" t="str">
        <f>CONCATENATE(D1964,".",F1964,"-",G1964,".",H1964,"")</f>
        <v>3.3-1.1</v>
      </c>
      <c r="B1964" s="33" t="s">
        <v>814</v>
      </c>
      <c r="C1964" s="40" t="s">
        <v>336</v>
      </c>
      <c r="D1964" s="33">
        <f>IF(C1964="ID",1,(IF(C1964="PR",2,(IF(C1964="DE",3,(IF(C1964="RS",4,(IF(C1964="RC",5,0)))))))))</f>
        <v>3</v>
      </c>
      <c r="E1964" s="33" t="s">
        <v>347</v>
      </c>
      <c r="F1964" s="33">
        <f>IF(E1964="AM",1,(IF(E1964="BE",2,(IF(E1964="GV",3,(IF(E1964="RA",4,(IF(E1964="RM",5,(IF(E1964="AC",1,(IF(E1964="AT",2,(IF(E1964="DS",3,(IF(E1964="IP",4,(IF(E1964="MA",5,(IF(E1964="PT",6,(IF(E1964="AE",1,(IF(E1964="CM",2,(IF(E1964="DP",3,(IF(E1964="AN",1,(IF(E1964="CO",2,(IF(E1964="IM",3,(IF(E1964="MI",4,(IF(E1964="RP",5,(IF(E1964="SC",6,0)))))))))))))))))))))))))))))))))))))))</f>
        <v>3</v>
      </c>
      <c r="G1964" s="171">
        <v>1</v>
      </c>
      <c r="H1964" s="38" t="s">
        <v>511</v>
      </c>
      <c r="I1964" s="3" t="s">
        <v>821</v>
      </c>
      <c r="J1964" s="149" t="s">
        <v>238</v>
      </c>
      <c r="K1964" s="79" t="s">
        <v>1283</v>
      </c>
      <c r="L1964" s="66">
        <f>IF(O1964="","",N1964*O1964*M1964)</f>
        <v>75</v>
      </c>
      <c r="M1964" s="8">
        <v>1</v>
      </c>
      <c r="N1964" s="1">
        <v>1</v>
      </c>
      <c r="O1964" s="15">
        <f>IF(SUM(Q1964:AF1964)&lt;1,"",SUM(Q1964:AF1964)/COUNTIF(Q1964:AF1964,"&gt;0"))</f>
        <v>75</v>
      </c>
      <c r="P1964" s="16"/>
      <c r="Q1964" s="13"/>
      <c r="R1964" s="4"/>
      <c r="S1964" s="4"/>
      <c r="T1964" s="4">
        <v>75</v>
      </c>
      <c r="U1964" s="2"/>
      <c r="V1964" s="2"/>
      <c r="W1964" s="2"/>
      <c r="X1964" s="2"/>
      <c r="Y1964" s="4"/>
      <c r="Z1964" s="2"/>
      <c r="AA1964" s="2"/>
      <c r="AB1964" s="4"/>
      <c r="AC1964" s="4"/>
      <c r="AD1964" s="4"/>
      <c r="AE1964" s="4"/>
      <c r="AF1964" s="14"/>
    </row>
    <row r="1965" spans="1:32" x14ac:dyDescent="0.25">
      <c r="A1965" s="33" t="str">
        <f>CONCATENATE(D1965,".",F1965,"-",G1965,".",H1965,"")</f>
        <v>3.3-1.1</v>
      </c>
      <c r="B1965" s="33" t="s">
        <v>814</v>
      </c>
      <c r="C1965" s="40" t="s">
        <v>336</v>
      </c>
      <c r="D1965" s="33">
        <f>IF(C1965="ID",1,(IF(C1965="PR",2,(IF(C1965="DE",3,(IF(C1965="RS",4,(IF(C1965="RC",5,0)))))))))</f>
        <v>3</v>
      </c>
      <c r="E1965" s="33" t="s">
        <v>347</v>
      </c>
      <c r="F1965" s="33">
        <f>IF(E1965="AM",1,(IF(E1965="BE",2,(IF(E1965="GV",3,(IF(E1965="RA",4,(IF(E1965="RM",5,(IF(E1965="AC",1,(IF(E1965="AT",2,(IF(E1965="DS",3,(IF(E1965="IP",4,(IF(E1965="MA",5,(IF(E1965="PT",6,(IF(E1965="AE",1,(IF(E1965="CM",2,(IF(E1965="DP",3,(IF(E1965="AN",1,(IF(E1965="CO",2,(IF(E1965="IM",3,(IF(E1965="MI",4,(IF(E1965="RP",5,(IF(E1965="SC",6,0)))))))))))))))))))))))))))))))))))))))</f>
        <v>3</v>
      </c>
      <c r="G1965" s="171">
        <v>1</v>
      </c>
      <c r="H1965" s="38" t="s">
        <v>511</v>
      </c>
      <c r="I1965" s="22" t="s">
        <v>936</v>
      </c>
      <c r="J1965" s="163" t="s">
        <v>891</v>
      </c>
      <c r="K1965" s="34" t="s">
        <v>975</v>
      </c>
      <c r="L1965" s="66">
        <f>IF(O1965="","",N1965*O1965*M1965)</f>
        <v>75</v>
      </c>
      <c r="M1965" s="8">
        <v>1</v>
      </c>
      <c r="N1965" s="3">
        <v>1</v>
      </c>
      <c r="O1965" s="15">
        <f>IF(SUM(Q1965:AF1965)&lt;1,"",SUM(Q1965:AF1965)/COUNTIF(Q1965:AF1965,"&gt;0"))</f>
        <v>75</v>
      </c>
      <c r="P1965" s="16"/>
      <c r="Q1965" s="13"/>
      <c r="R1965" s="4"/>
      <c r="S1965" s="4"/>
      <c r="T1965" s="4">
        <v>75</v>
      </c>
      <c r="U1965" s="2"/>
      <c r="V1965" s="2"/>
      <c r="W1965" s="2"/>
      <c r="X1965" s="2"/>
      <c r="Y1965" s="4"/>
      <c r="Z1965" s="2"/>
      <c r="AA1965" s="2"/>
      <c r="AB1965" s="4"/>
      <c r="AC1965" s="4"/>
      <c r="AD1965" s="4"/>
      <c r="AE1965" s="4"/>
      <c r="AF1965" s="14"/>
    </row>
    <row r="1966" spans="1:32" x14ac:dyDescent="0.25">
      <c r="A1966" s="33" t="str">
        <f>CONCATENATE(D1966,".",F1966,"-",G1966,".",H1966,"")</f>
        <v>3.3-1.1</v>
      </c>
      <c r="B1966" s="33" t="s">
        <v>814</v>
      </c>
      <c r="C1966" s="40" t="s">
        <v>336</v>
      </c>
      <c r="D1966" s="33">
        <f>IF(C1966="ID",1,(IF(C1966="PR",2,(IF(C1966="DE",3,(IF(C1966="RS",4,(IF(C1966="RC",5,0)))))))))</f>
        <v>3</v>
      </c>
      <c r="E1966" s="33" t="s">
        <v>347</v>
      </c>
      <c r="F1966" s="33">
        <f>IF(E1966="AM",1,(IF(E1966="BE",2,(IF(E1966="GV",3,(IF(E1966="RA",4,(IF(E1966="RM",5,(IF(E1966="AC",1,(IF(E1966="AT",2,(IF(E1966="DS",3,(IF(E1966="IP",4,(IF(E1966="MA",5,(IF(E1966="PT",6,(IF(E1966="AE",1,(IF(E1966="CM",2,(IF(E1966="DP",3,(IF(E1966="AN",1,(IF(E1966="CO",2,(IF(E1966="IM",3,(IF(E1966="MI",4,(IF(E1966="RP",5,(IF(E1966="SC",6,0)))))))))))))))))))))))))))))))))))))))</f>
        <v>3</v>
      </c>
      <c r="G1966" s="171">
        <v>1</v>
      </c>
      <c r="H1966" s="38" t="s">
        <v>511</v>
      </c>
      <c r="I1966" s="22" t="s">
        <v>936</v>
      </c>
      <c r="J1966" s="163" t="s">
        <v>875</v>
      </c>
      <c r="K1966" s="34" t="s">
        <v>976</v>
      </c>
      <c r="L1966" s="66">
        <f>IF(O1966="","",N1966*O1966*M1966)</f>
        <v>75</v>
      </c>
      <c r="M1966" s="8">
        <v>1</v>
      </c>
      <c r="N1966" s="3">
        <v>1</v>
      </c>
      <c r="O1966" s="15">
        <f>IF(SUM(Q1966:AF1966)&lt;1,"",SUM(Q1966:AF1966)/COUNTIF(Q1966:AF1966,"&gt;0"))</f>
        <v>75</v>
      </c>
      <c r="P1966" s="16"/>
      <c r="Q1966" s="13"/>
      <c r="R1966" s="4"/>
      <c r="S1966" s="4"/>
      <c r="T1966" s="4">
        <v>75</v>
      </c>
      <c r="U1966" s="2"/>
      <c r="V1966" s="2"/>
      <c r="W1966" s="2"/>
      <c r="X1966" s="2"/>
      <c r="Y1966" s="4"/>
      <c r="Z1966" s="2"/>
      <c r="AA1966" s="2"/>
      <c r="AB1966" s="4"/>
      <c r="AC1966" s="4"/>
      <c r="AD1966" s="4"/>
      <c r="AE1966" s="4"/>
      <c r="AF1966" s="14"/>
    </row>
    <row r="1967" spans="1:32" x14ac:dyDescent="0.25">
      <c r="A1967" s="33" t="str">
        <f>CONCATENATE(D1967,".",F1967,"-",G1967,".",H1967,"")</f>
        <v>3.3-1.1</v>
      </c>
      <c r="B1967" s="33" t="s">
        <v>814</v>
      </c>
      <c r="C1967" s="40" t="s">
        <v>336</v>
      </c>
      <c r="D1967" s="33">
        <f>IF(C1967="ID",1,(IF(C1967="PR",2,(IF(C1967="DE",3,(IF(C1967="RS",4,(IF(C1967="RC",5,0)))))))))</f>
        <v>3</v>
      </c>
      <c r="E1967" s="33" t="s">
        <v>347</v>
      </c>
      <c r="F1967" s="33">
        <f>IF(E1967="AM",1,(IF(E1967="BE",2,(IF(E1967="GV",3,(IF(E1967="RA",4,(IF(E1967="RM",5,(IF(E1967="AC",1,(IF(E1967="AT",2,(IF(E1967="DS",3,(IF(E1967="IP",4,(IF(E1967="MA",5,(IF(E1967="PT",6,(IF(E1967="AE",1,(IF(E1967="CM",2,(IF(E1967="DP",3,(IF(E1967="AN",1,(IF(E1967="CO",2,(IF(E1967="IM",3,(IF(E1967="MI",4,(IF(E1967="RP",5,(IF(E1967="SC",6,0)))))))))))))))))))))))))))))))))))))))</f>
        <v>3</v>
      </c>
      <c r="G1967" s="171">
        <v>1</v>
      </c>
      <c r="H1967" s="38" t="s">
        <v>511</v>
      </c>
      <c r="I1967" s="22" t="s">
        <v>936</v>
      </c>
      <c r="J1967" s="163" t="s">
        <v>917</v>
      </c>
      <c r="K1967" s="34" t="s">
        <v>947</v>
      </c>
      <c r="L1967" s="66">
        <f>IF(O1967="","",N1967*O1967*M1967)</f>
        <v>75</v>
      </c>
      <c r="M1967" s="8">
        <v>1</v>
      </c>
      <c r="N1967" s="3">
        <v>1</v>
      </c>
      <c r="O1967" s="15">
        <f>IF(SUM(Q1967:AF1967)&lt;1,"",SUM(Q1967:AF1967)/COUNTIF(Q1967:AF1967,"&gt;0"))</f>
        <v>75</v>
      </c>
      <c r="P1967" s="16"/>
      <c r="Q1967" s="13"/>
      <c r="R1967" s="4"/>
      <c r="S1967" s="4"/>
      <c r="T1967" s="4">
        <v>75</v>
      </c>
      <c r="U1967" s="2"/>
      <c r="V1967" s="2"/>
      <c r="W1967" s="2"/>
      <c r="X1967" s="2"/>
      <c r="Y1967" s="4"/>
      <c r="Z1967" s="2"/>
      <c r="AA1967" s="2"/>
      <c r="AB1967" s="4"/>
      <c r="AC1967" s="4"/>
      <c r="AD1967" s="4"/>
      <c r="AE1967" s="4"/>
      <c r="AF1967" s="14"/>
    </row>
    <row r="1968" spans="1:32" x14ac:dyDescent="0.25">
      <c r="A1968" s="33" t="str">
        <f>CONCATENATE(D1968,".",F1968,"-",G1968,".",H1968,"")</f>
        <v>3.3-1.1</v>
      </c>
      <c r="B1968" s="33" t="s">
        <v>814</v>
      </c>
      <c r="C1968" s="40" t="s">
        <v>336</v>
      </c>
      <c r="D1968" s="33">
        <f>IF(C1968="ID",1,(IF(C1968="PR",2,(IF(C1968="DE",3,(IF(C1968="RS",4,(IF(C1968="RC",5,0)))))))))</f>
        <v>3</v>
      </c>
      <c r="E1968" s="33" t="s">
        <v>347</v>
      </c>
      <c r="F1968" s="33">
        <f>IF(E1968="AM",1,(IF(E1968="BE",2,(IF(E1968="GV",3,(IF(E1968="RA",4,(IF(E1968="RM",5,(IF(E1968="AC",1,(IF(E1968="AT",2,(IF(E1968="DS",3,(IF(E1968="IP",4,(IF(E1968="MA",5,(IF(E1968="PT",6,(IF(E1968="AE",1,(IF(E1968="CM",2,(IF(E1968="DP",3,(IF(E1968="AN",1,(IF(E1968="CO",2,(IF(E1968="IM",3,(IF(E1968="MI",4,(IF(E1968="RP",5,(IF(E1968="SC",6,0)))))))))))))))))))))))))))))))))))))))</f>
        <v>3</v>
      </c>
      <c r="G1968" s="171">
        <v>1</v>
      </c>
      <c r="H1968" s="38" t="s">
        <v>511</v>
      </c>
      <c r="I1968" s="22" t="s">
        <v>936</v>
      </c>
      <c r="J1968" s="163" t="s">
        <v>893</v>
      </c>
      <c r="K1968" s="34" t="s">
        <v>939</v>
      </c>
      <c r="L1968" s="66">
        <f>IF(O1968="","",N1968*O1968*M1968)</f>
        <v>75</v>
      </c>
      <c r="M1968" s="8">
        <v>1</v>
      </c>
      <c r="N1968" s="3">
        <v>1</v>
      </c>
      <c r="O1968" s="15">
        <f>IF(SUM(Q1968:AF1968)&lt;1,"",SUM(Q1968:AF1968)/COUNTIF(Q1968:AF1968,"&gt;0"))</f>
        <v>75</v>
      </c>
      <c r="P1968" s="16"/>
      <c r="Q1968" s="13"/>
      <c r="R1968" s="4"/>
      <c r="S1968" s="4"/>
      <c r="T1968" s="4">
        <v>75</v>
      </c>
      <c r="U1968" s="2"/>
      <c r="V1968" s="2"/>
      <c r="W1968" s="2"/>
      <c r="X1968" s="2"/>
      <c r="Y1968" s="4"/>
      <c r="Z1968" s="2"/>
      <c r="AA1968" s="2"/>
      <c r="AB1968" s="4"/>
      <c r="AC1968" s="4"/>
      <c r="AD1968" s="4"/>
      <c r="AE1968" s="4"/>
      <c r="AF1968" s="14"/>
    </row>
    <row r="1969" spans="1:32" x14ac:dyDescent="0.25">
      <c r="A1969" s="33" t="str">
        <f>CONCATENATE(D1969,".",F1969,"-",G1969,".",H1969,"")</f>
        <v>3.3-1.1</v>
      </c>
      <c r="B1969" s="33" t="s">
        <v>814</v>
      </c>
      <c r="C1969" s="39" t="s">
        <v>336</v>
      </c>
      <c r="D1969" s="33">
        <f>IF(C1969="ID",1,(IF(C1969="PR",2,(IF(C1969="DE",3,(IF(C1969="RS",4,(IF(C1969="RC",5,0)))))))))</f>
        <v>3</v>
      </c>
      <c r="E1969" s="33" t="s">
        <v>347</v>
      </c>
      <c r="F1969" s="33">
        <f>IF(E1969="AM",1,(IF(E1969="BE",2,(IF(E1969="GV",3,(IF(E1969="RA",4,(IF(E1969="RM",5,(IF(E1969="AC",1,(IF(E1969="AT",2,(IF(E1969="DS",3,(IF(E1969="IP",4,(IF(E1969="MA",5,(IF(E1969="PT",6,(IF(E1969="AE",1,(IF(E1969="CM",2,(IF(E1969="DP",3,(IF(E1969="AN",1,(IF(E1969="CO",2,(IF(E1969="IM",3,(IF(E1969="MI",4,(IF(E1969="RP",5,(IF(E1969="SC",6,0)))))))))))))))))))))))))))))))))))))))</f>
        <v>3</v>
      </c>
      <c r="G1969" s="170">
        <v>1</v>
      </c>
      <c r="H1969" s="33">
        <v>1</v>
      </c>
      <c r="I1969" s="22" t="s">
        <v>266</v>
      </c>
      <c r="J1969" s="150" t="s">
        <v>78</v>
      </c>
      <c r="K1969" s="79" t="s">
        <v>1309</v>
      </c>
      <c r="L1969" s="5">
        <f>IF(O1969="","",N1969*O1969*M1969)</f>
        <v>75</v>
      </c>
      <c r="M1969" s="8">
        <v>1</v>
      </c>
      <c r="N1969" s="1">
        <v>1</v>
      </c>
      <c r="O1969" s="15">
        <f>IF(SUM(Q1969:AF1969)&lt;1,"",SUM(Q1969:AF1969)/COUNTIF(Q1969:AF1969,"&gt;0"))</f>
        <v>75</v>
      </c>
      <c r="P1969" s="16"/>
      <c r="Q1969" s="13"/>
      <c r="T1969" s="4">
        <v>75</v>
      </c>
      <c r="AF1969" s="104"/>
    </row>
    <row r="1970" spans="1:32" x14ac:dyDescent="0.25">
      <c r="A1970" s="33" t="str">
        <f>CONCATENATE(D1970,".",F1970,"-",G1970,".",H1970,"")</f>
        <v>3.3-1.1</v>
      </c>
      <c r="B1970" s="33" t="s">
        <v>814</v>
      </c>
      <c r="C1970" s="41" t="s">
        <v>336</v>
      </c>
      <c r="D1970" s="33">
        <f>IF(C1970="ID",1,(IF(C1970="PR",2,(IF(C1970="DE",3,(IF(C1970="RS",4,(IF(C1970="RC",5,0)))))))))</f>
        <v>3</v>
      </c>
      <c r="E1970" s="33" t="s">
        <v>347</v>
      </c>
      <c r="F1970" s="33">
        <f>IF(E1970="AM",1,(IF(E1970="BE",2,(IF(E1970="GV",3,(IF(E1970="RA",4,(IF(E1970="RM",5,(IF(E1970="AC",1,(IF(E1970="AT",2,(IF(E1970="DS",3,(IF(E1970="IP",4,(IF(E1970="MA",5,(IF(E1970="PT",6,(IF(E1970="AE",1,(IF(E1970="CM",2,(IF(E1970="DP",3,(IF(E1970="AN",1,(IF(E1970="CO",2,(IF(E1970="IM",3,(IF(E1970="MI",4,(IF(E1970="RP",5,(IF(E1970="SC",6,0)))))))))))))))))))))))))))))))))))))))</f>
        <v>3</v>
      </c>
      <c r="G1970" s="171">
        <v>1</v>
      </c>
      <c r="H1970" s="38" t="s">
        <v>511</v>
      </c>
      <c r="I1970" s="22" t="s">
        <v>266</v>
      </c>
      <c r="J1970" s="149" t="s">
        <v>298</v>
      </c>
      <c r="K1970" s="79" t="s">
        <v>1366</v>
      </c>
      <c r="L1970" s="5">
        <f>IF(O1970="","",N1970*O1970*M1970)</f>
        <v>75</v>
      </c>
      <c r="M1970" s="8">
        <v>1</v>
      </c>
      <c r="N1970" s="1">
        <v>1</v>
      </c>
      <c r="O1970" s="15">
        <f>IF(SUM(Q1970:AF1970)&lt;1,"",SUM(Q1970:AF1970)/COUNTIF(Q1970:AF1970,"&gt;0"))</f>
        <v>75</v>
      </c>
      <c r="P1970" s="16"/>
      <c r="Q1970" s="13"/>
      <c r="R1970" s="4"/>
      <c r="S1970" s="4"/>
      <c r="T1970" s="4">
        <v>75</v>
      </c>
      <c r="U1970" s="2"/>
      <c r="V1970" s="2"/>
      <c r="W1970" s="2"/>
      <c r="X1970" s="2"/>
      <c r="Y1970" s="4"/>
      <c r="Z1970" s="2"/>
      <c r="AA1970" s="2"/>
      <c r="AB1970" s="4"/>
      <c r="AC1970" s="4"/>
      <c r="AD1970" s="4"/>
      <c r="AE1970" s="4"/>
      <c r="AF1970" s="14"/>
    </row>
    <row r="1971" spans="1:32" x14ac:dyDescent="0.25">
      <c r="A1971" s="33" t="str">
        <f>CONCATENATE(D1971,".",F1971,"-",G1971,".",H1971,"")</f>
        <v>3.3-1.1</v>
      </c>
      <c r="B1971" s="33" t="s">
        <v>814</v>
      </c>
      <c r="C1971" s="39" t="s">
        <v>336</v>
      </c>
      <c r="D1971" s="33">
        <f>IF(C1971="ID",1,(IF(C1971="PR",2,(IF(C1971="DE",3,(IF(C1971="RS",4,(IF(C1971="RC",5,0)))))))))</f>
        <v>3</v>
      </c>
      <c r="E1971" s="33" t="s">
        <v>347</v>
      </c>
      <c r="F1971" s="33">
        <f>IF(E1971="AM",1,(IF(E1971="BE",2,(IF(E1971="GV",3,(IF(E1971="RA",4,(IF(E1971="RM",5,(IF(E1971="AC",1,(IF(E1971="AT",2,(IF(E1971="DS",3,(IF(E1971="IP",4,(IF(E1971="MA",5,(IF(E1971="PT",6,(IF(E1971="AE",1,(IF(E1971="CM",2,(IF(E1971="DP",3,(IF(E1971="AN",1,(IF(E1971="CO",2,(IF(E1971="IM",3,(IF(E1971="MI",4,(IF(E1971="RP",5,(IF(E1971="SC",6,0)))))))))))))))))))))))))))))))))))))))</f>
        <v>3</v>
      </c>
      <c r="G1971" s="170">
        <v>1</v>
      </c>
      <c r="H1971" s="33">
        <v>1</v>
      </c>
      <c r="I1971" s="22" t="s">
        <v>266</v>
      </c>
      <c r="J1971" s="150" t="s">
        <v>12</v>
      </c>
      <c r="K1971" s="79" t="s">
        <v>1389</v>
      </c>
      <c r="L1971" s="5">
        <f>IF(O1971="","",N1971*O1971*M1971)</f>
        <v>75</v>
      </c>
      <c r="M1971" s="8">
        <v>1</v>
      </c>
      <c r="N1971" s="1">
        <v>1</v>
      </c>
      <c r="O1971" s="15">
        <f>IF(SUM(Q1971:AF1971)&lt;1,"",SUM(Q1971:AF1971)/COUNTIF(Q1971:AF1971,"&gt;0"))</f>
        <v>75</v>
      </c>
      <c r="P1971" s="16"/>
      <c r="Q1971" s="13"/>
      <c r="T1971" s="4">
        <v>75</v>
      </c>
      <c r="AF1971" s="104"/>
    </row>
    <row r="1972" spans="1:32" x14ac:dyDescent="0.25">
      <c r="A1972" s="33" t="str">
        <f>CONCATENATE(D1972,".",F1972,"-",G1972,".",H1972,"")</f>
        <v>3.3-1.1</v>
      </c>
      <c r="B1972" s="33" t="s">
        <v>814</v>
      </c>
      <c r="C1972" s="39" t="s">
        <v>336</v>
      </c>
      <c r="D1972" s="33">
        <f>IF(C1972="ID",1,(IF(C1972="PR",2,(IF(C1972="DE",3,(IF(C1972="RS",4,(IF(C1972="RC",5,0)))))))))</f>
        <v>3</v>
      </c>
      <c r="E1972" s="33" t="s">
        <v>347</v>
      </c>
      <c r="F1972" s="33">
        <f>IF(E1972="AM",1,(IF(E1972="BE",2,(IF(E1972="GV",3,(IF(E1972="RA",4,(IF(E1972="RM",5,(IF(E1972="AC",1,(IF(E1972="AT",2,(IF(E1972="DS",3,(IF(E1972="IP",4,(IF(E1972="MA",5,(IF(E1972="PT",6,(IF(E1972="AE",1,(IF(E1972="CM",2,(IF(E1972="DP",3,(IF(E1972="AN",1,(IF(E1972="CO",2,(IF(E1972="IM",3,(IF(E1972="MI",4,(IF(E1972="RP",5,(IF(E1972="SC",6,0)))))))))))))))))))))))))))))))))))))))</f>
        <v>3</v>
      </c>
      <c r="G1972" s="170">
        <v>1</v>
      </c>
      <c r="H1972" s="33">
        <v>1</v>
      </c>
      <c r="I1972" s="22" t="s">
        <v>266</v>
      </c>
      <c r="J1972" s="150" t="s">
        <v>5</v>
      </c>
      <c r="K1972" s="79" t="s">
        <v>1393</v>
      </c>
      <c r="L1972" s="5">
        <f>IF(O1972="","",N1972*O1972*M1972)</f>
        <v>75</v>
      </c>
      <c r="M1972" s="8">
        <v>1</v>
      </c>
      <c r="N1972" s="1">
        <v>1</v>
      </c>
      <c r="O1972" s="15">
        <f>IF(SUM(Q1972:AF1972)&lt;1,"",SUM(Q1972:AF1972)/COUNTIF(Q1972:AF1972,"&gt;0"))</f>
        <v>75</v>
      </c>
      <c r="P1972" s="16"/>
      <c r="Q1972" s="13"/>
      <c r="T1972" s="4">
        <v>75</v>
      </c>
      <c r="AF1972" s="104"/>
    </row>
    <row r="1973" spans="1:32" x14ac:dyDescent="0.25">
      <c r="A1973" s="33" t="str">
        <f>CONCATENATE(D1973,".",F1973,"-",G1973,".",H1973,"")</f>
        <v>3.3-1.1</v>
      </c>
      <c r="B1973" s="33" t="s">
        <v>814</v>
      </c>
      <c r="C1973" s="41" t="s">
        <v>336</v>
      </c>
      <c r="D1973" s="33">
        <f>IF(C1973="ID",1,(IF(C1973="PR",2,(IF(C1973="DE",3,(IF(C1973="RS",4,(IF(C1973="RC",5,0)))))))))</f>
        <v>3</v>
      </c>
      <c r="E1973" s="33" t="s">
        <v>347</v>
      </c>
      <c r="F1973" s="33">
        <f>IF(E1973="AM",1,(IF(E1973="BE",2,(IF(E1973="GV",3,(IF(E1973="RA",4,(IF(E1973="RM",5,(IF(E1973="AC",1,(IF(E1973="AT",2,(IF(E1973="DS",3,(IF(E1973="IP",4,(IF(E1973="MA",5,(IF(E1973="PT",6,(IF(E1973="AE",1,(IF(E1973="CM",2,(IF(E1973="DP",3,(IF(E1973="AN",1,(IF(E1973="CO",2,(IF(E1973="IM",3,(IF(E1973="MI",4,(IF(E1973="RP",5,(IF(E1973="SC",6,0)))))))))))))))))))))))))))))))))))))))</f>
        <v>3</v>
      </c>
      <c r="G1973" s="170">
        <v>1</v>
      </c>
      <c r="H1973" s="38" t="s">
        <v>511</v>
      </c>
      <c r="I1973" s="22" t="s">
        <v>266</v>
      </c>
      <c r="J1973" s="149" t="s">
        <v>4</v>
      </c>
      <c r="K1973" s="79" t="s">
        <v>1398</v>
      </c>
      <c r="L1973" s="5">
        <f>IF(O1973="","",N1973*O1973*M1973)</f>
        <v>75</v>
      </c>
      <c r="M1973" s="8">
        <v>1</v>
      </c>
      <c r="N1973" s="1">
        <v>1</v>
      </c>
      <c r="O1973" s="15">
        <f>IF(SUM(Q1973:AF1973)&lt;1,"",SUM(Q1973:AF1973)/COUNTIF(Q1973:AF1973,"&gt;0"))</f>
        <v>75</v>
      </c>
      <c r="P1973" s="16"/>
      <c r="Q1973" s="13"/>
      <c r="R1973" s="4"/>
      <c r="S1973" s="4"/>
      <c r="T1973" s="4">
        <v>75</v>
      </c>
      <c r="U1973" s="2"/>
      <c r="V1973" s="2"/>
      <c r="W1973" s="2"/>
      <c r="X1973" s="2"/>
      <c r="Y1973" s="4"/>
      <c r="Z1973" s="2"/>
      <c r="AA1973" s="2"/>
      <c r="AB1973" s="4"/>
      <c r="AC1973" s="4"/>
      <c r="AD1973" s="4"/>
      <c r="AE1973" s="4"/>
      <c r="AF1973" s="14"/>
    </row>
    <row r="1974" spans="1:32" x14ac:dyDescent="0.25">
      <c r="A1974" s="33" t="str">
        <f>CONCATENATE(D1974,".",F1974,"-",G1974,".",H1974,"")</f>
        <v>3.3-1.1</v>
      </c>
      <c r="B1974" s="33" t="s">
        <v>814</v>
      </c>
      <c r="C1974" s="39" t="s">
        <v>336</v>
      </c>
      <c r="D1974" s="33">
        <f>IF(C1974="ID",1,(IF(C1974="PR",2,(IF(C1974="DE",3,(IF(C1974="RS",4,(IF(C1974="RC",5,0)))))))))</f>
        <v>3</v>
      </c>
      <c r="E1974" s="33" t="s">
        <v>347</v>
      </c>
      <c r="F1974" s="33">
        <f>IF(E1974="AM",1,(IF(E1974="BE",2,(IF(E1974="GV",3,(IF(E1974="RA",4,(IF(E1974="RM",5,(IF(E1974="AC",1,(IF(E1974="AT",2,(IF(E1974="DS",3,(IF(E1974="IP",4,(IF(E1974="MA",5,(IF(E1974="PT",6,(IF(E1974="AE",1,(IF(E1974="CM",2,(IF(E1974="DP",3,(IF(E1974="AN",1,(IF(E1974="CO",2,(IF(E1974="IM",3,(IF(E1974="MI",4,(IF(E1974="RP",5,(IF(E1974="SC",6,0)))))))))))))))))))))))))))))))))))))))</f>
        <v>3</v>
      </c>
      <c r="G1974" s="170">
        <v>1</v>
      </c>
      <c r="H1974" s="38" t="s">
        <v>511</v>
      </c>
      <c r="I1974" s="3" t="s">
        <v>1449</v>
      </c>
      <c r="J1974" s="157" t="s">
        <v>1733</v>
      </c>
      <c r="K1974" s="34" t="s">
        <v>1734</v>
      </c>
      <c r="L1974" s="5">
        <f>IF(O1974="","",N1974*O1974*M1974)</f>
        <v>99</v>
      </c>
      <c r="M1974" s="8">
        <v>1</v>
      </c>
      <c r="N1974" s="1">
        <v>1</v>
      </c>
      <c r="O1974" s="15">
        <f>IF(SUM(Q1974:AF1974)&lt;1,"",SUM(Q1974:AF1974)/COUNTIF(Q1974:AF1974,"&gt;0"))</f>
        <v>99</v>
      </c>
      <c r="P1974" s="16"/>
      <c r="Q1974" s="13"/>
      <c r="R1974" s="4"/>
      <c r="S1974" s="4"/>
      <c r="T1974" s="4">
        <v>99</v>
      </c>
      <c r="U1974" s="2"/>
      <c r="V1974" s="2"/>
      <c r="W1974" s="2"/>
      <c r="X1974" s="2"/>
      <c r="Y1974" s="4"/>
      <c r="Z1974" s="2"/>
      <c r="AA1974" s="2"/>
      <c r="AB1974" s="4"/>
      <c r="AC1974" s="4"/>
      <c r="AD1974" s="4"/>
      <c r="AE1974" s="4"/>
      <c r="AF1974" s="14"/>
    </row>
    <row r="1975" spans="1:32" x14ac:dyDescent="0.25">
      <c r="A1975" s="33" t="str">
        <f>CONCATENATE(D1975,".",F1975,"-",G1975,".",H1975,"")</f>
        <v>3.3-2.0</v>
      </c>
      <c r="B1975" s="33" t="s">
        <v>814</v>
      </c>
      <c r="C1975" s="40" t="s">
        <v>336</v>
      </c>
      <c r="D1975" s="33">
        <f>IF(C1975="ID",1,(IF(C1975="PR",2,(IF(C1975="DE",3,(IF(C1975="RS",4,(IF(C1975="RC",5,0)))))))))</f>
        <v>3</v>
      </c>
      <c r="E1975" s="33" t="s">
        <v>347</v>
      </c>
      <c r="F1975" s="33">
        <f>IF(E1975="AM",1,(IF(E1975="BE",2,(IF(E1975="GV",3,(IF(E1975="RA",4,(IF(E1975="RM",5,(IF(E1975="AC",1,(IF(E1975="AT",2,(IF(E1975="DS",3,(IF(E1975="IP",4,(IF(E1975="MA",5,(IF(E1975="PT",6,(IF(E1975="AE",1,(IF(E1975="CM",2,(IF(E1975="DP",3,(IF(E1975="AN",1,(IF(E1975="CO",2,(IF(E1975="IM",3,(IF(E1975="MI",4,(IF(E1975="RP",5,(IF(E1975="SC",6,0)))))))))))))))))))))))))))))))))))))))</f>
        <v>3</v>
      </c>
      <c r="G1975" s="170">
        <v>2</v>
      </c>
      <c r="H1975" s="38" t="s">
        <v>597</v>
      </c>
      <c r="I1975" s="22" t="s">
        <v>1200</v>
      </c>
      <c r="J1975" s="149" t="s">
        <v>639</v>
      </c>
      <c r="K1975" s="99" t="s">
        <v>415</v>
      </c>
      <c r="L1975" s="66">
        <f>IF(O1975="","",N1975*O1975*M1975)</f>
        <v>75</v>
      </c>
      <c r="M1975" s="8">
        <v>1</v>
      </c>
      <c r="N1975" s="1">
        <v>1</v>
      </c>
      <c r="O1975" s="15">
        <f>IF(SUM(Q1975:AF1975)&lt;1,"",SUM(Q1975:AF1975)/COUNTIF(Q1975:AF1975,"&gt;0"))</f>
        <v>75</v>
      </c>
      <c r="P1975" s="16"/>
      <c r="Q1975" s="13"/>
      <c r="R1975" s="4"/>
      <c r="S1975" s="4"/>
      <c r="T1975" s="4">
        <v>75</v>
      </c>
      <c r="U1975" s="2"/>
      <c r="V1975" s="2"/>
      <c r="W1975" s="2"/>
      <c r="X1975" s="2"/>
      <c r="Y1975" s="4"/>
      <c r="Z1975" s="2"/>
      <c r="AA1975" s="2"/>
      <c r="AB1975" s="4"/>
      <c r="AC1975" s="4"/>
      <c r="AD1975" s="4"/>
      <c r="AE1975" s="4"/>
      <c r="AF1975" s="14"/>
    </row>
    <row r="1976" spans="1:32" x14ac:dyDescent="0.25">
      <c r="A1976" s="33" t="str">
        <f>CONCATENATE(D1976,".",F1976,"-",G1976,".",H1976,"")</f>
        <v>3.3-2.1</v>
      </c>
      <c r="B1976" s="33" t="s">
        <v>814</v>
      </c>
      <c r="C1976" s="40" t="s">
        <v>336</v>
      </c>
      <c r="D1976" s="33">
        <f>IF(C1976="ID",1,(IF(C1976="PR",2,(IF(C1976="DE",3,(IF(C1976="RS",4,(IF(C1976="RC",5,0)))))))))</f>
        <v>3</v>
      </c>
      <c r="E1976" s="33" t="s">
        <v>347</v>
      </c>
      <c r="F1976" s="33">
        <f>IF(E1976="AM",1,(IF(E1976="BE",2,(IF(E1976="GV",3,(IF(E1976="RA",4,(IF(E1976="RM",5,(IF(E1976="AC",1,(IF(E1976="AT",2,(IF(E1976="DS",3,(IF(E1976="IP",4,(IF(E1976="MA",5,(IF(E1976="PT",6,(IF(E1976="AE",1,(IF(E1976="CM",2,(IF(E1976="DP",3,(IF(E1976="AN",1,(IF(E1976="CO",2,(IF(E1976="IM",3,(IF(E1976="MI",4,(IF(E1976="RP",5,(IF(E1976="SC",6,0)))))))))))))))))))))))))))))))))))))))</f>
        <v>3</v>
      </c>
      <c r="G1976" s="171">
        <v>2</v>
      </c>
      <c r="H1976" s="38" t="s">
        <v>511</v>
      </c>
      <c r="I1976" s="3" t="s">
        <v>821</v>
      </c>
      <c r="J1976" s="150">
        <v>10.7</v>
      </c>
      <c r="K1976" s="79" t="s">
        <v>1283</v>
      </c>
      <c r="L1976" s="66">
        <f>IF(O1976="","",N1976*O1976*M1976)</f>
        <v>75</v>
      </c>
      <c r="M1976" s="8">
        <v>1</v>
      </c>
      <c r="N1976" s="3">
        <v>1</v>
      </c>
      <c r="O1976" s="15">
        <f>IF(SUM(Q1976:AF1976)&lt;1,"",SUM(Q1976:AF1976)/COUNTIF(Q1976:AF1976,"&gt;0"))</f>
        <v>75</v>
      </c>
      <c r="P1976" s="16"/>
      <c r="Q1976" s="13"/>
      <c r="R1976" s="4"/>
      <c r="S1976" s="4"/>
      <c r="T1976" s="4">
        <v>75</v>
      </c>
      <c r="U1976" s="2"/>
      <c r="V1976" s="2"/>
      <c r="W1976" s="2"/>
      <c r="X1976" s="2"/>
      <c r="Y1976" s="4"/>
      <c r="Z1976" s="2"/>
      <c r="AA1976" s="2"/>
      <c r="AB1976" s="4"/>
      <c r="AC1976" s="4"/>
      <c r="AD1976" s="4"/>
      <c r="AE1976" s="4"/>
      <c r="AF1976" s="14"/>
    </row>
    <row r="1977" spans="1:32" x14ac:dyDescent="0.25">
      <c r="A1977" s="33" t="str">
        <f>CONCATENATE(D1977,".",F1977,"-",G1977,".",H1977,"")</f>
        <v>3.3-2.1</v>
      </c>
      <c r="B1977" s="33" t="s">
        <v>814</v>
      </c>
      <c r="C1977" s="40" t="s">
        <v>336</v>
      </c>
      <c r="D1977" s="33">
        <f>IF(C1977="ID",1,(IF(C1977="PR",2,(IF(C1977="DE",3,(IF(C1977="RS",4,(IF(C1977="RC",5,0)))))))))</f>
        <v>3</v>
      </c>
      <c r="E1977" s="33" t="s">
        <v>347</v>
      </c>
      <c r="F1977" s="33">
        <f>IF(E1977="AM",1,(IF(E1977="BE",2,(IF(E1977="GV",3,(IF(E1977="RA",4,(IF(E1977="RM",5,(IF(E1977="AC",1,(IF(E1977="AT",2,(IF(E1977="DS",3,(IF(E1977="IP",4,(IF(E1977="MA",5,(IF(E1977="PT",6,(IF(E1977="AE",1,(IF(E1977="CM",2,(IF(E1977="DP",3,(IF(E1977="AN",1,(IF(E1977="CO",2,(IF(E1977="IM",3,(IF(E1977="MI",4,(IF(E1977="RP",5,(IF(E1977="SC",6,0)))))))))))))))))))))))))))))))))))))))</f>
        <v>3</v>
      </c>
      <c r="G1977" s="171">
        <v>2</v>
      </c>
      <c r="H1977" s="38" t="s">
        <v>511</v>
      </c>
      <c r="I1977" s="3" t="s">
        <v>821</v>
      </c>
      <c r="J1977" s="149">
        <v>11.4</v>
      </c>
      <c r="K1977" s="79" t="s">
        <v>1283</v>
      </c>
      <c r="L1977" s="66">
        <f>IF(O1977="","",N1977*O1977*M1977)</f>
        <v>75</v>
      </c>
      <c r="M1977" s="8">
        <v>1</v>
      </c>
      <c r="N1977" s="1">
        <v>1</v>
      </c>
      <c r="O1977" s="15">
        <f>IF(SUM(Q1977:AF1977)&lt;1,"",SUM(Q1977:AF1977)/COUNTIF(Q1977:AF1977,"&gt;0"))</f>
        <v>75</v>
      </c>
      <c r="P1977" s="16"/>
      <c r="Q1977" s="13"/>
      <c r="R1977" s="4"/>
      <c r="S1977" s="4"/>
      <c r="T1977" s="4">
        <v>75</v>
      </c>
      <c r="U1977" s="2"/>
      <c r="V1977" s="2"/>
      <c r="W1977" s="2"/>
      <c r="X1977" s="2"/>
      <c r="Y1977" s="4"/>
      <c r="Z1977" s="2"/>
      <c r="AA1977" s="2"/>
      <c r="AB1977" s="4"/>
      <c r="AC1977" s="4"/>
      <c r="AD1977" s="4"/>
      <c r="AE1977" s="4"/>
      <c r="AF1977" s="14"/>
    </row>
    <row r="1978" spans="1:32" x14ac:dyDescent="0.25">
      <c r="A1978" s="33" t="str">
        <f>CONCATENATE(D1978,".",F1978,"-",G1978,".",H1978,"")</f>
        <v>3.3-2.1</v>
      </c>
      <c r="B1978" s="33" t="s">
        <v>814</v>
      </c>
      <c r="C1978" s="40" t="s">
        <v>336</v>
      </c>
      <c r="D1978" s="33">
        <f>IF(C1978="ID",1,(IF(C1978="PR",2,(IF(C1978="DE",3,(IF(C1978="RS",4,(IF(C1978="RC",5,0)))))))))</f>
        <v>3</v>
      </c>
      <c r="E1978" s="33" t="s">
        <v>347</v>
      </c>
      <c r="F1978" s="33">
        <f>IF(E1978="AM",1,(IF(E1978="BE",2,(IF(E1978="GV",3,(IF(E1978="RA",4,(IF(E1978="RM",5,(IF(E1978="AC",1,(IF(E1978="AT",2,(IF(E1978="DS",3,(IF(E1978="IP",4,(IF(E1978="MA",5,(IF(E1978="PT",6,(IF(E1978="AE",1,(IF(E1978="CM",2,(IF(E1978="DP",3,(IF(E1978="AN",1,(IF(E1978="CO",2,(IF(E1978="IM",3,(IF(E1978="MI",4,(IF(E1978="RP",5,(IF(E1978="SC",6,0)))))))))))))))))))))))))))))))))))))))</f>
        <v>3</v>
      </c>
      <c r="G1978" s="171">
        <v>2</v>
      </c>
      <c r="H1978" s="38" t="s">
        <v>511</v>
      </c>
      <c r="I1978" s="3" t="s">
        <v>821</v>
      </c>
      <c r="J1978" s="149">
        <v>11.5</v>
      </c>
      <c r="K1978" s="79" t="s">
        <v>1283</v>
      </c>
      <c r="L1978" s="66">
        <f>IF(O1978="","",N1978*O1978*M1978)</f>
        <v>75</v>
      </c>
      <c r="M1978" s="8">
        <v>1</v>
      </c>
      <c r="N1978" s="1">
        <v>1</v>
      </c>
      <c r="O1978" s="15">
        <f>IF(SUM(Q1978:AF1978)&lt;1,"",SUM(Q1978:AF1978)/COUNTIF(Q1978:AF1978,"&gt;0"))</f>
        <v>75</v>
      </c>
      <c r="P1978" s="16"/>
      <c r="Q1978" s="13"/>
      <c r="R1978" s="4"/>
      <c r="S1978" s="4"/>
      <c r="T1978" s="4">
        <v>75</v>
      </c>
      <c r="U1978" s="2"/>
      <c r="V1978" s="2"/>
      <c r="W1978" s="2"/>
      <c r="X1978" s="2"/>
      <c r="Y1978" s="4"/>
      <c r="Z1978" s="2"/>
      <c r="AA1978" s="2"/>
      <c r="AB1978" s="4"/>
      <c r="AC1978" s="4"/>
      <c r="AD1978" s="4"/>
      <c r="AE1978" s="4"/>
      <c r="AF1978" s="14"/>
    </row>
    <row r="1979" spans="1:32" x14ac:dyDescent="0.25">
      <c r="A1979" s="33" t="str">
        <f>CONCATENATE(D1979,".",F1979,"-",G1979,".",H1979,"")</f>
        <v>3.3-2.1</v>
      </c>
      <c r="B1979" s="33" t="s">
        <v>814</v>
      </c>
      <c r="C1979" s="39" t="s">
        <v>336</v>
      </c>
      <c r="D1979" s="33">
        <f>IF(C1979="ID",1,(IF(C1979="PR",2,(IF(C1979="DE",3,(IF(C1979="RS",4,(IF(C1979="RC",5,0)))))))))</f>
        <v>3</v>
      </c>
      <c r="E1979" s="33" t="s">
        <v>347</v>
      </c>
      <c r="F1979" s="33">
        <f>IF(E1979="AM",1,(IF(E1979="BE",2,(IF(E1979="GV",3,(IF(E1979="RA",4,(IF(E1979="RM",5,(IF(E1979="AC",1,(IF(E1979="AT",2,(IF(E1979="DS",3,(IF(E1979="IP",4,(IF(E1979="MA",5,(IF(E1979="PT",6,(IF(E1979="AE",1,(IF(E1979="CM",2,(IF(E1979="DP",3,(IF(E1979="AN",1,(IF(E1979="CO",2,(IF(E1979="IM",3,(IF(E1979="MI",4,(IF(E1979="RP",5,(IF(E1979="SC",6,0)))))))))))))))))))))))))))))))))))))))</f>
        <v>3</v>
      </c>
      <c r="G1979" s="170">
        <v>2</v>
      </c>
      <c r="H1979" s="38" t="s">
        <v>511</v>
      </c>
      <c r="I1979" s="3" t="s">
        <v>821</v>
      </c>
      <c r="J1979" s="150" t="s">
        <v>209</v>
      </c>
      <c r="K1979" s="79" t="s">
        <v>1283</v>
      </c>
      <c r="L1979" s="66">
        <f>IF(O1979="","",N1979*O1979*M1979)</f>
        <v>75</v>
      </c>
      <c r="M1979" s="8">
        <v>1</v>
      </c>
      <c r="N1979" s="3">
        <v>1</v>
      </c>
      <c r="O1979" s="15">
        <f>IF(SUM(Q1979:AF1979)&lt;1,"",SUM(Q1979:AF1979)/COUNTIF(Q1979:AF1979,"&gt;0"))</f>
        <v>75</v>
      </c>
      <c r="P1979" s="16"/>
      <c r="Q1979" s="13"/>
      <c r="R1979" s="4"/>
      <c r="S1979" s="4"/>
      <c r="T1979" s="4">
        <v>75</v>
      </c>
      <c r="U1979" s="2"/>
      <c r="V1979" s="2"/>
      <c r="W1979" s="2"/>
      <c r="X1979" s="2"/>
      <c r="Y1979" s="4"/>
      <c r="Z1979" s="2"/>
      <c r="AA1979" s="2"/>
      <c r="AB1979" s="4"/>
      <c r="AC1979" s="4"/>
      <c r="AD1979" s="4"/>
      <c r="AE1979" s="4"/>
      <c r="AF1979" s="14"/>
    </row>
    <row r="1980" spans="1:32" x14ac:dyDescent="0.25">
      <c r="A1980" s="33" t="str">
        <f>CONCATENATE(D1980,".",F1980,"-",G1980,".",H1980,"")</f>
        <v>3.3-2.1</v>
      </c>
      <c r="B1980" s="33" t="s">
        <v>814</v>
      </c>
      <c r="C1980" s="40" t="s">
        <v>336</v>
      </c>
      <c r="D1980" s="33">
        <f>IF(C1980="ID",1,(IF(C1980="PR",2,(IF(C1980="DE",3,(IF(C1980="RS",4,(IF(C1980="RC",5,0)))))))))</f>
        <v>3</v>
      </c>
      <c r="E1980" s="33" t="s">
        <v>347</v>
      </c>
      <c r="F1980" s="33">
        <f>IF(E1980="AM",1,(IF(E1980="BE",2,(IF(E1980="GV",3,(IF(E1980="RA",4,(IF(E1980="RM",5,(IF(E1980="AC",1,(IF(E1980="AT",2,(IF(E1980="DS",3,(IF(E1980="IP",4,(IF(E1980="MA",5,(IF(E1980="PT",6,(IF(E1980="AE",1,(IF(E1980="CM",2,(IF(E1980="DP",3,(IF(E1980="AN",1,(IF(E1980="CO",2,(IF(E1980="IM",3,(IF(E1980="MI",4,(IF(E1980="RP",5,(IF(E1980="SC",6,0)))))))))))))))))))))))))))))))))))))))</f>
        <v>3</v>
      </c>
      <c r="G1980" s="171">
        <v>2</v>
      </c>
      <c r="H1980" s="38" t="s">
        <v>511</v>
      </c>
      <c r="I1980" s="22" t="s">
        <v>936</v>
      </c>
      <c r="J1980" s="163" t="s">
        <v>869</v>
      </c>
      <c r="K1980" s="4" t="s">
        <v>992</v>
      </c>
      <c r="L1980" s="66">
        <f>IF(O1980="","",N1980*O1980*M1980)</f>
        <v>75</v>
      </c>
      <c r="M1980" s="8">
        <v>1</v>
      </c>
      <c r="N1980" s="3">
        <v>1</v>
      </c>
      <c r="O1980" s="15">
        <f>IF(SUM(Q1980:AF1980)&lt;1,"",SUM(Q1980:AF1980)/COUNTIF(Q1980:AF1980,"&gt;0"))</f>
        <v>75</v>
      </c>
      <c r="P1980" s="16"/>
      <c r="Q1980" s="13"/>
      <c r="R1980" s="4"/>
      <c r="S1980" s="4"/>
      <c r="T1980" s="4">
        <v>75</v>
      </c>
      <c r="U1980" s="2"/>
      <c r="V1980" s="2"/>
      <c r="W1980" s="2"/>
      <c r="X1980" s="2"/>
      <c r="Y1980" s="4"/>
      <c r="Z1980" s="2"/>
      <c r="AA1980" s="2"/>
      <c r="AB1980" s="4"/>
      <c r="AC1980" s="4"/>
      <c r="AD1980" s="4"/>
      <c r="AE1980" s="4"/>
      <c r="AF1980" s="14"/>
    </row>
    <row r="1981" spans="1:32" x14ac:dyDescent="0.25">
      <c r="A1981" s="33" t="str">
        <f>CONCATENATE(D1981,".",F1981,"-",G1981,".",H1981,"")</f>
        <v>3.3-2.1</v>
      </c>
      <c r="B1981" s="33" t="s">
        <v>814</v>
      </c>
      <c r="C1981" s="39" t="s">
        <v>336</v>
      </c>
      <c r="D1981" s="33">
        <f>IF(C1981="ID",1,(IF(C1981="PR",2,(IF(C1981="DE",3,(IF(C1981="RS",4,(IF(C1981="RC",5,0)))))))))</f>
        <v>3</v>
      </c>
      <c r="E1981" s="33" t="s">
        <v>347</v>
      </c>
      <c r="F1981" s="33">
        <f>IF(E1981="AM",1,(IF(E1981="BE",2,(IF(E1981="GV",3,(IF(E1981="RA",4,(IF(E1981="RM",5,(IF(E1981="AC",1,(IF(E1981="AT",2,(IF(E1981="DS",3,(IF(E1981="IP",4,(IF(E1981="MA",5,(IF(E1981="PT",6,(IF(E1981="AE",1,(IF(E1981="CM",2,(IF(E1981="DP",3,(IF(E1981="AN",1,(IF(E1981="CO",2,(IF(E1981="IM",3,(IF(E1981="MI",4,(IF(E1981="RP",5,(IF(E1981="SC",6,0)))))))))))))))))))))))))))))))))))))))</f>
        <v>3</v>
      </c>
      <c r="G1981" s="170">
        <v>2</v>
      </c>
      <c r="H1981" s="38" t="s">
        <v>511</v>
      </c>
      <c r="I1981" s="22" t="s">
        <v>266</v>
      </c>
      <c r="J1981" s="149" t="s">
        <v>463</v>
      </c>
      <c r="K1981" s="79" t="s">
        <v>1327</v>
      </c>
      <c r="L1981" s="5">
        <f>IF(O1981="","",N1981*O1981*M1981)</f>
        <v>75</v>
      </c>
      <c r="M1981" s="8">
        <v>1</v>
      </c>
      <c r="N1981" s="1">
        <v>1</v>
      </c>
      <c r="O1981" s="15">
        <f>IF(SUM(Q1981:AF1981)&lt;1,"",SUM(Q1981:AF1981)/COUNTIF(Q1981:AF1981,"&gt;0"))</f>
        <v>75</v>
      </c>
      <c r="P1981" s="16"/>
      <c r="Q1981" s="13"/>
      <c r="R1981" s="4"/>
      <c r="S1981" s="4"/>
      <c r="T1981" s="4">
        <v>75</v>
      </c>
      <c r="U1981" s="2"/>
      <c r="V1981" s="2"/>
      <c r="W1981" s="2"/>
      <c r="X1981" s="2"/>
      <c r="Y1981" s="4"/>
      <c r="Z1981" s="2"/>
      <c r="AA1981" s="2"/>
      <c r="AB1981" s="4"/>
      <c r="AC1981" s="4"/>
      <c r="AD1981" s="4"/>
      <c r="AE1981" s="4"/>
      <c r="AF1981" s="14"/>
    </row>
    <row r="1982" spans="1:32" x14ac:dyDescent="0.25">
      <c r="A1982" s="33" t="str">
        <f>CONCATENATE(D1982,".",F1982,"-",G1982,".",H1982,"")</f>
        <v>3.3-2.1</v>
      </c>
      <c r="B1982" s="33" t="s">
        <v>814</v>
      </c>
      <c r="C1982" s="39" t="s">
        <v>336</v>
      </c>
      <c r="D1982" s="33">
        <f>IF(C1982="ID",1,(IF(C1982="PR",2,(IF(C1982="DE",3,(IF(C1982="RS",4,(IF(C1982="RC",5,0)))))))))</f>
        <v>3</v>
      </c>
      <c r="E1982" s="33" t="s">
        <v>347</v>
      </c>
      <c r="F1982" s="33">
        <f>IF(E1982="AM",1,(IF(E1982="BE",2,(IF(E1982="GV",3,(IF(E1982="RA",4,(IF(E1982="RM",5,(IF(E1982="AC",1,(IF(E1982="AT",2,(IF(E1982="DS",3,(IF(E1982="IP",4,(IF(E1982="MA",5,(IF(E1982="PT",6,(IF(E1982="AE",1,(IF(E1982="CM",2,(IF(E1982="DP",3,(IF(E1982="AN",1,(IF(E1982="CO",2,(IF(E1982="IM",3,(IF(E1982="MI",4,(IF(E1982="RP",5,(IF(E1982="SC",6,0)))))))))))))))))))))))))))))))))))))))</f>
        <v>3</v>
      </c>
      <c r="G1982" s="170">
        <v>2</v>
      </c>
      <c r="H1982" s="33">
        <v>1</v>
      </c>
      <c r="I1982" s="22" t="s">
        <v>266</v>
      </c>
      <c r="J1982" s="150" t="s">
        <v>327</v>
      </c>
      <c r="K1982" s="79" t="s">
        <v>1369</v>
      </c>
      <c r="L1982" s="5">
        <f>IF(O1982="","",N1982*O1982*M1982)</f>
        <v>75</v>
      </c>
      <c r="M1982" s="8">
        <v>1</v>
      </c>
      <c r="N1982" s="1">
        <v>1</v>
      </c>
      <c r="O1982" s="15">
        <f>IF(SUM(Q1982:AF1982)&lt;1,"",SUM(Q1982:AF1982)/COUNTIF(Q1982:AF1982,"&gt;0"))</f>
        <v>75</v>
      </c>
      <c r="P1982" s="16"/>
      <c r="Q1982" s="13"/>
      <c r="T1982" s="4">
        <v>75</v>
      </c>
      <c r="AF1982" s="104"/>
    </row>
    <row r="1983" spans="1:32" x14ac:dyDescent="0.25">
      <c r="A1983" s="33" t="str">
        <f>CONCATENATE(D1983,".",F1983,"-",G1983,".",H1983,"")</f>
        <v>3.3-2.1</v>
      </c>
      <c r="B1983" s="33" t="s">
        <v>814</v>
      </c>
      <c r="C1983" s="41" t="s">
        <v>336</v>
      </c>
      <c r="D1983" s="33">
        <f>IF(C1983="ID",1,(IF(C1983="PR",2,(IF(C1983="DE",3,(IF(C1983="RS",4,(IF(C1983="RC",5,0)))))))))</f>
        <v>3</v>
      </c>
      <c r="E1983" s="33" t="s">
        <v>347</v>
      </c>
      <c r="F1983" s="33">
        <f>IF(E1983="AM",1,(IF(E1983="BE",2,(IF(E1983="GV",3,(IF(E1983="RA",4,(IF(E1983="RM",5,(IF(E1983="AC",1,(IF(E1983="AT",2,(IF(E1983="DS",3,(IF(E1983="IP",4,(IF(E1983="MA",5,(IF(E1983="PT",6,(IF(E1983="AE",1,(IF(E1983="CM",2,(IF(E1983="DP",3,(IF(E1983="AN",1,(IF(E1983="CO",2,(IF(E1983="IM",3,(IF(E1983="MI",4,(IF(E1983="RP",5,(IF(E1983="SC",6,0)))))))))))))))))))))))))))))))))))))))</f>
        <v>3</v>
      </c>
      <c r="G1983" s="170">
        <v>2</v>
      </c>
      <c r="H1983" s="38" t="s">
        <v>511</v>
      </c>
      <c r="I1983" s="22" t="s">
        <v>266</v>
      </c>
      <c r="J1983" s="149" t="s">
        <v>280</v>
      </c>
      <c r="K1983" s="79" t="s">
        <v>1385</v>
      </c>
      <c r="L1983" s="5">
        <f>IF(O1983="","",N1983*O1983*M1983)</f>
        <v>75</v>
      </c>
      <c r="M1983" s="8">
        <v>1</v>
      </c>
      <c r="N1983" s="1">
        <v>1</v>
      </c>
      <c r="O1983" s="15">
        <f>IF(SUM(Q1983:AF1983)&lt;1,"",SUM(Q1983:AF1983)/COUNTIF(Q1983:AF1983,"&gt;0"))</f>
        <v>75</v>
      </c>
      <c r="P1983" s="16"/>
      <c r="Q1983" s="13"/>
      <c r="R1983" s="4"/>
      <c r="S1983" s="4"/>
      <c r="T1983" s="4">
        <v>75</v>
      </c>
      <c r="U1983" s="2"/>
      <c r="V1983" s="2"/>
      <c r="W1983" s="2"/>
      <c r="X1983" s="2"/>
      <c r="Y1983" s="4"/>
      <c r="Z1983" s="2"/>
      <c r="AA1983" s="2"/>
      <c r="AB1983" s="4"/>
      <c r="AC1983" s="4"/>
      <c r="AD1983" s="4"/>
      <c r="AE1983" s="4"/>
      <c r="AF1983" s="14"/>
    </row>
    <row r="1984" spans="1:32" x14ac:dyDescent="0.25">
      <c r="A1984" s="33" t="str">
        <f>CONCATENATE(D1984,".",F1984,"-",G1984,".",H1984,"")</f>
        <v>3.3-3.0</v>
      </c>
      <c r="B1984" s="33" t="s">
        <v>814</v>
      </c>
      <c r="C1984" s="40" t="s">
        <v>336</v>
      </c>
      <c r="D1984" s="33">
        <f>IF(C1984="ID",1,(IF(C1984="PR",2,(IF(C1984="DE",3,(IF(C1984="RS",4,(IF(C1984="RC",5,0)))))))))</f>
        <v>3</v>
      </c>
      <c r="E1984" s="33" t="s">
        <v>347</v>
      </c>
      <c r="F1984" s="33">
        <f>IF(E1984="AM",1,(IF(E1984="BE",2,(IF(E1984="GV",3,(IF(E1984="RA",4,(IF(E1984="RM",5,(IF(E1984="AC",1,(IF(E1984="AT",2,(IF(E1984="DS",3,(IF(E1984="IP",4,(IF(E1984="MA",5,(IF(E1984="PT",6,(IF(E1984="AE",1,(IF(E1984="CM",2,(IF(E1984="DP",3,(IF(E1984="AN",1,(IF(E1984="CO",2,(IF(E1984="IM",3,(IF(E1984="MI",4,(IF(E1984="RP",5,(IF(E1984="SC",6,0)))))))))))))))))))))))))))))))))))))))</f>
        <v>3</v>
      </c>
      <c r="G1984" s="170">
        <v>3</v>
      </c>
      <c r="H1984" s="38" t="s">
        <v>597</v>
      </c>
      <c r="I1984" s="22" t="s">
        <v>1200</v>
      </c>
      <c r="J1984" s="149" t="s">
        <v>619</v>
      </c>
      <c r="K1984" s="99" t="s">
        <v>416</v>
      </c>
      <c r="L1984" s="66">
        <f>IF(O1984="","",N1984*O1984*M1984)</f>
        <v>75</v>
      </c>
      <c r="M1984" s="8">
        <v>1</v>
      </c>
      <c r="N1984" s="1">
        <v>1</v>
      </c>
      <c r="O1984" s="15">
        <f>IF(SUM(Q1984:AF1984)&lt;1,"",SUM(Q1984:AF1984)/COUNTIF(Q1984:AF1984,"&gt;0"))</f>
        <v>75</v>
      </c>
      <c r="P1984" s="16"/>
      <c r="Q1984" s="13"/>
      <c r="R1984" s="4"/>
      <c r="S1984" s="4"/>
      <c r="T1984" s="4">
        <v>75</v>
      </c>
      <c r="U1984" s="2"/>
      <c r="V1984" s="2"/>
      <c r="W1984" s="2"/>
      <c r="X1984" s="2"/>
      <c r="Y1984" s="4"/>
      <c r="Z1984" s="2"/>
      <c r="AA1984" s="2"/>
      <c r="AB1984" s="4"/>
      <c r="AC1984" s="4"/>
      <c r="AD1984" s="4"/>
      <c r="AE1984" s="4"/>
      <c r="AF1984" s="14"/>
    </row>
    <row r="1985" spans="1:32" x14ac:dyDescent="0.25">
      <c r="A1985" s="33" t="str">
        <f>CONCATENATE(D1985,".",F1985,"-",G1985,".",H1985,"")</f>
        <v>3.3-3.1</v>
      </c>
      <c r="B1985" s="33" t="s">
        <v>814</v>
      </c>
      <c r="C1985" s="40" t="s">
        <v>336</v>
      </c>
      <c r="D1985" s="33">
        <f>IF(C1985="ID",1,(IF(C1985="PR",2,(IF(C1985="DE",3,(IF(C1985="RS",4,(IF(C1985="RC",5,0)))))))))</f>
        <v>3</v>
      </c>
      <c r="E1985" s="33" t="s">
        <v>347</v>
      </c>
      <c r="F1985" s="33">
        <f>IF(E1985="AM",1,(IF(E1985="BE",2,(IF(E1985="GV",3,(IF(E1985="RA",4,(IF(E1985="RM",5,(IF(E1985="AC",1,(IF(E1985="AT",2,(IF(E1985="DS",3,(IF(E1985="IP",4,(IF(E1985="MA",5,(IF(E1985="PT",6,(IF(E1985="AE",1,(IF(E1985="CM",2,(IF(E1985="DP",3,(IF(E1985="AN",1,(IF(E1985="CO",2,(IF(E1985="IM",3,(IF(E1985="MI",4,(IF(E1985="RP",5,(IF(E1985="SC",6,0)))))))))))))))))))))))))))))))))))))))</f>
        <v>3</v>
      </c>
      <c r="G1985" s="171">
        <v>3</v>
      </c>
      <c r="H1985" s="38" t="s">
        <v>511</v>
      </c>
      <c r="I1985" s="3" t="s">
        <v>821</v>
      </c>
      <c r="J1985" s="150">
        <v>5.2</v>
      </c>
      <c r="K1985" s="79" t="s">
        <v>1283</v>
      </c>
      <c r="L1985" s="66">
        <f>IF(O1985="","",N1985*O1985*M1985)</f>
        <v>75</v>
      </c>
      <c r="M1985" s="8">
        <v>1</v>
      </c>
      <c r="N1985" s="3">
        <v>1</v>
      </c>
      <c r="O1985" s="15">
        <f>IF(SUM(Q1985:AF1985)&lt;1,"",SUM(Q1985:AF1985)/COUNTIF(Q1985:AF1985,"&gt;0"))</f>
        <v>75</v>
      </c>
      <c r="P1985" s="16"/>
      <c r="Q1985" s="13"/>
      <c r="R1985" s="4"/>
      <c r="S1985" s="4"/>
      <c r="T1985" s="4">
        <v>75</v>
      </c>
      <c r="U1985" s="2"/>
      <c r="V1985" s="2"/>
      <c r="W1985" s="2"/>
      <c r="X1985" s="2"/>
      <c r="Y1985" s="4"/>
      <c r="Z1985" s="2"/>
      <c r="AA1985" s="2"/>
      <c r="AB1985" s="4"/>
      <c r="AC1985" s="4"/>
      <c r="AD1985" s="4"/>
      <c r="AE1985" s="4"/>
      <c r="AF1985" s="14"/>
    </row>
    <row r="1986" spans="1:32" x14ac:dyDescent="0.25">
      <c r="A1986" s="33" t="str">
        <f>CONCATENATE(D1986,".",F1986,"-",G1986,".",H1986,"")</f>
        <v>3.3-3.1</v>
      </c>
      <c r="B1986" s="33" t="s">
        <v>814</v>
      </c>
      <c r="C1986" s="41" t="s">
        <v>336</v>
      </c>
      <c r="D1986" s="33">
        <f>IF(C1986="ID",1,(IF(C1986="PR",2,(IF(C1986="DE",3,(IF(C1986="RS",4,(IF(C1986="RC",5,0)))))))))</f>
        <v>3</v>
      </c>
      <c r="E1986" s="33" t="s">
        <v>347</v>
      </c>
      <c r="F1986" s="33">
        <f>IF(E1986="AM",1,(IF(E1986="BE",2,(IF(E1986="GV",3,(IF(E1986="RA",4,(IF(E1986="RM",5,(IF(E1986="AC",1,(IF(E1986="AT",2,(IF(E1986="DS",3,(IF(E1986="IP",4,(IF(E1986="MA",5,(IF(E1986="PT",6,(IF(E1986="AE",1,(IF(E1986="CM",2,(IF(E1986="DP",3,(IF(E1986="AN",1,(IF(E1986="CO",2,(IF(E1986="IM",3,(IF(E1986="MI",4,(IF(E1986="RP",5,(IF(E1986="SC",6,0)))))))))))))))))))))))))))))))))))))))</f>
        <v>3</v>
      </c>
      <c r="G1986" s="170">
        <v>3</v>
      </c>
      <c r="H1986" s="38" t="s">
        <v>511</v>
      </c>
      <c r="I1986" s="22" t="s">
        <v>266</v>
      </c>
      <c r="J1986" s="149" t="s">
        <v>281</v>
      </c>
      <c r="K1986" s="79" t="s">
        <v>1352</v>
      </c>
      <c r="L1986" s="5">
        <f>IF(O1986="","",N1986*O1986*M1986)</f>
        <v>75</v>
      </c>
      <c r="M1986" s="8">
        <v>1</v>
      </c>
      <c r="N1986" s="1">
        <v>1</v>
      </c>
      <c r="O1986" s="15">
        <f>IF(SUM(Q1986:AF1986)&lt;1,"",SUM(Q1986:AF1986)/COUNTIF(Q1986:AF1986,"&gt;0"))</f>
        <v>75</v>
      </c>
      <c r="P1986" s="16"/>
      <c r="Q1986" s="13"/>
      <c r="R1986" s="4"/>
      <c r="S1986" s="4"/>
      <c r="T1986" s="4">
        <v>75</v>
      </c>
      <c r="U1986" s="2"/>
      <c r="V1986" s="2"/>
      <c r="W1986" s="2"/>
      <c r="X1986" s="2"/>
      <c r="Y1986" s="4"/>
      <c r="Z1986" s="2"/>
      <c r="AA1986" s="2"/>
      <c r="AB1986" s="4"/>
      <c r="AC1986" s="4"/>
      <c r="AD1986" s="4"/>
      <c r="AE1986" s="4"/>
      <c r="AF1986" s="14"/>
    </row>
    <row r="1987" spans="1:32" x14ac:dyDescent="0.25">
      <c r="A1987" s="33" t="str">
        <f>CONCATENATE(D1987,".",F1987,"-",G1987,".",H1987,"")</f>
        <v>3.3-4.0</v>
      </c>
      <c r="B1987" s="33" t="s">
        <v>814</v>
      </c>
      <c r="C1987" s="40" t="s">
        <v>336</v>
      </c>
      <c r="D1987" s="33">
        <f>IF(C1987="ID",1,(IF(C1987="PR",2,(IF(C1987="DE",3,(IF(C1987="RS",4,(IF(C1987="RC",5,0)))))))))</f>
        <v>3</v>
      </c>
      <c r="E1987" s="33" t="s">
        <v>347</v>
      </c>
      <c r="F1987" s="33">
        <f>IF(E1987="AM",1,(IF(E1987="BE",2,(IF(E1987="GV",3,(IF(E1987="RA",4,(IF(E1987="RM",5,(IF(E1987="AC",1,(IF(E1987="AT",2,(IF(E1987="DS",3,(IF(E1987="IP",4,(IF(E1987="MA",5,(IF(E1987="PT",6,(IF(E1987="AE",1,(IF(E1987="CM",2,(IF(E1987="DP",3,(IF(E1987="AN",1,(IF(E1987="CO",2,(IF(E1987="IM",3,(IF(E1987="MI",4,(IF(E1987="RP",5,(IF(E1987="SC",6,0)))))))))))))))))))))))))))))))))))))))</f>
        <v>3</v>
      </c>
      <c r="G1987" s="170">
        <v>4</v>
      </c>
      <c r="H1987" s="38" t="s">
        <v>597</v>
      </c>
      <c r="I1987" s="22" t="s">
        <v>1200</v>
      </c>
      <c r="J1987" s="149" t="s">
        <v>640</v>
      </c>
      <c r="K1987" s="99" t="s">
        <v>417</v>
      </c>
      <c r="L1987" s="66">
        <f>IF(O1987="","",N1987*O1987*M1987)</f>
        <v>75</v>
      </c>
      <c r="M1987" s="8">
        <v>1</v>
      </c>
      <c r="N1987" s="1">
        <v>1</v>
      </c>
      <c r="O1987" s="15">
        <f>IF(SUM(Q1987:AF1987)&lt;1,"",SUM(Q1987:AF1987)/COUNTIF(Q1987:AF1987,"&gt;0"))</f>
        <v>75</v>
      </c>
      <c r="P1987" s="16"/>
      <c r="Q1987" s="13"/>
      <c r="R1987" s="4"/>
      <c r="S1987" s="4"/>
      <c r="T1987" s="4">
        <v>75</v>
      </c>
      <c r="U1987" s="2"/>
      <c r="V1987" s="2"/>
      <c r="W1987" s="2"/>
      <c r="X1987" s="2"/>
      <c r="Y1987" s="4"/>
      <c r="Z1987" s="2"/>
      <c r="AA1987" s="2"/>
      <c r="AB1987" s="4"/>
      <c r="AC1987" s="4"/>
      <c r="AD1987" s="4"/>
      <c r="AE1987" s="4"/>
      <c r="AF1987" s="14"/>
    </row>
    <row r="1988" spans="1:32" x14ac:dyDescent="0.25">
      <c r="A1988" s="33" t="str">
        <f>CONCATENATE(D1988,".",F1988,"-",G1988,".",H1988,"")</f>
        <v>3.3-4.1</v>
      </c>
      <c r="B1988" s="33" t="s">
        <v>814</v>
      </c>
      <c r="C1988" s="40" t="s">
        <v>336</v>
      </c>
      <c r="D1988" s="33">
        <f>IF(C1988="ID",1,(IF(C1988="PR",2,(IF(C1988="DE",3,(IF(C1988="RS",4,(IF(C1988="RC",5,0)))))))))</f>
        <v>3</v>
      </c>
      <c r="E1988" s="33" t="s">
        <v>347</v>
      </c>
      <c r="F1988" s="33">
        <f>IF(E1988="AM",1,(IF(E1988="BE",2,(IF(E1988="GV",3,(IF(E1988="RA",4,(IF(E1988="RM",5,(IF(E1988="AC",1,(IF(E1988="AT",2,(IF(E1988="DS",3,(IF(E1988="IP",4,(IF(E1988="MA",5,(IF(E1988="PT",6,(IF(E1988="AE",1,(IF(E1988="CM",2,(IF(E1988="DP",3,(IF(E1988="AN",1,(IF(E1988="CO",2,(IF(E1988="IM",3,(IF(E1988="MI",4,(IF(E1988="RP",5,(IF(E1988="SC",6,0)))))))))))))))))))))))))))))))))))))))</f>
        <v>3</v>
      </c>
      <c r="G1988" s="171">
        <v>4</v>
      </c>
      <c r="H1988" s="38" t="s">
        <v>511</v>
      </c>
      <c r="I1988" s="3" t="s">
        <v>821</v>
      </c>
      <c r="J1988" s="149">
        <v>11.4</v>
      </c>
      <c r="K1988" s="79" t="s">
        <v>1283</v>
      </c>
      <c r="L1988" s="66">
        <f>IF(O1988="","",N1988*O1988*M1988)</f>
        <v>75</v>
      </c>
      <c r="M1988" s="8">
        <v>1</v>
      </c>
      <c r="N1988" s="1">
        <v>1</v>
      </c>
      <c r="O1988" s="15">
        <f>IF(SUM(Q1988:AF1988)&lt;1,"",SUM(Q1988:AF1988)/COUNTIF(Q1988:AF1988,"&gt;0"))</f>
        <v>75</v>
      </c>
      <c r="P1988" s="16"/>
      <c r="Q1988" s="13"/>
      <c r="R1988" s="4"/>
      <c r="S1988" s="4"/>
      <c r="T1988" s="4">
        <v>75</v>
      </c>
      <c r="U1988" s="2"/>
      <c r="V1988" s="2"/>
      <c r="W1988" s="2"/>
      <c r="X1988" s="2"/>
      <c r="Y1988" s="4"/>
      <c r="Z1988" s="2"/>
      <c r="AA1988" s="2"/>
      <c r="AB1988" s="4"/>
      <c r="AC1988" s="4"/>
      <c r="AD1988" s="4"/>
      <c r="AE1988" s="4"/>
      <c r="AF1988" s="14"/>
    </row>
    <row r="1989" spans="1:32" x14ac:dyDescent="0.25">
      <c r="A1989" s="33" t="str">
        <f>CONCATENATE(D1989,".",F1989,"-",G1989,".",H1989,"")</f>
        <v>3.3-4.1</v>
      </c>
      <c r="B1989" s="33" t="s">
        <v>814</v>
      </c>
      <c r="C1989" s="40" t="s">
        <v>336</v>
      </c>
      <c r="D1989" s="33">
        <f>IF(C1989="ID",1,(IF(C1989="PR",2,(IF(C1989="DE",3,(IF(C1989="RS",4,(IF(C1989="RC",5,0)))))))))</f>
        <v>3</v>
      </c>
      <c r="E1989" s="33" t="s">
        <v>347</v>
      </c>
      <c r="F1989" s="33">
        <f>IF(E1989="AM",1,(IF(E1989="BE",2,(IF(E1989="GV",3,(IF(E1989="RA",4,(IF(E1989="RM",5,(IF(E1989="AC",1,(IF(E1989="AT",2,(IF(E1989="DS",3,(IF(E1989="IP",4,(IF(E1989="MA",5,(IF(E1989="PT",6,(IF(E1989="AE",1,(IF(E1989="CM",2,(IF(E1989="DP",3,(IF(E1989="AN",1,(IF(E1989="CO",2,(IF(E1989="IM",3,(IF(E1989="MI",4,(IF(E1989="RP",5,(IF(E1989="SC",6,0)))))))))))))))))))))))))))))))))))))))</f>
        <v>3</v>
      </c>
      <c r="G1989" s="171">
        <v>4</v>
      </c>
      <c r="H1989" s="38" t="s">
        <v>511</v>
      </c>
      <c r="I1989" s="3" t="s">
        <v>821</v>
      </c>
      <c r="J1989" s="149">
        <v>11.5</v>
      </c>
      <c r="K1989" s="79" t="s">
        <v>1283</v>
      </c>
      <c r="L1989" s="66">
        <f>IF(O1989="","",N1989*O1989*M1989)</f>
        <v>75</v>
      </c>
      <c r="M1989" s="8">
        <v>1</v>
      </c>
      <c r="N1989" s="1">
        <v>1</v>
      </c>
      <c r="O1989" s="15">
        <f>IF(SUM(Q1989:AF1989)&lt;1,"",SUM(Q1989:AF1989)/COUNTIF(Q1989:AF1989,"&gt;0"))</f>
        <v>75</v>
      </c>
      <c r="P1989" s="16"/>
      <c r="Q1989" s="13"/>
      <c r="R1989" s="4"/>
      <c r="S1989" s="4"/>
      <c r="T1989" s="4">
        <v>75</v>
      </c>
      <c r="U1989" s="2"/>
      <c r="V1989" s="2"/>
      <c r="W1989" s="2"/>
      <c r="X1989" s="2"/>
      <c r="Y1989" s="4"/>
      <c r="Z1989" s="2"/>
      <c r="AA1989" s="2"/>
      <c r="AB1989" s="4"/>
      <c r="AC1989" s="4"/>
      <c r="AD1989" s="4"/>
      <c r="AE1989" s="4"/>
      <c r="AF1989" s="14"/>
    </row>
    <row r="1990" spans="1:32" x14ac:dyDescent="0.25">
      <c r="A1990" s="33" t="str">
        <f>CONCATENATE(D1990,".",F1990,"-",G1990,".",H1990,"")</f>
        <v>3.3-4.1</v>
      </c>
      <c r="B1990" s="33" t="s">
        <v>814</v>
      </c>
      <c r="C1990" s="40" t="s">
        <v>336</v>
      </c>
      <c r="D1990" s="33">
        <f>IF(C1990="ID",1,(IF(C1990="PR",2,(IF(C1990="DE",3,(IF(C1990="RS",4,(IF(C1990="RC",5,0)))))))))</f>
        <v>3</v>
      </c>
      <c r="E1990" s="33" t="s">
        <v>347</v>
      </c>
      <c r="F1990" s="33">
        <f>IF(E1990="AM",1,(IF(E1990="BE",2,(IF(E1990="GV",3,(IF(E1990="RA",4,(IF(E1990="RM",5,(IF(E1990="AC",1,(IF(E1990="AT",2,(IF(E1990="DS",3,(IF(E1990="IP",4,(IF(E1990="MA",5,(IF(E1990="PT",6,(IF(E1990="AE",1,(IF(E1990="CM",2,(IF(E1990="DP",3,(IF(E1990="AN",1,(IF(E1990="CO",2,(IF(E1990="IM",3,(IF(E1990="MI",4,(IF(E1990="RP",5,(IF(E1990="SC",6,0)))))))))))))))))))))))))))))))))))))))</f>
        <v>3</v>
      </c>
      <c r="G1990" s="171">
        <v>4</v>
      </c>
      <c r="H1990" s="38" t="s">
        <v>511</v>
      </c>
      <c r="I1990" s="3" t="s">
        <v>821</v>
      </c>
      <c r="J1990" s="149" t="s">
        <v>238</v>
      </c>
      <c r="K1990" s="79" t="s">
        <v>1283</v>
      </c>
      <c r="L1990" s="66">
        <f>IF(O1990="","",N1990*O1990*M1990)</f>
        <v>75</v>
      </c>
      <c r="M1990" s="8">
        <v>1</v>
      </c>
      <c r="N1990" s="1">
        <v>1</v>
      </c>
      <c r="O1990" s="15">
        <f>IF(SUM(Q1990:AF1990)&lt;1,"",SUM(Q1990:AF1990)/COUNTIF(Q1990:AF1990,"&gt;0"))</f>
        <v>75</v>
      </c>
      <c r="P1990" s="16"/>
      <c r="Q1990" s="13"/>
      <c r="R1990" s="4"/>
      <c r="S1990" s="4"/>
      <c r="T1990" s="4">
        <v>75</v>
      </c>
      <c r="U1990" s="2"/>
      <c r="V1990" s="2"/>
      <c r="W1990" s="2"/>
      <c r="X1990" s="2"/>
      <c r="Y1990" s="4"/>
      <c r="Z1990" s="2"/>
      <c r="AA1990" s="2"/>
      <c r="AB1990" s="4"/>
      <c r="AC1990" s="4"/>
      <c r="AD1990" s="4"/>
      <c r="AE1990" s="4"/>
      <c r="AF1990" s="14"/>
    </row>
    <row r="1991" spans="1:32" x14ac:dyDescent="0.25">
      <c r="A1991" s="33" t="str">
        <f>CONCATENATE(D1991,".",F1991,"-",G1991,".",H1991,"")</f>
        <v>3.3-4.1</v>
      </c>
      <c r="B1991" s="33" t="s">
        <v>814</v>
      </c>
      <c r="C1991" s="40" t="s">
        <v>336</v>
      </c>
      <c r="D1991" s="33">
        <f>IF(C1991="ID",1,(IF(C1991="PR",2,(IF(C1991="DE",3,(IF(C1991="RS",4,(IF(C1991="RC",5,0)))))))))</f>
        <v>3</v>
      </c>
      <c r="E1991" s="33" t="s">
        <v>347</v>
      </c>
      <c r="F1991" s="33">
        <f>IF(E1991="AM",1,(IF(E1991="BE",2,(IF(E1991="GV",3,(IF(E1991="RA",4,(IF(E1991="RM",5,(IF(E1991="AC",1,(IF(E1991="AT",2,(IF(E1991="DS",3,(IF(E1991="IP",4,(IF(E1991="MA",5,(IF(E1991="PT",6,(IF(E1991="AE",1,(IF(E1991="CM",2,(IF(E1991="DP",3,(IF(E1991="AN",1,(IF(E1991="CO",2,(IF(E1991="IM",3,(IF(E1991="MI",4,(IF(E1991="RP",5,(IF(E1991="SC",6,0)))))))))))))))))))))))))))))))))))))))</f>
        <v>3</v>
      </c>
      <c r="G1991" s="171">
        <v>4</v>
      </c>
      <c r="H1991" s="38" t="s">
        <v>511</v>
      </c>
      <c r="I1991" s="22" t="s">
        <v>936</v>
      </c>
      <c r="J1991" s="163" t="s">
        <v>895</v>
      </c>
      <c r="K1991" s="34" t="s">
        <v>1008</v>
      </c>
      <c r="L1991" s="66">
        <f>IF(O1991="","",N1991*O1991*M1991)</f>
        <v>75</v>
      </c>
      <c r="M1991" s="8">
        <v>1</v>
      </c>
      <c r="N1991" s="3">
        <v>1</v>
      </c>
      <c r="O1991" s="15">
        <f>IF(SUM(Q1991:AF1991)&lt;1,"",SUM(Q1991:AF1991)/COUNTIF(Q1991:AF1991,"&gt;0"))</f>
        <v>75</v>
      </c>
      <c r="P1991" s="16"/>
      <c r="Q1991" s="13"/>
      <c r="R1991" s="4"/>
      <c r="S1991" s="4"/>
      <c r="T1991" s="4">
        <v>75</v>
      </c>
      <c r="U1991" s="2"/>
      <c r="V1991" s="2"/>
      <c r="W1991" s="2"/>
      <c r="X1991" s="2"/>
      <c r="Y1991" s="4"/>
      <c r="Z1991" s="2"/>
      <c r="AA1991" s="2"/>
      <c r="AB1991" s="4"/>
      <c r="AC1991" s="4"/>
      <c r="AD1991" s="4"/>
      <c r="AE1991" s="4"/>
      <c r="AF1991" s="14"/>
    </row>
    <row r="1992" spans="1:32" x14ac:dyDescent="0.25">
      <c r="A1992" s="33" t="str">
        <f>CONCATENATE(D1992,".",F1992,"-",G1992,".",H1992,"")</f>
        <v>3.3-4.1</v>
      </c>
      <c r="B1992" s="33" t="s">
        <v>814</v>
      </c>
      <c r="C1992" s="41" t="s">
        <v>336</v>
      </c>
      <c r="D1992" s="33">
        <f>IF(C1992="ID",1,(IF(C1992="PR",2,(IF(C1992="DE",3,(IF(C1992="RS",4,(IF(C1992="RC",5,0)))))))))</f>
        <v>3</v>
      </c>
      <c r="E1992" s="33" t="s">
        <v>347</v>
      </c>
      <c r="F1992" s="33">
        <f>IF(E1992="AM",1,(IF(E1992="BE",2,(IF(E1992="GV",3,(IF(E1992="RA",4,(IF(E1992="RM",5,(IF(E1992="AC",1,(IF(E1992="AT",2,(IF(E1992="DS",3,(IF(E1992="IP",4,(IF(E1992="MA",5,(IF(E1992="PT",6,(IF(E1992="AE",1,(IF(E1992="CM",2,(IF(E1992="DP",3,(IF(E1992="AN",1,(IF(E1992="CO",2,(IF(E1992="IM",3,(IF(E1992="MI",4,(IF(E1992="RP",5,(IF(E1992="SC",6,0)))))))))))))))))))))))))))))))))))))))</f>
        <v>3</v>
      </c>
      <c r="G1992" s="170">
        <v>4</v>
      </c>
      <c r="H1992" s="38" t="s">
        <v>511</v>
      </c>
      <c r="I1992" s="22" t="s">
        <v>266</v>
      </c>
      <c r="J1992" s="149" t="s">
        <v>278</v>
      </c>
      <c r="K1992" s="79" t="s">
        <v>1367</v>
      </c>
      <c r="L1992" s="5">
        <f>IF(O1992="","",N1992*O1992*M1992)</f>
        <v>75</v>
      </c>
      <c r="M1992" s="8">
        <v>1</v>
      </c>
      <c r="N1992" s="1">
        <v>1</v>
      </c>
      <c r="O1992" s="15">
        <f>IF(SUM(Q1992:AF1992)&lt;1,"",SUM(Q1992:AF1992)/COUNTIF(Q1992:AF1992,"&gt;0"))</f>
        <v>75</v>
      </c>
      <c r="P1992" s="16"/>
      <c r="Q1992" s="13"/>
      <c r="R1992" s="4"/>
      <c r="S1992" s="4"/>
      <c r="T1992" s="4">
        <v>75</v>
      </c>
      <c r="U1992" s="2"/>
      <c r="V1992" s="2"/>
      <c r="W1992" s="2"/>
      <c r="X1992" s="2"/>
      <c r="Y1992" s="4"/>
      <c r="Z1992" s="2"/>
      <c r="AA1992" s="2"/>
      <c r="AB1992" s="4"/>
      <c r="AC1992" s="4"/>
      <c r="AD1992" s="4"/>
      <c r="AE1992" s="4"/>
      <c r="AF1992" s="14"/>
    </row>
    <row r="1993" spans="1:32" x14ac:dyDescent="0.25">
      <c r="A1993" s="33" t="str">
        <f>CONCATENATE(D1993,".",F1993,"-",G1993,".",H1993,"")</f>
        <v>3.3-4.9</v>
      </c>
      <c r="C1993" s="39" t="s">
        <v>336</v>
      </c>
      <c r="D1993" s="33">
        <f>IF(C1993="ID",1,(IF(C1993="PR",2,(IF(C1993="DE",3,(IF(C1993="RS",4,(IF(C1993="RC",5,0)))))))))</f>
        <v>3</v>
      </c>
      <c r="E1993" s="33" t="s">
        <v>347</v>
      </c>
      <c r="F1993" s="33">
        <f>IF(E1993="AM",1,(IF(E1993="BE",2,(IF(E1993="GV",3,(IF(E1993="RA",4,(IF(E1993="RM",5,(IF(E1993="AC",1,(IF(E1993="AT",2,(IF(E1993="DS",3,(IF(E1993="IP",4,(IF(E1993="MA",5,(IF(E1993="PT",6,(IF(E1993="AE",1,(IF(E1993="CM",2,(IF(E1993="DP",3,(IF(E1993="AN",1,(IF(E1993="CO",2,(IF(E1993="IM",3,(IF(E1993="MI",4,(IF(E1993="RP",5,(IF(E1993="SC",6,0)))))))))))))))))))))))))))))))))))))))</f>
        <v>3</v>
      </c>
      <c r="G1993" s="170">
        <v>4</v>
      </c>
      <c r="H1993" s="38" t="s">
        <v>596</v>
      </c>
      <c r="I1993" s="3" t="s">
        <v>1449</v>
      </c>
      <c r="J1993" s="157" t="s">
        <v>2997</v>
      </c>
      <c r="K1993" s="34" t="s">
        <v>2998</v>
      </c>
      <c r="L1993" s="5">
        <f>IF(O1993="","",N1993*O1993*M1993)</f>
        <v>99</v>
      </c>
      <c r="M1993" s="8">
        <v>1</v>
      </c>
      <c r="N1993" s="1">
        <v>1</v>
      </c>
      <c r="O1993" s="15">
        <f>IF(SUM(Q1993:AF1993)&lt;1,"",SUM(Q1993:AF1993)/COUNTIF(Q1993:AF1993,"&gt;0"))</f>
        <v>99</v>
      </c>
      <c r="P1993" s="16"/>
      <c r="Q1993" s="13"/>
      <c r="R1993" s="4"/>
      <c r="S1993" s="4"/>
      <c r="T1993" s="4">
        <v>99</v>
      </c>
      <c r="U1993" s="2"/>
      <c r="V1993" s="2"/>
      <c r="W1993" s="2"/>
      <c r="X1993" s="2"/>
      <c r="Y1993" s="4"/>
      <c r="Z1993" s="2"/>
      <c r="AA1993" s="2"/>
      <c r="AB1993" s="4"/>
      <c r="AC1993" s="4"/>
      <c r="AD1993" s="4"/>
      <c r="AE1993" s="4"/>
      <c r="AF1993" s="14"/>
    </row>
    <row r="1994" spans="1:32" x14ac:dyDescent="0.25">
      <c r="A1994" s="33" t="str">
        <f>CONCATENATE(D1994,".",F1994,"-",G1994,".",H1994,"")</f>
        <v>3.3-5.0</v>
      </c>
      <c r="B1994" s="33" t="s">
        <v>814</v>
      </c>
      <c r="C1994" s="40" t="s">
        <v>336</v>
      </c>
      <c r="D1994" s="33">
        <f>IF(C1994="ID",1,(IF(C1994="PR",2,(IF(C1994="DE",3,(IF(C1994="RS",4,(IF(C1994="RC",5,0)))))))))</f>
        <v>3</v>
      </c>
      <c r="E1994" s="33" t="s">
        <v>347</v>
      </c>
      <c r="F1994" s="33">
        <f>IF(E1994="AM",1,(IF(E1994="BE",2,(IF(E1994="GV",3,(IF(E1994="RA",4,(IF(E1994="RM",5,(IF(E1994="AC",1,(IF(E1994="AT",2,(IF(E1994="DS",3,(IF(E1994="IP",4,(IF(E1994="MA",5,(IF(E1994="PT",6,(IF(E1994="AE",1,(IF(E1994="CM",2,(IF(E1994="DP",3,(IF(E1994="AN",1,(IF(E1994="CO",2,(IF(E1994="IM",3,(IF(E1994="MI",4,(IF(E1994="RP",5,(IF(E1994="SC",6,0)))))))))))))))))))))))))))))))))))))))</f>
        <v>3</v>
      </c>
      <c r="G1994" s="170">
        <v>5</v>
      </c>
      <c r="H1994" s="38" t="s">
        <v>597</v>
      </c>
      <c r="I1994" s="22" t="s">
        <v>1200</v>
      </c>
      <c r="J1994" s="149" t="s">
        <v>641</v>
      </c>
      <c r="K1994" s="99" t="s">
        <v>418</v>
      </c>
      <c r="L1994" s="66">
        <f>IF(O1994="","",N1994*O1994*M1994)</f>
        <v>75</v>
      </c>
      <c r="M1994" s="8">
        <v>1</v>
      </c>
      <c r="N1994" s="1">
        <v>1</v>
      </c>
      <c r="O1994" s="15">
        <f>IF(SUM(Q1994:AF1994)&lt;1,"",SUM(Q1994:AF1994)/COUNTIF(Q1994:AF1994,"&gt;0"))</f>
        <v>75</v>
      </c>
      <c r="P1994" s="16"/>
      <c r="Q1994" s="13"/>
      <c r="R1994" s="4"/>
      <c r="S1994" s="4"/>
      <c r="T1994" s="4">
        <v>75</v>
      </c>
      <c r="U1994" s="2"/>
      <c r="V1994" s="2"/>
      <c r="W1994" s="2"/>
      <c r="X1994" s="2"/>
      <c r="Y1994" s="4"/>
      <c r="Z1994" s="2"/>
      <c r="AA1994" s="2"/>
      <c r="AB1994" s="4"/>
      <c r="AC1994" s="4"/>
      <c r="AD1994" s="4"/>
      <c r="AE1994" s="4"/>
      <c r="AF1994" s="14"/>
    </row>
    <row r="1995" spans="1:32" x14ac:dyDescent="0.25">
      <c r="A1995" s="33" t="str">
        <f>CONCATENATE(D1995,".",F1995,"-",G1995,".",H1995,"")</f>
        <v>3.3-5.1</v>
      </c>
      <c r="B1995" s="33" t="s">
        <v>814</v>
      </c>
      <c r="C1995" s="40" t="s">
        <v>336</v>
      </c>
      <c r="D1995" s="33">
        <f>IF(C1995="ID",1,(IF(C1995="PR",2,(IF(C1995="DE",3,(IF(C1995="RS",4,(IF(C1995="RC",5,0)))))))))</f>
        <v>3</v>
      </c>
      <c r="E1995" s="33" t="s">
        <v>347</v>
      </c>
      <c r="F1995" s="33">
        <f>IF(E1995="AM",1,(IF(E1995="BE",2,(IF(E1995="GV",3,(IF(E1995="RA",4,(IF(E1995="RM",5,(IF(E1995="AC",1,(IF(E1995="AT",2,(IF(E1995="DS",3,(IF(E1995="IP",4,(IF(E1995="MA",5,(IF(E1995="PT",6,(IF(E1995="AE",1,(IF(E1995="CM",2,(IF(E1995="DP",3,(IF(E1995="AN",1,(IF(E1995="CO",2,(IF(E1995="IM",3,(IF(E1995="MI",4,(IF(E1995="RP",5,(IF(E1995="SC",6,0)))))))))))))))))))))))))))))))))))))))</f>
        <v>3</v>
      </c>
      <c r="G1995" s="171">
        <v>5</v>
      </c>
      <c r="H1995" s="38" t="s">
        <v>511</v>
      </c>
      <c r="I1995" s="3" t="s">
        <v>821</v>
      </c>
      <c r="J1995" s="149">
        <v>11.4</v>
      </c>
      <c r="K1995" s="79" t="s">
        <v>1283</v>
      </c>
      <c r="L1995" s="66">
        <f>IF(O1995="","",N1995*O1995*M1995)</f>
        <v>75</v>
      </c>
      <c r="M1995" s="8">
        <v>1</v>
      </c>
      <c r="N1995" s="1">
        <v>1</v>
      </c>
      <c r="O1995" s="15">
        <f>IF(SUM(Q1995:AF1995)&lt;1,"",SUM(Q1995:AF1995)/COUNTIF(Q1995:AF1995,"&gt;0"))</f>
        <v>75</v>
      </c>
      <c r="P1995" s="16"/>
      <c r="Q1995" s="13"/>
      <c r="R1995" s="4"/>
      <c r="S1995" s="4"/>
      <c r="T1995" s="4">
        <v>75</v>
      </c>
      <c r="U1995" s="2"/>
      <c r="V1995" s="2"/>
      <c r="W1995" s="2"/>
      <c r="X1995" s="2"/>
      <c r="Y1995" s="4"/>
      <c r="Z1995" s="2"/>
      <c r="AA1995" s="2"/>
      <c r="AB1995" s="4"/>
      <c r="AC1995" s="4"/>
      <c r="AD1995" s="4"/>
      <c r="AE1995" s="4"/>
      <c r="AF1995" s="14"/>
    </row>
    <row r="1996" spans="1:32" x14ac:dyDescent="0.25">
      <c r="A1996" s="33" t="str">
        <f>CONCATENATE(D1996,".",F1996,"-",G1996,".",H1996,"")</f>
        <v>3.3-5.1</v>
      </c>
      <c r="B1996" s="33" t="s">
        <v>814</v>
      </c>
      <c r="C1996" s="40" t="s">
        <v>336</v>
      </c>
      <c r="D1996" s="33">
        <f>IF(C1996="ID",1,(IF(C1996="PR",2,(IF(C1996="DE",3,(IF(C1996="RS",4,(IF(C1996="RC",5,0)))))))))</f>
        <v>3</v>
      </c>
      <c r="E1996" s="33" t="s">
        <v>347</v>
      </c>
      <c r="F1996" s="33">
        <f>IF(E1996="AM",1,(IF(E1996="BE",2,(IF(E1996="GV",3,(IF(E1996="RA",4,(IF(E1996="RM",5,(IF(E1996="AC",1,(IF(E1996="AT",2,(IF(E1996="DS",3,(IF(E1996="IP",4,(IF(E1996="MA",5,(IF(E1996="PT",6,(IF(E1996="AE",1,(IF(E1996="CM",2,(IF(E1996="DP",3,(IF(E1996="AN",1,(IF(E1996="CO",2,(IF(E1996="IM",3,(IF(E1996="MI",4,(IF(E1996="RP",5,(IF(E1996="SC",6,0)))))))))))))))))))))))))))))))))))))))</f>
        <v>3</v>
      </c>
      <c r="G1996" s="171">
        <v>5</v>
      </c>
      <c r="H1996" s="38" t="s">
        <v>511</v>
      </c>
      <c r="I1996" s="22" t="s">
        <v>936</v>
      </c>
      <c r="J1996" s="163" t="s">
        <v>869</v>
      </c>
      <c r="K1996" s="34" t="s">
        <v>992</v>
      </c>
      <c r="L1996" s="66">
        <f>IF(O1996="","",N1996*O1996*M1996)</f>
        <v>75</v>
      </c>
      <c r="M1996" s="8">
        <v>1</v>
      </c>
      <c r="N1996" s="3">
        <v>1</v>
      </c>
      <c r="O1996" s="15">
        <f>IF(SUM(Q1996:AF1996)&lt;1,"",SUM(Q1996:AF1996)/COUNTIF(Q1996:AF1996,"&gt;0"))</f>
        <v>75</v>
      </c>
      <c r="P1996" s="16"/>
      <c r="Q1996" s="13"/>
      <c r="R1996" s="4"/>
      <c r="S1996" s="4"/>
      <c r="T1996" s="4">
        <v>75</v>
      </c>
      <c r="U1996" s="2"/>
      <c r="V1996" s="2"/>
      <c r="W1996" s="2"/>
      <c r="X1996" s="2"/>
      <c r="Y1996" s="4"/>
      <c r="Z1996" s="2"/>
      <c r="AA1996" s="2"/>
      <c r="AB1996" s="4"/>
      <c r="AC1996" s="4"/>
      <c r="AD1996" s="4"/>
      <c r="AE1996" s="4"/>
      <c r="AF1996" s="14"/>
    </row>
    <row r="1997" spans="1:32" x14ac:dyDescent="0.25">
      <c r="A1997" s="33" t="str">
        <f>CONCATENATE(D1997,".",F1997,"-",G1997,".",H1997,"")</f>
        <v>3.3-5.1</v>
      </c>
      <c r="B1997" s="33" t="s">
        <v>814</v>
      </c>
      <c r="C1997" s="40" t="s">
        <v>336</v>
      </c>
      <c r="D1997" s="33">
        <f>IF(C1997="ID",1,(IF(C1997="PR",2,(IF(C1997="DE",3,(IF(C1997="RS",4,(IF(C1997="RC",5,0)))))))))</f>
        <v>3</v>
      </c>
      <c r="E1997" s="33" t="s">
        <v>347</v>
      </c>
      <c r="F1997" s="33">
        <f>IF(E1997="AM",1,(IF(E1997="BE",2,(IF(E1997="GV",3,(IF(E1997="RA",4,(IF(E1997="RM",5,(IF(E1997="AC",1,(IF(E1997="AT",2,(IF(E1997="DS",3,(IF(E1997="IP",4,(IF(E1997="MA",5,(IF(E1997="PT",6,(IF(E1997="AE",1,(IF(E1997="CM",2,(IF(E1997="DP",3,(IF(E1997="AN",1,(IF(E1997="CO",2,(IF(E1997="IM",3,(IF(E1997="MI",4,(IF(E1997="RP",5,(IF(E1997="SC",6,0)))))))))))))))))))))))))))))))))))))))</f>
        <v>3</v>
      </c>
      <c r="G1997" s="171">
        <v>5</v>
      </c>
      <c r="H1997" s="38" t="s">
        <v>511</v>
      </c>
      <c r="I1997" s="22" t="s">
        <v>936</v>
      </c>
      <c r="J1997" s="163" t="s">
        <v>896</v>
      </c>
      <c r="K1997" s="34" t="s">
        <v>1020</v>
      </c>
      <c r="L1997" s="66">
        <f>IF(O1997="","",N1997*O1997*M1997)</f>
        <v>75</v>
      </c>
      <c r="M1997" s="8">
        <v>1</v>
      </c>
      <c r="N1997" s="3">
        <v>1</v>
      </c>
      <c r="O1997" s="15">
        <f>IF(SUM(Q1997:AF1997)&lt;1,"",SUM(Q1997:AF1997)/COUNTIF(Q1997:AF1997,"&gt;0"))</f>
        <v>75</v>
      </c>
      <c r="P1997" s="16"/>
      <c r="Q1997" s="13"/>
      <c r="R1997" s="4"/>
      <c r="S1997" s="4"/>
      <c r="T1997" s="4">
        <v>75</v>
      </c>
      <c r="U1997" s="2"/>
      <c r="V1997" s="2"/>
      <c r="W1997" s="2"/>
      <c r="X1997" s="2"/>
      <c r="Y1997" s="4"/>
      <c r="Z1997" s="2"/>
      <c r="AA1997" s="2"/>
      <c r="AB1997" s="4"/>
      <c r="AC1997" s="4"/>
      <c r="AD1997" s="4"/>
      <c r="AE1997" s="4"/>
      <c r="AF1997" s="14"/>
    </row>
    <row r="1998" spans="1:32" x14ac:dyDescent="0.25">
      <c r="A1998" s="33" t="str">
        <f>CONCATENATE(D1998,".",F1998,"-",G1998,".",H1998,"")</f>
        <v>3.3-5.1</v>
      </c>
      <c r="B1998" s="33" t="s">
        <v>814</v>
      </c>
      <c r="C1998" s="40" t="s">
        <v>336</v>
      </c>
      <c r="D1998" s="33">
        <f>IF(C1998="ID",1,(IF(C1998="PR",2,(IF(C1998="DE",3,(IF(C1998="RS",4,(IF(C1998="RC",5,0)))))))))</f>
        <v>3</v>
      </c>
      <c r="E1998" s="33" t="s">
        <v>347</v>
      </c>
      <c r="F1998" s="33">
        <f>IF(E1998="AM",1,(IF(E1998="BE",2,(IF(E1998="GV",3,(IF(E1998="RA",4,(IF(E1998="RM",5,(IF(E1998="AC",1,(IF(E1998="AT",2,(IF(E1998="DS",3,(IF(E1998="IP",4,(IF(E1998="MA",5,(IF(E1998="PT",6,(IF(E1998="AE",1,(IF(E1998="CM",2,(IF(E1998="DP",3,(IF(E1998="AN",1,(IF(E1998="CO",2,(IF(E1998="IM",3,(IF(E1998="MI",4,(IF(E1998="RP",5,(IF(E1998="SC",6,0)))))))))))))))))))))))))))))))))))))))</f>
        <v>3</v>
      </c>
      <c r="G1998" s="171">
        <v>5</v>
      </c>
      <c r="H1998" s="38" t="s">
        <v>511</v>
      </c>
      <c r="I1998" s="3" t="s">
        <v>821</v>
      </c>
      <c r="J1998" s="150" t="s">
        <v>139</v>
      </c>
      <c r="K1998" s="79" t="s">
        <v>1283</v>
      </c>
      <c r="L1998" s="66">
        <f>IF(O1998="","",N1998*O1998*M1998)</f>
        <v>75</v>
      </c>
      <c r="M1998" s="8">
        <v>1</v>
      </c>
      <c r="N1998" s="3">
        <v>1</v>
      </c>
      <c r="O1998" s="15">
        <f>IF(SUM(Q1998:AF1998)&lt;1,"",SUM(Q1998:AF1998)/COUNTIF(Q1998:AF1998,"&gt;0"))</f>
        <v>75</v>
      </c>
      <c r="P1998" s="16"/>
      <c r="Q1998" s="13"/>
      <c r="R1998" s="4"/>
      <c r="S1998" s="4"/>
      <c r="T1998" s="4">
        <v>75</v>
      </c>
      <c r="U1998" s="2"/>
      <c r="V1998" s="2"/>
      <c r="W1998" s="2"/>
      <c r="X1998" s="2"/>
      <c r="Y1998" s="4"/>
      <c r="Z1998" s="2"/>
      <c r="AA1998" s="2"/>
      <c r="AB1998" s="4"/>
      <c r="AC1998" s="4"/>
      <c r="AD1998" s="4"/>
      <c r="AE1998" s="4"/>
      <c r="AF1998" s="14"/>
    </row>
    <row r="1999" spans="1:32" x14ac:dyDescent="0.25">
      <c r="A1999" s="33" t="str">
        <f>CONCATENATE(D1999,".",F1999,"-",G1999,".",H1999,"")</f>
        <v>3.3-5.1</v>
      </c>
      <c r="B1999" s="33" t="s">
        <v>814</v>
      </c>
      <c r="C1999" s="39" t="s">
        <v>336</v>
      </c>
      <c r="D1999" s="33">
        <f>IF(C1999="ID",1,(IF(C1999="PR",2,(IF(C1999="DE",3,(IF(C1999="RS",4,(IF(C1999="RC",5,0)))))))))</f>
        <v>3</v>
      </c>
      <c r="E1999" s="33" t="s">
        <v>347</v>
      </c>
      <c r="F1999" s="33">
        <f>IF(E1999="AM",1,(IF(E1999="BE",2,(IF(E1999="GV",3,(IF(E1999="RA",4,(IF(E1999="RM",5,(IF(E1999="AC",1,(IF(E1999="AT",2,(IF(E1999="DS",3,(IF(E1999="IP",4,(IF(E1999="MA",5,(IF(E1999="PT",6,(IF(E1999="AE",1,(IF(E1999="CM",2,(IF(E1999="DP",3,(IF(E1999="AN",1,(IF(E1999="CO",2,(IF(E1999="IM",3,(IF(E1999="MI",4,(IF(E1999="RP",5,(IF(E1999="SC",6,0)))))))))))))))))))))))))))))))))))))))</f>
        <v>3</v>
      </c>
      <c r="G1999" s="170">
        <v>5</v>
      </c>
      <c r="H1999" s="38" t="s">
        <v>511</v>
      </c>
      <c r="I1999" s="3" t="s">
        <v>821</v>
      </c>
      <c r="J1999" s="150" t="s">
        <v>84</v>
      </c>
      <c r="K1999" s="79" t="s">
        <v>1283</v>
      </c>
      <c r="L1999" s="66">
        <f>IF(O1999="","",N1999*O1999*M1999)</f>
        <v>75</v>
      </c>
      <c r="M1999" s="8">
        <v>1</v>
      </c>
      <c r="N1999" s="3">
        <v>1</v>
      </c>
      <c r="O1999" s="15">
        <f>IF(SUM(Q1999:AF1999)&lt;1,"",SUM(Q1999:AF1999)/COUNTIF(Q1999:AF1999,"&gt;0"))</f>
        <v>75</v>
      </c>
      <c r="P1999" s="16"/>
      <c r="Q1999" s="13"/>
      <c r="R1999" s="4"/>
      <c r="S1999" s="4"/>
      <c r="T1999" s="4">
        <v>75</v>
      </c>
      <c r="U1999" s="2"/>
      <c r="V1999" s="2"/>
      <c r="W1999" s="2"/>
      <c r="X1999" s="2"/>
      <c r="Y1999" s="4"/>
      <c r="Z1999" s="2"/>
      <c r="AA1999" s="2"/>
      <c r="AB1999" s="4"/>
      <c r="AC1999" s="4"/>
      <c r="AD1999" s="4"/>
      <c r="AE1999" s="4"/>
      <c r="AF1999" s="14"/>
    </row>
    <row r="2000" spans="1:32" x14ac:dyDescent="0.25">
      <c r="A2000" s="33" t="str">
        <f>CONCATENATE(D2000,".",F2000,"-",G2000,".",H2000,"")</f>
        <v>3.3-5.1</v>
      </c>
      <c r="B2000" s="33" t="s">
        <v>814</v>
      </c>
      <c r="C2000" s="41" t="s">
        <v>336</v>
      </c>
      <c r="D2000" s="33">
        <f>IF(C2000="ID",1,(IF(C2000="PR",2,(IF(C2000="DE",3,(IF(C2000="RS",4,(IF(C2000="RC",5,0)))))))))</f>
        <v>3</v>
      </c>
      <c r="E2000" s="33" t="s">
        <v>347</v>
      </c>
      <c r="F2000" s="33">
        <f>IF(E2000="AM",1,(IF(E2000="BE",2,(IF(E2000="GV",3,(IF(E2000="RA",4,(IF(E2000="RM",5,(IF(E2000="AC",1,(IF(E2000="AT",2,(IF(E2000="DS",3,(IF(E2000="IP",4,(IF(E2000="MA",5,(IF(E2000="PT",6,(IF(E2000="AE",1,(IF(E2000="CM",2,(IF(E2000="DP",3,(IF(E2000="AN",1,(IF(E2000="CO",2,(IF(E2000="IM",3,(IF(E2000="MI",4,(IF(E2000="RP",5,(IF(E2000="SC",6,0)))))))))))))))))))))))))))))))))))))))</f>
        <v>3</v>
      </c>
      <c r="G2000" s="170">
        <v>5</v>
      </c>
      <c r="H2000" s="38" t="s">
        <v>511</v>
      </c>
      <c r="I2000" s="22" t="s">
        <v>266</v>
      </c>
      <c r="J2000" s="149" t="s">
        <v>282</v>
      </c>
      <c r="K2000" s="79" t="s">
        <v>1371</v>
      </c>
      <c r="L2000" s="5">
        <f>IF(O2000="","",N2000*O2000*M2000)</f>
        <v>75</v>
      </c>
      <c r="M2000" s="8">
        <v>1</v>
      </c>
      <c r="N2000" s="1">
        <v>1</v>
      </c>
      <c r="O2000" s="15">
        <f>IF(SUM(Q2000:AF2000)&lt;1,"",SUM(Q2000:AF2000)/COUNTIF(Q2000:AF2000,"&gt;0"))</f>
        <v>75</v>
      </c>
      <c r="P2000" s="16"/>
      <c r="Q2000" s="13"/>
      <c r="R2000" s="4"/>
      <c r="S2000" s="4"/>
      <c r="T2000" s="4">
        <v>75</v>
      </c>
      <c r="U2000" s="2"/>
      <c r="V2000" s="2"/>
      <c r="W2000" s="2"/>
      <c r="X2000" s="2"/>
      <c r="Y2000" s="4"/>
      <c r="Z2000" s="2"/>
      <c r="AA2000" s="2"/>
      <c r="AB2000" s="4"/>
      <c r="AC2000" s="4"/>
      <c r="AD2000" s="4"/>
      <c r="AE2000" s="4"/>
      <c r="AF2000" s="14"/>
    </row>
    <row r="2001" spans="1:32" x14ac:dyDescent="0.25">
      <c r="A2001" s="33" t="str">
        <f>CONCATENATE(D2001,".",F2001,"-",G2001,".",H2001,"")</f>
        <v>3.3-5.1</v>
      </c>
      <c r="B2001" s="33" t="s">
        <v>814</v>
      </c>
      <c r="C2001" s="39" t="s">
        <v>336</v>
      </c>
      <c r="D2001" s="33">
        <f>IF(C2001="ID",1,(IF(C2001="PR",2,(IF(C2001="DE",3,(IF(C2001="RS",4,(IF(C2001="RC",5,0)))))))))</f>
        <v>3</v>
      </c>
      <c r="E2001" s="33" t="s">
        <v>347</v>
      </c>
      <c r="F2001" s="33">
        <f>IF(E2001="AM",1,(IF(E2001="BE",2,(IF(E2001="GV",3,(IF(E2001="RA",4,(IF(E2001="RM",5,(IF(E2001="AC",1,(IF(E2001="AT",2,(IF(E2001="DS",3,(IF(E2001="IP",4,(IF(E2001="MA",5,(IF(E2001="PT",6,(IF(E2001="AE",1,(IF(E2001="CM",2,(IF(E2001="DP",3,(IF(E2001="AN",1,(IF(E2001="CO",2,(IF(E2001="IM",3,(IF(E2001="MI",4,(IF(E2001="RP",5,(IF(E2001="SC",6,0)))))))))))))))))))))))))))))))))))))))</f>
        <v>3</v>
      </c>
      <c r="G2001" s="170">
        <v>5</v>
      </c>
      <c r="H2001" s="38" t="s">
        <v>511</v>
      </c>
      <c r="I2001" s="3" t="s">
        <v>1449</v>
      </c>
      <c r="J2001" s="157" t="s">
        <v>1759</v>
      </c>
      <c r="K2001" s="34" t="s">
        <v>1760</v>
      </c>
      <c r="L2001" s="5">
        <f>IF(O2001="","",N2001*O2001*M2001)</f>
        <v>99</v>
      </c>
      <c r="M2001" s="8">
        <v>1</v>
      </c>
      <c r="N2001" s="1">
        <v>1</v>
      </c>
      <c r="O2001" s="15">
        <f>IF(SUM(Q2001:AF2001)&lt;1,"",SUM(Q2001:AF2001)/COUNTIF(Q2001:AF2001,"&gt;0"))</f>
        <v>99</v>
      </c>
      <c r="P2001" s="16"/>
      <c r="Q2001" s="13"/>
      <c r="R2001" s="4"/>
      <c r="S2001" s="4"/>
      <c r="T2001" s="4">
        <v>99</v>
      </c>
      <c r="U2001" s="2"/>
      <c r="V2001" s="2"/>
      <c r="W2001" s="2"/>
      <c r="X2001" s="2"/>
      <c r="Y2001" s="4"/>
      <c r="Z2001" s="2"/>
      <c r="AA2001" s="2"/>
      <c r="AB2001" s="4"/>
      <c r="AC2001" s="4"/>
      <c r="AD2001" s="4"/>
      <c r="AE2001" s="4"/>
      <c r="AF2001" s="14"/>
    </row>
    <row r="2002" spans="1:32" x14ac:dyDescent="0.25">
      <c r="A2002" s="33" t="str">
        <f>CONCATENATE(D2002,".",F2002,"-",G2002,".",H2002,"")</f>
        <v>4.0-0.1</v>
      </c>
      <c r="B2002" s="33" t="s">
        <v>814</v>
      </c>
      <c r="C2002" s="40" t="s">
        <v>337</v>
      </c>
      <c r="D2002" s="33">
        <f>IF(C2002="ID",1,(IF(C2002="PR",2,(IF(C2002="DE",3,(IF(C2002="RS",4,(IF(C2002="RC",5,0)))))))))</f>
        <v>4</v>
      </c>
      <c r="E2002" s="33">
        <v>0</v>
      </c>
      <c r="F2002" s="33">
        <f>IF(E2002="AM",1,(IF(E2002="BE",2,(IF(E2002="GV",3,(IF(E2002="RA",4,(IF(E2002="RM",5,(IF(E2002="AC",1,(IF(E2002="AT",2,(IF(E2002="DS",3,(IF(E2002="IP",4,(IF(E2002="MA",5,(IF(E2002="PT",6,(IF(E2002="AE",1,(IF(E2002="CM",2,(IF(E2002="DP",3,(IF(E2002="AN",1,(IF(E2002="CO",2,(IF(E2002="IM",3,(IF(E2002="MI",4,(IF(E2002="RP",5,(IF(E2002="SC",6,0)))))))))))))))))))))))))))))))))))))))</f>
        <v>0</v>
      </c>
      <c r="G2002" s="170">
        <v>0</v>
      </c>
      <c r="H2002" s="38" t="s">
        <v>511</v>
      </c>
      <c r="I2002" s="3" t="s">
        <v>821</v>
      </c>
      <c r="J2002" s="150" t="s">
        <v>822</v>
      </c>
      <c r="K2002" s="79" t="s">
        <v>1283</v>
      </c>
      <c r="L2002" s="66">
        <f>IF(O2002="","",N2002*O2002*M2002)</f>
        <v>75</v>
      </c>
      <c r="M2002" s="8">
        <v>1</v>
      </c>
      <c r="N2002" s="3">
        <v>1</v>
      </c>
      <c r="O2002" s="15">
        <f>IF(SUM(Q2002:AF2002)&lt;1,"",SUM(Q2002:AF2002)/COUNTIF(Q2002:AF2002,"&gt;0"))</f>
        <v>75</v>
      </c>
      <c r="P2002" s="16"/>
      <c r="Q2002" s="13"/>
      <c r="R2002" s="4"/>
      <c r="S2002" s="4"/>
      <c r="T2002" s="4">
        <v>75</v>
      </c>
      <c r="U2002" s="2"/>
      <c r="V2002" s="2"/>
      <c r="W2002" s="2"/>
      <c r="X2002" s="2"/>
      <c r="Y2002" s="4"/>
      <c r="Z2002" s="2"/>
      <c r="AA2002" s="2"/>
      <c r="AB2002" s="4"/>
      <c r="AC2002" s="4"/>
      <c r="AD2002" s="4"/>
      <c r="AE2002" s="4"/>
      <c r="AF2002" s="14"/>
    </row>
    <row r="2003" spans="1:32" x14ac:dyDescent="0.25">
      <c r="A2003" s="33" t="str">
        <f>CONCATENATE(D2003,".",F2003,"-",G2003,".",H2003,"")</f>
        <v>4.1-0.0</v>
      </c>
      <c r="B2003" s="33" t="s">
        <v>1229</v>
      </c>
      <c r="C2003" s="40" t="s">
        <v>337</v>
      </c>
      <c r="D2003" s="33">
        <f>IF(C2003="ID",1,(IF(C2003="PR",2,(IF(C2003="DE",3,(IF(C2003="RS",4,(IF(C2003="RC",5,0)))))))))</f>
        <v>4</v>
      </c>
      <c r="E2003" s="33" t="s">
        <v>350</v>
      </c>
      <c r="F2003" s="33">
        <f>IF(E2003="AM",1,(IF(E2003="BE",2,(IF(E2003="GV",3,(IF(E2003="RA",4,(IF(E2003="RM",5,(IF(E2003="AC",1,(IF(E2003="AT",2,(IF(E2003="DS",3,(IF(E2003="IP",4,(IF(E2003="MA",5,(IF(E2003="PT",6,(IF(E2003="AE",1,(IF(E2003="CM",2,(IF(E2003="DP",3,(IF(E2003="AN",1,(IF(E2003="CO",2,(IF(E2003="IM",3,(IF(E2003="MI",4,(IF(E2003="RP",5,(IF(E2003="SC",6,0)))))))))))))))))))))))))))))))))))))))</f>
        <v>1</v>
      </c>
      <c r="G2003" s="170">
        <v>0</v>
      </c>
      <c r="H2003" s="38" t="s">
        <v>597</v>
      </c>
      <c r="I2003" s="22" t="s">
        <v>1200</v>
      </c>
      <c r="J2003" s="167" t="s">
        <v>706</v>
      </c>
      <c r="K2003" s="100" t="s">
        <v>741</v>
      </c>
      <c r="L2003" s="5" t="str">
        <f>IF(O2003="","",N2003*O2003*M2003)</f>
        <v/>
      </c>
      <c r="M2003" s="8">
        <v>1</v>
      </c>
      <c r="N2003" s="1">
        <v>1</v>
      </c>
      <c r="O2003" s="15" t="str">
        <f>IF(SUM(Q2003:AF2003)&lt;1,"",SUM(Q2003:AF2003)/COUNTIF(Q2003:AF2003,"&gt;0"))</f>
        <v/>
      </c>
      <c r="P2003" s="16"/>
      <c r="Q2003" s="13"/>
      <c r="R2003" s="4"/>
      <c r="S2003" s="4"/>
      <c r="T2003" s="2"/>
      <c r="U2003" s="2"/>
      <c r="V2003" s="2"/>
      <c r="W2003" s="2"/>
      <c r="X2003" s="2"/>
      <c r="Y2003" s="4"/>
      <c r="Z2003" s="2"/>
      <c r="AA2003" s="2"/>
      <c r="AB2003" s="4"/>
      <c r="AC2003" s="4"/>
      <c r="AD2003" s="4"/>
      <c r="AE2003" s="4"/>
      <c r="AF2003" s="14"/>
    </row>
    <row r="2004" spans="1:32" x14ac:dyDescent="0.25">
      <c r="A2004" s="33" t="str">
        <f>CONCATENATE(D2004,".",F2004,"-",G2004,".",H2004,"")</f>
        <v>4.1-0.1</v>
      </c>
      <c r="B2004" s="33" t="s">
        <v>1229</v>
      </c>
      <c r="C2004" s="40" t="s">
        <v>337</v>
      </c>
      <c r="D2004" s="33">
        <f>IF(C2004="ID",1,(IF(C2004="PR",2,(IF(C2004="DE",3,(IF(C2004="RS",4,(IF(C2004="RC",5,0)))))))))</f>
        <v>4</v>
      </c>
      <c r="E2004" s="33" t="s">
        <v>350</v>
      </c>
      <c r="F2004" s="33">
        <f>IF(E2004="AM",1,(IF(E2004="BE",2,(IF(E2004="GV",3,(IF(E2004="RA",4,(IF(E2004="RM",5,(IF(E2004="AC",1,(IF(E2004="AT",2,(IF(E2004="DS",3,(IF(E2004="IP",4,(IF(E2004="MA",5,(IF(E2004="PT",6,(IF(E2004="AE",1,(IF(E2004="CM",2,(IF(E2004="DP",3,(IF(E2004="AN",1,(IF(E2004="CO",2,(IF(E2004="IM",3,(IF(E2004="MI",4,(IF(E2004="RP",5,(IF(E2004="SC",6,0)))))))))))))))))))))))))))))))))))))))</f>
        <v>1</v>
      </c>
      <c r="G2004" s="170">
        <v>0</v>
      </c>
      <c r="H2004" s="38" t="s">
        <v>511</v>
      </c>
      <c r="I2004" s="22" t="s">
        <v>1200</v>
      </c>
      <c r="J2004" s="167" t="s">
        <v>706</v>
      </c>
      <c r="K2004" s="100" t="s">
        <v>758</v>
      </c>
      <c r="L2004" s="5" t="str">
        <f>IF(O2004="","",N2004*O2004*M2004)</f>
        <v/>
      </c>
      <c r="M2004" s="8">
        <v>1</v>
      </c>
      <c r="N2004" s="1">
        <v>1</v>
      </c>
      <c r="O2004" s="15" t="str">
        <f>IF(SUM(Q2004:AF2004)&lt;1,"",SUM(Q2004:AF2004)/COUNTIF(Q2004:AF2004,"&gt;0"))</f>
        <v/>
      </c>
      <c r="P2004" s="16"/>
      <c r="Q2004" s="13"/>
      <c r="R2004" s="4"/>
      <c r="S2004" s="4"/>
      <c r="T2004" s="2"/>
      <c r="U2004" s="2"/>
      <c r="V2004" s="2"/>
      <c r="W2004" s="2"/>
      <c r="X2004" s="2"/>
      <c r="Y2004" s="4"/>
      <c r="Z2004" s="2"/>
      <c r="AA2004" s="2"/>
      <c r="AB2004" s="4"/>
      <c r="AC2004" s="4"/>
      <c r="AD2004" s="4"/>
      <c r="AE2004" s="4"/>
      <c r="AF2004" s="14"/>
    </row>
    <row r="2005" spans="1:32" x14ac:dyDescent="0.25">
      <c r="A2005" s="33" t="str">
        <f>CONCATENATE(D2005,".",F2005,"-",G2005,".",H2005,"")</f>
        <v>4.1-1.0</v>
      </c>
      <c r="B2005" s="33" t="s">
        <v>814</v>
      </c>
      <c r="C2005" s="40" t="s">
        <v>337</v>
      </c>
      <c r="D2005" s="33">
        <f>IF(C2005="ID",1,(IF(C2005="PR",2,(IF(C2005="DE",3,(IF(C2005="RS",4,(IF(C2005="RC",5,0)))))))))</f>
        <v>4</v>
      </c>
      <c r="E2005" s="33" t="s">
        <v>350</v>
      </c>
      <c r="F2005" s="33">
        <f>IF(E2005="AM",1,(IF(E2005="BE",2,(IF(E2005="GV",3,(IF(E2005="RA",4,(IF(E2005="RM",5,(IF(E2005="AC",1,(IF(E2005="AT",2,(IF(E2005="DS",3,(IF(E2005="IP",4,(IF(E2005="MA",5,(IF(E2005="PT",6,(IF(E2005="AE",1,(IF(E2005="CM",2,(IF(E2005="DP",3,(IF(E2005="AN",1,(IF(E2005="CO",2,(IF(E2005="IM",3,(IF(E2005="MI",4,(IF(E2005="RP",5,(IF(E2005="SC",6,0)))))))))))))))))))))))))))))))))))))))</f>
        <v>1</v>
      </c>
      <c r="G2005" s="170">
        <v>1</v>
      </c>
      <c r="H2005" s="38" t="s">
        <v>597</v>
      </c>
      <c r="I2005" s="22" t="s">
        <v>1200</v>
      </c>
      <c r="J2005" s="149" t="s">
        <v>620</v>
      </c>
      <c r="K2005" s="100" t="s">
        <v>425</v>
      </c>
      <c r="L2005" s="5">
        <f>IF(O2005="","",N2005*O2005*M2005)</f>
        <v>75</v>
      </c>
      <c r="M2005" s="8">
        <v>1</v>
      </c>
      <c r="N2005" s="1">
        <v>1</v>
      </c>
      <c r="O2005" s="15">
        <f>IF(SUM(Q2005:AF2005)&lt;1,"",SUM(Q2005:AF2005)/COUNTIF(Q2005:AF2005,"&gt;0"))</f>
        <v>75</v>
      </c>
      <c r="P2005" s="16"/>
      <c r="Q2005" s="13"/>
      <c r="R2005" s="4"/>
      <c r="S2005" s="4"/>
      <c r="T2005" s="4">
        <v>75</v>
      </c>
      <c r="U2005" s="2"/>
      <c r="V2005" s="2"/>
      <c r="W2005" s="2"/>
      <c r="X2005" s="2"/>
      <c r="Y2005" s="4"/>
      <c r="Z2005" s="2"/>
      <c r="AA2005" s="2"/>
      <c r="AB2005" s="4"/>
      <c r="AC2005" s="4"/>
      <c r="AD2005" s="4"/>
      <c r="AE2005" s="4"/>
      <c r="AF2005" s="14"/>
    </row>
    <row r="2006" spans="1:32" x14ac:dyDescent="0.25">
      <c r="A2006" s="33" t="str">
        <f>CONCATENATE(D2006,".",F2006,"-",G2006,".",H2006,"")</f>
        <v>4.1-1.1</v>
      </c>
      <c r="B2006" s="33" t="s">
        <v>814</v>
      </c>
      <c r="C2006" s="40" t="s">
        <v>337</v>
      </c>
      <c r="D2006" s="33">
        <f>IF(C2006="ID",1,(IF(C2006="PR",2,(IF(C2006="DE",3,(IF(C2006="RS",4,(IF(C2006="RC",5,0)))))))))</f>
        <v>4</v>
      </c>
      <c r="E2006" s="33" t="s">
        <v>350</v>
      </c>
      <c r="F2006" s="33">
        <f>IF(E2006="AM",1,(IF(E2006="BE",2,(IF(E2006="GV",3,(IF(E2006="RA",4,(IF(E2006="RM",5,(IF(E2006="AC",1,(IF(E2006="AT",2,(IF(E2006="DS",3,(IF(E2006="IP",4,(IF(E2006="MA",5,(IF(E2006="PT",6,(IF(E2006="AE",1,(IF(E2006="CM",2,(IF(E2006="DP",3,(IF(E2006="AN",1,(IF(E2006="CO",2,(IF(E2006="IM",3,(IF(E2006="MI",4,(IF(E2006="RP",5,(IF(E2006="SC",6,0)))))))))))))))))))))))))))))))))))))))</f>
        <v>1</v>
      </c>
      <c r="G2006" s="171">
        <v>1</v>
      </c>
      <c r="H2006" s="38" t="s">
        <v>511</v>
      </c>
      <c r="I2006" s="3" t="s">
        <v>821</v>
      </c>
      <c r="J2006" s="149">
        <v>10.6</v>
      </c>
      <c r="K2006" s="79" t="s">
        <v>1283</v>
      </c>
      <c r="L2006" s="66">
        <f>IF(O2006="","",N2006*O2006*M2006)</f>
        <v>75</v>
      </c>
      <c r="M2006" s="8">
        <v>1</v>
      </c>
      <c r="N2006" s="1">
        <v>1</v>
      </c>
      <c r="O2006" s="15">
        <f>IF(SUM(Q2006:AF2006)&lt;1,"",SUM(Q2006:AF2006)/COUNTIF(Q2006:AF2006,"&gt;0"))</f>
        <v>75</v>
      </c>
      <c r="P2006" s="16"/>
      <c r="Q2006" s="13"/>
      <c r="R2006" s="4"/>
      <c r="S2006" s="4"/>
      <c r="T2006" s="4">
        <v>75</v>
      </c>
      <c r="U2006" s="2"/>
      <c r="V2006" s="2"/>
      <c r="W2006" s="2"/>
      <c r="X2006" s="2"/>
      <c r="Y2006" s="4"/>
      <c r="Z2006" s="2"/>
      <c r="AA2006" s="2"/>
      <c r="AB2006" s="4"/>
      <c r="AC2006" s="4"/>
      <c r="AD2006" s="4"/>
      <c r="AE2006" s="4"/>
      <c r="AF2006" s="14"/>
    </row>
    <row r="2007" spans="1:32" x14ac:dyDescent="0.25">
      <c r="A2007" s="33" t="str">
        <f>CONCATENATE(D2007,".",F2007,"-",G2007,".",H2007,"")</f>
        <v>4.1-1.1</v>
      </c>
      <c r="B2007" s="33" t="s">
        <v>814</v>
      </c>
      <c r="C2007" s="40" t="s">
        <v>337</v>
      </c>
      <c r="D2007" s="33">
        <f>IF(C2007="ID",1,(IF(C2007="PR",2,(IF(C2007="DE",3,(IF(C2007="RS",4,(IF(C2007="RC",5,0)))))))))</f>
        <v>4</v>
      </c>
      <c r="E2007" s="33" t="s">
        <v>350</v>
      </c>
      <c r="F2007" s="33">
        <f>IF(E2007="AM",1,(IF(E2007="BE",2,(IF(E2007="GV",3,(IF(E2007="RA",4,(IF(E2007="RM",5,(IF(E2007="AC",1,(IF(E2007="AT",2,(IF(E2007="DS",3,(IF(E2007="IP",4,(IF(E2007="MA",5,(IF(E2007="PT",6,(IF(E2007="AE",1,(IF(E2007="CM",2,(IF(E2007="DP",3,(IF(E2007="AN",1,(IF(E2007="CO",2,(IF(E2007="IM",3,(IF(E2007="MI",4,(IF(E2007="RP",5,(IF(E2007="SC",6,0)))))))))))))))))))))))))))))))))))))))</f>
        <v>1</v>
      </c>
      <c r="G2007" s="171">
        <v>1</v>
      </c>
      <c r="H2007" s="38" t="s">
        <v>511</v>
      </c>
      <c r="I2007" s="3" t="s">
        <v>821</v>
      </c>
      <c r="J2007" s="149">
        <v>11.4</v>
      </c>
      <c r="K2007" s="79" t="s">
        <v>1283</v>
      </c>
      <c r="L2007" s="66">
        <f>IF(O2007="","",N2007*O2007*M2007)</f>
        <v>75</v>
      </c>
      <c r="M2007" s="8">
        <v>1</v>
      </c>
      <c r="N2007" s="1">
        <v>1</v>
      </c>
      <c r="O2007" s="15">
        <f>IF(SUM(Q2007:AF2007)&lt;1,"",SUM(Q2007:AF2007)/COUNTIF(Q2007:AF2007,"&gt;0"))</f>
        <v>75</v>
      </c>
      <c r="P2007" s="16"/>
      <c r="Q2007" s="13"/>
      <c r="R2007" s="4"/>
      <c r="S2007" s="4"/>
      <c r="T2007" s="4">
        <v>75</v>
      </c>
      <c r="U2007" s="2"/>
      <c r="V2007" s="2"/>
      <c r="W2007" s="2"/>
      <c r="X2007" s="2"/>
      <c r="Y2007" s="4"/>
      <c r="Z2007" s="2"/>
      <c r="AA2007" s="2"/>
      <c r="AB2007" s="4"/>
      <c r="AC2007" s="4"/>
      <c r="AD2007" s="4"/>
      <c r="AE2007" s="4"/>
      <c r="AF2007" s="14"/>
    </row>
    <row r="2008" spans="1:32" x14ac:dyDescent="0.25">
      <c r="A2008" s="33" t="str">
        <f>CONCATENATE(D2008,".",F2008,"-",G2008,".",H2008,"")</f>
        <v>4.1-1.1</v>
      </c>
      <c r="B2008" s="33" t="s">
        <v>814</v>
      </c>
      <c r="C2008" s="40" t="s">
        <v>337</v>
      </c>
      <c r="D2008" s="33">
        <f>IF(C2008="ID",1,(IF(C2008="PR",2,(IF(C2008="DE",3,(IF(C2008="RS",4,(IF(C2008="RC",5,0)))))))))</f>
        <v>4</v>
      </c>
      <c r="E2008" s="33" t="s">
        <v>350</v>
      </c>
      <c r="F2008" s="33">
        <f>IF(E2008="AM",1,(IF(E2008="BE",2,(IF(E2008="GV",3,(IF(E2008="RA",4,(IF(E2008="RM",5,(IF(E2008="AC",1,(IF(E2008="AT",2,(IF(E2008="DS",3,(IF(E2008="IP",4,(IF(E2008="MA",5,(IF(E2008="PT",6,(IF(E2008="AE",1,(IF(E2008="CM",2,(IF(E2008="DP",3,(IF(E2008="AN",1,(IF(E2008="CO",2,(IF(E2008="IM",3,(IF(E2008="MI",4,(IF(E2008="RP",5,(IF(E2008="SC",6,0)))))))))))))))))))))))))))))))))))))))</f>
        <v>1</v>
      </c>
      <c r="G2008" s="171">
        <v>1</v>
      </c>
      <c r="H2008" s="38" t="s">
        <v>511</v>
      </c>
      <c r="I2008" s="3" t="s">
        <v>821</v>
      </c>
      <c r="J2008" s="149">
        <v>11.5</v>
      </c>
      <c r="K2008" s="79" t="s">
        <v>1283</v>
      </c>
      <c r="L2008" s="66">
        <f>IF(O2008="","",N2008*O2008*M2008)</f>
        <v>75</v>
      </c>
      <c r="M2008" s="8">
        <v>1</v>
      </c>
      <c r="N2008" s="1">
        <v>1</v>
      </c>
      <c r="O2008" s="15">
        <f>IF(SUM(Q2008:AF2008)&lt;1,"",SUM(Q2008:AF2008)/COUNTIF(Q2008:AF2008,"&gt;0"))</f>
        <v>75</v>
      </c>
      <c r="P2008" s="16"/>
      <c r="Q2008" s="13"/>
      <c r="R2008" s="4"/>
      <c r="S2008" s="4"/>
      <c r="T2008" s="4">
        <v>75</v>
      </c>
      <c r="U2008" s="2"/>
      <c r="V2008" s="2"/>
      <c r="W2008" s="2"/>
      <c r="X2008" s="2"/>
      <c r="Y2008" s="4"/>
      <c r="Z2008" s="2"/>
      <c r="AA2008" s="2"/>
      <c r="AB2008" s="4"/>
      <c r="AC2008" s="4"/>
      <c r="AD2008" s="4"/>
      <c r="AE2008" s="4"/>
      <c r="AF2008" s="14"/>
    </row>
    <row r="2009" spans="1:32" x14ac:dyDescent="0.25">
      <c r="A2009" s="33" t="str">
        <f>CONCATENATE(D2009,".",F2009,"-",G2009,".",H2009,"")</f>
        <v>4.1-1.1</v>
      </c>
      <c r="B2009" s="33" t="s">
        <v>814</v>
      </c>
      <c r="C2009" s="39" t="s">
        <v>337</v>
      </c>
      <c r="D2009" s="33">
        <f>IF(C2009="ID",1,(IF(C2009="PR",2,(IF(C2009="DE",3,(IF(C2009="RS",4,(IF(C2009="RC",5,0)))))))))</f>
        <v>4</v>
      </c>
      <c r="E2009" s="33" t="s">
        <v>350</v>
      </c>
      <c r="F2009" s="33">
        <f>IF(E2009="AM",1,(IF(E2009="BE",2,(IF(E2009="GV",3,(IF(E2009="RA",4,(IF(E2009="RM",5,(IF(E2009="AC",1,(IF(E2009="AT",2,(IF(E2009="DS",3,(IF(E2009="IP",4,(IF(E2009="MA",5,(IF(E2009="PT",6,(IF(E2009="AE",1,(IF(E2009="CM",2,(IF(E2009="DP",3,(IF(E2009="AN",1,(IF(E2009="CO",2,(IF(E2009="IM",3,(IF(E2009="MI",4,(IF(E2009="RP",5,(IF(E2009="SC",6,0)))))))))))))))))))))))))))))))))))))))</f>
        <v>1</v>
      </c>
      <c r="G2009" s="170">
        <v>1</v>
      </c>
      <c r="H2009" s="38" t="s">
        <v>511</v>
      </c>
      <c r="I2009" s="3" t="s">
        <v>821</v>
      </c>
      <c r="J2009" s="150" t="s">
        <v>210</v>
      </c>
      <c r="K2009" s="79" t="s">
        <v>1283</v>
      </c>
      <c r="L2009" s="66">
        <f>IF(O2009="","",N2009*O2009*M2009)</f>
        <v>75</v>
      </c>
      <c r="M2009" s="8">
        <v>1</v>
      </c>
      <c r="N2009" s="3">
        <v>1</v>
      </c>
      <c r="O2009" s="15">
        <f>IF(SUM(Q2009:AF2009)&lt;1,"",SUM(Q2009:AF2009)/COUNTIF(Q2009:AF2009,"&gt;0"))</f>
        <v>75</v>
      </c>
      <c r="P2009" s="16"/>
      <c r="Q2009" s="13"/>
      <c r="R2009" s="4"/>
      <c r="S2009" s="4"/>
      <c r="T2009" s="4">
        <v>75</v>
      </c>
      <c r="U2009" s="2"/>
      <c r="V2009" s="2"/>
      <c r="W2009" s="2"/>
      <c r="X2009" s="2"/>
      <c r="Y2009" s="4"/>
      <c r="Z2009" s="2"/>
      <c r="AA2009" s="2"/>
      <c r="AB2009" s="4"/>
      <c r="AC2009" s="4"/>
      <c r="AD2009" s="4"/>
      <c r="AE2009" s="4"/>
      <c r="AF2009" s="14"/>
    </row>
    <row r="2010" spans="1:32" x14ac:dyDescent="0.25">
      <c r="A2010" s="33" t="str">
        <f>CONCATENATE(D2010,".",F2010,"-",G2010,".",H2010,"")</f>
        <v>4.1-1.1</v>
      </c>
      <c r="B2010" s="33" t="s">
        <v>814</v>
      </c>
      <c r="C2010" s="39" t="s">
        <v>337</v>
      </c>
      <c r="D2010" s="33">
        <f>IF(C2010="ID",1,(IF(C2010="PR",2,(IF(C2010="DE",3,(IF(C2010="RS",4,(IF(C2010="RC",5,0)))))))))</f>
        <v>4</v>
      </c>
      <c r="E2010" s="33" t="s">
        <v>350</v>
      </c>
      <c r="F2010" s="33">
        <f>IF(E2010="AM",1,(IF(E2010="BE",2,(IF(E2010="GV",3,(IF(E2010="RA",4,(IF(E2010="RM",5,(IF(E2010="AC",1,(IF(E2010="AT",2,(IF(E2010="DS",3,(IF(E2010="IP",4,(IF(E2010="MA",5,(IF(E2010="PT",6,(IF(E2010="AE",1,(IF(E2010="CM",2,(IF(E2010="DP",3,(IF(E2010="AN",1,(IF(E2010="CO",2,(IF(E2010="IM",3,(IF(E2010="MI",4,(IF(E2010="RP",5,(IF(E2010="SC",6,0)))))))))))))))))))))))))))))))))))))))</f>
        <v>1</v>
      </c>
      <c r="G2010" s="170">
        <v>1</v>
      </c>
      <c r="H2010" s="38" t="s">
        <v>511</v>
      </c>
      <c r="I2010" s="3" t="s">
        <v>821</v>
      </c>
      <c r="J2010" s="150" t="s">
        <v>86</v>
      </c>
      <c r="K2010" s="79" t="s">
        <v>1283</v>
      </c>
      <c r="L2010" s="66">
        <f>IF(O2010="","",N2010*O2010*M2010)</f>
        <v>75</v>
      </c>
      <c r="M2010" s="8">
        <v>1</v>
      </c>
      <c r="N2010" s="3">
        <v>1</v>
      </c>
      <c r="O2010" s="15">
        <f>IF(SUM(Q2010:AF2010)&lt;1,"",SUM(Q2010:AF2010)/COUNTIF(Q2010:AF2010,"&gt;0"))</f>
        <v>75</v>
      </c>
      <c r="P2010" s="16"/>
      <c r="Q2010" s="13"/>
      <c r="R2010" s="4"/>
      <c r="S2010" s="4"/>
      <c r="T2010" s="4">
        <v>75</v>
      </c>
      <c r="U2010" s="2"/>
      <c r="V2010" s="2"/>
      <c r="W2010" s="2"/>
      <c r="X2010" s="2"/>
      <c r="Y2010" s="4"/>
      <c r="Z2010" s="2"/>
      <c r="AA2010" s="2"/>
      <c r="AB2010" s="4"/>
      <c r="AC2010" s="4"/>
      <c r="AD2010" s="4"/>
      <c r="AE2010" s="4"/>
      <c r="AF2010" s="14"/>
    </row>
    <row r="2011" spans="1:32" x14ac:dyDescent="0.25">
      <c r="A2011" s="33" t="str">
        <f>CONCATENATE(D2011,".",F2011,"-",G2011,".",H2011,"")</f>
        <v>4.1-1.1</v>
      </c>
      <c r="B2011" s="33" t="s">
        <v>814</v>
      </c>
      <c r="C2011" s="39" t="s">
        <v>337</v>
      </c>
      <c r="D2011" s="33">
        <f>IF(C2011="ID",1,(IF(C2011="PR",2,(IF(C2011="DE",3,(IF(C2011="RS",4,(IF(C2011="RC",5,0)))))))))</f>
        <v>4</v>
      </c>
      <c r="E2011" s="33" t="s">
        <v>350</v>
      </c>
      <c r="F2011" s="33">
        <f>IF(E2011="AM",1,(IF(E2011="BE",2,(IF(E2011="GV",3,(IF(E2011="RA",4,(IF(E2011="RM",5,(IF(E2011="AC",1,(IF(E2011="AT",2,(IF(E2011="DS",3,(IF(E2011="IP",4,(IF(E2011="MA",5,(IF(E2011="PT",6,(IF(E2011="AE",1,(IF(E2011="CM",2,(IF(E2011="DP",3,(IF(E2011="AN",1,(IF(E2011="CO",2,(IF(E2011="IM",3,(IF(E2011="MI",4,(IF(E2011="RP",5,(IF(E2011="SC",6,0)))))))))))))))))))))))))))))))))))))))</f>
        <v>1</v>
      </c>
      <c r="G2011" s="170">
        <v>1</v>
      </c>
      <c r="H2011" s="38" t="s">
        <v>511</v>
      </c>
      <c r="I2011" s="3" t="s">
        <v>821</v>
      </c>
      <c r="J2011" s="150" t="s">
        <v>218</v>
      </c>
      <c r="K2011" s="79" t="s">
        <v>1283</v>
      </c>
      <c r="L2011" s="66">
        <f>IF(O2011="","",N2011*O2011*M2011)</f>
        <v>75</v>
      </c>
      <c r="M2011" s="8">
        <v>1</v>
      </c>
      <c r="N2011" s="3">
        <v>1</v>
      </c>
      <c r="O2011" s="15">
        <f>IF(SUM(Q2011:AF2011)&lt;1,"",SUM(Q2011:AF2011)/COUNTIF(Q2011:AF2011,"&gt;0"))</f>
        <v>75</v>
      </c>
      <c r="P2011" s="16"/>
      <c r="Q2011" s="13"/>
      <c r="R2011" s="4"/>
      <c r="S2011" s="4"/>
      <c r="T2011" s="4">
        <v>75</v>
      </c>
      <c r="U2011" s="2"/>
      <c r="V2011" s="2"/>
      <c r="W2011" s="2"/>
      <c r="X2011" s="2"/>
      <c r="Y2011" s="4"/>
      <c r="Z2011" s="2"/>
      <c r="AA2011" s="2"/>
      <c r="AB2011" s="4"/>
      <c r="AC2011" s="4"/>
      <c r="AD2011" s="4"/>
      <c r="AE2011" s="4"/>
      <c r="AF2011" s="14"/>
    </row>
    <row r="2012" spans="1:32" x14ac:dyDescent="0.25">
      <c r="A2012" s="33" t="str">
        <f>CONCATENATE(D2012,".",F2012,"-",G2012,".",H2012,"")</f>
        <v>4.1-1.1</v>
      </c>
      <c r="B2012" s="33" t="s">
        <v>814</v>
      </c>
      <c r="C2012" s="39" t="s">
        <v>337</v>
      </c>
      <c r="D2012" s="33">
        <f>IF(C2012="ID",1,(IF(C2012="PR",2,(IF(C2012="DE",3,(IF(C2012="RS",4,(IF(C2012="RC",5,0)))))))))</f>
        <v>4</v>
      </c>
      <c r="E2012" s="33" t="s">
        <v>350</v>
      </c>
      <c r="F2012" s="33">
        <f>IF(E2012="AM",1,(IF(E2012="BE",2,(IF(E2012="GV",3,(IF(E2012="RA",4,(IF(E2012="RM",5,(IF(E2012="AC",1,(IF(E2012="AT",2,(IF(E2012="DS",3,(IF(E2012="IP",4,(IF(E2012="MA",5,(IF(E2012="PT",6,(IF(E2012="AE",1,(IF(E2012="CM",2,(IF(E2012="DP",3,(IF(E2012="AN",1,(IF(E2012="CO",2,(IF(E2012="IM",3,(IF(E2012="MI",4,(IF(E2012="RP",5,(IF(E2012="SC",6,0)))))))))))))))))))))))))))))))))))))))</f>
        <v>1</v>
      </c>
      <c r="G2012" s="170">
        <v>1</v>
      </c>
      <c r="H2012" s="38" t="s">
        <v>511</v>
      </c>
      <c r="I2012" s="3" t="s">
        <v>821</v>
      </c>
      <c r="J2012" s="150" t="s">
        <v>225</v>
      </c>
      <c r="K2012" s="79" t="s">
        <v>1283</v>
      </c>
      <c r="L2012" s="66">
        <f>IF(O2012="","",N2012*O2012*M2012)</f>
        <v>75</v>
      </c>
      <c r="M2012" s="8">
        <v>1</v>
      </c>
      <c r="N2012" s="3">
        <v>1</v>
      </c>
      <c r="O2012" s="15">
        <f>IF(SUM(Q2012:AF2012)&lt;1,"",SUM(Q2012:AF2012)/COUNTIF(Q2012:AF2012,"&gt;0"))</f>
        <v>75</v>
      </c>
      <c r="P2012" s="16"/>
      <c r="Q2012" s="13"/>
      <c r="R2012" s="4"/>
      <c r="S2012" s="4"/>
      <c r="T2012" s="4">
        <v>75</v>
      </c>
      <c r="U2012" s="2"/>
      <c r="V2012" s="2"/>
      <c r="W2012" s="2"/>
      <c r="X2012" s="2"/>
      <c r="Y2012" s="4"/>
      <c r="Z2012" s="2"/>
      <c r="AA2012" s="2"/>
      <c r="AB2012" s="4"/>
      <c r="AC2012" s="4"/>
      <c r="AD2012" s="4"/>
      <c r="AE2012" s="4"/>
      <c r="AF2012" s="14"/>
    </row>
    <row r="2013" spans="1:32" x14ac:dyDescent="0.25">
      <c r="A2013" s="33" t="str">
        <f>CONCATENATE(D2013,".",F2013,"-",G2013,".",H2013,"")</f>
        <v>4.1-1.1</v>
      </c>
      <c r="B2013" s="33" t="s">
        <v>814</v>
      </c>
      <c r="C2013" s="40" t="s">
        <v>337</v>
      </c>
      <c r="D2013" s="33">
        <f>IF(C2013="ID",1,(IF(C2013="PR",2,(IF(C2013="DE",3,(IF(C2013="RS",4,(IF(C2013="RC",5,0)))))))))</f>
        <v>4</v>
      </c>
      <c r="E2013" s="33" t="s">
        <v>350</v>
      </c>
      <c r="F2013" s="33">
        <f>IF(E2013="AM",1,(IF(E2013="BE",2,(IF(E2013="GV",3,(IF(E2013="RA",4,(IF(E2013="RM",5,(IF(E2013="AC",1,(IF(E2013="AT",2,(IF(E2013="DS",3,(IF(E2013="IP",4,(IF(E2013="MA",5,(IF(E2013="PT",6,(IF(E2013="AE",1,(IF(E2013="CM",2,(IF(E2013="DP",3,(IF(E2013="AN",1,(IF(E2013="CO",2,(IF(E2013="IM",3,(IF(E2013="MI",4,(IF(E2013="RP",5,(IF(E2013="SC",6,0)))))))))))))))))))))))))))))))))))))))</f>
        <v>1</v>
      </c>
      <c r="G2013" s="171">
        <v>1</v>
      </c>
      <c r="H2013" s="38" t="s">
        <v>511</v>
      </c>
      <c r="I2013" s="3" t="s">
        <v>821</v>
      </c>
      <c r="J2013" s="149" t="s">
        <v>238</v>
      </c>
      <c r="K2013" s="79" t="s">
        <v>1283</v>
      </c>
      <c r="L2013" s="66">
        <f>IF(O2013="","",N2013*O2013*M2013)</f>
        <v>75</v>
      </c>
      <c r="M2013" s="8">
        <v>1</v>
      </c>
      <c r="N2013" s="1">
        <v>1</v>
      </c>
      <c r="O2013" s="15">
        <f>IF(SUM(Q2013:AF2013)&lt;1,"",SUM(Q2013:AF2013)/COUNTIF(Q2013:AF2013,"&gt;0"))</f>
        <v>75</v>
      </c>
      <c r="P2013" s="16"/>
      <c r="Q2013" s="13"/>
      <c r="R2013" s="4"/>
      <c r="S2013" s="4"/>
      <c r="T2013" s="4">
        <v>75</v>
      </c>
      <c r="U2013" s="2"/>
      <c r="V2013" s="2"/>
      <c r="W2013" s="2"/>
      <c r="X2013" s="2"/>
      <c r="Y2013" s="4"/>
      <c r="Z2013" s="2"/>
      <c r="AA2013" s="2"/>
      <c r="AB2013" s="4"/>
      <c r="AC2013" s="4"/>
      <c r="AD2013" s="4"/>
      <c r="AE2013" s="4"/>
      <c r="AF2013" s="14"/>
    </row>
    <row r="2014" spans="1:32" x14ac:dyDescent="0.25">
      <c r="A2014" s="33" t="str">
        <f>CONCATENATE(D2014,".",F2014,"-",G2014,".",H2014,"")</f>
        <v>4.1-1.1</v>
      </c>
      <c r="B2014" s="33" t="s">
        <v>814</v>
      </c>
      <c r="C2014" s="39" t="s">
        <v>337</v>
      </c>
      <c r="D2014" s="33">
        <f>IF(C2014="ID",1,(IF(C2014="PR",2,(IF(C2014="DE",3,(IF(C2014="RS",4,(IF(C2014="RC",5,0)))))))))</f>
        <v>4</v>
      </c>
      <c r="E2014" s="33" t="s">
        <v>350</v>
      </c>
      <c r="F2014" s="33">
        <f>IF(E2014="AM",1,(IF(E2014="BE",2,(IF(E2014="GV",3,(IF(E2014="RA",4,(IF(E2014="RM",5,(IF(E2014="AC",1,(IF(E2014="AT",2,(IF(E2014="DS",3,(IF(E2014="IP",4,(IF(E2014="MA",5,(IF(E2014="PT",6,(IF(E2014="AE",1,(IF(E2014="CM",2,(IF(E2014="DP",3,(IF(E2014="AN",1,(IF(E2014="CO",2,(IF(E2014="IM",3,(IF(E2014="MI",4,(IF(E2014="RP",5,(IF(E2014="SC",6,0)))))))))))))))))))))))))))))))))))))))</f>
        <v>1</v>
      </c>
      <c r="G2014" s="170">
        <v>1</v>
      </c>
      <c r="H2014" s="38" t="s">
        <v>511</v>
      </c>
      <c r="I2014" s="3" t="s">
        <v>821</v>
      </c>
      <c r="J2014" s="150" t="s">
        <v>239</v>
      </c>
      <c r="K2014" s="79" t="s">
        <v>1283</v>
      </c>
      <c r="L2014" s="66">
        <f>IF(O2014="","",N2014*O2014*M2014)</f>
        <v>75</v>
      </c>
      <c r="M2014" s="8">
        <v>1</v>
      </c>
      <c r="N2014" s="3">
        <v>1</v>
      </c>
      <c r="O2014" s="15">
        <f>IF(SUM(Q2014:AF2014)&lt;1,"",SUM(Q2014:AF2014)/COUNTIF(Q2014:AF2014,"&gt;0"))</f>
        <v>75</v>
      </c>
      <c r="P2014" s="16"/>
      <c r="Q2014" s="13"/>
      <c r="R2014" s="4"/>
      <c r="S2014" s="4"/>
      <c r="T2014" s="4">
        <v>75</v>
      </c>
      <c r="U2014" s="2"/>
      <c r="V2014" s="2"/>
      <c r="W2014" s="2"/>
      <c r="X2014" s="2"/>
      <c r="Y2014" s="4"/>
      <c r="Z2014" s="2"/>
      <c r="AA2014" s="2"/>
      <c r="AB2014" s="4"/>
      <c r="AC2014" s="4"/>
      <c r="AD2014" s="4"/>
      <c r="AE2014" s="4"/>
      <c r="AF2014" s="14"/>
    </row>
    <row r="2015" spans="1:32" x14ac:dyDescent="0.25">
      <c r="A2015" s="33" t="str">
        <f>CONCATENATE(D2015,".",F2015,"-",G2015,".",H2015,"")</f>
        <v>4.1-1.1</v>
      </c>
      <c r="B2015" s="33" t="s">
        <v>814</v>
      </c>
      <c r="C2015" s="40" t="s">
        <v>337</v>
      </c>
      <c r="D2015" s="33">
        <f>IF(C2015="ID",1,(IF(C2015="PR",2,(IF(C2015="DE",3,(IF(C2015="RS",4,(IF(C2015="RC",5,0)))))))))</f>
        <v>4</v>
      </c>
      <c r="E2015" s="33" t="s">
        <v>350</v>
      </c>
      <c r="F2015" s="33">
        <f>IF(E2015="AM",1,(IF(E2015="BE",2,(IF(E2015="GV",3,(IF(E2015="RA",4,(IF(E2015="RM",5,(IF(E2015="AC",1,(IF(E2015="AT",2,(IF(E2015="DS",3,(IF(E2015="IP",4,(IF(E2015="MA",5,(IF(E2015="PT",6,(IF(E2015="AE",1,(IF(E2015="CM",2,(IF(E2015="DP",3,(IF(E2015="AN",1,(IF(E2015="CO",2,(IF(E2015="IM",3,(IF(E2015="MI",4,(IF(E2015="RP",5,(IF(E2015="SC",6,0)))))))))))))))))))))))))))))))))))))))</f>
        <v>1</v>
      </c>
      <c r="G2015" s="171">
        <v>1</v>
      </c>
      <c r="H2015" s="38" t="s">
        <v>511</v>
      </c>
      <c r="I2015" s="22" t="s">
        <v>936</v>
      </c>
      <c r="J2015" s="163" t="s">
        <v>891</v>
      </c>
      <c r="K2015" s="34" t="s">
        <v>975</v>
      </c>
      <c r="L2015" s="66">
        <f>IF(O2015="","",N2015*O2015*M2015)</f>
        <v>75</v>
      </c>
      <c r="M2015" s="8">
        <v>1</v>
      </c>
      <c r="N2015" s="3">
        <v>1</v>
      </c>
      <c r="O2015" s="15">
        <f>IF(SUM(Q2015:AF2015)&lt;1,"",SUM(Q2015:AF2015)/COUNTIF(Q2015:AF2015,"&gt;0"))</f>
        <v>75</v>
      </c>
      <c r="P2015" s="16"/>
      <c r="Q2015" s="13"/>
      <c r="R2015" s="4"/>
      <c r="S2015" s="4"/>
      <c r="T2015" s="4">
        <v>75</v>
      </c>
      <c r="U2015" s="2"/>
      <c r="V2015" s="2"/>
      <c r="W2015" s="2"/>
      <c r="X2015" s="2"/>
      <c r="Y2015" s="4"/>
      <c r="Z2015" s="2"/>
      <c r="AA2015" s="2"/>
      <c r="AB2015" s="4"/>
      <c r="AC2015" s="4"/>
      <c r="AD2015" s="4"/>
      <c r="AE2015" s="4"/>
      <c r="AF2015" s="14"/>
    </row>
    <row r="2016" spans="1:32" x14ac:dyDescent="0.25">
      <c r="A2016" s="33" t="str">
        <f>CONCATENATE(D2016,".",F2016,"-",G2016,".",H2016,"")</f>
        <v>4.1-1.1</v>
      </c>
      <c r="B2016" s="33" t="s">
        <v>814</v>
      </c>
      <c r="C2016" s="40" t="s">
        <v>337</v>
      </c>
      <c r="D2016" s="33">
        <f>IF(C2016="ID",1,(IF(C2016="PR",2,(IF(C2016="DE",3,(IF(C2016="RS",4,(IF(C2016="RC",5,0)))))))))</f>
        <v>4</v>
      </c>
      <c r="E2016" s="33" t="s">
        <v>350</v>
      </c>
      <c r="F2016" s="33">
        <f>IF(E2016="AM",1,(IF(E2016="BE",2,(IF(E2016="GV",3,(IF(E2016="RA",4,(IF(E2016="RM",5,(IF(E2016="AC",1,(IF(E2016="AT",2,(IF(E2016="DS",3,(IF(E2016="IP",4,(IF(E2016="MA",5,(IF(E2016="PT",6,(IF(E2016="AE",1,(IF(E2016="CM",2,(IF(E2016="DP",3,(IF(E2016="AN",1,(IF(E2016="CO",2,(IF(E2016="IM",3,(IF(E2016="MI",4,(IF(E2016="RP",5,(IF(E2016="SC",6,0)))))))))))))))))))))))))))))))))))))))</f>
        <v>1</v>
      </c>
      <c r="G2016" s="171">
        <v>1</v>
      </c>
      <c r="H2016" s="38" t="s">
        <v>511</v>
      </c>
      <c r="I2016" s="22" t="s">
        <v>936</v>
      </c>
      <c r="J2016" s="163" t="s">
        <v>934</v>
      </c>
      <c r="K2016" s="34" t="s">
        <v>970</v>
      </c>
      <c r="L2016" s="66">
        <f>IF(O2016="","",N2016*O2016*M2016)</f>
        <v>75</v>
      </c>
      <c r="M2016" s="8">
        <v>1</v>
      </c>
      <c r="N2016" s="3">
        <v>1</v>
      </c>
      <c r="O2016" s="15">
        <f>IF(SUM(Q2016:AF2016)&lt;1,"",SUM(Q2016:AF2016)/COUNTIF(Q2016:AF2016,"&gt;0"))</f>
        <v>75</v>
      </c>
      <c r="P2016" s="16"/>
      <c r="Q2016" s="13"/>
      <c r="R2016" s="4"/>
      <c r="S2016" s="4"/>
      <c r="T2016" s="4">
        <v>75</v>
      </c>
      <c r="U2016" s="2"/>
      <c r="V2016" s="2"/>
      <c r="W2016" s="2"/>
      <c r="X2016" s="2"/>
      <c r="Y2016" s="4"/>
      <c r="Z2016" s="2"/>
      <c r="AA2016" s="2"/>
      <c r="AB2016" s="4"/>
      <c r="AC2016" s="4"/>
      <c r="AD2016" s="4"/>
      <c r="AE2016" s="4"/>
      <c r="AF2016" s="14"/>
    </row>
    <row r="2017" spans="1:32" x14ac:dyDescent="0.25">
      <c r="A2017" s="33" t="str">
        <f>CONCATENATE(D2017,".",F2017,"-",G2017,".",H2017,"")</f>
        <v>4.1-1.1</v>
      </c>
      <c r="B2017" s="33" t="s">
        <v>814</v>
      </c>
      <c r="C2017" s="40" t="s">
        <v>337</v>
      </c>
      <c r="D2017" s="33">
        <f>IF(C2017="ID",1,(IF(C2017="PR",2,(IF(C2017="DE",3,(IF(C2017="RS",4,(IF(C2017="RC",5,0)))))))))</f>
        <v>4</v>
      </c>
      <c r="E2017" s="33" t="s">
        <v>350</v>
      </c>
      <c r="F2017" s="33">
        <f>IF(E2017="AM",1,(IF(E2017="BE",2,(IF(E2017="GV",3,(IF(E2017="RA",4,(IF(E2017="RM",5,(IF(E2017="AC",1,(IF(E2017="AT",2,(IF(E2017="DS",3,(IF(E2017="IP",4,(IF(E2017="MA",5,(IF(E2017="PT",6,(IF(E2017="AE",1,(IF(E2017="CM",2,(IF(E2017="DP",3,(IF(E2017="AN",1,(IF(E2017="CO",2,(IF(E2017="IM",3,(IF(E2017="MI",4,(IF(E2017="RP",5,(IF(E2017="SC",6,0)))))))))))))))))))))))))))))))))))))))</f>
        <v>1</v>
      </c>
      <c r="G2017" s="171">
        <v>1</v>
      </c>
      <c r="H2017" s="38" t="s">
        <v>511</v>
      </c>
      <c r="I2017" s="22" t="s">
        <v>936</v>
      </c>
      <c r="J2017" s="163" t="s">
        <v>885</v>
      </c>
      <c r="K2017" s="34" t="s">
        <v>985</v>
      </c>
      <c r="L2017" s="66">
        <f>IF(O2017="","",N2017*O2017*M2017)</f>
        <v>75</v>
      </c>
      <c r="M2017" s="8">
        <v>1</v>
      </c>
      <c r="N2017" s="3">
        <v>1</v>
      </c>
      <c r="O2017" s="15">
        <f>IF(SUM(Q2017:AF2017)&lt;1,"",SUM(Q2017:AF2017)/COUNTIF(Q2017:AF2017,"&gt;0"))</f>
        <v>75</v>
      </c>
      <c r="P2017" s="16"/>
      <c r="Q2017" s="13"/>
      <c r="R2017" s="4"/>
      <c r="S2017" s="4"/>
      <c r="T2017" s="4">
        <v>75</v>
      </c>
      <c r="U2017" s="2"/>
      <c r="V2017" s="2"/>
      <c r="W2017" s="2"/>
      <c r="X2017" s="2"/>
      <c r="Y2017" s="4"/>
      <c r="Z2017" s="2"/>
      <c r="AA2017" s="2"/>
      <c r="AB2017" s="4"/>
      <c r="AC2017" s="4"/>
      <c r="AD2017" s="4"/>
      <c r="AE2017" s="4"/>
      <c r="AF2017" s="14"/>
    </row>
    <row r="2018" spans="1:32" x14ac:dyDescent="0.25">
      <c r="A2018" s="33" t="str">
        <f>CONCATENATE(D2018,".",F2018,"-",G2018,".",H2018,"")</f>
        <v>4.1-1.1</v>
      </c>
      <c r="B2018" s="33" t="s">
        <v>814</v>
      </c>
      <c r="C2018" s="40" t="s">
        <v>337</v>
      </c>
      <c r="D2018" s="33">
        <f>IF(C2018="ID",1,(IF(C2018="PR",2,(IF(C2018="DE",3,(IF(C2018="RS",4,(IF(C2018="RC",5,0)))))))))</f>
        <v>4</v>
      </c>
      <c r="E2018" s="33" t="s">
        <v>350</v>
      </c>
      <c r="F2018" s="33">
        <f>IF(E2018="AM",1,(IF(E2018="BE",2,(IF(E2018="GV",3,(IF(E2018="RA",4,(IF(E2018="RM",5,(IF(E2018="AC",1,(IF(E2018="AT",2,(IF(E2018="DS",3,(IF(E2018="IP",4,(IF(E2018="MA",5,(IF(E2018="PT",6,(IF(E2018="AE",1,(IF(E2018="CM",2,(IF(E2018="DP",3,(IF(E2018="AN",1,(IF(E2018="CO",2,(IF(E2018="IM",3,(IF(E2018="MI",4,(IF(E2018="RP",5,(IF(E2018="SC",6,0)))))))))))))))))))))))))))))))))))))))</f>
        <v>1</v>
      </c>
      <c r="G2018" s="171">
        <v>1</v>
      </c>
      <c r="H2018" s="38" t="s">
        <v>511</v>
      </c>
      <c r="I2018" s="22" t="s">
        <v>936</v>
      </c>
      <c r="J2018" s="163" t="s">
        <v>913</v>
      </c>
      <c r="K2018" s="34" t="s">
        <v>954</v>
      </c>
      <c r="L2018" s="66">
        <f>IF(O2018="","",N2018*O2018*M2018)</f>
        <v>75</v>
      </c>
      <c r="M2018" s="8">
        <v>1</v>
      </c>
      <c r="N2018" s="3">
        <v>1</v>
      </c>
      <c r="O2018" s="15">
        <f>IF(SUM(Q2018:AF2018)&lt;1,"",SUM(Q2018:AF2018)/COUNTIF(Q2018:AF2018,"&gt;0"))</f>
        <v>75</v>
      </c>
      <c r="P2018" s="16"/>
      <c r="Q2018" s="13"/>
      <c r="R2018" s="4"/>
      <c r="S2018" s="4"/>
      <c r="T2018" s="4">
        <v>75</v>
      </c>
      <c r="U2018" s="2"/>
      <c r="V2018" s="2"/>
      <c r="W2018" s="2"/>
      <c r="X2018" s="2"/>
      <c r="Y2018" s="4"/>
      <c r="Z2018" s="2"/>
      <c r="AA2018" s="2"/>
      <c r="AB2018" s="4"/>
      <c r="AC2018" s="4"/>
      <c r="AD2018" s="4"/>
      <c r="AE2018" s="4"/>
      <c r="AF2018" s="14"/>
    </row>
    <row r="2019" spans="1:32" x14ac:dyDescent="0.25">
      <c r="A2019" s="33" t="str">
        <f>CONCATENATE(D2019,".",F2019,"-",G2019,".",H2019,"")</f>
        <v>4.1-1.1</v>
      </c>
      <c r="B2019" s="33" t="s">
        <v>814</v>
      </c>
      <c r="C2019" s="41" t="s">
        <v>337</v>
      </c>
      <c r="D2019" s="33">
        <f>IF(C2019="ID",1,(IF(C2019="PR",2,(IF(C2019="DE",3,(IF(C2019="RS",4,(IF(C2019="RC",5,0)))))))))</f>
        <v>4</v>
      </c>
      <c r="E2019" s="33" t="s">
        <v>350</v>
      </c>
      <c r="F2019" s="33">
        <f>IF(E2019="AM",1,(IF(E2019="BE",2,(IF(E2019="GV",3,(IF(E2019="RA",4,(IF(E2019="RM",5,(IF(E2019="AC",1,(IF(E2019="AT",2,(IF(E2019="DS",3,(IF(E2019="IP",4,(IF(E2019="MA",5,(IF(E2019="PT",6,(IF(E2019="AE",1,(IF(E2019="CM",2,(IF(E2019="DP",3,(IF(E2019="AN",1,(IF(E2019="CO",2,(IF(E2019="IM",3,(IF(E2019="MI",4,(IF(E2019="RP",5,(IF(E2019="SC",6,0)))))))))))))))))))))))))))))))))))))))</f>
        <v>1</v>
      </c>
      <c r="G2019" s="170">
        <v>1</v>
      </c>
      <c r="H2019" s="38" t="s">
        <v>511</v>
      </c>
      <c r="I2019" s="22" t="s">
        <v>266</v>
      </c>
      <c r="J2019" s="149" t="s">
        <v>271</v>
      </c>
      <c r="K2019" s="79" t="s">
        <v>1318</v>
      </c>
      <c r="L2019" s="5">
        <f>IF(O2019="","",N2019*O2019*M2019)</f>
        <v>75</v>
      </c>
      <c r="M2019" s="8">
        <v>1</v>
      </c>
      <c r="N2019" s="1">
        <v>1</v>
      </c>
      <c r="O2019" s="15">
        <f>IF(SUM(Q2019:AF2019)&lt;1,"",SUM(Q2019:AF2019)/COUNTIF(Q2019:AF2019,"&gt;0"))</f>
        <v>75</v>
      </c>
      <c r="P2019" s="16"/>
      <c r="Q2019" s="13"/>
      <c r="R2019" s="4"/>
      <c r="S2019" s="4"/>
      <c r="T2019" s="4">
        <v>75</v>
      </c>
      <c r="U2019" s="2"/>
      <c r="V2019" s="2"/>
      <c r="W2019" s="2"/>
      <c r="X2019" s="2"/>
      <c r="Y2019" s="4"/>
      <c r="Z2019" s="2"/>
      <c r="AA2019" s="2"/>
      <c r="AB2019" s="4"/>
      <c r="AC2019" s="4"/>
      <c r="AD2019" s="4"/>
      <c r="AE2019" s="4"/>
      <c r="AF2019" s="14"/>
    </row>
    <row r="2020" spans="1:32" x14ac:dyDescent="0.25">
      <c r="A2020" s="33" t="str">
        <f>CONCATENATE(D2020,".",F2020,"-",G2020,".",H2020,"")</f>
        <v>4.1-1.1</v>
      </c>
      <c r="B2020" s="33" t="s">
        <v>814</v>
      </c>
      <c r="C2020" s="41" t="s">
        <v>337</v>
      </c>
      <c r="D2020" s="33">
        <f>IF(C2020="ID",1,(IF(C2020="PR",2,(IF(C2020="DE",3,(IF(C2020="RS",4,(IF(C2020="RC",5,0)))))))))</f>
        <v>4</v>
      </c>
      <c r="E2020" s="33" t="s">
        <v>350</v>
      </c>
      <c r="F2020" s="33">
        <f>IF(E2020="AM",1,(IF(E2020="BE",2,(IF(E2020="GV",3,(IF(E2020="RA",4,(IF(E2020="RM",5,(IF(E2020="AC",1,(IF(E2020="AT",2,(IF(E2020="DS",3,(IF(E2020="IP",4,(IF(E2020="MA",5,(IF(E2020="PT",6,(IF(E2020="AE",1,(IF(E2020="CM",2,(IF(E2020="DP",3,(IF(E2020="AN",1,(IF(E2020="CO",2,(IF(E2020="IM",3,(IF(E2020="MI",4,(IF(E2020="RP",5,(IF(E2020="SC",6,0)))))))))))))))))))))))))))))))))))))))</f>
        <v>1</v>
      </c>
      <c r="G2020" s="170">
        <v>1</v>
      </c>
      <c r="H2020" s="38" t="s">
        <v>511</v>
      </c>
      <c r="I2020" s="22" t="s">
        <v>266</v>
      </c>
      <c r="J2020" s="149" t="s">
        <v>271</v>
      </c>
      <c r="K2020" s="79" t="s">
        <v>1318</v>
      </c>
      <c r="L2020" s="5">
        <f>IF(O2020="","",N2020*O2020*M2020)</f>
        <v>75</v>
      </c>
      <c r="M2020" s="8">
        <v>1</v>
      </c>
      <c r="N2020" s="1">
        <v>1</v>
      </c>
      <c r="O2020" s="15">
        <f>IF(SUM(Q2020:AF2020)&lt;1,"",SUM(Q2020:AF2020)/COUNTIF(Q2020:AF2020,"&gt;0"))</f>
        <v>75</v>
      </c>
      <c r="P2020" s="16"/>
      <c r="Q2020" s="13"/>
      <c r="R2020" s="4"/>
      <c r="S2020" s="4"/>
      <c r="T2020" s="4">
        <v>75</v>
      </c>
      <c r="U2020" s="2"/>
      <c r="V2020" s="2"/>
      <c r="W2020" s="2"/>
      <c r="X2020" s="2"/>
      <c r="Y2020" s="4"/>
      <c r="Z2020" s="2"/>
      <c r="AA2020" s="2"/>
      <c r="AB2020" s="4"/>
      <c r="AC2020" s="4"/>
      <c r="AD2020" s="4"/>
      <c r="AE2020" s="4"/>
      <c r="AF2020" s="14"/>
    </row>
    <row r="2021" spans="1:32" x14ac:dyDescent="0.25">
      <c r="A2021" s="33" t="str">
        <f>CONCATENATE(D2021,".",F2021,"-",G2021,".",H2021,"")</f>
        <v>4.1-1.1</v>
      </c>
      <c r="B2021" s="33" t="s">
        <v>814</v>
      </c>
      <c r="C2021" s="41" t="s">
        <v>337</v>
      </c>
      <c r="D2021" s="33">
        <f>IF(C2021="ID",1,(IF(C2021="PR",2,(IF(C2021="DE",3,(IF(C2021="RS",4,(IF(C2021="RC",5,0)))))))))</f>
        <v>4</v>
      </c>
      <c r="E2021" s="33" t="s">
        <v>350</v>
      </c>
      <c r="F2021" s="33">
        <f>IF(E2021="AM",1,(IF(E2021="BE",2,(IF(E2021="GV",3,(IF(E2021="RA",4,(IF(E2021="RM",5,(IF(E2021="AC",1,(IF(E2021="AT",2,(IF(E2021="DS",3,(IF(E2021="IP",4,(IF(E2021="MA",5,(IF(E2021="PT",6,(IF(E2021="AE",1,(IF(E2021="CM",2,(IF(E2021="DP",3,(IF(E2021="AN",1,(IF(E2021="CO",2,(IF(E2021="IM",3,(IF(E2021="MI",4,(IF(E2021="RP",5,(IF(E2021="SC",6,0)))))))))))))))))))))))))))))))))))))))</f>
        <v>1</v>
      </c>
      <c r="G2021" s="170">
        <v>1</v>
      </c>
      <c r="H2021" s="38" t="s">
        <v>511</v>
      </c>
      <c r="I2021" s="22" t="s">
        <v>266</v>
      </c>
      <c r="J2021" s="149" t="s">
        <v>274</v>
      </c>
      <c r="K2021" s="79" t="s">
        <v>1320</v>
      </c>
      <c r="L2021" s="5">
        <f>IF(O2021="","",N2021*O2021*M2021)</f>
        <v>75</v>
      </c>
      <c r="M2021" s="8">
        <v>1</v>
      </c>
      <c r="N2021" s="1">
        <v>1</v>
      </c>
      <c r="O2021" s="15">
        <f>IF(SUM(Q2021:AF2021)&lt;1,"",SUM(Q2021:AF2021)/COUNTIF(Q2021:AF2021,"&gt;0"))</f>
        <v>75</v>
      </c>
      <c r="P2021" s="16"/>
      <c r="Q2021" s="13"/>
      <c r="R2021" s="4"/>
      <c r="S2021" s="4"/>
      <c r="T2021" s="4">
        <v>75</v>
      </c>
      <c r="U2021" s="2"/>
      <c r="V2021" s="2"/>
      <c r="W2021" s="2"/>
      <c r="X2021" s="2"/>
      <c r="Y2021" s="4"/>
      <c r="Z2021" s="2"/>
      <c r="AA2021" s="2"/>
      <c r="AB2021" s="4"/>
      <c r="AC2021" s="4"/>
      <c r="AD2021" s="4"/>
      <c r="AE2021" s="4"/>
      <c r="AF2021" s="14"/>
    </row>
    <row r="2022" spans="1:32" x14ac:dyDescent="0.25">
      <c r="A2022" s="33" t="str">
        <f>CONCATENATE(D2022,".",F2022,"-",G2022,".",H2022,"")</f>
        <v>4.1-1.1</v>
      </c>
      <c r="B2022" s="33" t="s">
        <v>814</v>
      </c>
      <c r="C2022" s="39" t="s">
        <v>337</v>
      </c>
      <c r="D2022" s="33">
        <f>IF(C2022="ID",1,(IF(C2022="PR",2,(IF(C2022="DE",3,(IF(C2022="RS",4,(IF(C2022="RC",5,0)))))))))</f>
        <v>4</v>
      </c>
      <c r="E2022" s="33" t="s">
        <v>350</v>
      </c>
      <c r="F2022" s="33">
        <f>IF(E2022="AM",1,(IF(E2022="BE",2,(IF(E2022="GV",3,(IF(E2022="RA",4,(IF(E2022="RM",5,(IF(E2022="AC",1,(IF(E2022="AT",2,(IF(E2022="DS",3,(IF(E2022="IP",4,(IF(E2022="MA",5,(IF(E2022="PT",6,(IF(E2022="AE",1,(IF(E2022="CM",2,(IF(E2022="DP",3,(IF(E2022="AN",1,(IF(E2022="CO",2,(IF(E2022="IM",3,(IF(E2022="MI",4,(IF(E2022="RP",5,(IF(E2022="SC",6,0)))))))))))))))))))))))))))))))))))))))</f>
        <v>1</v>
      </c>
      <c r="G2022" s="170">
        <v>1</v>
      </c>
      <c r="H2022" s="38" t="s">
        <v>511</v>
      </c>
      <c r="I2022" s="22" t="s">
        <v>266</v>
      </c>
      <c r="J2022" s="149" t="s">
        <v>480</v>
      </c>
      <c r="K2022" s="79" t="s">
        <v>1364</v>
      </c>
      <c r="L2022" s="66">
        <f>IF(O2022="","",N2022*O2022*M2022)</f>
        <v>75</v>
      </c>
      <c r="M2022" s="8">
        <v>1</v>
      </c>
      <c r="N2022" s="1">
        <v>1</v>
      </c>
      <c r="O2022" s="15">
        <f>IF(SUM(Q2022:AF2022)&lt;1,"",SUM(Q2022:AF2022)/COUNTIF(Q2022:AF2022,"&gt;0"))</f>
        <v>75</v>
      </c>
      <c r="P2022" s="16"/>
      <c r="Q2022" s="13"/>
      <c r="R2022" s="4"/>
      <c r="S2022" s="4"/>
      <c r="T2022" s="4">
        <v>75</v>
      </c>
      <c r="U2022" s="2"/>
      <c r="V2022" s="2"/>
      <c r="W2022" s="2"/>
      <c r="X2022" s="2"/>
      <c r="Y2022" s="4"/>
      <c r="Z2022" s="2"/>
      <c r="AA2022" s="2"/>
      <c r="AB2022" s="4"/>
      <c r="AC2022" s="4"/>
      <c r="AD2022" s="4"/>
      <c r="AE2022" s="4"/>
      <c r="AF2022" s="14"/>
    </row>
    <row r="2023" spans="1:32" x14ac:dyDescent="0.25">
      <c r="A2023" s="33" t="str">
        <f>CONCATENATE(D2023,".",F2023,"-",G2023,".",H2023,"")</f>
        <v>4.1-1.1</v>
      </c>
      <c r="B2023" s="33" t="s">
        <v>814</v>
      </c>
      <c r="C2023" s="41" t="s">
        <v>337</v>
      </c>
      <c r="D2023" s="33">
        <f>IF(C2023="ID",1,(IF(C2023="PR",2,(IF(C2023="DE",3,(IF(C2023="RS",4,(IF(C2023="RC",5,0)))))))))</f>
        <v>4</v>
      </c>
      <c r="E2023" s="33" t="s">
        <v>350</v>
      </c>
      <c r="F2023" s="33">
        <f>IF(E2023="AM",1,(IF(E2023="BE",2,(IF(E2023="GV",3,(IF(E2023="RA",4,(IF(E2023="RM",5,(IF(E2023="AC",1,(IF(E2023="AT",2,(IF(E2023="DS",3,(IF(E2023="IP",4,(IF(E2023="MA",5,(IF(E2023="PT",6,(IF(E2023="AE",1,(IF(E2023="CM",2,(IF(E2023="DP",3,(IF(E2023="AN",1,(IF(E2023="CO",2,(IF(E2023="IM",3,(IF(E2023="MI",4,(IF(E2023="RP",5,(IF(E2023="SC",6,0)))))))))))))))))))))))))))))))))))))))</f>
        <v>1</v>
      </c>
      <c r="G2023" s="170">
        <v>1</v>
      </c>
      <c r="H2023" s="38" t="s">
        <v>511</v>
      </c>
      <c r="I2023" s="22" t="s">
        <v>266</v>
      </c>
      <c r="J2023" s="149" t="s">
        <v>293</v>
      </c>
      <c r="K2023" s="79" t="s">
        <v>1370</v>
      </c>
      <c r="L2023" s="5">
        <f>IF(O2023="","",N2023*O2023*M2023)</f>
        <v>75</v>
      </c>
      <c r="M2023" s="8">
        <v>1</v>
      </c>
      <c r="N2023" s="1">
        <v>1</v>
      </c>
      <c r="O2023" s="15">
        <f>IF(SUM(Q2023:AF2023)&lt;1,"",SUM(Q2023:AF2023)/COUNTIF(Q2023:AF2023,"&gt;0"))</f>
        <v>75</v>
      </c>
      <c r="P2023" s="16"/>
      <c r="Q2023" s="13"/>
      <c r="R2023" s="4"/>
      <c r="S2023" s="4"/>
      <c r="T2023" s="4">
        <v>75</v>
      </c>
      <c r="U2023" s="2"/>
      <c r="V2023" s="2"/>
      <c r="W2023" s="2"/>
      <c r="X2023" s="2"/>
      <c r="Y2023" s="4"/>
      <c r="Z2023" s="2"/>
      <c r="AA2023" s="2"/>
      <c r="AB2023" s="4"/>
      <c r="AC2023" s="4"/>
      <c r="AD2023" s="4"/>
      <c r="AE2023" s="4"/>
      <c r="AF2023" s="14"/>
    </row>
    <row r="2024" spans="1:32" x14ac:dyDescent="0.25">
      <c r="A2024" s="33" t="str">
        <f>CONCATENATE(D2024,".",F2024,"-",G2024,".",H2024,"")</f>
        <v>4.1-1.1</v>
      </c>
      <c r="B2024" s="33" t="s">
        <v>1232</v>
      </c>
      <c r="C2024" s="40" t="s">
        <v>337</v>
      </c>
      <c r="D2024" s="33">
        <f>IF(C2024="ID",1,(IF(C2024="PR",2,(IF(C2024="DE",3,(IF(C2024="RS",4,(IF(C2024="RC",5,0)))))))))</f>
        <v>4</v>
      </c>
      <c r="E2024" s="33" t="s">
        <v>350</v>
      </c>
      <c r="F2024" s="33">
        <f>IF(E2024="AM",1,(IF(E2024="BE",2,(IF(E2024="GV",3,(IF(E2024="RA",4,(IF(E2024="RM",5,(IF(E2024="AC",1,(IF(E2024="AT",2,(IF(E2024="DS",3,(IF(E2024="IP",4,(IF(E2024="MA",5,(IF(E2024="PT",6,(IF(E2024="AE",1,(IF(E2024="CM",2,(IF(E2024="DP",3,(IF(E2024="AN",1,(IF(E2024="CO",2,(IF(E2024="IM",3,(IF(E2024="MI",4,(IF(E2024="RP",5,(IF(E2024="SC",6,0)))))))))))))))))))))))))))))))))))))))</f>
        <v>1</v>
      </c>
      <c r="G2024" s="170">
        <v>1</v>
      </c>
      <c r="H2024" s="38" t="s">
        <v>511</v>
      </c>
      <c r="I2024" s="3" t="s">
        <v>821</v>
      </c>
      <c r="J2024" s="150" t="s">
        <v>835</v>
      </c>
      <c r="K2024" s="79" t="s">
        <v>1283</v>
      </c>
      <c r="L2024" s="66">
        <f>IF(O2024="","",N2024*O2024*M2024)</f>
        <v>75</v>
      </c>
      <c r="M2024" s="8">
        <v>1</v>
      </c>
      <c r="N2024" s="3">
        <v>1</v>
      </c>
      <c r="O2024" s="15">
        <f>IF(SUM(Q2024:AF2024)&lt;1,"",SUM(Q2024:AF2024)/COUNTIF(Q2024:AF2024,"&gt;0"))</f>
        <v>75</v>
      </c>
      <c r="P2024" s="16"/>
      <c r="Q2024" s="13"/>
      <c r="R2024" s="4"/>
      <c r="S2024" s="4"/>
      <c r="T2024" s="4">
        <v>75</v>
      </c>
      <c r="U2024" s="2"/>
      <c r="V2024" s="2"/>
      <c r="W2024" s="2"/>
      <c r="X2024" s="2"/>
      <c r="Y2024" s="4"/>
      <c r="Z2024" s="2"/>
      <c r="AA2024" s="2"/>
      <c r="AB2024" s="4"/>
      <c r="AC2024" s="4"/>
      <c r="AD2024" s="4"/>
      <c r="AE2024" s="4"/>
      <c r="AF2024" s="14"/>
    </row>
    <row r="2025" spans="1:32" x14ac:dyDescent="0.25">
      <c r="A2025" s="33" t="str">
        <f>CONCATENATE(D2025,".",F2025,"-",G2025,".",H2025,"")</f>
        <v>4.1-1.1</v>
      </c>
      <c r="B2025" s="33" t="s">
        <v>1232</v>
      </c>
      <c r="C2025" s="40" t="s">
        <v>337</v>
      </c>
      <c r="D2025" s="33">
        <f>IF(C2025="ID",1,(IF(C2025="PR",2,(IF(C2025="DE",3,(IF(C2025="RS",4,(IF(C2025="RC",5,0)))))))))</f>
        <v>4</v>
      </c>
      <c r="E2025" s="33" t="s">
        <v>350</v>
      </c>
      <c r="F2025" s="33">
        <f>IF(E2025="AM",1,(IF(E2025="BE",2,(IF(E2025="GV",3,(IF(E2025="RA",4,(IF(E2025="RM",5,(IF(E2025="AC",1,(IF(E2025="AT",2,(IF(E2025="DS",3,(IF(E2025="IP",4,(IF(E2025="MA",5,(IF(E2025="PT",6,(IF(E2025="AE",1,(IF(E2025="CM",2,(IF(E2025="DP",3,(IF(E2025="AN",1,(IF(E2025="CO",2,(IF(E2025="IM",3,(IF(E2025="MI",4,(IF(E2025="RP",5,(IF(E2025="SC",6,0)))))))))))))))))))))))))))))))))))))))</f>
        <v>1</v>
      </c>
      <c r="G2025" s="170">
        <v>1</v>
      </c>
      <c r="H2025" s="38" t="s">
        <v>511</v>
      </c>
      <c r="I2025" s="3" t="s">
        <v>821</v>
      </c>
      <c r="J2025" s="150" t="s">
        <v>830</v>
      </c>
      <c r="K2025" s="79" t="s">
        <v>1283</v>
      </c>
      <c r="L2025" s="66">
        <f>IF(O2025="","",N2025*O2025*M2025)</f>
        <v>75</v>
      </c>
      <c r="M2025" s="8">
        <v>1</v>
      </c>
      <c r="N2025" s="3">
        <v>1</v>
      </c>
      <c r="O2025" s="15">
        <f>IF(SUM(Q2025:AF2025)&lt;1,"",SUM(Q2025:AF2025)/COUNTIF(Q2025:AF2025,"&gt;0"))</f>
        <v>75</v>
      </c>
      <c r="P2025" s="16"/>
      <c r="Q2025" s="13"/>
      <c r="R2025" s="4"/>
      <c r="S2025" s="4"/>
      <c r="T2025" s="4">
        <v>75</v>
      </c>
      <c r="U2025" s="2"/>
      <c r="V2025" s="2"/>
      <c r="W2025" s="2"/>
      <c r="X2025" s="2"/>
      <c r="Y2025" s="4"/>
      <c r="Z2025" s="2"/>
      <c r="AA2025" s="2"/>
      <c r="AB2025" s="4"/>
      <c r="AC2025" s="4"/>
      <c r="AD2025" s="4"/>
      <c r="AE2025" s="4"/>
      <c r="AF2025" s="14"/>
    </row>
    <row r="2026" spans="1:32" x14ac:dyDescent="0.25">
      <c r="A2026" s="33" t="str">
        <f>CONCATENATE(D2026,".",F2026,"-",G2026,".",H2026,"")</f>
        <v>4.1-1.1</v>
      </c>
      <c r="B2026" s="33" t="s">
        <v>1232</v>
      </c>
      <c r="C2026" s="40" t="s">
        <v>337</v>
      </c>
      <c r="D2026" s="33">
        <f>IF(C2026="ID",1,(IF(C2026="PR",2,(IF(C2026="DE",3,(IF(C2026="RS",4,(IF(C2026="RC",5,0)))))))))</f>
        <v>4</v>
      </c>
      <c r="E2026" s="33" t="s">
        <v>350</v>
      </c>
      <c r="F2026" s="33">
        <f>IF(E2026="AM",1,(IF(E2026="BE",2,(IF(E2026="GV",3,(IF(E2026="RA",4,(IF(E2026="RM",5,(IF(E2026="AC",1,(IF(E2026="AT",2,(IF(E2026="DS",3,(IF(E2026="IP",4,(IF(E2026="MA",5,(IF(E2026="PT",6,(IF(E2026="AE",1,(IF(E2026="CM",2,(IF(E2026="DP",3,(IF(E2026="AN",1,(IF(E2026="CO",2,(IF(E2026="IM",3,(IF(E2026="MI",4,(IF(E2026="RP",5,(IF(E2026="SC",6,0)))))))))))))))))))))))))))))))))))))))</f>
        <v>1</v>
      </c>
      <c r="G2026" s="170">
        <v>1</v>
      </c>
      <c r="H2026" s="38" t="s">
        <v>511</v>
      </c>
      <c r="I2026" s="3" t="s">
        <v>821</v>
      </c>
      <c r="J2026" s="150" t="s">
        <v>856</v>
      </c>
      <c r="K2026" s="79" t="s">
        <v>1283</v>
      </c>
      <c r="L2026" s="66">
        <f>IF(O2026="","",N2026*O2026*M2026)</f>
        <v>75</v>
      </c>
      <c r="M2026" s="8">
        <v>1</v>
      </c>
      <c r="N2026" s="3">
        <v>1</v>
      </c>
      <c r="O2026" s="15">
        <f>IF(SUM(Q2026:AF2026)&lt;1,"",SUM(Q2026:AF2026)/COUNTIF(Q2026:AF2026,"&gt;0"))</f>
        <v>75</v>
      </c>
      <c r="P2026" s="16"/>
      <c r="Q2026" s="13"/>
      <c r="R2026" s="4"/>
      <c r="S2026" s="4"/>
      <c r="T2026" s="4">
        <v>75</v>
      </c>
      <c r="U2026" s="2"/>
      <c r="V2026" s="2"/>
      <c r="W2026" s="2"/>
      <c r="X2026" s="2"/>
      <c r="Y2026" s="4"/>
      <c r="Z2026" s="2"/>
      <c r="AA2026" s="2"/>
      <c r="AB2026" s="4"/>
      <c r="AC2026" s="4"/>
      <c r="AD2026" s="4"/>
      <c r="AE2026" s="4"/>
      <c r="AF2026" s="14"/>
    </row>
    <row r="2027" spans="1:32" x14ac:dyDescent="0.25">
      <c r="A2027" s="33" t="str">
        <f>CONCATENATE(D2027,".",F2027,"-",G2027,".",H2027,"")</f>
        <v>4.1-1.1</v>
      </c>
      <c r="B2027" s="33" t="s">
        <v>1232</v>
      </c>
      <c r="C2027" s="40" t="s">
        <v>337</v>
      </c>
      <c r="D2027" s="33">
        <f>IF(C2027="ID",1,(IF(C2027="PR",2,(IF(C2027="DE",3,(IF(C2027="RS",4,(IF(C2027="RC",5,0)))))))))</f>
        <v>4</v>
      </c>
      <c r="E2027" s="33" t="s">
        <v>350</v>
      </c>
      <c r="F2027" s="33">
        <f>IF(E2027="AM",1,(IF(E2027="BE",2,(IF(E2027="GV",3,(IF(E2027="RA",4,(IF(E2027="RM",5,(IF(E2027="AC",1,(IF(E2027="AT",2,(IF(E2027="DS",3,(IF(E2027="IP",4,(IF(E2027="MA",5,(IF(E2027="PT",6,(IF(E2027="AE",1,(IF(E2027="CM",2,(IF(E2027="DP",3,(IF(E2027="AN",1,(IF(E2027="CO",2,(IF(E2027="IM",3,(IF(E2027="MI",4,(IF(E2027="RP",5,(IF(E2027="SC",6,0)))))))))))))))))))))))))))))))))))))))</f>
        <v>1</v>
      </c>
      <c r="G2027" s="170">
        <v>1</v>
      </c>
      <c r="H2027" s="38" t="s">
        <v>511</v>
      </c>
      <c r="I2027" s="3" t="s">
        <v>821</v>
      </c>
      <c r="J2027" s="150" t="s">
        <v>861</v>
      </c>
      <c r="K2027" s="79" t="s">
        <v>1283</v>
      </c>
      <c r="L2027" s="66">
        <f>IF(O2027="","",N2027*O2027*M2027)</f>
        <v>75</v>
      </c>
      <c r="M2027" s="8">
        <v>1</v>
      </c>
      <c r="N2027" s="3">
        <v>1</v>
      </c>
      <c r="O2027" s="15">
        <f>IF(SUM(Q2027:AF2027)&lt;1,"",SUM(Q2027:AF2027)/COUNTIF(Q2027:AF2027,"&gt;0"))</f>
        <v>75</v>
      </c>
      <c r="P2027" s="16"/>
      <c r="Q2027" s="13"/>
      <c r="R2027" s="4"/>
      <c r="S2027" s="4"/>
      <c r="T2027" s="4">
        <v>75</v>
      </c>
      <c r="U2027" s="2"/>
      <c r="V2027" s="2"/>
      <c r="W2027" s="2"/>
      <c r="X2027" s="2"/>
      <c r="Y2027" s="4"/>
      <c r="Z2027" s="2"/>
      <c r="AA2027" s="2"/>
      <c r="AB2027" s="4"/>
      <c r="AC2027" s="4"/>
      <c r="AD2027" s="4"/>
      <c r="AE2027" s="4"/>
      <c r="AF2027" s="14"/>
    </row>
    <row r="2028" spans="1:32" x14ac:dyDescent="0.25">
      <c r="A2028" s="33" t="str">
        <f>CONCATENATE(D2028,".",F2028,"-",G2028,".",H2028,"")</f>
        <v>4.1-1.1</v>
      </c>
      <c r="B2028" s="33" t="s">
        <v>814</v>
      </c>
      <c r="C2028" s="39" t="s">
        <v>337</v>
      </c>
      <c r="D2028" s="33">
        <f>IF(C2028="ID",1,(IF(C2028="PR",2,(IF(C2028="DE",3,(IF(C2028="RS",4,(IF(C2028="RC",5,0)))))))))</f>
        <v>4</v>
      </c>
      <c r="E2028" s="33" t="s">
        <v>350</v>
      </c>
      <c r="F2028" s="33">
        <f>IF(E2028="AM",1,(IF(E2028="BE",2,(IF(E2028="GV",3,(IF(E2028="RA",4,(IF(E2028="RM",5,(IF(E2028="AC",1,(IF(E2028="AT",2,(IF(E2028="DS",3,(IF(E2028="IP",4,(IF(E2028="MA",5,(IF(E2028="PT",6,(IF(E2028="AE",1,(IF(E2028="CM",2,(IF(E2028="DP",3,(IF(E2028="AN",1,(IF(E2028="CO",2,(IF(E2028="IM",3,(IF(E2028="MI",4,(IF(E2028="RP",5,(IF(E2028="SC",6,0)))))))))))))))))))))))))))))))))))))))</f>
        <v>1</v>
      </c>
      <c r="G2028" s="170">
        <v>1</v>
      </c>
      <c r="H2028" s="38" t="s">
        <v>511</v>
      </c>
      <c r="I2028" s="79" t="s">
        <v>1176</v>
      </c>
      <c r="J2028" s="162">
        <v>4.7</v>
      </c>
      <c r="K2028" t="s">
        <v>1060</v>
      </c>
      <c r="L2028" s="66">
        <f>IF(O2028="","",N2028*O2028*M2028)</f>
        <v>75</v>
      </c>
      <c r="M2028" s="8">
        <v>1</v>
      </c>
      <c r="N2028" s="3">
        <v>1</v>
      </c>
      <c r="O2028" s="15">
        <f>IF(SUM(Q2028:AF2028)&lt;1,"",SUM(Q2028:AF2028)/COUNTIF(Q2028:AF2028,"&gt;0"))</f>
        <v>75</v>
      </c>
      <c r="P2028" s="16"/>
      <c r="Q2028" s="13"/>
      <c r="R2028" s="4"/>
      <c r="S2028" s="4"/>
      <c r="T2028" s="4">
        <v>75</v>
      </c>
      <c r="U2028" s="2"/>
      <c r="V2028" s="2"/>
      <c r="W2028" s="2"/>
      <c r="X2028" s="2"/>
      <c r="Y2028" s="4"/>
      <c r="Z2028" s="2"/>
      <c r="AA2028" s="2"/>
      <c r="AB2028" s="4"/>
      <c r="AC2028" s="4"/>
      <c r="AD2028" s="4"/>
      <c r="AE2028" s="4"/>
      <c r="AF2028" s="14"/>
    </row>
    <row r="2029" spans="1:32" x14ac:dyDescent="0.25">
      <c r="A2029" s="33" t="str">
        <f>CONCATENATE(D2029,".",F2029,"-",G2029,".",H2029,"")</f>
        <v>4.1-1.1</v>
      </c>
      <c r="B2029" s="33" t="s">
        <v>814</v>
      </c>
      <c r="C2029" s="39" t="s">
        <v>337</v>
      </c>
      <c r="D2029" s="33">
        <f>IF(C2029="ID",1,(IF(C2029="PR",2,(IF(C2029="DE",3,(IF(C2029="RS",4,(IF(C2029="RC",5,0)))))))))</f>
        <v>4</v>
      </c>
      <c r="E2029" s="33" t="s">
        <v>350</v>
      </c>
      <c r="F2029" s="33">
        <f>IF(E2029="AM",1,(IF(E2029="BE",2,(IF(E2029="GV",3,(IF(E2029="RA",4,(IF(E2029="RM",5,(IF(E2029="AC",1,(IF(E2029="AT",2,(IF(E2029="DS",3,(IF(E2029="IP",4,(IF(E2029="MA",5,(IF(E2029="PT",6,(IF(E2029="AE",1,(IF(E2029="CM",2,(IF(E2029="DP",3,(IF(E2029="AN",1,(IF(E2029="CO",2,(IF(E2029="IM",3,(IF(E2029="MI",4,(IF(E2029="RP",5,(IF(E2029="SC",6,0)))))))))))))))))))))))))))))))))))))))</f>
        <v>1</v>
      </c>
      <c r="G2029" s="170">
        <v>1</v>
      </c>
      <c r="H2029" s="38" t="s">
        <v>511</v>
      </c>
      <c r="I2029" s="79" t="s">
        <v>1176</v>
      </c>
      <c r="J2029" s="162">
        <v>6.4</v>
      </c>
      <c r="K2029" s="80" t="s">
        <v>1244</v>
      </c>
      <c r="L2029" s="66">
        <f>IF(O2029="","",N2029*O2029*M2029)</f>
        <v>75</v>
      </c>
      <c r="M2029" s="8">
        <v>1</v>
      </c>
      <c r="N2029" s="3">
        <v>1</v>
      </c>
      <c r="O2029" s="15">
        <f>IF(SUM(Q2029:AF2029)&lt;1,"",SUM(Q2029:AF2029)/COUNTIF(Q2029:AF2029,"&gt;0"))</f>
        <v>75</v>
      </c>
      <c r="P2029" s="16"/>
      <c r="Q2029" s="13"/>
      <c r="R2029" s="4"/>
      <c r="S2029" s="4"/>
      <c r="T2029" s="4">
        <v>75</v>
      </c>
      <c r="U2029" s="2"/>
      <c r="V2029" s="2"/>
      <c r="W2029" s="2"/>
      <c r="X2029" s="2"/>
      <c r="Y2029" s="4"/>
      <c r="Z2029" s="2"/>
      <c r="AA2029" s="2"/>
      <c r="AB2029" s="4"/>
      <c r="AC2029" s="4"/>
      <c r="AD2029" s="4"/>
      <c r="AE2029" s="4"/>
      <c r="AF2029" s="14"/>
    </row>
    <row r="2030" spans="1:32" x14ac:dyDescent="0.25">
      <c r="A2030" s="33" t="str">
        <f>CONCATENATE(D2030,".",F2030,"-",G2030,".",H2030,"")</f>
        <v>4.1-1.1</v>
      </c>
      <c r="B2030" s="33" t="s">
        <v>814</v>
      </c>
      <c r="C2030" s="39" t="s">
        <v>337</v>
      </c>
      <c r="D2030" s="33">
        <f>IF(C2030="ID",1,(IF(C2030="PR",2,(IF(C2030="DE",3,(IF(C2030="RS",4,(IF(C2030="RC",5,0)))))))))</f>
        <v>4</v>
      </c>
      <c r="E2030" s="33" t="s">
        <v>350</v>
      </c>
      <c r="F2030" s="33">
        <f>IF(E2030="AM",1,(IF(E2030="BE",2,(IF(E2030="GV",3,(IF(E2030="RA",4,(IF(E2030="RM",5,(IF(E2030="AC",1,(IF(E2030="AT",2,(IF(E2030="DS",3,(IF(E2030="IP",4,(IF(E2030="MA",5,(IF(E2030="PT",6,(IF(E2030="AE",1,(IF(E2030="CM",2,(IF(E2030="DP",3,(IF(E2030="AN",1,(IF(E2030="CO",2,(IF(E2030="IM",3,(IF(E2030="MI",4,(IF(E2030="RP",5,(IF(E2030="SC",6,0)))))))))))))))))))))))))))))))))))))))</f>
        <v>1</v>
      </c>
      <c r="G2030" s="170">
        <v>1</v>
      </c>
      <c r="H2030" s="38" t="s">
        <v>511</v>
      </c>
      <c r="I2030" s="3" t="s">
        <v>1449</v>
      </c>
      <c r="J2030" s="157" t="s">
        <v>2617</v>
      </c>
      <c r="K2030" s="34" t="s">
        <v>2618</v>
      </c>
      <c r="L2030" s="5">
        <f>IF(O2030="","",N2030*O2030*M2030)</f>
        <v>99</v>
      </c>
      <c r="M2030" s="8">
        <v>1</v>
      </c>
      <c r="N2030" s="1">
        <v>1</v>
      </c>
      <c r="O2030" s="15">
        <f>IF(SUM(Q2030:AF2030)&lt;1,"",SUM(Q2030:AF2030)/COUNTIF(Q2030:AF2030,"&gt;0"))</f>
        <v>99</v>
      </c>
      <c r="P2030" s="16"/>
      <c r="Q2030" s="13"/>
      <c r="R2030" s="4"/>
      <c r="S2030" s="4"/>
      <c r="T2030" s="4">
        <v>99</v>
      </c>
      <c r="U2030" s="2"/>
      <c r="V2030" s="2"/>
      <c r="W2030" s="2"/>
      <c r="X2030" s="2"/>
      <c r="Y2030" s="4"/>
      <c r="Z2030" s="2"/>
      <c r="AA2030" s="2"/>
      <c r="AB2030" s="4"/>
      <c r="AC2030" s="4"/>
      <c r="AD2030" s="4"/>
      <c r="AE2030" s="4"/>
      <c r="AF2030" s="14"/>
    </row>
    <row r="2031" spans="1:32" x14ac:dyDescent="0.25">
      <c r="A2031" s="33" t="str">
        <f>CONCATENATE(D2031,".",F2031,"-",G2031,".",H2031,"")</f>
        <v>4.1-1.9</v>
      </c>
      <c r="B2031" s="33" t="s">
        <v>814</v>
      </c>
      <c r="C2031" s="39" t="s">
        <v>337</v>
      </c>
      <c r="D2031" s="33">
        <f>IF(C2031="ID",1,(IF(C2031="PR",2,(IF(C2031="DE",3,(IF(C2031="RS",4,(IF(C2031="RC",5,0)))))))))</f>
        <v>4</v>
      </c>
      <c r="E2031" s="33" t="s">
        <v>257</v>
      </c>
      <c r="F2031" s="33">
        <f>IF(E2031="AM",1,(IF(E2031="BE",2,(IF(E2031="GV",3,(IF(E2031="RA",4,(IF(E2031="RM",5,(IF(E2031="AC",1,(IF(E2031="AT",2,(IF(E2031="DS",3,(IF(E2031="IP",4,(IF(E2031="MA",5,(IF(E2031="PT",6,(IF(E2031="AE",1,(IF(E2031="CM",2,(IF(E2031="DP",3,(IF(E2031="AN",1,(IF(E2031="CO",2,(IF(E2031="IM",3,(IF(E2031="MI",4,(IF(E2031="RP",5,(IF(E2031="SC",6,0)))))))))))))))))))))))))))))))))))))))</f>
        <v>1</v>
      </c>
      <c r="G2031" s="170">
        <v>1</v>
      </c>
      <c r="H2031" s="38" t="s">
        <v>596</v>
      </c>
      <c r="I2031" s="3" t="s">
        <v>1449</v>
      </c>
      <c r="J2031" s="157" t="s">
        <v>1524</v>
      </c>
      <c r="K2031" s="34" t="s">
        <v>1525</v>
      </c>
      <c r="L2031" s="5">
        <f>IF(O2031="","",N2031*O2031*M2031)</f>
        <v>99</v>
      </c>
      <c r="M2031" s="8">
        <v>1</v>
      </c>
      <c r="N2031" s="1">
        <v>1</v>
      </c>
      <c r="O2031" s="15">
        <f>IF(SUM(Q2031:AF2031)&lt;1,"",SUM(Q2031:AF2031)/COUNTIF(Q2031:AF2031,"&gt;0"))</f>
        <v>99</v>
      </c>
      <c r="P2031" s="16"/>
      <c r="Q2031" s="13"/>
      <c r="R2031" s="4"/>
      <c r="S2031" s="4"/>
      <c r="T2031" s="4">
        <v>99</v>
      </c>
      <c r="U2031" s="2"/>
      <c r="V2031" s="2"/>
      <c r="W2031" s="2"/>
      <c r="X2031" s="2"/>
      <c r="Y2031" s="4"/>
      <c r="Z2031" s="2"/>
      <c r="AA2031" s="2"/>
      <c r="AB2031" s="4"/>
      <c r="AC2031" s="4"/>
      <c r="AD2031" s="4"/>
      <c r="AE2031" s="4"/>
      <c r="AF2031" s="14"/>
    </row>
    <row r="2032" spans="1:32" x14ac:dyDescent="0.25">
      <c r="A2032" s="33" t="str">
        <f>CONCATENATE(D2032,".",F2032,"-",G2032,".",H2032,"")</f>
        <v>4.1-2.0</v>
      </c>
      <c r="B2032" s="33" t="s">
        <v>814</v>
      </c>
      <c r="C2032" s="41" t="s">
        <v>337</v>
      </c>
      <c r="D2032" s="33">
        <f>IF(C2032="ID",1,(IF(C2032="PR",2,(IF(C2032="DE",3,(IF(C2032="RS",4,(IF(C2032="RC",5,0)))))))))</f>
        <v>4</v>
      </c>
      <c r="E2032" s="33" t="s">
        <v>350</v>
      </c>
      <c r="F2032" s="33">
        <f>IF(E2032="AM",1,(IF(E2032="BE",2,(IF(E2032="GV",3,(IF(E2032="RA",4,(IF(E2032="RM",5,(IF(E2032="AC",1,(IF(E2032="AT",2,(IF(E2032="DS",3,(IF(E2032="IP",4,(IF(E2032="MA",5,(IF(E2032="PT",6,(IF(E2032="AE",1,(IF(E2032="CM",2,(IF(E2032="DP",3,(IF(E2032="AN",1,(IF(E2032="CO",2,(IF(E2032="IM",3,(IF(E2032="MI",4,(IF(E2032="RP",5,(IF(E2032="SC",6,0)))))))))))))))))))))))))))))))))))))))</f>
        <v>1</v>
      </c>
      <c r="G2032" s="170">
        <v>2</v>
      </c>
      <c r="H2032" s="38">
        <v>0</v>
      </c>
      <c r="I2032" s="22" t="s">
        <v>266</v>
      </c>
      <c r="J2032" s="149" t="s">
        <v>282</v>
      </c>
      <c r="K2032" s="79" t="s">
        <v>1371</v>
      </c>
      <c r="L2032" s="5">
        <f>IF(O2032="","",N2032*O2032*M2032)</f>
        <v>75</v>
      </c>
      <c r="M2032" s="8">
        <v>1</v>
      </c>
      <c r="N2032" s="1">
        <v>1</v>
      </c>
      <c r="O2032" s="15">
        <f>IF(SUM(Q2032:AF2032)&lt;1,"",SUM(Q2032:AF2032)/COUNTIF(Q2032:AF2032,"&gt;0"))</f>
        <v>75</v>
      </c>
      <c r="P2032" s="16"/>
      <c r="Q2032" s="13"/>
      <c r="R2032" s="4"/>
      <c r="S2032" s="4"/>
      <c r="T2032" s="4">
        <v>75</v>
      </c>
      <c r="U2032" s="2"/>
      <c r="V2032" s="2"/>
      <c r="W2032" s="2"/>
      <c r="X2032" s="2"/>
      <c r="Y2032" s="4"/>
      <c r="Z2032" s="2"/>
      <c r="AA2032" s="2"/>
      <c r="AB2032" s="4"/>
      <c r="AC2032" s="4"/>
      <c r="AD2032" s="4"/>
      <c r="AE2032" s="4"/>
      <c r="AF2032" s="14"/>
    </row>
    <row r="2033" spans="1:32" x14ac:dyDescent="0.25">
      <c r="A2033" s="33" t="str">
        <f>CONCATENATE(D2033,".",F2033,"-",G2033,".",H2033,"")</f>
        <v>4.1-2.0</v>
      </c>
      <c r="B2033" s="33" t="s">
        <v>814</v>
      </c>
      <c r="C2033" s="40" t="s">
        <v>337</v>
      </c>
      <c r="D2033" s="33">
        <f>IF(C2033="ID",1,(IF(C2033="PR",2,(IF(C2033="DE",3,(IF(C2033="RS",4,(IF(C2033="RC",5,0)))))))))</f>
        <v>4</v>
      </c>
      <c r="E2033" s="33" t="s">
        <v>350</v>
      </c>
      <c r="F2033" s="33">
        <f>IF(E2033="AM",1,(IF(E2033="BE",2,(IF(E2033="GV",3,(IF(E2033="RA",4,(IF(E2033="RM",5,(IF(E2033="AC",1,(IF(E2033="AT",2,(IF(E2033="DS",3,(IF(E2033="IP",4,(IF(E2033="MA",5,(IF(E2033="PT",6,(IF(E2033="AE",1,(IF(E2033="CM",2,(IF(E2033="DP",3,(IF(E2033="AN",1,(IF(E2033="CO",2,(IF(E2033="IM",3,(IF(E2033="MI",4,(IF(E2033="RP",5,(IF(E2033="SC",6,0)))))))))))))))))))))))))))))))))))))))</f>
        <v>1</v>
      </c>
      <c r="G2033" s="170">
        <v>2</v>
      </c>
      <c r="H2033" s="38" t="s">
        <v>597</v>
      </c>
      <c r="I2033" s="22" t="s">
        <v>1200</v>
      </c>
      <c r="J2033" s="149" t="s">
        <v>707</v>
      </c>
      <c r="K2033" s="100" t="s">
        <v>426</v>
      </c>
      <c r="L2033" s="5">
        <f>IF(O2033="","",N2033*O2033*M2033)</f>
        <v>75</v>
      </c>
      <c r="M2033" s="8">
        <v>1</v>
      </c>
      <c r="N2033" s="1">
        <v>1</v>
      </c>
      <c r="O2033" s="15">
        <f>IF(SUM(Q2033:AF2033)&lt;1,"",SUM(Q2033:AF2033)/COUNTIF(Q2033:AF2033,"&gt;0"))</f>
        <v>75</v>
      </c>
      <c r="P2033" s="16"/>
      <c r="Q2033" s="13"/>
      <c r="R2033" s="4"/>
      <c r="S2033" s="4"/>
      <c r="T2033" s="4">
        <v>75</v>
      </c>
      <c r="U2033" s="2"/>
      <c r="V2033" s="2"/>
      <c r="W2033" s="2"/>
      <c r="X2033" s="2"/>
      <c r="Y2033" s="4"/>
      <c r="Z2033" s="2"/>
      <c r="AA2033" s="2"/>
      <c r="AB2033" s="4"/>
      <c r="AC2033" s="4"/>
      <c r="AD2033" s="4"/>
      <c r="AE2033" s="4"/>
      <c r="AF2033" s="14"/>
    </row>
    <row r="2034" spans="1:32" x14ac:dyDescent="0.25">
      <c r="A2034" s="33" t="str">
        <f>CONCATENATE(D2034,".",F2034,"-",G2034,".",H2034,"")</f>
        <v>4.1-2.1</v>
      </c>
      <c r="B2034" s="33" t="s">
        <v>814</v>
      </c>
      <c r="C2034" s="40" t="s">
        <v>337</v>
      </c>
      <c r="D2034" s="33">
        <f>IF(C2034="ID",1,(IF(C2034="PR",2,(IF(C2034="DE",3,(IF(C2034="RS",4,(IF(C2034="RC",5,0)))))))))</f>
        <v>4</v>
      </c>
      <c r="E2034" s="33" t="s">
        <v>350</v>
      </c>
      <c r="F2034" s="33">
        <f>IF(E2034="AM",1,(IF(E2034="BE",2,(IF(E2034="GV",3,(IF(E2034="RA",4,(IF(E2034="RM",5,(IF(E2034="AC",1,(IF(E2034="AT",2,(IF(E2034="DS",3,(IF(E2034="IP",4,(IF(E2034="MA",5,(IF(E2034="PT",6,(IF(E2034="AE",1,(IF(E2034="CM",2,(IF(E2034="DP",3,(IF(E2034="AN",1,(IF(E2034="CO",2,(IF(E2034="IM",3,(IF(E2034="MI",4,(IF(E2034="RP",5,(IF(E2034="SC",6,0)))))))))))))))))))))))))))))))))))))))</f>
        <v>1</v>
      </c>
      <c r="G2034" s="171">
        <v>2</v>
      </c>
      <c r="H2034" s="38" t="s">
        <v>511</v>
      </c>
      <c r="I2034" s="22" t="s">
        <v>936</v>
      </c>
      <c r="J2034" s="163" t="s">
        <v>934</v>
      </c>
      <c r="K2034" s="34" t="s">
        <v>970</v>
      </c>
      <c r="L2034" s="66">
        <f>IF(O2034="","",N2034*O2034*M2034)</f>
        <v>75</v>
      </c>
      <c r="M2034" s="8">
        <v>1</v>
      </c>
      <c r="N2034" s="3">
        <v>1</v>
      </c>
      <c r="O2034" s="15">
        <f>IF(SUM(Q2034:AF2034)&lt;1,"",SUM(Q2034:AF2034)/COUNTIF(Q2034:AF2034,"&gt;0"))</f>
        <v>75</v>
      </c>
      <c r="P2034" s="16"/>
      <c r="Q2034" s="13"/>
      <c r="R2034" s="4"/>
      <c r="S2034" s="4"/>
      <c r="T2034" s="4">
        <v>75</v>
      </c>
      <c r="U2034" s="2"/>
      <c r="V2034" s="2"/>
      <c r="W2034" s="2"/>
      <c r="X2034" s="2"/>
      <c r="Y2034" s="4"/>
      <c r="Z2034" s="2"/>
      <c r="AA2034" s="2"/>
      <c r="AB2034" s="4"/>
      <c r="AC2034" s="4"/>
      <c r="AD2034" s="4"/>
      <c r="AE2034" s="4"/>
      <c r="AF2034" s="14"/>
    </row>
    <row r="2035" spans="1:32" x14ac:dyDescent="0.25">
      <c r="A2035" s="33" t="str">
        <f>CONCATENATE(D2035,".",F2035,"-",G2035,".",H2035,"")</f>
        <v>4.1-2.1</v>
      </c>
      <c r="B2035" s="33" t="s">
        <v>814</v>
      </c>
      <c r="C2035" s="40" t="s">
        <v>337</v>
      </c>
      <c r="D2035" s="33">
        <f>IF(C2035="ID",1,(IF(C2035="PR",2,(IF(C2035="DE",3,(IF(C2035="RS",4,(IF(C2035="RC",5,0)))))))))</f>
        <v>4</v>
      </c>
      <c r="E2035" s="33" t="s">
        <v>350</v>
      </c>
      <c r="F2035" s="33">
        <f>IF(E2035="AM",1,(IF(E2035="BE",2,(IF(E2035="GV",3,(IF(E2035="RA",4,(IF(E2035="RM",5,(IF(E2035="AC",1,(IF(E2035="AT",2,(IF(E2035="DS",3,(IF(E2035="IP",4,(IF(E2035="MA",5,(IF(E2035="PT",6,(IF(E2035="AE",1,(IF(E2035="CM",2,(IF(E2035="DP",3,(IF(E2035="AN",1,(IF(E2035="CO",2,(IF(E2035="IM",3,(IF(E2035="MI",4,(IF(E2035="RP",5,(IF(E2035="SC",6,0)))))))))))))))))))))))))))))))))))))))</f>
        <v>1</v>
      </c>
      <c r="G2035" s="171">
        <v>2</v>
      </c>
      <c r="H2035" s="38" t="s">
        <v>511</v>
      </c>
      <c r="I2035" s="22" t="s">
        <v>936</v>
      </c>
      <c r="J2035" s="163" t="s">
        <v>885</v>
      </c>
      <c r="K2035" s="34" t="s">
        <v>985</v>
      </c>
      <c r="L2035" s="66">
        <f>IF(O2035="","",N2035*O2035*M2035)</f>
        <v>75</v>
      </c>
      <c r="M2035" s="8">
        <v>1</v>
      </c>
      <c r="N2035" s="3">
        <v>1</v>
      </c>
      <c r="O2035" s="15">
        <f>IF(SUM(Q2035:AF2035)&lt;1,"",SUM(Q2035:AF2035)/COUNTIF(Q2035:AF2035,"&gt;0"))</f>
        <v>75</v>
      </c>
      <c r="P2035" s="16"/>
      <c r="Q2035" s="13"/>
      <c r="R2035" s="4"/>
      <c r="S2035" s="4"/>
      <c r="T2035" s="4">
        <v>75</v>
      </c>
      <c r="U2035" s="2"/>
      <c r="V2035" s="2"/>
      <c r="W2035" s="2"/>
      <c r="X2035" s="2"/>
      <c r="Y2035" s="4"/>
      <c r="Z2035" s="2"/>
      <c r="AA2035" s="2"/>
      <c r="AB2035" s="4"/>
      <c r="AC2035" s="4"/>
      <c r="AD2035" s="4"/>
      <c r="AE2035" s="4"/>
      <c r="AF2035" s="14"/>
    </row>
    <row r="2036" spans="1:32" x14ac:dyDescent="0.25">
      <c r="A2036" s="33" t="str">
        <f>CONCATENATE(D2036,".",F2036,"-",G2036,".",H2036,"")</f>
        <v>4.1-2.1</v>
      </c>
      <c r="B2036" s="33" t="s">
        <v>814</v>
      </c>
      <c r="C2036" s="40" t="s">
        <v>337</v>
      </c>
      <c r="D2036" s="33">
        <f>IF(C2036="ID",1,(IF(C2036="PR",2,(IF(C2036="DE",3,(IF(C2036="RS",4,(IF(C2036="RC",5,0)))))))))</f>
        <v>4</v>
      </c>
      <c r="E2036" s="33" t="s">
        <v>350</v>
      </c>
      <c r="F2036" s="33">
        <f>IF(E2036="AM",1,(IF(E2036="BE",2,(IF(E2036="GV",3,(IF(E2036="RA",4,(IF(E2036="RM",5,(IF(E2036="AC",1,(IF(E2036="AT",2,(IF(E2036="DS",3,(IF(E2036="IP",4,(IF(E2036="MA",5,(IF(E2036="PT",6,(IF(E2036="AE",1,(IF(E2036="CM",2,(IF(E2036="DP",3,(IF(E2036="AN",1,(IF(E2036="CO",2,(IF(E2036="IM",3,(IF(E2036="MI",4,(IF(E2036="RP",5,(IF(E2036="SC",6,0)))))))))))))))))))))))))))))))))))))))</f>
        <v>1</v>
      </c>
      <c r="G2036" s="171">
        <v>2</v>
      </c>
      <c r="H2036" s="38" t="s">
        <v>511</v>
      </c>
      <c r="I2036" s="22" t="s">
        <v>936</v>
      </c>
      <c r="J2036" s="163" t="s">
        <v>877</v>
      </c>
      <c r="K2036" s="34" t="s">
        <v>989</v>
      </c>
      <c r="L2036" s="66">
        <f>IF(O2036="","",N2036*O2036*M2036)</f>
        <v>75</v>
      </c>
      <c r="M2036" s="8">
        <v>1</v>
      </c>
      <c r="N2036" s="3">
        <v>1</v>
      </c>
      <c r="O2036" s="15">
        <f>IF(SUM(Q2036:AF2036)&lt;1,"",SUM(Q2036:AF2036)/COUNTIF(Q2036:AF2036,"&gt;0"))</f>
        <v>75</v>
      </c>
      <c r="P2036" s="16"/>
      <c r="Q2036" s="13"/>
      <c r="R2036" s="4"/>
      <c r="S2036" s="4"/>
      <c r="T2036" s="4">
        <v>75</v>
      </c>
      <c r="U2036" s="2"/>
      <c r="V2036" s="2"/>
      <c r="W2036" s="2"/>
      <c r="X2036" s="2"/>
      <c r="Y2036" s="4"/>
      <c r="Z2036" s="2"/>
      <c r="AA2036" s="2"/>
      <c r="AB2036" s="4"/>
      <c r="AC2036" s="4"/>
      <c r="AD2036" s="4"/>
      <c r="AE2036" s="4"/>
      <c r="AF2036" s="14"/>
    </row>
    <row r="2037" spans="1:32" x14ac:dyDescent="0.25">
      <c r="A2037" s="33" t="str">
        <f>CONCATENATE(D2037,".",F2037,"-",G2037,".",H2037,"")</f>
        <v>4.1-2.1</v>
      </c>
      <c r="B2037" s="33" t="s">
        <v>814</v>
      </c>
      <c r="C2037" s="40" t="s">
        <v>337</v>
      </c>
      <c r="D2037" s="33">
        <f>IF(C2037="ID",1,(IF(C2037="PR",2,(IF(C2037="DE",3,(IF(C2037="RS",4,(IF(C2037="RC",5,0)))))))))</f>
        <v>4</v>
      </c>
      <c r="E2037" s="33" t="s">
        <v>350</v>
      </c>
      <c r="F2037" s="33">
        <f>IF(E2037="AM",1,(IF(E2037="BE",2,(IF(E2037="GV",3,(IF(E2037="RA",4,(IF(E2037="RM",5,(IF(E2037="AC",1,(IF(E2037="AT",2,(IF(E2037="DS",3,(IF(E2037="IP",4,(IF(E2037="MA",5,(IF(E2037="PT",6,(IF(E2037="AE",1,(IF(E2037="CM",2,(IF(E2037="DP",3,(IF(E2037="AN",1,(IF(E2037="CO",2,(IF(E2037="IM",3,(IF(E2037="MI",4,(IF(E2037="RP",5,(IF(E2037="SC",6,0)))))))))))))))))))))))))))))))))))))))</f>
        <v>1</v>
      </c>
      <c r="G2037" s="171">
        <v>2</v>
      </c>
      <c r="H2037" s="38" t="s">
        <v>511</v>
      </c>
      <c r="I2037" s="22" t="s">
        <v>936</v>
      </c>
      <c r="J2037" s="163" t="s">
        <v>867</v>
      </c>
      <c r="K2037" s="34" t="s">
        <v>991</v>
      </c>
      <c r="L2037" s="66">
        <f>IF(O2037="","",N2037*O2037*M2037)</f>
        <v>75</v>
      </c>
      <c r="M2037" s="8">
        <v>1</v>
      </c>
      <c r="N2037" s="3">
        <v>1</v>
      </c>
      <c r="O2037" s="15">
        <f>IF(SUM(Q2037:AF2037)&lt;1,"",SUM(Q2037:AF2037)/COUNTIF(Q2037:AF2037,"&gt;0"))</f>
        <v>75</v>
      </c>
      <c r="P2037" s="16"/>
      <c r="Q2037" s="13"/>
      <c r="R2037" s="4"/>
      <c r="S2037" s="4"/>
      <c r="T2037" s="4">
        <v>75</v>
      </c>
      <c r="U2037" s="2"/>
      <c r="V2037" s="2"/>
      <c r="W2037" s="2"/>
      <c r="X2037" s="2"/>
      <c r="Y2037" s="4"/>
      <c r="Z2037" s="2"/>
      <c r="AA2037" s="2"/>
      <c r="AB2037" s="4"/>
      <c r="AC2037" s="4"/>
      <c r="AD2037" s="4"/>
      <c r="AE2037" s="4"/>
      <c r="AF2037" s="14"/>
    </row>
    <row r="2038" spans="1:32" x14ac:dyDescent="0.25">
      <c r="A2038" s="33" t="str">
        <f>CONCATENATE(D2038,".",F2038,"-",G2038,".",H2038,"")</f>
        <v>4.1-2.1</v>
      </c>
      <c r="B2038" s="33" t="s">
        <v>814</v>
      </c>
      <c r="C2038" s="41" t="s">
        <v>337</v>
      </c>
      <c r="D2038" s="33">
        <f>IF(C2038="ID",1,(IF(C2038="PR",2,(IF(C2038="DE",3,(IF(C2038="RS",4,(IF(C2038="RC",5,0)))))))))</f>
        <v>4</v>
      </c>
      <c r="E2038" s="33" t="s">
        <v>346</v>
      </c>
      <c r="F2038" s="33">
        <f>IF(E2038="AM",1,(IF(E2038="BE",2,(IF(E2038="GV",3,(IF(E2038="RA",4,(IF(E2038="RM",5,(IF(E2038="AC",1,(IF(E2038="AT",2,(IF(E2038="DS",3,(IF(E2038="IP",4,(IF(E2038="MA",5,(IF(E2038="PT",6,(IF(E2038="AE",1,(IF(E2038="CM",2,(IF(E2038="DP",3,(IF(E2038="AN",1,(IF(E2038="CO",2,(IF(E2038="IM",3,(IF(E2038="MI",4,(IF(E2038="RP",5,(IF(E2038="SC",6,0)))))))))))))))))))))))))))))))))))))))</f>
        <v>1</v>
      </c>
      <c r="G2038" s="170">
        <v>2</v>
      </c>
      <c r="H2038" s="38" t="s">
        <v>511</v>
      </c>
      <c r="I2038" s="22" t="s">
        <v>266</v>
      </c>
      <c r="J2038" s="149" t="s">
        <v>298</v>
      </c>
      <c r="K2038" s="79" t="s">
        <v>1366</v>
      </c>
      <c r="L2038" s="5">
        <f>IF(O2038="","",N2038*O2038*M2038)</f>
        <v>75</v>
      </c>
      <c r="M2038" s="8">
        <v>1</v>
      </c>
      <c r="N2038" s="1">
        <v>1</v>
      </c>
      <c r="O2038" s="15">
        <f>IF(SUM(Q2038:AF2038)&lt;1,"",SUM(Q2038:AF2038)/COUNTIF(Q2038:AF2038,"&gt;0"))</f>
        <v>75</v>
      </c>
      <c r="P2038" s="16"/>
      <c r="Q2038" s="13"/>
      <c r="R2038" s="4"/>
      <c r="S2038" s="4"/>
      <c r="T2038" s="4">
        <v>75</v>
      </c>
      <c r="U2038" s="2"/>
      <c r="V2038" s="2"/>
      <c r="W2038" s="2"/>
      <c r="X2038" s="2"/>
      <c r="Y2038" s="4"/>
      <c r="Z2038" s="2"/>
      <c r="AA2038" s="2"/>
      <c r="AB2038" s="4"/>
      <c r="AC2038" s="4"/>
      <c r="AD2038" s="4"/>
      <c r="AE2038" s="4"/>
      <c r="AF2038" s="14"/>
    </row>
    <row r="2039" spans="1:32" x14ac:dyDescent="0.25">
      <c r="A2039" s="33" t="str">
        <f>CONCATENATE(D2039,".",F2039,"-",G2039,".",H2039,"")</f>
        <v>4.1-2.1</v>
      </c>
      <c r="B2039" s="33" t="s">
        <v>814</v>
      </c>
      <c r="C2039" s="39" t="s">
        <v>337</v>
      </c>
      <c r="D2039" s="33">
        <f>IF(C2039="ID",1,(IF(C2039="PR",2,(IF(C2039="DE",3,(IF(C2039="RS",4,(IF(C2039="RC",5,0)))))))))</f>
        <v>4</v>
      </c>
      <c r="E2039" s="33" t="s">
        <v>350</v>
      </c>
      <c r="F2039" s="33">
        <f>IF(E2039="AM",1,(IF(E2039="BE",2,(IF(E2039="GV",3,(IF(E2039="RA",4,(IF(E2039="RM",5,(IF(E2039="AC",1,(IF(E2039="AT",2,(IF(E2039="DS",3,(IF(E2039="IP",4,(IF(E2039="MA",5,(IF(E2039="PT",6,(IF(E2039="AE",1,(IF(E2039="CM",2,(IF(E2039="DP",3,(IF(E2039="AN",1,(IF(E2039="CO",2,(IF(E2039="IM",3,(IF(E2039="MI",4,(IF(E2039="RP",5,(IF(E2039="SC",6,0)))))))))))))))))))))))))))))))))))))))</f>
        <v>1</v>
      </c>
      <c r="G2039" s="170">
        <v>2</v>
      </c>
      <c r="H2039" s="38" t="s">
        <v>511</v>
      </c>
      <c r="I2039" s="79" t="s">
        <v>1176</v>
      </c>
      <c r="J2039" s="162">
        <v>19.7</v>
      </c>
      <c r="K2039" s="80" t="s">
        <v>1167</v>
      </c>
      <c r="L2039" s="66">
        <f>IF(O2039="","",N2039*O2039*M2039)</f>
        <v>75</v>
      </c>
      <c r="M2039" s="8">
        <v>1</v>
      </c>
      <c r="N2039" s="3">
        <v>1</v>
      </c>
      <c r="O2039" s="15">
        <f>IF(SUM(Q2039:AF2039)&lt;1,"",SUM(Q2039:AF2039)/COUNTIF(Q2039:AF2039,"&gt;0"))</f>
        <v>75</v>
      </c>
      <c r="P2039" s="16"/>
      <c r="Q2039" s="13"/>
      <c r="R2039" s="4"/>
      <c r="S2039" s="4"/>
      <c r="T2039" s="4">
        <v>75</v>
      </c>
      <c r="U2039" s="2"/>
      <c r="V2039" s="2"/>
      <c r="W2039" s="2"/>
      <c r="X2039" s="2"/>
      <c r="Y2039" s="4"/>
      <c r="Z2039" s="2"/>
      <c r="AA2039" s="2"/>
      <c r="AB2039" s="4"/>
      <c r="AC2039" s="4"/>
      <c r="AD2039" s="4"/>
      <c r="AE2039" s="4"/>
      <c r="AF2039" s="14"/>
    </row>
    <row r="2040" spans="1:32" x14ac:dyDescent="0.25">
      <c r="A2040" s="33" t="str">
        <f>CONCATENATE(D2040,".",F2040,"-",G2040,".",H2040,"")</f>
        <v>4.1-2.1</v>
      </c>
      <c r="B2040" s="33" t="s">
        <v>814</v>
      </c>
      <c r="C2040" s="39" t="s">
        <v>337</v>
      </c>
      <c r="D2040" s="33">
        <f>IF(C2040="ID",1,(IF(C2040="PR",2,(IF(C2040="DE",3,(IF(C2040="RS",4,(IF(C2040="RC",5,0)))))))))</f>
        <v>4</v>
      </c>
      <c r="E2040" s="33" t="s">
        <v>350</v>
      </c>
      <c r="F2040" s="33">
        <f>IF(E2040="AM",1,(IF(E2040="BE",2,(IF(E2040="GV",3,(IF(E2040="RA",4,(IF(E2040="RM",5,(IF(E2040="AC",1,(IF(E2040="AT",2,(IF(E2040="DS",3,(IF(E2040="IP",4,(IF(E2040="MA",5,(IF(E2040="PT",6,(IF(E2040="AE",1,(IF(E2040="CM",2,(IF(E2040="DP",3,(IF(E2040="AN",1,(IF(E2040="CO",2,(IF(E2040="IM",3,(IF(E2040="MI",4,(IF(E2040="RP",5,(IF(E2040="SC",6,0)))))))))))))))))))))))))))))))))))))))</f>
        <v>1</v>
      </c>
      <c r="G2040" s="170">
        <v>2</v>
      </c>
      <c r="H2040" s="38" t="s">
        <v>511</v>
      </c>
      <c r="I2040" s="3" t="s">
        <v>1449</v>
      </c>
      <c r="J2040" s="157" t="s">
        <v>1496</v>
      </c>
      <c r="K2040" s="34" t="s">
        <v>1497</v>
      </c>
      <c r="L2040" s="5">
        <f>IF(O2040="","",N2040*O2040*M2040)</f>
        <v>99</v>
      </c>
      <c r="M2040" s="8">
        <v>1</v>
      </c>
      <c r="N2040" s="1">
        <v>1</v>
      </c>
      <c r="O2040" s="15">
        <f>IF(SUM(Q2040:AF2040)&lt;1,"",SUM(Q2040:AF2040)/COUNTIF(Q2040:AF2040,"&gt;0"))</f>
        <v>99</v>
      </c>
      <c r="P2040" s="16"/>
      <c r="Q2040" s="13"/>
      <c r="R2040" s="4"/>
      <c r="S2040" s="4"/>
      <c r="T2040" s="4">
        <v>99</v>
      </c>
      <c r="U2040" s="2"/>
      <c r="V2040" s="2"/>
      <c r="W2040" s="2"/>
      <c r="X2040" s="2"/>
      <c r="Y2040" s="4"/>
      <c r="Z2040" s="2"/>
      <c r="AA2040" s="2"/>
      <c r="AB2040" s="4"/>
      <c r="AC2040" s="4"/>
      <c r="AD2040" s="4"/>
      <c r="AE2040" s="4"/>
      <c r="AF2040" s="14"/>
    </row>
    <row r="2041" spans="1:32" x14ac:dyDescent="0.25">
      <c r="A2041" s="33" t="str">
        <f>CONCATENATE(D2041,".",F2041,"-",G2041,".",H2041,"")</f>
        <v>4.1-3.0</v>
      </c>
      <c r="B2041" s="33" t="s">
        <v>814</v>
      </c>
      <c r="C2041" s="41" t="s">
        <v>337</v>
      </c>
      <c r="D2041" s="33">
        <f>IF(C2041="ID",1,(IF(C2041="PR",2,(IF(C2041="DE",3,(IF(C2041="RS",4,(IF(C2041="RC",5,0)))))))))</f>
        <v>4</v>
      </c>
      <c r="E2041" s="33" t="s">
        <v>350</v>
      </c>
      <c r="F2041" s="33">
        <f>IF(E2041="AM",1,(IF(E2041="BE",2,(IF(E2041="GV",3,(IF(E2041="RA",4,(IF(E2041="RM",5,(IF(E2041="AC",1,(IF(E2041="AT",2,(IF(E2041="DS",3,(IF(E2041="IP",4,(IF(E2041="MA",5,(IF(E2041="PT",6,(IF(E2041="AE",1,(IF(E2041="CM",2,(IF(E2041="DP",3,(IF(E2041="AN",1,(IF(E2041="CO",2,(IF(E2041="IM",3,(IF(E2041="MI",4,(IF(E2041="RP",5,(IF(E2041="SC",6,0)))))))))))))))))))))))))))))))))))))))</f>
        <v>1</v>
      </c>
      <c r="G2041" s="170">
        <v>3</v>
      </c>
      <c r="H2041" s="38">
        <v>0</v>
      </c>
      <c r="I2041" s="22" t="s">
        <v>266</v>
      </c>
      <c r="J2041" s="149" t="s">
        <v>445</v>
      </c>
      <c r="K2041" s="79" t="s">
        <v>1372</v>
      </c>
      <c r="L2041" s="5">
        <f>IF(O2041="","",N2041*O2041*M2041)</f>
        <v>75</v>
      </c>
      <c r="M2041" s="8">
        <v>1</v>
      </c>
      <c r="N2041" s="1">
        <v>1</v>
      </c>
      <c r="O2041" s="15">
        <f>IF(SUM(Q2041:AF2041)&lt;1,"",SUM(Q2041:AF2041)/COUNTIF(Q2041:AF2041,"&gt;0"))</f>
        <v>75</v>
      </c>
      <c r="P2041" s="16"/>
      <c r="Q2041" s="13"/>
      <c r="R2041" s="4"/>
      <c r="S2041" s="4"/>
      <c r="T2041" s="4">
        <v>75</v>
      </c>
      <c r="U2041" s="2"/>
      <c r="V2041" s="2"/>
      <c r="W2041" s="2"/>
      <c r="X2041" s="2"/>
      <c r="Y2041" s="4"/>
      <c r="Z2041" s="2"/>
      <c r="AA2041" s="2"/>
      <c r="AB2041" s="4"/>
      <c r="AC2041" s="4"/>
      <c r="AD2041" s="4"/>
      <c r="AE2041" s="4"/>
      <c r="AF2041" s="14"/>
    </row>
    <row r="2042" spans="1:32" x14ac:dyDescent="0.25">
      <c r="A2042" s="33" t="str">
        <f>CONCATENATE(D2042,".",F2042,"-",G2042,".",H2042,"")</f>
        <v>4.1-3.0</v>
      </c>
      <c r="B2042" s="33" t="s">
        <v>814</v>
      </c>
      <c r="C2042" s="40" t="s">
        <v>337</v>
      </c>
      <c r="D2042" s="33">
        <f>IF(C2042="ID",1,(IF(C2042="PR",2,(IF(C2042="DE",3,(IF(C2042="RS",4,(IF(C2042="RC",5,0)))))))))</f>
        <v>4</v>
      </c>
      <c r="E2042" s="33" t="s">
        <v>350</v>
      </c>
      <c r="F2042" s="33">
        <f>IF(E2042="AM",1,(IF(E2042="BE",2,(IF(E2042="GV",3,(IF(E2042="RA",4,(IF(E2042="RM",5,(IF(E2042="AC",1,(IF(E2042="AT",2,(IF(E2042="DS",3,(IF(E2042="IP",4,(IF(E2042="MA",5,(IF(E2042="PT",6,(IF(E2042="AE",1,(IF(E2042="CM",2,(IF(E2042="DP",3,(IF(E2042="AN",1,(IF(E2042="CO",2,(IF(E2042="IM",3,(IF(E2042="MI",4,(IF(E2042="RP",5,(IF(E2042="SC",6,0)))))))))))))))))))))))))))))))))))))))</f>
        <v>1</v>
      </c>
      <c r="G2042" s="170">
        <v>3</v>
      </c>
      <c r="H2042" s="38" t="s">
        <v>597</v>
      </c>
      <c r="I2042" s="22" t="s">
        <v>1200</v>
      </c>
      <c r="J2042" s="149" t="s">
        <v>708</v>
      </c>
      <c r="K2042" s="100" t="s">
        <v>427</v>
      </c>
      <c r="L2042" s="5">
        <f>IF(O2042="","",N2042*O2042*M2042)</f>
        <v>75</v>
      </c>
      <c r="M2042" s="8">
        <v>1</v>
      </c>
      <c r="N2042" s="1">
        <v>1</v>
      </c>
      <c r="O2042" s="15">
        <f>IF(SUM(Q2042:AF2042)&lt;1,"",SUM(Q2042:AF2042)/COUNTIF(Q2042:AF2042,"&gt;0"))</f>
        <v>75</v>
      </c>
      <c r="P2042" s="16"/>
      <c r="Q2042" s="13"/>
      <c r="R2042" s="4"/>
      <c r="S2042" s="4"/>
      <c r="T2042" s="4">
        <v>75</v>
      </c>
      <c r="U2042" s="2"/>
      <c r="V2042" s="2"/>
      <c r="W2042" s="2"/>
      <c r="X2042" s="2"/>
      <c r="Y2042" s="4"/>
      <c r="Z2042" s="2"/>
      <c r="AA2042" s="2"/>
      <c r="AB2042" s="4"/>
      <c r="AC2042" s="4"/>
      <c r="AD2042" s="4"/>
      <c r="AE2042" s="4"/>
      <c r="AF2042" s="14"/>
    </row>
    <row r="2043" spans="1:32" x14ac:dyDescent="0.25">
      <c r="A2043" s="33" t="str">
        <f>CONCATENATE(D2043,".",F2043,"-",G2043,".",H2043,"")</f>
        <v>4.1-4.0</v>
      </c>
      <c r="B2043" s="33" t="s">
        <v>814</v>
      </c>
      <c r="C2043" s="40" t="s">
        <v>337</v>
      </c>
      <c r="D2043" s="33">
        <f>IF(C2043="ID",1,(IF(C2043="PR",2,(IF(C2043="DE",3,(IF(C2043="RS",4,(IF(C2043="RC",5,0)))))))))</f>
        <v>4</v>
      </c>
      <c r="E2043" s="33" t="s">
        <v>350</v>
      </c>
      <c r="F2043" s="33">
        <f>IF(E2043="AM",1,(IF(E2043="BE",2,(IF(E2043="GV",3,(IF(E2043="RA",4,(IF(E2043="RM",5,(IF(E2043="AC",1,(IF(E2043="AT",2,(IF(E2043="DS",3,(IF(E2043="IP",4,(IF(E2043="MA",5,(IF(E2043="PT",6,(IF(E2043="AE",1,(IF(E2043="CM",2,(IF(E2043="DP",3,(IF(E2043="AN",1,(IF(E2043="CO",2,(IF(E2043="IM",3,(IF(E2043="MI",4,(IF(E2043="RP",5,(IF(E2043="SC",6,0)))))))))))))))))))))))))))))))))))))))</f>
        <v>1</v>
      </c>
      <c r="G2043" s="170">
        <v>4</v>
      </c>
      <c r="H2043" s="38" t="s">
        <v>597</v>
      </c>
      <c r="I2043" s="22" t="s">
        <v>1200</v>
      </c>
      <c r="J2043" s="149" t="s">
        <v>709</v>
      </c>
      <c r="K2043" s="100" t="s">
        <v>428</v>
      </c>
      <c r="L2043" s="5">
        <f>IF(O2043="","",N2043*O2043*M2043)</f>
        <v>75</v>
      </c>
      <c r="M2043" s="8">
        <v>1</v>
      </c>
      <c r="N2043" s="1">
        <v>1</v>
      </c>
      <c r="O2043" s="15">
        <f>IF(SUM(Q2043:AF2043)&lt;1,"",SUM(Q2043:AF2043)/COUNTIF(Q2043:AF2043,"&gt;0"))</f>
        <v>75</v>
      </c>
      <c r="P2043" s="16"/>
      <c r="Q2043" s="13"/>
      <c r="R2043" s="4"/>
      <c r="S2043" s="4"/>
      <c r="T2043" s="4">
        <v>75</v>
      </c>
      <c r="U2043" s="2"/>
      <c r="V2043" s="2"/>
      <c r="W2043" s="2"/>
      <c r="X2043" s="2"/>
      <c r="Y2043" s="4"/>
      <c r="Z2043" s="2"/>
      <c r="AA2043" s="2"/>
      <c r="AB2043" s="4"/>
      <c r="AC2043" s="4"/>
      <c r="AD2043" s="4"/>
      <c r="AE2043" s="4"/>
      <c r="AF2043" s="14"/>
    </row>
    <row r="2044" spans="1:32" x14ac:dyDescent="0.25">
      <c r="A2044" s="33" t="str">
        <f>CONCATENATE(D2044,".",F2044,"-",G2044,".",H2044,"")</f>
        <v>4.1-4.1</v>
      </c>
      <c r="B2044" s="33" t="s">
        <v>814</v>
      </c>
      <c r="C2044" s="40" t="s">
        <v>337</v>
      </c>
      <c r="D2044" s="33">
        <f>IF(C2044="ID",1,(IF(C2044="PR",2,(IF(C2044="DE",3,(IF(C2044="RS",4,(IF(C2044="RC",5,0)))))))))</f>
        <v>4</v>
      </c>
      <c r="E2044" s="33" t="s">
        <v>350</v>
      </c>
      <c r="F2044" s="33">
        <f>IF(E2044="AM",1,(IF(E2044="BE",2,(IF(E2044="GV",3,(IF(E2044="RA",4,(IF(E2044="RM",5,(IF(E2044="AC",1,(IF(E2044="AT",2,(IF(E2044="DS",3,(IF(E2044="IP",4,(IF(E2044="MA",5,(IF(E2044="PT",6,(IF(E2044="AE",1,(IF(E2044="CM",2,(IF(E2044="DP",3,(IF(E2044="AN",1,(IF(E2044="CO",2,(IF(E2044="IM",3,(IF(E2044="MI",4,(IF(E2044="RP",5,(IF(E2044="SC",6,0)))))))))))))))))))))))))))))))))))))))</f>
        <v>1</v>
      </c>
      <c r="G2044" s="171">
        <v>4</v>
      </c>
      <c r="H2044" s="38" t="s">
        <v>511</v>
      </c>
      <c r="I2044" s="22" t="s">
        <v>936</v>
      </c>
      <c r="J2044" s="163" t="s">
        <v>885</v>
      </c>
      <c r="K2044" s="34" t="s">
        <v>985</v>
      </c>
      <c r="L2044" s="66">
        <f>IF(O2044="","",N2044*O2044*M2044)</f>
        <v>75</v>
      </c>
      <c r="M2044" s="8">
        <v>1</v>
      </c>
      <c r="N2044" s="3">
        <v>1</v>
      </c>
      <c r="O2044" s="15">
        <f>IF(SUM(Q2044:AF2044)&lt;1,"",SUM(Q2044:AF2044)/COUNTIF(Q2044:AF2044,"&gt;0"))</f>
        <v>75</v>
      </c>
      <c r="P2044" s="16"/>
      <c r="Q2044" s="13"/>
      <c r="R2044" s="4"/>
      <c r="S2044" s="4"/>
      <c r="T2044" s="4">
        <v>75</v>
      </c>
      <c r="U2044" s="2"/>
      <c r="V2044" s="2"/>
      <c r="W2044" s="2"/>
      <c r="X2044" s="2"/>
      <c r="Y2044" s="4"/>
      <c r="Z2044" s="2"/>
      <c r="AA2044" s="2"/>
      <c r="AB2044" s="4"/>
      <c r="AC2044" s="4"/>
      <c r="AD2044" s="4"/>
      <c r="AE2044" s="4"/>
      <c r="AF2044" s="14"/>
    </row>
    <row r="2045" spans="1:32" x14ac:dyDescent="0.25">
      <c r="A2045" s="33" t="str">
        <f>CONCATENATE(D2045,".",F2045,"-",G2045,".",H2045,"")</f>
        <v>4.1-4.1</v>
      </c>
      <c r="B2045" s="33" t="s">
        <v>814</v>
      </c>
      <c r="C2045" s="39" t="s">
        <v>337</v>
      </c>
      <c r="D2045" s="33">
        <f>IF(C2045="ID",1,(IF(C2045="PR",2,(IF(C2045="DE",3,(IF(C2045="RS",4,(IF(C2045="RC",5,0)))))))))</f>
        <v>4</v>
      </c>
      <c r="E2045" s="33" t="s">
        <v>350</v>
      </c>
      <c r="F2045" s="33">
        <f>IF(E2045="AM",1,(IF(E2045="BE",2,(IF(E2045="GV",3,(IF(E2045="RA",4,(IF(E2045="RM",5,(IF(E2045="AC",1,(IF(E2045="AT",2,(IF(E2045="DS",3,(IF(E2045="IP",4,(IF(E2045="MA",5,(IF(E2045="PT",6,(IF(E2045="AE",1,(IF(E2045="CM",2,(IF(E2045="DP",3,(IF(E2045="AN",1,(IF(E2045="CO",2,(IF(E2045="IM",3,(IF(E2045="MI",4,(IF(E2045="RP",5,(IF(E2045="SC",6,0)))))))))))))))))))))))))))))))))))))))</f>
        <v>1</v>
      </c>
      <c r="G2045" s="170">
        <v>4</v>
      </c>
      <c r="H2045" s="38" t="s">
        <v>511</v>
      </c>
      <c r="I2045" s="3" t="s">
        <v>1449</v>
      </c>
      <c r="J2045" s="157" t="s">
        <v>1775</v>
      </c>
      <c r="K2045" s="34" t="s">
        <v>1776</v>
      </c>
      <c r="L2045" s="5">
        <f>IF(O2045="","",N2045*O2045*M2045)</f>
        <v>99</v>
      </c>
      <c r="M2045" s="8">
        <v>1</v>
      </c>
      <c r="N2045" s="1">
        <v>1</v>
      </c>
      <c r="O2045" s="15">
        <f>IF(SUM(Q2045:AF2045)&lt;1,"",SUM(Q2045:AF2045)/COUNTIF(Q2045:AF2045,"&gt;0"))</f>
        <v>99</v>
      </c>
      <c r="P2045" s="16"/>
      <c r="Q2045" s="13"/>
      <c r="R2045" s="4"/>
      <c r="S2045" s="4"/>
      <c r="T2045" s="4">
        <v>99</v>
      </c>
      <c r="U2045" s="2"/>
      <c r="V2045" s="2"/>
      <c r="W2045" s="2"/>
      <c r="X2045" s="2"/>
      <c r="Y2045" s="4"/>
      <c r="Z2045" s="2"/>
      <c r="AA2045" s="2"/>
      <c r="AB2045" s="4"/>
      <c r="AC2045" s="4"/>
      <c r="AD2045" s="4"/>
      <c r="AE2045" s="4"/>
      <c r="AF2045" s="14"/>
    </row>
    <row r="2046" spans="1:32" x14ac:dyDescent="0.25">
      <c r="A2046" s="33" t="str">
        <f>CONCATENATE(D2046,".",F2046,"-",G2046,".",H2046,"")</f>
        <v>4.2-0.0</v>
      </c>
      <c r="B2046" s="33" t="s">
        <v>1229</v>
      </c>
      <c r="C2046" s="40" t="s">
        <v>337</v>
      </c>
      <c r="D2046" s="33">
        <f>IF(C2046="ID",1,(IF(C2046="PR",2,(IF(C2046="DE",3,(IF(C2046="RS",4,(IF(C2046="RC",5,0)))))))))</f>
        <v>4</v>
      </c>
      <c r="E2046" s="33" t="s">
        <v>349</v>
      </c>
      <c r="F2046" s="33">
        <f>IF(E2046="AM",1,(IF(E2046="BE",2,(IF(E2046="GV",3,(IF(E2046="RA",4,(IF(E2046="RM",5,(IF(E2046="AC",1,(IF(E2046="AT",2,(IF(E2046="DS",3,(IF(E2046="IP",4,(IF(E2046="MA",5,(IF(E2046="PT",6,(IF(E2046="AE",1,(IF(E2046="CM",2,(IF(E2046="DP",3,(IF(E2046="AN",1,(IF(E2046="CO",2,(IF(E2046="IM",3,(IF(E2046="MI",4,(IF(E2046="RP",5,(IF(E2046="SC",6,0)))))))))))))))))))))))))))))))))))))))</f>
        <v>2</v>
      </c>
      <c r="G2046" s="170">
        <v>0</v>
      </c>
      <c r="H2046" s="38" t="s">
        <v>597</v>
      </c>
      <c r="I2046" s="22" t="s">
        <v>1200</v>
      </c>
      <c r="J2046" s="167" t="s">
        <v>710</v>
      </c>
      <c r="K2046" s="100" t="s">
        <v>742</v>
      </c>
      <c r="L2046" s="5" t="str">
        <f>IF(O2046="","",N2046*O2046*M2046)</f>
        <v/>
      </c>
      <c r="M2046" s="8">
        <v>1</v>
      </c>
      <c r="N2046" s="1">
        <v>1</v>
      </c>
      <c r="O2046" s="15" t="str">
        <f>IF(SUM(Q2046:AF2046)&lt;1,"",SUM(Q2046:AF2046)/COUNTIF(Q2046:AF2046,"&gt;0"))</f>
        <v/>
      </c>
      <c r="P2046" s="16"/>
      <c r="Q2046" s="13"/>
      <c r="R2046" s="4"/>
      <c r="S2046" s="4"/>
      <c r="T2046" s="2"/>
      <c r="U2046" s="2"/>
      <c r="V2046" s="2"/>
      <c r="W2046" s="2"/>
      <c r="X2046" s="2"/>
      <c r="Y2046" s="4"/>
      <c r="Z2046" s="2"/>
      <c r="AA2046" s="2"/>
      <c r="AB2046" s="4"/>
      <c r="AC2046" s="4"/>
      <c r="AD2046" s="4"/>
      <c r="AE2046" s="4"/>
      <c r="AF2046" s="14"/>
    </row>
    <row r="2047" spans="1:32" x14ac:dyDescent="0.25">
      <c r="A2047" s="33" t="str">
        <f>CONCATENATE(D2047,".",F2047,"-",G2047,".",H2047,"")</f>
        <v>4.2-0.1</v>
      </c>
      <c r="B2047" s="33" t="s">
        <v>1229</v>
      </c>
      <c r="C2047" s="40" t="s">
        <v>337</v>
      </c>
      <c r="D2047" s="33">
        <f>IF(C2047="ID",1,(IF(C2047="PR",2,(IF(C2047="DE",3,(IF(C2047="RS",4,(IF(C2047="RC",5,0)))))))))</f>
        <v>4</v>
      </c>
      <c r="E2047" s="33" t="s">
        <v>349</v>
      </c>
      <c r="F2047" s="33">
        <f>IF(E2047="AM",1,(IF(E2047="BE",2,(IF(E2047="GV",3,(IF(E2047="RA",4,(IF(E2047="RM",5,(IF(E2047="AC",1,(IF(E2047="AT",2,(IF(E2047="DS",3,(IF(E2047="IP",4,(IF(E2047="MA",5,(IF(E2047="PT",6,(IF(E2047="AE",1,(IF(E2047="CM",2,(IF(E2047="DP",3,(IF(E2047="AN",1,(IF(E2047="CO",2,(IF(E2047="IM",3,(IF(E2047="MI",4,(IF(E2047="RP",5,(IF(E2047="SC",6,0)))))))))))))))))))))))))))))))))))))))</f>
        <v>2</v>
      </c>
      <c r="G2047" s="170">
        <v>0</v>
      </c>
      <c r="H2047" s="38" t="s">
        <v>511</v>
      </c>
      <c r="I2047" s="22" t="s">
        <v>1200</v>
      </c>
      <c r="J2047" s="167" t="s">
        <v>710</v>
      </c>
      <c r="K2047" s="100" t="s">
        <v>759</v>
      </c>
      <c r="L2047" s="5" t="str">
        <f>IF(O2047="","",N2047*O2047*M2047)</f>
        <v/>
      </c>
      <c r="M2047" s="8">
        <v>1</v>
      </c>
      <c r="N2047" s="1">
        <v>1</v>
      </c>
      <c r="O2047" s="15" t="str">
        <f>IF(SUM(Q2047:AF2047)&lt;1,"",SUM(Q2047:AF2047)/COUNTIF(Q2047:AF2047,"&gt;0"))</f>
        <v/>
      </c>
      <c r="P2047" s="16"/>
      <c r="Q2047" s="13"/>
      <c r="R2047" s="4"/>
      <c r="S2047" s="4"/>
      <c r="T2047" s="2"/>
      <c r="U2047" s="2"/>
      <c r="V2047" s="2"/>
      <c r="W2047" s="2"/>
      <c r="X2047" s="2"/>
      <c r="Y2047" s="4"/>
      <c r="Z2047" s="2"/>
      <c r="AA2047" s="2"/>
      <c r="AB2047" s="4"/>
      <c r="AC2047" s="4"/>
      <c r="AD2047" s="4"/>
      <c r="AE2047" s="4"/>
      <c r="AF2047" s="14"/>
    </row>
    <row r="2048" spans="1:32" x14ac:dyDescent="0.25">
      <c r="A2048" s="33" t="str">
        <f>CONCATENATE(D2048,".",F2048,"-",G2048,".",H2048,"")</f>
        <v>4.2-1.0</v>
      </c>
      <c r="B2048" s="33" t="s">
        <v>814</v>
      </c>
      <c r="C2048" s="41" t="s">
        <v>337</v>
      </c>
      <c r="D2048" s="33">
        <f>IF(C2048="ID",1,(IF(C2048="PR",2,(IF(C2048="DE",3,(IF(C2048="RS",4,(IF(C2048="RC",5,0)))))))))</f>
        <v>4</v>
      </c>
      <c r="E2048" s="33" t="s">
        <v>349</v>
      </c>
      <c r="F2048" s="33">
        <f>IF(E2048="AM",1,(IF(E2048="BE",2,(IF(E2048="GV",3,(IF(E2048="RA",4,(IF(E2048="RM",5,(IF(E2048="AC",1,(IF(E2048="AT",2,(IF(E2048="DS",3,(IF(E2048="IP",4,(IF(E2048="MA",5,(IF(E2048="PT",6,(IF(E2048="AE",1,(IF(E2048="CM",2,(IF(E2048="DP",3,(IF(E2048="AN",1,(IF(E2048="CO",2,(IF(E2048="IM",3,(IF(E2048="MI",4,(IF(E2048="RP",5,(IF(E2048="SC",6,0)))))))))))))))))))))))))))))))))))))))</f>
        <v>2</v>
      </c>
      <c r="G2048" s="170">
        <v>1</v>
      </c>
      <c r="H2048" s="38">
        <v>0</v>
      </c>
      <c r="I2048" s="22" t="s">
        <v>266</v>
      </c>
      <c r="J2048" s="149" t="s">
        <v>298</v>
      </c>
      <c r="K2048" s="79" t="s">
        <v>1366</v>
      </c>
      <c r="L2048" s="5">
        <f>IF(O2048="","",N2048*O2048*M2048)</f>
        <v>75</v>
      </c>
      <c r="M2048" s="8">
        <v>1</v>
      </c>
      <c r="N2048" s="1">
        <v>1</v>
      </c>
      <c r="O2048" s="15">
        <f>IF(SUM(Q2048:AF2048)&lt;1,"",SUM(Q2048:AF2048)/COUNTIF(Q2048:AF2048,"&gt;0"))</f>
        <v>75</v>
      </c>
      <c r="P2048" s="16"/>
      <c r="Q2048" s="13"/>
      <c r="R2048" s="4"/>
      <c r="S2048" s="4"/>
      <c r="T2048" s="4">
        <v>75</v>
      </c>
      <c r="U2048" s="2"/>
      <c r="V2048" s="2"/>
      <c r="W2048" s="2"/>
      <c r="X2048" s="2"/>
      <c r="Y2048" s="4"/>
      <c r="Z2048" s="2"/>
      <c r="AA2048" s="2"/>
      <c r="AB2048" s="4"/>
      <c r="AC2048" s="4"/>
      <c r="AD2048" s="4"/>
      <c r="AE2048" s="4"/>
      <c r="AF2048" s="14"/>
    </row>
    <row r="2049" spans="1:32" x14ac:dyDescent="0.25">
      <c r="A2049" s="33" t="str">
        <f>CONCATENATE(D2049,".",F2049,"-",G2049,".",H2049,"")</f>
        <v>4.2-1.0</v>
      </c>
      <c r="B2049" s="33" t="s">
        <v>814</v>
      </c>
      <c r="C2049" s="41" t="s">
        <v>337</v>
      </c>
      <c r="D2049" s="33">
        <f>IF(C2049="ID",1,(IF(C2049="PR",2,(IF(C2049="DE",3,(IF(C2049="RS",4,(IF(C2049="RC",5,0)))))))))</f>
        <v>4</v>
      </c>
      <c r="E2049" s="33" t="s">
        <v>349</v>
      </c>
      <c r="F2049" s="33">
        <f>IF(E2049="AM",1,(IF(E2049="BE",2,(IF(E2049="GV",3,(IF(E2049="RA",4,(IF(E2049="RM",5,(IF(E2049="AC",1,(IF(E2049="AT",2,(IF(E2049="DS",3,(IF(E2049="IP",4,(IF(E2049="MA",5,(IF(E2049="PT",6,(IF(E2049="AE",1,(IF(E2049="CM",2,(IF(E2049="DP",3,(IF(E2049="AN",1,(IF(E2049="CO",2,(IF(E2049="IM",3,(IF(E2049="MI",4,(IF(E2049="RP",5,(IF(E2049="SC",6,0)))))))))))))))))))))))))))))))))))))))</f>
        <v>2</v>
      </c>
      <c r="G2049" s="170">
        <v>1</v>
      </c>
      <c r="H2049" s="38">
        <v>0</v>
      </c>
      <c r="I2049" s="22" t="s">
        <v>266</v>
      </c>
      <c r="J2049" s="149" t="s">
        <v>4</v>
      </c>
      <c r="K2049" s="79" t="s">
        <v>1398</v>
      </c>
      <c r="L2049" s="5">
        <f>IF(O2049="","",N2049*O2049*M2049)</f>
        <v>75</v>
      </c>
      <c r="M2049" s="8">
        <v>1</v>
      </c>
      <c r="N2049" s="1">
        <v>1</v>
      </c>
      <c r="O2049" s="15">
        <f>IF(SUM(Q2049:AF2049)&lt;1,"",SUM(Q2049:AF2049)/COUNTIF(Q2049:AF2049,"&gt;0"))</f>
        <v>75</v>
      </c>
      <c r="P2049" s="16"/>
      <c r="Q2049" s="13"/>
      <c r="R2049" s="4"/>
      <c r="S2049" s="4"/>
      <c r="T2049" s="4">
        <v>75</v>
      </c>
      <c r="U2049" s="2"/>
      <c r="V2049" s="2"/>
      <c r="W2049" s="2"/>
      <c r="X2049" s="2"/>
      <c r="Y2049" s="4"/>
      <c r="Z2049" s="2"/>
      <c r="AA2049" s="2"/>
      <c r="AB2049" s="4"/>
      <c r="AC2049" s="4"/>
      <c r="AD2049" s="4"/>
      <c r="AE2049" s="4"/>
      <c r="AF2049" s="14"/>
    </row>
    <row r="2050" spans="1:32" x14ac:dyDescent="0.25">
      <c r="A2050" s="33" t="str">
        <f>CONCATENATE(D2050,".",F2050,"-",G2050,".",H2050,"")</f>
        <v>4.2-1.0</v>
      </c>
      <c r="B2050" s="33" t="s">
        <v>814</v>
      </c>
      <c r="C2050" s="40" t="s">
        <v>337</v>
      </c>
      <c r="D2050" s="33">
        <f>IF(C2050="ID",1,(IF(C2050="PR",2,(IF(C2050="DE",3,(IF(C2050="RS",4,(IF(C2050="RC",5,0)))))))))</f>
        <v>4</v>
      </c>
      <c r="E2050" s="33" t="s">
        <v>349</v>
      </c>
      <c r="F2050" s="33">
        <f>IF(E2050="AM",1,(IF(E2050="BE",2,(IF(E2050="GV",3,(IF(E2050="RA",4,(IF(E2050="RM",5,(IF(E2050="AC",1,(IF(E2050="AT",2,(IF(E2050="DS",3,(IF(E2050="IP",4,(IF(E2050="MA",5,(IF(E2050="PT",6,(IF(E2050="AE",1,(IF(E2050="CM",2,(IF(E2050="DP",3,(IF(E2050="AN",1,(IF(E2050="CO",2,(IF(E2050="IM",3,(IF(E2050="MI",4,(IF(E2050="RP",5,(IF(E2050="SC",6,0)))))))))))))))))))))))))))))))))))))))</f>
        <v>2</v>
      </c>
      <c r="G2050" s="170">
        <v>1</v>
      </c>
      <c r="H2050" s="38" t="s">
        <v>597</v>
      </c>
      <c r="I2050" s="22" t="s">
        <v>1200</v>
      </c>
      <c r="J2050" s="149" t="s">
        <v>711</v>
      </c>
      <c r="K2050" s="100" t="s">
        <v>420</v>
      </c>
      <c r="L2050" s="5">
        <f>IF(O2050="","",N2050*O2050*M2050)</f>
        <v>75</v>
      </c>
      <c r="M2050" s="8">
        <v>1</v>
      </c>
      <c r="N2050" s="1">
        <v>1</v>
      </c>
      <c r="O2050" s="15">
        <f>IF(SUM(Q2050:AF2050)&lt;1,"",SUM(Q2050:AF2050)/COUNTIF(Q2050:AF2050,"&gt;0"))</f>
        <v>75</v>
      </c>
      <c r="P2050" s="16"/>
      <c r="Q2050" s="13"/>
      <c r="R2050" s="4"/>
      <c r="S2050" s="4"/>
      <c r="T2050" s="4">
        <v>75</v>
      </c>
      <c r="U2050" s="2"/>
      <c r="V2050" s="2"/>
      <c r="W2050" s="2"/>
      <c r="X2050" s="2"/>
      <c r="Y2050" s="4"/>
      <c r="Z2050" s="2"/>
      <c r="AA2050" s="2"/>
      <c r="AB2050" s="4"/>
      <c r="AC2050" s="4"/>
      <c r="AD2050" s="4"/>
      <c r="AE2050" s="4"/>
      <c r="AF2050" s="14"/>
    </row>
    <row r="2051" spans="1:32" x14ac:dyDescent="0.25">
      <c r="A2051" s="33" t="str">
        <f>CONCATENATE(D2051,".",F2051,"-",G2051,".",H2051,"")</f>
        <v>4.2-1.1</v>
      </c>
      <c r="B2051" s="33" t="s">
        <v>814</v>
      </c>
      <c r="C2051" s="40" t="s">
        <v>337</v>
      </c>
      <c r="D2051" s="33">
        <f>IF(C2051="ID",1,(IF(C2051="PR",2,(IF(C2051="DE",3,(IF(C2051="RS",4,(IF(C2051="RC",5,0)))))))))</f>
        <v>4</v>
      </c>
      <c r="E2051" s="33" t="s">
        <v>349</v>
      </c>
      <c r="F2051" s="33">
        <f>IF(E2051="AM",1,(IF(E2051="BE",2,(IF(E2051="GV",3,(IF(E2051="RA",4,(IF(E2051="RM",5,(IF(E2051="AC",1,(IF(E2051="AT",2,(IF(E2051="DS",3,(IF(E2051="IP",4,(IF(E2051="MA",5,(IF(E2051="PT",6,(IF(E2051="AE",1,(IF(E2051="CM",2,(IF(E2051="DP",3,(IF(E2051="AN",1,(IF(E2051="CO",2,(IF(E2051="IM",3,(IF(E2051="MI",4,(IF(E2051="RP",5,(IF(E2051="SC",6,0)))))))))))))))))))))))))))))))))))))))</f>
        <v>2</v>
      </c>
      <c r="G2051" s="171">
        <v>1</v>
      </c>
      <c r="H2051" s="38" t="s">
        <v>511</v>
      </c>
      <c r="I2051" s="3" t="s">
        <v>821</v>
      </c>
      <c r="J2051" s="149" t="s">
        <v>223</v>
      </c>
      <c r="K2051" s="79" t="s">
        <v>1283</v>
      </c>
      <c r="L2051" s="66">
        <f>IF(O2051="","",N2051*O2051*M2051)</f>
        <v>75</v>
      </c>
      <c r="M2051" s="8">
        <v>1</v>
      </c>
      <c r="N2051" s="1">
        <v>1</v>
      </c>
      <c r="O2051" s="15">
        <f>IF(SUM(Q2051:AF2051)&lt;1,"",SUM(Q2051:AF2051)/COUNTIF(Q2051:AF2051,"&gt;0"))</f>
        <v>75</v>
      </c>
      <c r="P2051" s="16"/>
      <c r="Q2051" s="13"/>
      <c r="R2051" s="4"/>
      <c r="S2051" s="4"/>
      <c r="T2051" s="4">
        <v>75</v>
      </c>
      <c r="U2051" s="2"/>
      <c r="V2051" s="2"/>
      <c r="W2051" s="2"/>
      <c r="X2051" s="2"/>
      <c r="Y2051" s="4"/>
      <c r="Z2051" s="2"/>
      <c r="AA2051" s="2"/>
      <c r="AB2051" s="4"/>
      <c r="AC2051" s="4"/>
      <c r="AD2051" s="4"/>
      <c r="AE2051" s="4"/>
      <c r="AF2051" s="14"/>
    </row>
    <row r="2052" spans="1:32" x14ac:dyDescent="0.25">
      <c r="A2052" s="33" t="str">
        <f>CONCATENATE(D2052,".",F2052,"-",G2052,".",H2052,"")</f>
        <v>4.2-1.1</v>
      </c>
      <c r="B2052" s="33" t="s">
        <v>814</v>
      </c>
      <c r="C2052" s="40" t="s">
        <v>337</v>
      </c>
      <c r="D2052" s="33">
        <f>IF(C2052="ID",1,(IF(C2052="PR",2,(IF(C2052="DE",3,(IF(C2052="RS",4,(IF(C2052="RC",5,0)))))))))</f>
        <v>4</v>
      </c>
      <c r="E2052" s="33" t="s">
        <v>349</v>
      </c>
      <c r="F2052" s="33">
        <f>IF(E2052="AM",1,(IF(E2052="BE",2,(IF(E2052="GV",3,(IF(E2052="RA",4,(IF(E2052="RM",5,(IF(E2052="AC",1,(IF(E2052="AT",2,(IF(E2052="DS",3,(IF(E2052="IP",4,(IF(E2052="MA",5,(IF(E2052="PT",6,(IF(E2052="AE",1,(IF(E2052="CM",2,(IF(E2052="DP",3,(IF(E2052="AN",1,(IF(E2052="CO",2,(IF(E2052="IM",3,(IF(E2052="MI",4,(IF(E2052="RP",5,(IF(E2052="SC",6,0)))))))))))))))))))))))))))))))))))))))</f>
        <v>2</v>
      </c>
      <c r="G2052" s="171">
        <v>1</v>
      </c>
      <c r="H2052" s="38" t="s">
        <v>511</v>
      </c>
      <c r="I2052" s="3" t="s">
        <v>821</v>
      </c>
      <c r="J2052" s="150" t="s">
        <v>226</v>
      </c>
      <c r="K2052" s="79" t="s">
        <v>1283</v>
      </c>
      <c r="L2052" s="66">
        <f>IF(O2052="","",N2052*O2052*M2052)</f>
        <v>75</v>
      </c>
      <c r="M2052" s="8">
        <v>1</v>
      </c>
      <c r="N2052" s="3">
        <v>1</v>
      </c>
      <c r="O2052" s="15">
        <f>IF(SUM(Q2052:AF2052)&lt;1,"",SUM(Q2052:AF2052)/COUNTIF(Q2052:AF2052,"&gt;0"))</f>
        <v>75</v>
      </c>
      <c r="P2052" s="16"/>
      <c r="Q2052" s="13"/>
      <c r="R2052" s="4"/>
      <c r="S2052" s="4"/>
      <c r="T2052" s="4">
        <v>75</v>
      </c>
      <c r="U2052" s="2"/>
      <c r="V2052" s="2"/>
      <c r="W2052" s="2"/>
      <c r="X2052" s="2"/>
      <c r="Y2052" s="4"/>
      <c r="Z2052" s="2"/>
      <c r="AA2052" s="2"/>
      <c r="AB2052" s="4"/>
      <c r="AC2052" s="4"/>
      <c r="AD2052" s="4"/>
      <c r="AE2052" s="4"/>
      <c r="AF2052" s="14"/>
    </row>
    <row r="2053" spans="1:32" x14ac:dyDescent="0.25">
      <c r="A2053" s="33" t="str">
        <f>CONCATENATE(D2053,".",F2053,"-",G2053,".",H2053,"")</f>
        <v>4.2-1.1</v>
      </c>
      <c r="B2053" s="33" t="s">
        <v>814</v>
      </c>
      <c r="C2053" s="40" t="s">
        <v>337</v>
      </c>
      <c r="D2053" s="33">
        <f>IF(C2053="ID",1,(IF(C2053="PR",2,(IF(C2053="DE",3,(IF(C2053="RS",4,(IF(C2053="RC",5,0)))))))))</f>
        <v>4</v>
      </c>
      <c r="E2053" s="33" t="s">
        <v>349</v>
      </c>
      <c r="F2053" s="33">
        <f>IF(E2053="AM",1,(IF(E2053="BE",2,(IF(E2053="GV",3,(IF(E2053="RA",4,(IF(E2053="RM",5,(IF(E2053="AC",1,(IF(E2053="AT",2,(IF(E2053="DS",3,(IF(E2053="IP",4,(IF(E2053="MA",5,(IF(E2053="PT",6,(IF(E2053="AE",1,(IF(E2053="CM",2,(IF(E2053="DP",3,(IF(E2053="AN",1,(IF(E2053="CO",2,(IF(E2053="IM",3,(IF(E2053="MI",4,(IF(E2053="RP",5,(IF(E2053="SC",6,0)))))))))))))))))))))))))))))))))))))))</f>
        <v>2</v>
      </c>
      <c r="G2053" s="171">
        <v>1</v>
      </c>
      <c r="H2053" s="38" t="s">
        <v>511</v>
      </c>
      <c r="I2053" s="22" t="s">
        <v>936</v>
      </c>
      <c r="J2053" s="163" t="s">
        <v>875</v>
      </c>
      <c r="K2053" s="34" t="s">
        <v>976</v>
      </c>
      <c r="L2053" s="66">
        <f>IF(O2053="","",N2053*O2053*M2053)</f>
        <v>75</v>
      </c>
      <c r="M2053" s="8">
        <v>1</v>
      </c>
      <c r="N2053" s="3">
        <v>1</v>
      </c>
      <c r="O2053" s="15">
        <f>IF(SUM(Q2053:AF2053)&lt;1,"",SUM(Q2053:AF2053)/COUNTIF(Q2053:AF2053,"&gt;0"))</f>
        <v>75</v>
      </c>
      <c r="P2053" s="16"/>
      <c r="Q2053" s="13"/>
      <c r="R2053" s="4"/>
      <c r="S2053" s="4"/>
      <c r="T2053" s="4">
        <v>75</v>
      </c>
      <c r="U2053" s="2"/>
      <c r="V2053" s="2"/>
      <c r="W2053" s="2"/>
      <c r="X2053" s="2"/>
      <c r="Y2053" s="4"/>
      <c r="Z2053" s="2"/>
      <c r="AA2053" s="2"/>
      <c r="AB2053" s="4"/>
      <c r="AC2053" s="4"/>
      <c r="AD2053" s="4"/>
      <c r="AE2053" s="4"/>
      <c r="AF2053" s="14"/>
    </row>
    <row r="2054" spans="1:32" x14ac:dyDescent="0.25">
      <c r="A2054" s="33" t="str">
        <f>CONCATENATE(D2054,".",F2054,"-",G2054,".",H2054,"")</f>
        <v>4.2-1.1</v>
      </c>
      <c r="B2054" s="33" t="s">
        <v>814</v>
      </c>
      <c r="C2054" s="40" t="s">
        <v>337</v>
      </c>
      <c r="D2054" s="33">
        <f>IF(C2054="ID",1,(IF(C2054="PR",2,(IF(C2054="DE",3,(IF(C2054="RS",4,(IF(C2054="RC",5,0)))))))))</f>
        <v>4</v>
      </c>
      <c r="E2054" s="33" t="s">
        <v>349</v>
      </c>
      <c r="F2054" s="33">
        <f>IF(E2054="AM",1,(IF(E2054="BE",2,(IF(E2054="GV",3,(IF(E2054="RA",4,(IF(E2054="RM",5,(IF(E2054="AC",1,(IF(E2054="AT",2,(IF(E2054="DS",3,(IF(E2054="IP",4,(IF(E2054="MA",5,(IF(E2054="PT",6,(IF(E2054="AE",1,(IF(E2054="CM",2,(IF(E2054="DP",3,(IF(E2054="AN",1,(IF(E2054="CO",2,(IF(E2054="IM",3,(IF(E2054="MI",4,(IF(E2054="RP",5,(IF(E2054="SC",6,0)))))))))))))))))))))))))))))))))))))))</f>
        <v>2</v>
      </c>
      <c r="G2054" s="171">
        <v>1</v>
      </c>
      <c r="H2054" s="38" t="s">
        <v>511</v>
      </c>
      <c r="I2054" s="22" t="s">
        <v>936</v>
      </c>
      <c r="J2054" s="163" t="s">
        <v>934</v>
      </c>
      <c r="K2054" s="34" t="s">
        <v>970</v>
      </c>
      <c r="L2054" s="66">
        <f>IF(O2054="","",N2054*O2054*M2054)</f>
        <v>75</v>
      </c>
      <c r="M2054" s="8">
        <v>1</v>
      </c>
      <c r="N2054" s="3">
        <v>1</v>
      </c>
      <c r="O2054" s="15">
        <f>IF(SUM(Q2054:AF2054)&lt;1,"",SUM(Q2054:AF2054)/COUNTIF(Q2054:AF2054,"&gt;0"))</f>
        <v>75</v>
      </c>
      <c r="P2054" s="16"/>
      <c r="Q2054" s="13"/>
      <c r="R2054" s="4"/>
      <c r="S2054" s="4"/>
      <c r="T2054" s="4">
        <v>75</v>
      </c>
      <c r="U2054" s="2"/>
      <c r="V2054" s="2"/>
      <c r="W2054" s="2"/>
      <c r="X2054" s="2"/>
      <c r="Y2054" s="4"/>
      <c r="Z2054" s="2"/>
      <c r="AA2054" s="2"/>
      <c r="AB2054" s="4"/>
      <c r="AC2054" s="4"/>
      <c r="AD2054" s="4"/>
      <c r="AE2054" s="4"/>
      <c r="AF2054" s="14"/>
    </row>
    <row r="2055" spans="1:32" x14ac:dyDescent="0.25">
      <c r="A2055" s="33" t="str">
        <f>CONCATENATE(D2055,".",F2055,"-",G2055,".",H2055,"")</f>
        <v>4.2-1.1</v>
      </c>
      <c r="B2055" s="33" t="s">
        <v>814</v>
      </c>
      <c r="C2055" s="40" t="s">
        <v>337</v>
      </c>
      <c r="D2055" s="33">
        <f>IF(C2055="ID",1,(IF(C2055="PR",2,(IF(C2055="DE",3,(IF(C2055="RS",4,(IF(C2055="RC",5,0)))))))))</f>
        <v>4</v>
      </c>
      <c r="E2055" s="33" t="s">
        <v>349</v>
      </c>
      <c r="F2055" s="33">
        <f>IF(E2055="AM",1,(IF(E2055="BE",2,(IF(E2055="GV",3,(IF(E2055="RA",4,(IF(E2055="RM",5,(IF(E2055="AC",1,(IF(E2055="AT",2,(IF(E2055="DS",3,(IF(E2055="IP",4,(IF(E2055="MA",5,(IF(E2055="PT",6,(IF(E2055="AE",1,(IF(E2055="CM",2,(IF(E2055="DP",3,(IF(E2055="AN",1,(IF(E2055="CO",2,(IF(E2055="IM",3,(IF(E2055="MI",4,(IF(E2055="RP",5,(IF(E2055="SC",6,0)))))))))))))))))))))))))))))))))))))))</f>
        <v>2</v>
      </c>
      <c r="G2055" s="171">
        <v>1</v>
      </c>
      <c r="H2055" s="38" t="s">
        <v>511</v>
      </c>
      <c r="I2055" s="22" t="s">
        <v>936</v>
      </c>
      <c r="J2055" s="163" t="s">
        <v>905</v>
      </c>
      <c r="K2055" s="34" t="s">
        <v>987</v>
      </c>
      <c r="L2055" s="66">
        <f>IF(O2055="","",N2055*O2055*M2055)</f>
        <v>75</v>
      </c>
      <c r="M2055" s="8">
        <v>1</v>
      </c>
      <c r="N2055" s="3">
        <v>1</v>
      </c>
      <c r="O2055" s="15">
        <f>IF(SUM(Q2055:AF2055)&lt;1,"",SUM(Q2055:AF2055)/COUNTIF(Q2055:AF2055,"&gt;0"))</f>
        <v>75</v>
      </c>
      <c r="P2055" s="16"/>
      <c r="Q2055" s="13"/>
      <c r="R2055" s="4"/>
      <c r="S2055" s="4"/>
      <c r="T2055" s="4">
        <v>75</v>
      </c>
      <c r="U2055" s="2"/>
      <c r="V2055" s="2"/>
      <c r="W2055" s="2"/>
      <c r="X2055" s="2"/>
      <c r="Y2055" s="4"/>
      <c r="Z2055" s="2"/>
      <c r="AA2055" s="2"/>
      <c r="AB2055" s="4"/>
      <c r="AC2055" s="4"/>
      <c r="AD2055" s="4"/>
      <c r="AE2055" s="4"/>
      <c r="AF2055" s="14"/>
    </row>
    <row r="2056" spans="1:32" x14ac:dyDescent="0.25">
      <c r="A2056" s="33" t="str">
        <f>CONCATENATE(D2056,".",F2056,"-",G2056,".",H2056,"")</f>
        <v>4.2-1.1</v>
      </c>
      <c r="B2056" s="33" t="s">
        <v>814</v>
      </c>
      <c r="C2056" s="40" t="s">
        <v>337</v>
      </c>
      <c r="D2056" s="33">
        <f>IF(C2056="ID",1,(IF(C2056="PR",2,(IF(C2056="DE",3,(IF(C2056="RS",4,(IF(C2056="RC",5,0)))))))))</f>
        <v>4</v>
      </c>
      <c r="E2056" s="33" t="s">
        <v>349</v>
      </c>
      <c r="F2056" s="33">
        <f>IF(E2056="AM",1,(IF(E2056="BE",2,(IF(E2056="GV",3,(IF(E2056="RA",4,(IF(E2056="RM",5,(IF(E2056="AC",1,(IF(E2056="AT",2,(IF(E2056="DS",3,(IF(E2056="IP",4,(IF(E2056="MA",5,(IF(E2056="PT",6,(IF(E2056="AE",1,(IF(E2056="CM",2,(IF(E2056="DP",3,(IF(E2056="AN",1,(IF(E2056="CO",2,(IF(E2056="IM",3,(IF(E2056="MI",4,(IF(E2056="RP",5,(IF(E2056="SC",6,0)))))))))))))))))))))))))))))))))))))))</f>
        <v>2</v>
      </c>
      <c r="G2056" s="171">
        <v>1</v>
      </c>
      <c r="H2056" s="38" t="s">
        <v>511</v>
      </c>
      <c r="I2056" s="22" t="s">
        <v>936</v>
      </c>
      <c r="J2056" s="163" t="s">
        <v>879</v>
      </c>
      <c r="K2056" s="34" t="s">
        <v>988</v>
      </c>
      <c r="L2056" s="66">
        <f>IF(O2056="","",N2056*O2056*M2056)</f>
        <v>75</v>
      </c>
      <c r="M2056" s="8">
        <v>1</v>
      </c>
      <c r="N2056" s="3">
        <v>1</v>
      </c>
      <c r="O2056" s="15">
        <f>IF(SUM(Q2056:AF2056)&lt;1,"",SUM(Q2056:AF2056)/COUNTIF(Q2056:AF2056,"&gt;0"))</f>
        <v>75</v>
      </c>
      <c r="P2056" s="16"/>
      <c r="Q2056" s="13"/>
      <c r="R2056" s="4"/>
      <c r="S2056" s="4"/>
      <c r="T2056" s="4">
        <v>75</v>
      </c>
      <c r="U2056" s="2"/>
      <c r="V2056" s="2"/>
      <c r="W2056" s="2"/>
      <c r="X2056" s="2"/>
      <c r="Y2056" s="4"/>
      <c r="Z2056" s="2"/>
      <c r="AA2056" s="2"/>
      <c r="AB2056" s="4"/>
      <c r="AC2056" s="4"/>
      <c r="AD2056" s="4"/>
      <c r="AE2056" s="4"/>
      <c r="AF2056" s="14"/>
    </row>
    <row r="2057" spans="1:32" x14ac:dyDescent="0.25">
      <c r="A2057" s="33" t="str">
        <f>CONCATENATE(D2057,".",F2057,"-",G2057,".",H2057,"")</f>
        <v>4.2-1.1</v>
      </c>
      <c r="B2057" s="33" t="s">
        <v>814</v>
      </c>
      <c r="C2057" s="40" t="s">
        <v>337</v>
      </c>
      <c r="D2057" s="33">
        <f>IF(C2057="ID",1,(IF(C2057="PR",2,(IF(C2057="DE",3,(IF(C2057="RS",4,(IF(C2057="RC",5,0)))))))))</f>
        <v>4</v>
      </c>
      <c r="E2057" s="33" t="s">
        <v>349</v>
      </c>
      <c r="F2057" s="33">
        <f>IF(E2057="AM",1,(IF(E2057="BE",2,(IF(E2057="GV",3,(IF(E2057="RA",4,(IF(E2057="RM",5,(IF(E2057="AC",1,(IF(E2057="AT",2,(IF(E2057="DS",3,(IF(E2057="IP",4,(IF(E2057="MA",5,(IF(E2057="PT",6,(IF(E2057="AE",1,(IF(E2057="CM",2,(IF(E2057="DP",3,(IF(E2057="AN",1,(IF(E2057="CO",2,(IF(E2057="IM",3,(IF(E2057="MI",4,(IF(E2057="RP",5,(IF(E2057="SC",6,0)))))))))))))))))))))))))))))))))))))))</f>
        <v>2</v>
      </c>
      <c r="G2057" s="171">
        <v>1</v>
      </c>
      <c r="H2057" s="38" t="s">
        <v>511</v>
      </c>
      <c r="I2057" s="22" t="s">
        <v>936</v>
      </c>
      <c r="J2057" s="163" t="s">
        <v>877</v>
      </c>
      <c r="K2057" s="34" t="s">
        <v>989</v>
      </c>
      <c r="L2057" s="66">
        <f>IF(O2057="","",N2057*O2057*M2057)</f>
        <v>75</v>
      </c>
      <c r="M2057" s="8">
        <v>1</v>
      </c>
      <c r="N2057" s="3">
        <v>1</v>
      </c>
      <c r="O2057" s="15">
        <f>IF(SUM(Q2057:AF2057)&lt;1,"",SUM(Q2057:AF2057)/COUNTIF(Q2057:AF2057,"&gt;0"))</f>
        <v>75</v>
      </c>
      <c r="P2057" s="16"/>
      <c r="Q2057" s="13"/>
      <c r="R2057" s="4"/>
      <c r="S2057" s="4"/>
      <c r="T2057" s="4">
        <v>75</v>
      </c>
      <c r="U2057" s="2"/>
      <c r="V2057" s="2"/>
      <c r="W2057" s="2"/>
      <c r="X2057" s="2"/>
      <c r="Y2057" s="4"/>
      <c r="Z2057" s="2"/>
      <c r="AA2057" s="2"/>
      <c r="AB2057" s="4"/>
      <c r="AC2057" s="4"/>
      <c r="AD2057" s="4"/>
      <c r="AE2057" s="4"/>
      <c r="AF2057" s="14"/>
    </row>
    <row r="2058" spans="1:32" x14ac:dyDescent="0.25">
      <c r="A2058" s="33" t="str">
        <f>CONCATENATE(D2058,".",F2058,"-",G2058,".",H2058,"")</f>
        <v>4.2-1.1</v>
      </c>
      <c r="B2058" s="33" t="s">
        <v>814</v>
      </c>
      <c r="C2058" s="40" t="s">
        <v>337</v>
      </c>
      <c r="D2058" s="33">
        <f>IF(C2058="ID",1,(IF(C2058="PR",2,(IF(C2058="DE",3,(IF(C2058="RS",4,(IF(C2058="RC",5,0)))))))))</f>
        <v>4</v>
      </c>
      <c r="E2058" s="33" t="s">
        <v>349</v>
      </c>
      <c r="F2058" s="33">
        <f>IF(E2058="AM",1,(IF(E2058="BE",2,(IF(E2058="GV",3,(IF(E2058="RA",4,(IF(E2058="RM",5,(IF(E2058="AC",1,(IF(E2058="AT",2,(IF(E2058="DS",3,(IF(E2058="IP",4,(IF(E2058="MA",5,(IF(E2058="PT",6,(IF(E2058="AE",1,(IF(E2058="CM",2,(IF(E2058="DP",3,(IF(E2058="AN",1,(IF(E2058="CO",2,(IF(E2058="IM",3,(IF(E2058="MI",4,(IF(E2058="RP",5,(IF(E2058="SC",6,0)))))))))))))))))))))))))))))))))))))))</f>
        <v>2</v>
      </c>
      <c r="G2058" s="171">
        <v>1</v>
      </c>
      <c r="H2058" s="38" t="s">
        <v>511</v>
      </c>
      <c r="I2058" s="22" t="s">
        <v>936</v>
      </c>
      <c r="J2058" s="163" t="s">
        <v>878</v>
      </c>
      <c r="K2058" s="34" t="s">
        <v>938</v>
      </c>
      <c r="L2058" s="66">
        <f>IF(O2058="","",N2058*O2058*M2058)</f>
        <v>75</v>
      </c>
      <c r="M2058" s="8">
        <v>1</v>
      </c>
      <c r="N2058" s="3">
        <v>1</v>
      </c>
      <c r="O2058" s="15">
        <f>IF(SUM(Q2058:AF2058)&lt;1,"",SUM(Q2058:AF2058)/COUNTIF(Q2058:AF2058,"&gt;0"))</f>
        <v>75</v>
      </c>
      <c r="P2058" s="16"/>
      <c r="Q2058" s="13"/>
      <c r="R2058" s="4"/>
      <c r="S2058" s="4"/>
      <c r="T2058" s="4">
        <v>75</v>
      </c>
      <c r="U2058" s="2"/>
      <c r="V2058" s="2"/>
      <c r="W2058" s="2"/>
      <c r="X2058" s="2"/>
      <c r="Y2058" s="4"/>
      <c r="Z2058" s="2"/>
      <c r="AA2058" s="2"/>
      <c r="AB2058" s="4"/>
      <c r="AC2058" s="4"/>
      <c r="AD2058" s="4"/>
      <c r="AE2058" s="4"/>
      <c r="AF2058" s="14"/>
    </row>
    <row r="2059" spans="1:32" x14ac:dyDescent="0.25">
      <c r="A2059" s="33" t="str">
        <f>CONCATENATE(D2059,".",F2059,"-",G2059,".",H2059,"")</f>
        <v>4.2-1.1</v>
      </c>
      <c r="B2059" s="33" t="s">
        <v>814</v>
      </c>
      <c r="C2059" s="40" t="s">
        <v>337</v>
      </c>
      <c r="D2059" s="33">
        <f>IF(C2059="ID",1,(IF(C2059="PR",2,(IF(C2059="DE",3,(IF(C2059="RS",4,(IF(C2059="RC",5,0)))))))))</f>
        <v>4</v>
      </c>
      <c r="E2059" s="33" t="s">
        <v>349</v>
      </c>
      <c r="F2059" s="33">
        <f>IF(E2059="AM",1,(IF(E2059="BE",2,(IF(E2059="GV",3,(IF(E2059="RA",4,(IF(E2059="RM",5,(IF(E2059="AC",1,(IF(E2059="AT",2,(IF(E2059="DS",3,(IF(E2059="IP",4,(IF(E2059="MA",5,(IF(E2059="PT",6,(IF(E2059="AE",1,(IF(E2059="CM",2,(IF(E2059="DP",3,(IF(E2059="AN",1,(IF(E2059="CO",2,(IF(E2059="IM",3,(IF(E2059="MI",4,(IF(E2059="RP",5,(IF(E2059="SC",6,0)))))))))))))))))))))))))))))))))))))))</f>
        <v>2</v>
      </c>
      <c r="G2059" s="171">
        <v>1</v>
      </c>
      <c r="H2059" s="38" t="s">
        <v>511</v>
      </c>
      <c r="I2059" s="22" t="s">
        <v>936</v>
      </c>
      <c r="J2059" s="163" t="s">
        <v>882</v>
      </c>
      <c r="K2059" s="34" t="s">
        <v>951</v>
      </c>
      <c r="L2059" s="66">
        <f>IF(O2059="","",N2059*O2059*M2059)</f>
        <v>75</v>
      </c>
      <c r="M2059" s="8">
        <v>1</v>
      </c>
      <c r="N2059" s="3">
        <v>1</v>
      </c>
      <c r="O2059" s="15">
        <f>IF(SUM(Q2059:AF2059)&lt;1,"",SUM(Q2059:AF2059)/COUNTIF(Q2059:AF2059,"&gt;0"))</f>
        <v>75</v>
      </c>
      <c r="P2059" s="16"/>
      <c r="Q2059" s="13"/>
      <c r="R2059" s="4"/>
      <c r="S2059" s="4"/>
      <c r="T2059" s="4">
        <v>75</v>
      </c>
      <c r="U2059" s="2"/>
      <c r="V2059" s="2"/>
      <c r="W2059" s="2"/>
      <c r="X2059" s="2"/>
      <c r="Y2059" s="4"/>
      <c r="Z2059" s="2"/>
      <c r="AA2059" s="2"/>
      <c r="AB2059" s="4"/>
      <c r="AC2059" s="4"/>
      <c r="AD2059" s="4"/>
      <c r="AE2059" s="4"/>
      <c r="AF2059" s="14"/>
    </row>
    <row r="2060" spans="1:32" x14ac:dyDescent="0.25">
      <c r="A2060" s="33" t="str">
        <f>CONCATENATE(D2060,".",F2060,"-",G2060,".",H2060,"")</f>
        <v>4.2-1.1</v>
      </c>
      <c r="B2060" s="33" t="s">
        <v>814</v>
      </c>
      <c r="C2060" s="39" t="s">
        <v>337</v>
      </c>
      <c r="D2060" s="33">
        <f>IF(C2060="ID",1,(IF(C2060="PR",2,(IF(C2060="DE",3,(IF(C2060="RS",4,(IF(C2060="RC",5,0)))))))))</f>
        <v>4</v>
      </c>
      <c r="E2060" s="33" t="s">
        <v>349</v>
      </c>
      <c r="F2060" s="33">
        <f>IF(E2060="AM",1,(IF(E2060="BE",2,(IF(E2060="GV",3,(IF(E2060="RA",4,(IF(E2060="RM",5,(IF(E2060="AC",1,(IF(E2060="AT",2,(IF(E2060="DS",3,(IF(E2060="IP",4,(IF(E2060="MA",5,(IF(E2060="PT",6,(IF(E2060="AE",1,(IF(E2060="CM",2,(IF(E2060="DP",3,(IF(E2060="AN",1,(IF(E2060="CO",2,(IF(E2060="IM",3,(IF(E2060="MI",4,(IF(E2060="RP",5,(IF(E2060="SC",6,0)))))))))))))))))))))))))))))))))))))))</f>
        <v>2</v>
      </c>
      <c r="G2060" s="170">
        <v>1</v>
      </c>
      <c r="H2060" s="38" t="s">
        <v>511</v>
      </c>
      <c r="I2060" s="22" t="s">
        <v>266</v>
      </c>
      <c r="J2060" s="149" t="s">
        <v>499</v>
      </c>
      <c r="K2060" s="79" t="s">
        <v>1413</v>
      </c>
      <c r="L2060" s="66">
        <f>IF(O2060="","",N2060*O2060*M2060)</f>
        <v>75</v>
      </c>
      <c r="M2060" s="8">
        <v>1</v>
      </c>
      <c r="N2060" s="1">
        <v>1</v>
      </c>
      <c r="O2060" s="15">
        <f>IF(SUM(Q2060:AF2060)&lt;1,"",SUM(Q2060:AF2060)/COUNTIF(Q2060:AF2060,"&gt;0"))</f>
        <v>75</v>
      </c>
      <c r="P2060" s="16"/>
      <c r="Q2060" s="13"/>
      <c r="R2060" s="4"/>
      <c r="S2060" s="4"/>
      <c r="T2060" s="4">
        <v>75</v>
      </c>
      <c r="U2060" s="2"/>
      <c r="V2060" s="2"/>
      <c r="W2060" s="2"/>
      <c r="X2060" s="2"/>
      <c r="Y2060" s="4"/>
      <c r="Z2060" s="2"/>
      <c r="AA2060" s="2"/>
      <c r="AB2060" s="4"/>
      <c r="AC2060" s="4"/>
      <c r="AD2060" s="4"/>
      <c r="AE2060" s="4"/>
      <c r="AF2060" s="14"/>
    </row>
    <row r="2061" spans="1:32" x14ac:dyDescent="0.25">
      <c r="A2061" s="33" t="str">
        <f>CONCATENATE(D2061,".",F2061,"-",G2061,".",H2061,"")</f>
        <v>4.2-1.1</v>
      </c>
      <c r="B2061" s="33" t="s">
        <v>814</v>
      </c>
      <c r="C2061" s="39" t="s">
        <v>337</v>
      </c>
      <c r="D2061" s="33">
        <f>IF(C2061="ID",1,(IF(C2061="PR",2,(IF(C2061="DE",3,(IF(C2061="RS",4,(IF(C2061="RC",5,0)))))))))</f>
        <v>4</v>
      </c>
      <c r="E2061" s="33" t="s">
        <v>349</v>
      </c>
      <c r="F2061" s="33">
        <f>IF(E2061="AM",1,(IF(E2061="BE",2,(IF(E2061="GV",3,(IF(E2061="RA",4,(IF(E2061="RM",5,(IF(E2061="AC",1,(IF(E2061="AT",2,(IF(E2061="DS",3,(IF(E2061="IP",4,(IF(E2061="MA",5,(IF(E2061="PT",6,(IF(E2061="AE",1,(IF(E2061="CM",2,(IF(E2061="DP",3,(IF(E2061="AN",1,(IF(E2061="CO",2,(IF(E2061="IM",3,(IF(E2061="MI",4,(IF(E2061="RP",5,(IF(E2061="SC",6,0)))))))))))))))))))))))))))))))))))))))</f>
        <v>2</v>
      </c>
      <c r="G2061" s="170">
        <v>1</v>
      </c>
      <c r="H2061" s="38" t="s">
        <v>511</v>
      </c>
      <c r="I2061" s="79" t="s">
        <v>1176</v>
      </c>
      <c r="J2061" s="162">
        <v>19.100000000000001</v>
      </c>
      <c r="K2061" s="80" t="s">
        <v>1162</v>
      </c>
      <c r="L2061" s="66">
        <f>IF(O2061="","",N2061*O2061*M2061)</f>
        <v>75</v>
      </c>
      <c r="M2061" s="8">
        <v>1</v>
      </c>
      <c r="N2061" s="3">
        <v>1</v>
      </c>
      <c r="O2061" s="15">
        <f>IF(SUM(Q2061:AF2061)&lt;1,"",SUM(Q2061:AF2061)/COUNTIF(Q2061:AF2061,"&gt;0"))</f>
        <v>75</v>
      </c>
      <c r="P2061" s="16"/>
      <c r="Q2061" s="13"/>
      <c r="R2061" s="4"/>
      <c r="S2061" s="4"/>
      <c r="T2061" s="4">
        <v>75</v>
      </c>
      <c r="U2061" s="2"/>
      <c r="V2061" s="2"/>
      <c r="W2061" s="2"/>
      <c r="X2061" s="2"/>
      <c r="Y2061" s="4"/>
      <c r="Z2061" s="2"/>
      <c r="AA2061" s="2"/>
      <c r="AB2061" s="4"/>
      <c r="AC2061" s="4"/>
      <c r="AD2061" s="4"/>
      <c r="AE2061" s="4"/>
      <c r="AF2061" s="14"/>
    </row>
    <row r="2062" spans="1:32" x14ac:dyDescent="0.25">
      <c r="A2062" s="33" t="str">
        <f>CONCATENATE(D2062,".",F2062,"-",G2062,".",H2062,"")</f>
        <v>4.2-1.1</v>
      </c>
      <c r="B2062" s="33" t="s">
        <v>814</v>
      </c>
      <c r="C2062" s="39" t="s">
        <v>337</v>
      </c>
      <c r="D2062" s="33">
        <f>IF(C2062="ID",1,(IF(C2062="PR",2,(IF(C2062="DE",3,(IF(C2062="RS",4,(IF(C2062="RC",5,0)))))))))</f>
        <v>4</v>
      </c>
      <c r="E2062" s="33" t="s">
        <v>349</v>
      </c>
      <c r="F2062" s="33">
        <f>IF(E2062="AM",1,(IF(E2062="BE",2,(IF(E2062="GV",3,(IF(E2062="RA",4,(IF(E2062="RM",5,(IF(E2062="AC",1,(IF(E2062="AT",2,(IF(E2062="DS",3,(IF(E2062="IP",4,(IF(E2062="MA",5,(IF(E2062="PT",6,(IF(E2062="AE",1,(IF(E2062="CM",2,(IF(E2062="DP",3,(IF(E2062="AN",1,(IF(E2062="CO",2,(IF(E2062="IM",3,(IF(E2062="MI",4,(IF(E2062="RP",5,(IF(E2062="SC",6,0)))))))))))))))))))))))))))))))))))))))</f>
        <v>2</v>
      </c>
      <c r="G2062" s="170">
        <v>1</v>
      </c>
      <c r="H2062" s="38" t="s">
        <v>511</v>
      </c>
      <c r="I2062" s="79" t="s">
        <v>1176</v>
      </c>
      <c r="J2062" s="162">
        <v>19.2</v>
      </c>
      <c r="K2062" s="80" t="s">
        <v>1163</v>
      </c>
      <c r="L2062" s="66">
        <f>IF(O2062="","",N2062*O2062*M2062)</f>
        <v>75</v>
      </c>
      <c r="M2062" s="8">
        <v>1</v>
      </c>
      <c r="N2062" s="3">
        <v>1</v>
      </c>
      <c r="O2062" s="15">
        <f>IF(SUM(Q2062:AF2062)&lt;1,"",SUM(Q2062:AF2062)/COUNTIF(Q2062:AF2062,"&gt;0"))</f>
        <v>75</v>
      </c>
      <c r="P2062" s="16"/>
      <c r="Q2062" s="13"/>
      <c r="R2062" s="4"/>
      <c r="S2062" s="4"/>
      <c r="T2062" s="4">
        <v>75</v>
      </c>
      <c r="U2062" s="2"/>
      <c r="V2062" s="2"/>
      <c r="W2062" s="2"/>
      <c r="X2062" s="2"/>
      <c r="Y2062" s="4"/>
      <c r="Z2062" s="2"/>
      <c r="AA2062" s="2"/>
      <c r="AB2062" s="4"/>
      <c r="AC2062" s="4"/>
      <c r="AD2062" s="4"/>
      <c r="AE2062" s="4"/>
      <c r="AF2062" s="14"/>
    </row>
    <row r="2063" spans="1:32" x14ac:dyDescent="0.25">
      <c r="A2063" s="33" t="str">
        <f>CONCATENATE(D2063,".",F2063,"-",G2063,".",H2063,"")</f>
        <v>4.2-1.1</v>
      </c>
      <c r="C2063" s="39" t="s">
        <v>337</v>
      </c>
      <c r="D2063" s="33">
        <f>IF(C2063="ID",1,(IF(C2063="PR",2,(IF(C2063="DE",3,(IF(C2063="RS",4,(IF(C2063="RC",5,0)))))))))</f>
        <v>4</v>
      </c>
      <c r="E2063" s="33" t="s">
        <v>349</v>
      </c>
      <c r="F2063" s="33">
        <f>IF(E2063="AM",1,(IF(E2063="BE",2,(IF(E2063="GV",3,(IF(E2063="RA",4,(IF(E2063="RM",5,(IF(E2063="AC",1,(IF(E2063="AT",2,(IF(E2063="DS",3,(IF(E2063="IP",4,(IF(E2063="MA",5,(IF(E2063="PT",6,(IF(E2063="AE",1,(IF(E2063="CM",2,(IF(E2063="DP",3,(IF(E2063="AN",1,(IF(E2063="CO",2,(IF(E2063="IM",3,(IF(E2063="MI",4,(IF(E2063="RP",5,(IF(E2063="SC",6,0)))))))))))))))))))))))))))))))))))))))</f>
        <v>2</v>
      </c>
      <c r="G2063" s="170">
        <v>1</v>
      </c>
      <c r="H2063" s="38" t="s">
        <v>511</v>
      </c>
      <c r="I2063" s="3" t="s">
        <v>1449</v>
      </c>
      <c r="J2063" s="157" t="s">
        <v>2003</v>
      </c>
      <c r="K2063" s="34" t="s">
        <v>2004</v>
      </c>
      <c r="L2063" s="5">
        <f>IF(O2063="","",N2063*O2063*M2063)</f>
        <v>99</v>
      </c>
      <c r="M2063" s="8">
        <v>1</v>
      </c>
      <c r="N2063" s="1">
        <v>1</v>
      </c>
      <c r="O2063" s="15">
        <f>IF(SUM(Q2063:AF2063)&lt;1,"",SUM(Q2063:AF2063)/COUNTIF(Q2063:AF2063,"&gt;0"))</f>
        <v>99</v>
      </c>
      <c r="P2063" s="16"/>
      <c r="Q2063" s="13"/>
      <c r="R2063" s="4"/>
      <c r="S2063" s="4"/>
      <c r="T2063" s="4">
        <v>99</v>
      </c>
      <c r="U2063" s="2"/>
      <c r="V2063" s="2"/>
      <c r="W2063" s="2"/>
      <c r="X2063" s="2"/>
      <c r="Y2063" s="4"/>
      <c r="Z2063" s="2"/>
      <c r="AA2063" s="2"/>
      <c r="AB2063" s="4"/>
      <c r="AC2063" s="4"/>
      <c r="AD2063" s="4"/>
      <c r="AE2063" s="4"/>
      <c r="AF2063" s="14"/>
    </row>
    <row r="2064" spans="1:32" x14ac:dyDescent="0.25">
      <c r="A2064" s="33" t="str">
        <f>CONCATENATE(D2064,".",F2064,"-",G2064,".",H2064,"")</f>
        <v>4.2-1.1</v>
      </c>
      <c r="C2064" s="39" t="s">
        <v>337</v>
      </c>
      <c r="D2064" s="33">
        <f>IF(C2064="ID",1,(IF(C2064="PR",2,(IF(C2064="DE",3,(IF(C2064="RS",4,(IF(C2064="RC",5,0)))))))))</f>
        <v>4</v>
      </c>
      <c r="E2064" s="33" t="s">
        <v>349</v>
      </c>
      <c r="F2064" s="33">
        <f>IF(E2064="AM",1,(IF(E2064="BE",2,(IF(E2064="GV",3,(IF(E2064="RA",4,(IF(E2064="RM",5,(IF(E2064="AC",1,(IF(E2064="AT",2,(IF(E2064="DS",3,(IF(E2064="IP",4,(IF(E2064="MA",5,(IF(E2064="PT",6,(IF(E2064="AE",1,(IF(E2064="CM",2,(IF(E2064="DP",3,(IF(E2064="AN",1,(IF(E2064="CO",2,(IF(E2064="IM",3,(IF(E2064="MI",4,(IF(E2064="RP",5,(IF(E2064="SC",6,0)))))))))))))))))))))))))))))))))))))))</f>
        <v>2</v>
      </c>
      <c r="G2064" s="170">
        <v>1</v>
      </c>
      <c r="H2064" s="38" t="s">
        <v>511</v>
      </c>
      <c r="I2064" s="3" t="s">
        <v>1449</v>
      </c>
      <c r="J2064" s="157" t="s">
        <v>2005</v>
      </c>
      <c r="K2064" s="34" t="s">
        <v>2006</v>
      </c>
      <c r="L2064" s="5">
        <f>IF(O2064="","",N2064*O2064*M2064)</f>
        <v>99</v>
      </c>
      <c r="M2064" s="8">
        <v>1</v>
      </c>
      <c r="N2064" s="1">
        <v>1</v>
      </c>
      <c r="O2064" s="15">
        <f>IF(SUM(Q2064:AF2064)&lt;1,"",SUM(Q2064:AF2064)/COUNTIF(Q2064:AF2064,"&gt;0"))</f>
        <v>99</v>
      </c>
      <c r="P2064" s="16"/>
      <c r="Q2064" s="13"/>
      <c r="R2064" s="4"/>
      <c r="S2064" s="4"/>
      <c r="T2064" s="4">
        <v>99</v>
      </c>
      <c r="U2064" s="2"/>
      <c r="V2064" s="2"/>
      <c r="W2064" s="2"/>
      <c r="X2064" s="2"/>
      <c r="Y2064" s="4"/>
      <c r="Z2064" s="2"/>
      <c r="AA2064" s="2"/>
      <c r="AB2064" s="4"/>
      <c r="AC2064" s="4"/>
      <c r="AD2064" s="4"/>
      <c r="AE2064" s="4"/>
      <c r="AF2064" s="14"/>
    </row>
    <row r="2065" spans="1:32" x14ac:dyDescent="0.25">
      <c r="A2065" s="33" t="str">
        <f>CONCATENATE(D2065,".",F2065,"-",G2065,".",H2065,"")</f>
        <v>4.2-1.1</v>
      </c>
      <c r="C2065" s="39" t="s">
        <v>337</v>
      </c>
      <c r="D2065" s="33">
        <f>IF(C2065="ID",1,(IF(C2065="PR",2,(IF(C2065="DE",3,(IF(C2065="RS",4,(IF(C2065="RC",5,0)))))))))</f>
        <v>4</v>
      </c>
      <c r="E2065" s="33" t="s">
        <v>349</v>
      </c>
      <c r="F2065" s="33">
        <f>IF(E2065="AM",1,(IF(E2065="BE",2,(IF(E2065="GV",3,(IF(E2065="RA",4,(IF(E2065="RM",5,(IF(E2065="AC",1,(IF(E2065="AT",2,(IF(E2065="DS",3,(IF(E2065="IP",4,(IF(E2065="MA",5,(IF(E2065="PT",6,(IF(E2065="AE",1,(IF(E2065="CM",2,(IF(E2065="DP",3,(IF(E2065="AN",1,(IF(E2065="CO",2,(IF(E2065="IM",3,(IF(E2065="MI",4,(IF(E2065="RP",5,(IF(E2065="SC",6,0)))))))))))))))))))))))))))))))))))))))</f>
        <v>2</v>
      </c>
      <c r="G2065" s="170">
        <v>1</v>
      </c>
      <c r="H2065" s="38" t="s">
        <v>511</v>
      </c>
      <c r="I2065" s="3" t="s">
        <v>1449</v>
      </c>
      <c r="J2065" s="157" t="s">
        <v>2007</v>
      </c>
      <c r="K2065" s="34" t="s">
        <v>2008</v>
      </c>
      <c r="L2065" s="5">
        <f>IF(O2065="","",N2065*O2065*M2065)</f>
        <v>99</v>
      </c>
      <c r="M2065" s="8">
        <v>1</v>
      </c>
      <c r="N2065" s="1">
        <v>1</v>
      </c>
      <c r="O2065" s="15">
        <f>IF(SUM(Q2065:AF2065)&lt;1,"",SUM(Q2065:AF2065)/COUNTIF(Q2065:AF2065,"&gt;0"))</f>
        <v>99</v>
      </c>
      <c r="P2065" s="16"/>
      <c r="Q2065" s="13"/>
      <c r="R2065" s="4"/>
      <c r="S2065" s="4"/>
      <c r="T2065" s="4">
        <v>99</v>
      </c>
      <c r="U2065" s="2"/>
      <c r="V2065" s="2"/>
      <c r="W2065" s="2"/>
      <c r="X2065" s="2"/>
      <c r="Y2065" s="4"/>
      <c r="Z2065" s="2"/>
      <c r="AA2065" s="2"/>
      <c r="AB2065" s="4"/>
      <c r="AC2065" s="4"/>
      <c r="AD2065" s="4"/>
      <c r="AE2065" s="4"/>
      <c r="AF2065" s="14"/>
    </row>
    <row r="2066" spans="1:32" x14ac:dyDescent="0.25">
      <c r="A2066" s="33" t="str">
        <f>CONCATENATE(D2066,".",F2066,"-",G2066,".",H2066,"")</f>
        <v>4.2-2.0</v>
      </c>
      <c r="B2066" s="33" t="s">
        <v>814</v>
      </c>
      <c r="C2066" s="40" t="s">
        <v>337</v>
      </c>
      <c r="D2066" s="33">
        <f>IF(C2066="ID",1,(IF(C2066="PR",2,(IF(C2066="DE",3,(IF(C2066="RS",4,(IF(C2066="RC",5,0)))))))))</f>
        <v>4</v>
      </c>
      <c r="E2066" s="33" t="s">
        <v>349</v>
      </c>
      <c r="F2066" s="33">
        <f>IF(E2066="AM",1,(IF(E2066="BE",2,(IF(E2066="GV",3,(IF(E2066="RA",4,(IF(E2066="RM",5,(IF(E2066="AC",1,(IF(E2066="AT",2,(IF(E2066="DS",3,(IF(E2066="IP",4,(IF(E2066="MA",5,(IF(E2066="PT",6,(IF(E2066="AE",1,(IF(E2066="CM",2,(IF(E2066="DP",3,(IF(E2066="AN",1,(IF(E2066="CO",2,(IF(E2066="IM",3,(IF(E2066="MI",4,(IF(E2066="RP",5,(IF(E2066="SC",6,0)))))))))))))))))))))))))))))))))))))))</f>
        <v>2</v>
      </c>
      <c r="G2066" s="170">
        <v>2</v>
      </c>
      <c r="H2066" s="38" t="s">
        <v>597</v>
      </c>
      <c r="I2066" s="22" t="s">
        <v>1200</v>
      </c>
      <c r="J2066" s="149" t="s">
        <v>621</v>
      </c>
      <c r="K2066" s="100" t="s">
        <v>421</v>
      </c>
      <c r="L2066" s="5">
        <f>IF(O2066="","",N2066*O2066*M2066)</f>
        <v>75</v>
      </c>
      <c r="M2066" s="8">
        <v>1</v>
      </c>
      <c r="N2066" s="1">
        <v>1</v>
      </c>
      <c r="O2066" s="15">
        <f>IF(SUM(Q2066:AF2066)&lt;1,"",SUM(Q2066:AF2066)/COUNTIF(Q2066:AF2066,"&gt;0"))</f>
        <v>75</v>
      </c>
      <c r="P2066" s="16"/>
      <c r="Q2066" s="13"/>
      <c r="R2066" s="4"/>
      <c r="S2066" s="4"/>
      <c r="T2066" s="4">
        <v>75</v>
      </c>
      <c r="U2066" s="2"/>
      <c r="V2066" s="2"/>
      <c r="W2066" s="2"/>
      <c r="X2066" s="2"/>
      <c r="Y2066" s="4"/>
      <c r="Z2066" s="2"/>
      <c r="AA2066" s="2"/>
      <c r="AB2066" s="4"/>
      <c r="AC2066" s="4"/>
      <c r="AD2066" s="4"/>
      <c r="AE2066" s="4"/>
      <c r="AF2066" s="14"/>
    </row>
    <row r="2067" spans="1:32" x14ac:dyDescent="0.25">
      <c r="A2067" s="33" t="str">
        <f>CONCATENATE(D2067,".",F2067,"-",G2067,".",H2067,"")</f>
        <v>4.2-2.1</v>
      </c>
      <c r="B2067" s="33" t="s">
        <v>814</v>
      </c>
      <c r="C2067" s="40" t="s">
        <v>337</v>
      </c>
      <c r="D2067" s="33">
        <f>IF(C2067="ID",1,(IF(C2067="PR",2,(IF(C2067="DE",3,(IF(C2067="RS",4,(IF(C2067="RC",5,0)))))))))</f>
        <v>4</v>
      </c>
      <c r="E2067" s="33" t="s">
        <v>349</v>
      </c>
      <c r="F2067" s="33">
        <f>IF(E2067="AM",1,(IF(E2067="BE",2,(IF(E2067="GV",3,(IF(E2067="RA",4,(IF(E2067="RM",5,(IF(E2067="AC",1,(IF(E2067="AT",2,(IF(E2067="DS",3,(IF(E2067="IP",4,(IF(E2067="MA",5,(IF(E2067="PT",6,(IF(E2067="AE",1,(IF(E2067="CM",2,(IF(E2067="DP",3,(IF(E2067="AN",1,(IF(E2067="CO",2,(IF(E2067="IM",3,(IF(E2067="MI",4,(IF(E2067="RP",5,(IF(E2067="SC",6,0)))))))))))))))))))))))))))))))))))))))</f>
        <v>2</v>
      </c>
      <c r="G2067" s="171">
        <v>2</v>
      </c>
      <c r="H2067" s="38" t="s">
        <v>511</v>
      </c>
      <c r="I2067" s="3" t="s">
        <v>821</v>
      </c>
      <c r="J2067" s="149">
        <v>10.6</v>
      </c>
      <c r="K2067" s="79" t="s">
        <v>1283</v>
      </c>
      <c r="L2067" s="66">
        <f>IF(O2067="","",N2067*O2067*M2067)</f>
        <v>75</v>
      </c>
      <c r="M2067" s="8">
        <v>1</v>
      </c>
      <c r="N2067" s="1">
        <v>1</v>
      </c>
      <c r="O2067" s="15">
        <f>IF(SUM(Q2067:AF2067)&lt;1,"",SUM(Q2067:AF2067)/COUNTIF(Q2067:AF2067,"&gt;0"))</f>
        <v>75</v>
      </c>
      <c r="P2067" s="16"/>
      <c r="Q2067" s="13"/>
      <c r="R2067" s="4"/>
      <c r="S2067" s="4"/>
      <c r="T2067" s="4">
        <v>75</v>
      </c>
      <c r="U2067" s="2"/>
      <c r="V2067" s="2"/>
      <c r="W2067" s="2"/>
      <c r="X2067" s="2"/>
      <c r="Y2067" s="4"/>
      <c r="Z2067" s="2"/>
      <c r="AA2067" s="2"/>
      <c r="AB2067" s="4"/>
      <c r="AC2067" s="4"/>
      <c r="AD2067" s="4"/>
      <c r="AE2067" s="4"/>
      <c r="AF2067" s="14"/>
    </row>
    <row r="2068" spans="1:32" x14ac:dyDescent="0.25">
      <c r="A2068" s="33" t="str">
        <f>CONCATENATE(D2068,".",F2068,"-",G2068,".",H2068,"")</f>
        <v>4.2-2.1</v>
      </c>
      <c r="B2068" s="33" t="s">
        <v>814</v>
      </c>
      <c r="C2068" s="40" t="s">
        <v>337</v>
      </c>
      <c r="D2068" s="33">
        <f>IF(C2068="ID",1,(IF(C2068="PR",2,(IF(C2068="DE",3,(IF(C2068="RS",4,(IF(C2068="RC",5,0)))))))))</f>
        <v>4</v>
      </c>
      <c r="E2068" s="33" t="s">
        <v>349</v>
      </c>
      <c r="F2068" s="33">
        <f>IF(E2068="AM",1,(IF(E2068="BE",2,(IF(E2068="GV",3,(IF(E2068="RA",4,(IF(E2068="RM",5,(IF(E2068="AC",1,(IF(E2068="AT",2,(IF(E2068="DS",3,(IF(E2068="IP",4,(IF(E2068="MA",5,(IF(E2068="PT",6,(IF(E2068="AE",1,(IF(E2068="CM",2,(IF(E2068="DP",3,(IF(E2068="AN",1,(IF(E2068="CO",2,(IF(E2068="IM",3,(IF(E2068="MI",4,(IF(E2068="RP",5,(IF(E2068="SC",6,0)))))))))))))))))))))))))))))))))))))))</f>
        <v>2</v>
      </c>
      <c r="G2068" s="171">
        <v>2</v>
      </c>
      <c r="H2068" s="38" t="s">
        <v>511</v>
      </c>
      <c r="I2068" s="3" t="s">
        <v>821</v>
      </c>
      <c r="J2068" s="150" t="s">
        <v>227</v>
      </c>
      <c r="K2068" s="79" t="s">
        <v>1283</v>
      </c>
      <c r="L2068" s="66">
        <f>IF(O2068="","",N2068*O2068*M2068)</f>
        <v>75</v>
      </c>
      <c r="M2068" s="8">
        <v>1</v>
      </c>
      <c r="N2068" s="3">
        <v>1</v>
      </c>
      <c r="O2068" s="15">
        <f>IF(SUM(Q2068:AF2068)&lt;1,"",SUM(Q2068:AF2068)/COUNTIF(Q2068:AF2068,"&gt;0"))</f>
        <v>75</v>
      </c>
      <c r="P2068" s="16"/>
      <c r="Q2068" s="13"/>
      <c r="R2068" s="4"/>
      <c r="S2068" s="4"/>
      <c r="T2068" s="4">
        <v>75</v>
      </c>
      <c r="U2068" s="2"/>
      <c r="V2068" s="2"/>
      <c r="W2068" s="2"/>
      <c r="X2068" s="2"/>
      <c r="Y2068" s="4"/>
      <c r="Z2068" s="2"/>
      <c r="AA2068" s="2"/>
      <c r="AB2068" s="4"/>
      <c r="AC2068" s="4"/>
      <c r="AD2068" s="4"/>
      <c r="AE2068" s="4"/>
      <c r="AF2068" s="14"/>
    </row>
    <row r="2069" spans="1:32" x14ac:dyDescent="0.25">
      <c r="A2069" s="33" t="str">
        <f>CONCATENATE(D2069,".",F2069,"-",G2069,".",H2069,"")</f>
        <v>4.2-2.1</v>
      </c>
      <c r="B2069" s="33" t="s">
        <v>814</v>
      </c>
      <c r="C2069" s="40" t="s">
        <v>337</v>
      </c>
      <c r="D2069" s="33">
        <f>IF(C2069="ID",1,(IF(C2069="PR",2,(IF(C2069="DE",3,(IF(C2069="RS",4,(IF(C2069="RC",5,0)))))))))</f>
        <v>4</v>
      </c>
      <c r="E2069" s="33" t="s">
        <v>349</v>
      </c>
      <c r="F2069" s="33">
        <f>IF(E2069="AM",1,(IF(E2069="BE",2,(IF(E2069="GV",3,(IF(E2069="RA",4,(IF(E2069="RM",5,(IF(E2069="AC",1,(IF(E2069="AT",2,(IF(E2069="DS",3,(IF(E2069="IP",4,(IF(E2069="MA",5,(IF(E2069="PT",6,(IF(E2069="AE",1,(IF(E2069="CM",2,(IF(E2069="DP",3,(IF(E2069="AN",1,(IF(E2069="CO",2,(IF(E2069="IM",3,(IF(E2069="MI",4,(IF(E2069="RP",5,(IF(E2069="SC",6,0)))))))))))))))))))))))))))))))))))))))</f>
        <v>2</v>
      </c>
      <c r="G2069" s="171">
        <v>2</v>
      </c>
      <c r="H2069" s="38" t="s">
        <v>511</v>
      </c>
      <c r="I2069" s="3" t="s">
        <v>821</v>
      </c>
      <c r="J2069" s="149" t="s">
        <v>238</v>
      </c>
      <c r="K2069" s="79" t="s">
        <v>1283</v>
      </c>
      <c r="L2069" s="66">
        <f>IF(O2069="","",N2069*O2069*M2069)</f>
        <v>75</v>
      </c>
      <c r="M2069" s="8">
        <v>1</v>
      </c>
      <c r="N2069" s="1">
        <v>1</v>
      </c>
      <c r="O2069" s="15">
        <f>IF(SUM(Q2069:AF2069)&lt;1,"",SUM(Q2069:AF2069)/COUNTIF(Q2069:AF2069,"&gt;0"))</f>
        <v>75</v>
      </c>
      <c r="P2069" s="16"/>
      <c r="Q2069" s="13"/>
      <c r="R2069" s="4"/>
      <c r="S2069" s="4"/>
      <c r="T2069" s="4">
        <v>75</v>
      </c>
      <c r="U2069" s="2"/>
      <c r="V2069" s="2"/>
      <c r="W2069" s="2"/>
      <c r="X2069" s="2"/>
      <c r="Y2069" s="4"/>
      <c r="Z2069" s="2"/>
      <c r="AA2069" s="2"/>
      <c r="AB2069" s="4"/>
      <c r="AC2069" s="4"/>
      <c r="AD2069" s="4"/>
      <c r="AE2069" s="4"/>
      <c r="AF2069" s="14"/>
    </row>
    <row r="2070" spans="1:32" x14ac:dyDescent="0.25">
      <c r="A2070" s="33" t="str">
        <f>CONCATENATE(D2070,".",F2070,"-",G2070,".",H2070,"")</f>
        <v>4.2-2.1</v>
      </c>
      <c r="B2070" s="33" t="s">
        <v>814</v>
      </c>
      <c r="C2070" s="40" t="s">
        <v>337</v>
      </c>
      <c r="D2070" s="33">
        <f>IF(C2070="ID",1,(IF(C2070="PR",2,(IF(C2070="DE",3,(IF(C2070="RS",4,(IF(C2070="RC",5,0)))))))))</f>
        <v>4</v>
      </c>
      <c r="E2070" s="33" t="s">
        <v>349</v>
      </c>
      <c r="F2070" s="33">
        <f>IF(E2070="AM",1,(IF(E2070="BE",2,(IF(E2070="GV",3,(IF(E2070="RA",4,(IF(E2070="RM",5,(IF(E2070="AC",1,(IF(E2070="AT",2,(IF(E2070="DS",3,(IF(E2070="IP",4,(IF(E2070="MA",5,(IF(E2070="PT",6,(IF(E2070="AE",1,(IF(E2070="CM",2,(IF(E2070="DP",3,(IF(E2070="AN",1,(IF(E2070="CO",2,(IF(E2070="IM",3,(IF(E2070="MI",4,(IF(E2070="RP",5,(IF(E2070="SC",6,0)))))))))))))))))))))))))))))))))))))))</f>
        <v>2</v>
      </c>
      <c r="G2070" s="171">
        <v>2</v>
      </c>
      <c r="H2070" s="38" t="s">
        <v>511</v>
      </c>
      <c r="I2070" s="22" t="s">
        <v>936</v>
      </c>
      <c r="J2070" s="163" t="s">
        <v>916</v>
      </c>
      <c r="K2070" s="34" t="s">
        <v>944</v>
      </c>
      <c r="L2070" s="66">
        <f>IF(O2070="","",N2070*O2070*M2070)</f>
        <v>75</v>
      </c>
      <c r="M2070" s="8">
        <v>1</v>
      </c>
      <c r="N2070" s="3">
        <v>1</v>
      </c>
      <c r="O2070" s="15">
        <f>IF(SUM(Q2070:AF2070)&lt;1,"",SUM(Q2070:AF2070)/COUNTIF(Q2070:AF2070,"&gt;0"))</f>
        <v>75</v>
      </c>
      <c r="P2070" s="16"/>
      <c r="Q2070" s="13"/>
      <c r="R2070" s="4"/>
      <c r="S2070" s="4"/>
      <c r="T2070" s="4">
        <v>75</v>
      </c>
      <c r="U2070" s="2"/>
      <c r="V2070" s="2"/>
      <c r="W2070" s="2"/>
      <c r="X2070" s="2"/>
      <c r="Y2070" s="4"/>
      <c r="Z2070" s="2"/>
      <c r="AA2070" s="2"/>
      <c r="AB2070" s="4"/>
      <c r="AC2070" s="4"/>
      <c r="AD2070" s="4"/>
      <c r="AE2070" s="4"/>
      <c r="AF2070" s="14"/>
    </row>
    <row r="2071" spans="1:32" x14ac:dyDescent="0.25">
      <c r="A2071" s="33" t="str">
        <f>CONCATENATE(D2071,".",F2071,"-",G2071,".",H2071,"")</f>
        <v>4.2-2.1</v>
      </c>
      <c r="B2071" s="33" t="s">
        <v>814</v>
      </c>
      <c r="C2071" s="40" t="s">
        <v>337</v>
      </c>
      <c r="D2071" s="33">
        <f>IF(C2071="ID",1,(IF(C2071="PR",2,(IF(C2071="DE",3,(IF(C2071="RS",4,(IF(C2071="RC",5,0)))))))))</f>
        <v>4</v>
      </c>
      <c r="E2071" s="33" t="s">
        <v>349</v>
      </c>
      <c r="F2071" s="33">
        <f>IF(E2071="AM",1,(IF(E2071="BE",2,(IF(E2071="GV",3,(IF(E2071="RA",4,(IF(E2071="RM",5,(IF(E2071="AC",1,(IF(E2071="AT",2,(IF(E2071="DS",3,(IF(E2071="IP",4,(IF(E2071="MA",5,(IF(E2071="PT",6,(IF(E2071="AE",1,(IF(E2071="CM",2,(IF(E2071="DP",3,(IF(E2071="AN",1,(IF(E2071="CO",2,(IF(E2071="IM",3,(IF(E2071="MI",4,(IF(E2071="RP",5,(IF(E2071="SC",6,0)))))))))))))))))))))))))))))))))))))))</f>
        <v>2</v>
      </c>
      <c r="G2071" s="171">
        <v>2</v>
      </c>
      <c r="H2071" s="38" t="s">
        <v>511</v>
      </c>
      <c r="I2071" s="22" t="s">
        <v>936</v>
      </c>
      <c r="J2071" s="163" t="s">
        <v>917</v>
      </c>
      <c r="K2071" s="34" t="s">
        <v>947</v>
      </c>
      <c r="L2071" s="66">
        <f>IF(O2071="","",N2071*O2071*M2071)</f>
        <v>75</v>
      </c>
      <c r="M2071" s="8">
        <v>1</v>
      </c>
      <c r="N2071" s="3">
        <v>1</v>
      </c>
      <c r="O2071" s="15">
        <f>IF(SUM(Q2071:AF2071)&lt;1,"",SUM(Q2071:AF2071)/COUNTIF(Q2071:AF2071,"&gt;0"))</f>
        <v>75</v>
      </c>
      <c r="P2071" s="16"/>
      <c r="Q2071" s="13"/>
      <c r="R2071" s="4"/>
      <c r="S2071" s="4"/>
      <c r="T2071" s="4">
        <v>75</v>
      </c>
      <c r="U2071" s="2"/>
      <c r="V2071" s="2"/>
      <c r="W2071" s="2"/>
      <c r="X2071" s="2"/>
      <c r="Y2071" s="4"/>
      <c r="Z2071" s="2"/>
      <c r="AA2071" s="2"/>
      <c r="AB2071" s="4"/>
      <c r="AC2071" s="4"/>
      <c r="AD2071" s="4"/>
      <c r="AE2071" s="4"/>
      <c r="AF2071" s="14"/>
    </row>
    <row r="2072" spans="1:32" x14ac:dyDescent="0.25">
      <c r="A2072" s="33" t="str">
        <f>CONCATENATE(D2072,".",F2072,"-",G2072,".",H2072,"")</f>
        <v>4.2-2.1</v>
      </c>
      <c r="B2072" s="33" t="s">
        <v>814</v>
      </c>
      <c r="C2072" s="40" t="s">
        <v>337</v>
      </c>
      <c r="D2072" s="33">
        <f>IF(C2072="ID",1,(IF(C2072="PR",2,(IF(C2072="DE",3,(IF(C2072="RS",4,(IF(C2072="RC",5,0)))))))))</f>
        <v>4</v>
      </c>
      <c r="E2072" s="33" t="s">
        <v>349</v>
      </c>
      <c r="F2072" s="33">
        <f>IF(E2072="AM",1,(IF(E2072="BE",2,(IF(E2072="GV",3,(IF(E2072="RA",4,(IF(E2072="RM",5,(IF(E2072="AC",1,(IF(E2072="AT",2,(IF(E2072="DS",3,(IF(E2072="IP",4,(IF(E2072="MA",5,(IF(E2072="PT",6,(IF(E2072="AE",1,(IF(E2072="CM",2,(IF(E2072="DP",3,(IF(E2072="AN",1,(IF(E2072="CO",2,(IF(E2072="IM",3,(IF(E2072="MI",4,(IF(E2072="RP",5,(IF(E2072="SC",6,0)))))))))))))))))))))))))))))))))))))))</f>
        <v>2</v>
      </c>
      <c r="G2072" s="171">
        <v>2</v>
      </c>
      <c r="H2072" s="38" t="s">
        <v>511</v>
      </c>
      <c r="I2072" s="22" t="s">
        <v>936</v>
      </c>
      <c r="J2072" s="163" t="s">
        <v>885</v>
      </c>
      <c r="K2072" s="34" t="s">
        <v>985</v>
      </c>
      <c r="L2072" s="66">
        <f>IF(O2072="","",N2072*O2072*M2072)</f>
        <v>75</v>
      </c>
      <c r="M2072" s="8">
        <v>1</v>
      </c>
      <c r="N2072" s="3">
        <v>1</v>
      </c>
      <c r="O2072" s="15">
        <f>IF(SUM(Q2072:AF2072)&lt;1,"",SUM(Q2072:AF2072)/COUNTIF(Q2072:AF2072,"&gt;0"))</f>
        <v>75</v>
      </c>
      <c r="P2072" s="16"/>
      <c r="Q2072" s="13"/>
      <c r="R2072" s="4"/>
      <c r="S2072" s="4"/>
      <c r="T2072" s="4">
        <v>75</v>
      </c>
      <c r="U2072" s="2"/>
      <c r="V2072" s="2"/>
      <c r="W2072" s="2"/>
      <c r="X2072" s="2"/>
      <c r="Y2072" s="4"/>
      <c r="Z2072" s="2"/>
      <c r="AA2072" s="2"/>
      <c r="AB2072" s="4"/>
      <c r="AC2072" s="4"/>
      <c r="AD2072" s="4"/>
      <c r="AE2072" s="4"/>
      <c r="AF2072" s="14"/>
    </row>
    <row r="2073" spans="1:32" x14ac:dyDescent="0.25">
      <c r="A2073" s="33" t="str">
        <f>CONCATENATE(D2073,".",F2073,"-",G2073,".",H2073,"")</f>
        <v>4.2-2.1</v>
      </c>
      <c r="B2073" s="33" t="s">
        <v>814</v>
      </c>
      <c r="C2073" s="40" t="s">
        <v>337</v>
      </c>
      <c r="D2073" s="33">
        <f>IF(C2073="ID",1,(IF(C2073="PR",2,(IF(C2073="DE",3,(IF(C2073="RS",4,(IF(C2073="RC",5,0)))))))))</f>
        <v>4</v>
      </c>
      <c r="E2073" s="33" t="s">
        <v>349</v>
      </c>
      <c r="F2073" s="33">
        <f>IF(E2073="AM",1,(IF(E2073="BE",2,(IF(E2073="GV",3,(IF(E2073="RA",4,(IF(E2073="RM",5,(IF(E2073="AC",1,(IF(E2073="AT",2,(IF(E2073="DS",3,(IF(E2073="IP",4,(IF(E2073="MA",5,(IF(E2073="PT",6,(IF(E2073="AE",1,(IF(E2073="CM",2,(IF(E2073="DP",3,(IF(E2073="AN",1,(IF(E2073="CO",2,(IF(E2073="IM",3,(IF(E2073="MI",4,(IF(E2073="RP",5,(IF(E2073="SC",6,0)))))))))))))))))))))))))))))))))))))))</f>
        <v>2</v>
      </c>
      <c r="G2073" s="171">
        <v>2</v>
      </c>
      <c r="H2073" s="38" t="s">
        <v>511</v>
      </c>
      <c r="I2073" s="22" t="s">
        <v>936</v>
      </c>
      <c r="J2073" s="163" t="s">
        <v>895</v>
      </c>
      <c r="K2073" s="34" t="s">
        <v>1008</v>
      </c>
      <c r="L2073" s="66">
        <f>IF(O2073="","",N2073*O2073*M2073)</f>
        <v>75</v>
      </c>
      <c r="M2073" s="8">
        <v>1</v>
      </c>
      <c r="N2073" s="3">
        <v>1</v>
      </c>
      <c r="O2073" s="15">
        <f>IF(SUM(Q2073:AF2073)&lt;1,"",SUM(Q2073:AF2073)/COUNTIF(Q2073:AF2073,"&gt;0"))</f>
        <v>75</v>
      </c>
      <c r="P2073" s="16"/>
      <c r="Q2073" s="13"/>
      <c r="R2073" s="4"/>
      <c r="S2073" s="4"/>
      <c r="T2073" s="4">
        <v>75</v>
      </c>
      <c r="U2073" s="2"/>
      <c r="V2073" s="2"/>
      <c r="W2073" s="2"/>
      <c r="X2073" s="2"/>
      <c r="Y2073" s="4"/>
      <c r="Z2073" s="2"/>
      <c r="AA2073" s="2"/>
      <c r="AB2073" s="4"/>
      <c r="AC2073" s="4"/>
      <c r="AD2073" s="4"/>
      <c r="AE2073" s="4"/>
      <c r="AF2073" s="14"/>
    </row>
    <row r="2074" spans="1:32" x14ac:dyDescent="0.25">
      <c r="A2074" s="33" t="str">
        <f>CONCATENATE(D2074,".",F2074,"-",G2074,".",H2074,"")</f>
        <v>4.2-2.1</v>
      </c>
      <c r="B2074" s="33" t="s">
        <v>814</v>
      </c>
      <c r="C2074" s="39" t="s">
        <v>337</v>
      </c>
      <c r="D2074" s="33">
        <f>IF(C2074="ID",1,(IF(C2074="PR",2,(IF(C2074="DE",3,(IF(C2074="RS",4,(IF(C2074="RC",5,0)))))))))</f>
        <v>4</v>
      </c>
      <c r="E2074" s="33" t="s">
        <v>349</v>
      </c>
      <c r="F2074" s="33">
        <f>IF(E2074="AM",1,(IF(E2074="BE",2,(IF(E2074="GV",3,(IF(E2074="RA",4,(IF(E2074="RM",5,(IF(E2074="AC",1,(IF(E2074="AT",2,(IF(E2074="DS",3,(IF(E2074="IP",4,(IF(E2074="MA",5,(IF(E2074="PT",6,(IF(E2074="AE",1,(IF(E2074="CM",2,(IF(E2074="DP",3,(IF(E2074="AN",1,(IF(E2074="CO",2,(IF(E2074="IM",3,(IF(E2074="MI",4,(IF(E2074="RP",5,(IF(E2074="SC",6,0)))))))))))))))))))))))))))))))))))))))</f>
        <v>2</v>
      </c>
      <c r="G2074" s="170">
        <v>2</v>
      </c>
      <c r="H2074" s="38" t="s">
        <v>511</v>
      </c>
      <c r="I2074" s="3" t="s">
        <v>1449</v>
      </c>
      <c r="J2074" s="157" t="s">
        <v>1777</v>
      </c>
      <c r="K2074" s="34" t="s">
        <v>1778</v>
      </c>
      <c r="L2074" s="5">
        <f>IF(O2074="","",N2074*O2074*M2074)</f>
        <v>99</v>
      </c>
      <c r="M2074" s="8">
        <v>1</v>
      </c>
      <c r="N2074" s="1">
        <v>1</v>
      </c>
      <c r="O2074" s="15">
        <f>IF(SUM(Q2074:AF2074)&lt;1,"",SUM(Q2074:AF2074)/COUNTIF(Q2074:AF2074,"&gt;0"))</f>
        <v>99</v>
      </c>
      <c r="P2074" s="16"/>
      <c r="Q2074" s="13"/>
      <c r="R2074" s="4"/>
      <c r="S2074" s="4"/>
      <c r="T2074" s="4">
        <v>99</v>
      </c>
      <c r="U2074" s="2"/>
      <c r="V2074" s="2"/>
      <c r="W2074" s="2"/>
      <c r="X2074" s="2"/>
      <c r="Y2074" s="4"/>
      <c r="Z2074" s="2"/>
      <c r="AA2074" s="2"/>
      <c r="AB2074" s="4"/>
      <c r="AC2074" s="4"/>
      <c r="AD2074" s="4"/>
      <c r="AE2074" s="4"/>
      <c r="AF2074" s="14"/>
    </row>
    <row r="2075" spans="1:32" x14ac:dyDescent="0.25">
      <c r="A2075" s="33" t="str">
        <f>CONCATENATE(D2075,".",F2075,"-",G2075,".",H2075,"")</f>
        <v>4.2-2.1</v>
      </c>
      <c r="C2075" s="39" t="s">
        <v>337</v>
      </c>
      <c r="D2075" s="33">
        <f>IF(C2075="ID",1,(IF(C2075="PR",2,(IF(C2075="DE",3,(IF(C2075="RS",4,(IF(C2075="RC",5,0)))))))))</f>
        <v>4</v>
      </c>
      <c r="E2075" s="33" t="s">
        <v>349</v>
      </c>
      <c r="F2075" s="33">
        <f>IF(E2075="AM",1,(IF(E2075="BE",2,(IF(E2075="GV",3,(IF(E2075="RA",4,(IF(E2075="RM",5,(IF(E2075="AC",1,(IF(E2075="AT",2,(IF(E2075="DS",3,(IF(E2075="IP",4,(IF(E2075="MA",5,(IF(E2075="PT",6,(IF(E2075="AE",1,(IF(E2075="CM",2,(IF(E2075="DP",3,(IF(E2075="AN",1,(IF(E2075="CO",2,(IF(E2075="IM",3,(IF(E2075="MI",4,(IF(E2075="RP",5,(IF(E2075="SC",6,0)))))))))))))))))))))))))))))))))))))))</f>
        <v>2</v>
      </c>
      <c r="G2075" s="170">
        <v>2</v>
      </c>
      <c r="H2075" s="38" t="s">
        <v>511</v>
      </c>
      <c r="I2075" s="3" t="s">
        <v>1449</v>
      </c>
      <c r="J2075" s="157" t="s">
        <v>2239</v>
      </c>
      <c r="K2075" s="34" t="s">
        <v>2240</v>
      </c>
      <c r="L2075" s="5">
        <f>IF(O2075="","",N2075*O2075*M2075)</f>
        <v>99</v>
      </c>
      <c r="M2075" s="8">
        <v>1</v>
      </c>
      <c r="N2075" s="1">
        <v>1</v>
      </c>
      <c r="O2075" s="15">
        <f>IF(SUM(Q2075:AF2075)&lt;1,"",SUM(Q2075:AF2075)/COUNTIF(Q2075:AF2075,"&gt;0"))</f>
        <v>99</v>
      </c>
      <c r="P2075" s="16"/>
      <c r="Q2075" s="13"/>
      <c r="R2075" s="4"/>
      <c r="S2075" s="4"/>
      <c r="T2075" s="4">
        <v>99</v>
      </c>
      <c r="U2075" s="2"/>
      <c r="V2075" s="2"/>
      <c r="W2075" s="2"/>
      <c r="X2075" s="2"/>
      <c r="Y2075" s="4"/>
      <c r="Z2075" s="2"/>
      <c r="AA2075" s="2"/>
      <c r="AB2075" s="4"/>
      <c r="AC2075" s="4"/>
      <c r="AD2075" s="4"/>
      <c r="AE2075" s="4"/>
      <c r="AF2075" s="14"/>
    </row>
    <row r="2076" spans="1:32" x14ac:dyDescent="0.25">
      <c r="A2076" s="33" t="str">
        <f>CONCATENATE(D2076,".",F2076,"-",G2076,".",H2076,"")</f>
        <v>4.2-2.1</v>
      </c>
      <c r="C2076" s="39" t="s">
        <v>337</v>
      </c>
      <c r="D2076" s="33">
        <f>IF(C2076="ID",1,(IF(C2076="PR",2,(IF(C2076="DE",3,(IF(C2076="RS",4,(IF(C2076="RC",5,0)))))))))</f>
        <v>4</v>
      </c>
      <c r="E2076" s="33" t="s">
        <v>349</v>
      </c>
      <c r="F2076" s="33">
        <f>IF(E2076="AM",1,(IF(E2076="BE",2,(IF(E2076="GV",3,(IF(E2076="RA",4,(IF(E2076="RM",5,(IF(E2076="AC",1,(IF(E2076="AT",2,(IF(E2076="DS",3,(IF(E2076="IP",4,(IF(E2076="MA",5,(IF(E2076="PT",6,(IF(E2076="AE",1,(IF(E2076="CM",2,(IF(E2076="DP",3,(IF(E2076="AN",1,(IF(E2076="CO",2,(IF(E2076="IM",3,(IF(E2076="MI",4,(IF(E2076="RP",5,(IF(E2076="SC",6,0)))))))))))))))))))))))))))))))))))))))</f>
        <v>2</v>
      </c>
      <c r="G2076" s="170">
        <v>2</v>
      </c>
      <c r="H2076" s="38" t="s">
        <v>511</v>
      </c>
      <c r="I2076" s="3" t="s">
        <v>1449</v>
      </c>
      <c r="J2076" s="157" t="s">
        <v>2241</v>
      </c>
      <c r="K2076" s="34" t="s">
        <v>2242</v>
      </c>
      <c r="L2076" s="5">
        <f>IF(O2076="","",N2076*O2076*M2076)</f>
        <v>99</v>
      </c>
      <c r="M2076" s="8">
        <v>1</v>
      </c>
      <c r="N2076" s="1">
        <v>1</v>
      </c>
      <c r="O2076" s="15">
        <f>IF(SUM(Q2076:AF2076)&lt;1,"",SUM(Q2076:AF2076)/COUNTIF(Q2076:AF2076,"&gt;0"))</f>
        <v>99</v>
      </c>
      <c r="P2076" s="16"/>
      <c r="Q2076" s="13"/>
      <c r="R2076" s="4"/>
      <c r="S2076" s="4"/>
      <c r="T2076" s="4">
        <v>99</v>
      </c>
      <c r="U2076" s="2"/>
      <c r="V2076" s="2"/>
      <c r="W2076" s="2"/>
      <c r="X2076" s="2"/>
      <c r="Y2076" s="4"/>
      <c r="Z2076" s="2"/>
      <c r="AA2076" s="2"/>
      <c r="AB2076" s="4"/>
      <c r="AC2076" s="4"/>
      <c r="AD2076" s="4"/>
      <c r="AE2076" s="4"/>
      <c r="AF2076" s="14"/>
    </row>
    <row r="2077" spans="1:32" x14ac:dyDescent="0.25">
      <c r="A2077" s="33" t="str">
        <f>CONCATENATE(D2077,".",F2077,"-",G2077,".",H2077,"")</f>
        <v>4.2-2.1</v>
      </c>
      <c r="C2077" s="39" t="s">
        <v>337</v>
      </c>
      <c r="D2077" s="33">
        <f>IF(C2077="ID",1,(IF(C2077="PR",2,(IF(C2077="DE",3,(IF(C2077="RS",4,(IF(C2077="RC",5,0)))))))))</f>
        <v>4</v>
      </c>
      <c r="E2077" s="33" t="s">
        <v>349</v>
      </c>
      <c r="F2077" s="33">
        <f>IF(E2077="AM",1,(IF(E2077="BE",2,(IF(E2077="GV",3,(IF(E2077="RA",4,(IF(E2077="RM",5,(IF(E2077="AC",1,(IF(E2077="AT",2,(IF(E2077="DS",3,(IF(E2077="IP",4,(IF(E2077="MA",5,(IF(E2077="PT",6,(IF(E2077="AE",1,(IF(E2077="CM",2,(IF(E2077="DP",3,(IF(E2077="AN",1,(IF(E2077="CO",2,(IF(E2077="IM",3,(IF(E2077="MI",4,(IF(E2077="RP",5,(IF(E2077="SC",6,0)))))))))))))))))))))))))))))))))))))))</f>
        <v>2</v>
      </c>
      <c r="G2077" s="170">
        <v>2</v>
      </c>
      <c r="H2077" s="38" t="s">
        <v>511</v>
      </c>
      <c r="I2077" s="3" t="s">
        <v>1449</v>
      </c>
      <c r="J2077" s="157" t="s">
        <v>2243</v>
      </c>
      <c r="K2077" s="34" t="s">
        <v>2244</v>
      </c>
      <c r="L2077" s="5">
        <f>IF(O2077="","",N2077*O2077*M2077)</f>
        <v>99</v>
      </c>
      <c r="M2077" s="8">
        <v>1</v>
      </c>
      <c r="N2077" s="1">
        <v>1</v>
      </c>
      <c r="O2077" s="15">
        <f>IF(SUM(Q2077:AF2077)&lt;1,"",SUM(Q2077:AF2077)/COUNTIF(Q2077:AF2077,"&gt;0"))</f>
        <v>99</v>
      </c>
      <c r="P2077" s="16"/>
      <c r="Q2077" s="13"/>
      <c r="R2077" s="4"/>
      <c r="S2077" s="4"/>
      <c r="T2077" s="4">
        <v>99</v>
      </c>
      <c r="U2077" s="2"/>
      <c r="V2077" s="2"/>
      <c r="W2077" s="2"/>
      <c r="X2077" s="2"/>
      <c r="Y2077" s="4"/>
      <c r="Z2077" s="2"/>
      <c r="AA2077" s="2"/>
      <c r="AB2077" s="4"/>
      <c r="AC2077" s="4"/>
      <c r="AD2077" s="4"/>
      <c r="AE2077" s="4"/>
      <c r="AF2077" s="14"/>
    </row>
    <row r="2078" spans="1:32" x14ac:dyDescent="0.25">
      <c r="A2078" s="33" t="str">
        <f>CONCATENATE(D2078,".",F2078,"-",G2078,".",H2078,"")</f>
        <v>4.2-2.1</v>
      </c>
      <c r="C2078" s="39" t="s">
        <v>337</v>
      </c>
      <c r="D2078" s="33">
        <f>IF(C2078="ID",1,(IF(C2078="PR",2,(IF(C2078="DE",3,(IF(C2078="RS",4,(IF(C2078="RC",5,0)))))))))</f>
        <v>4</v>
      </c>
      <c r="E2078" s="33" t="s">
        <v>349</v>
      </c>
      <c r="F2078" s="33">
        <f>IF(E2078="AM",1,(IF(E2078="BE",2,(IF(E2078="GV",3,(IF(E2078="RA",4,(IF(E2078="RM",5,(IF(E2078="AC",1,(IF(E2078="AT",2,(IF(E2078="DS",3,(IF(E2078="IP",4,(IF(E2078="MA",5,(IF(E2078="PT",6,(IF(E2078="AE",1,(IF(E2078="CM",2,(IF(E2078="DP",3,(IF(E2078="AN",1,(IF(E2078="CO",2,(IF(E2078="IM",3,(IF(E2078="MI",4,(IF(E2078="RP",5,(IF(E2078="SC",6,0)))))))))))))))))))))))))))))))))))))))</f>
        <v>2</v>
      </c>
      <c r="G2078" s="170">
        <v>2</v>
      </c>
      <c r="H2078" s="38" t="s">
        <v>511</v>
      </c>
      <c r="I2078" s="3" t="s">
        <v>1449</v>
      </c>
      <c r="J2078" s="157" t="s">
        <v>2245</v>
      </c>
      <c r="K2078" s="34" t="s">
        <v>2246</v>
      </c>
      <c r="L2078" s="5">
        <f>IF(O2078="","",N2078*O2078*M2078)</f>
        <v>99</v>
      </c>
      <c r="M2078" s="8">
        <v>1</v>
      </c>
      <c r="N2078" s="1">
        <v>1</v>
      </c>
      <c r="O2078" s="15">
        <f>IF(SUM(Q2078:AF2078)&lt;1,"",SUM(Q2078:AF2078)/COUNTIF(Q2078:AF2078,"&gt;0"))</f>
        <v>99</v>
      </c>
      <c r="P2078" s="16"/>
      <c r="Q2078" s="13"/>
      <c r="R2078" s="4"/>
      <c r="S2078" s="4"/>
      <c r="T2078" s="4">
        <v>99</v>
      </c>
      <c r="U2078" s="2"/>
      <c r="V2078" s="2"/>
      <c r="W2078" s="2"/>
      <c r="X2078" s="2"/>
      <c r="Y2078" s="4"/>
      <c r="Z2078" s="2"/>
      <c r="AA2078" s="2"/>
      <c r="AB2078" s="4"/>
      <c r="AC2078" s="4"/>
      <c r="AD2078" s="4"/>
      <c r="AE2078" s="4"/>
      <c r="AF2078" s="14"/>
    </row>
    <row r="2079" spans="1:32" x14ac:dyDescent="0.25">
      <c r="A2079" s="33" t="str">
        <f>CONCATENATE(D2079,".",F2079,"-",G2079,".",H2079,"")</f>
        <v>4.2-3.0</v>
      </c>
      <c r="B2079" s="33" t="s">
        <v>814</v>
      </c>
      <c r="C2079" s="41" t="s">
        <v>337</v>
      </c>
      <c r="D2079" s="33">
        <f>IF(C2079="ID",1,(IF(C2079="PR",2,(IF(C2079="DE",3,(IF(C2079="RS",4,(IF(C2079="RC",5,0)))))))))</f>
        <v>4</v>
      </c>
      <c r="E2079" s="33" t="s">
        <v>349</v>
      </c>
      <c r="F2079" s="33">
        <f>IF(E2079="AM",1,(IF(E2079="BE",2,(IF(E2079="GV",3,(IF(E2079="RA",4,(IF(E2079="RM",5,(IF(E2079="AC",1,(IF(E2079="AT",2,(IF(E2079="DS",3,(IF(E2079="IP",4,(IF(E2079="MA",5,(IF(E2079="PT",6,(IF(E2079="AE",1,(IF(E2079="CM",2,(IF(E2079="DP",3,(IF(E2079="AN",1,(IF(E2079="CO",2,(IF(E2079="IM",3,(IF(E2079="MI",4,(IF(E2079="RP",5,(IF(E2079="SC",6,0)))))))))))))))))))))))))))))))))))))))</f>
        <v>2</v>
      </c>
      <c r="G2079" s="170">
        <v>3</v>
      </c>
      <c r="H2079" s="38">
        <v>0</v>
      </c>
      <c r="I2079" s="22" t="s">
        <v>266</v>
      </c>
      <c r="J2079" s="149" t="s">
        <v>278</v>
      </c>
      <c r="K2079" s="79" t="s">
        <v>1367</v>
      </c>
      <c r="L2079" s="5">
        <f>IF(O2079="","",N2079*O2079*M2079)</f>
        <v>75</v>
      </c>
      <c r="M2079" s="8">
        <v>1</v>
      </c>
      <c r="N2079" s="1">
        <v>1</v>
      </c>
      <c r="O2079" s="15">
        <f>IF(SUM(Q2079:AF2079)&lt;1,"",SUM(Q2079:AF2079)/COUNTIF(Q2079:AF2079,"&gt;0"))</f>
        <v>75</v>
      </c>
      <c r="P2079" s="16"/>
      <c r="Q2079" s="13"/>
      <c r="R2079" s="4"/>
      <c r="S2079" s="4"/>
      <c r="T2079" s="4">
        <v>75</v>
      </c>
      <c r="U2079" s="2"/>
      <c r="V2079" s="2"/>
      <c r="W2079" s="2"/>
      <c r="X2079" s="2"/>
      <c r="Y2079" s="4"/>
      <c r="Z2079" s="2"/>
      <c r="AA2079" s="2"/>
      <c r="AB2079" s="4"/>
      <c r="AC2079" s="4"/>
      <c r="AD2079" s="4"/>
      <c r="AE2079" s="4"/>
      <c r="AF2079" s="14"/>
    </row>
    <row r="2080" spans="1:32" x14ac:dyDescent="0.25">
      <c r="A2080" s="33" t="str">
        <f>CONCATENATE(D2080,".",F2080,"-",G2080,".",H2080,"")</f>
        <v>4.2-3.0</v>
      </c>
      <c r="B2080" s="33" t="s">
        <v>814</v>
      </c>
      <c r="C2080" s="41" t="s">
        <v>337</v>
      </c>
      <c r="D2080" s="33">
        <f>IF(C2080="ID",1,(IF(C2080="PR",2,(IF(C2080="DE",3,(IF(C2080="RS",4,(IF(C2080="RC",5,0)))))))))</f>
        <v>4</v>
      </c>
      <c r="E2080" s="33" t="s">
        <v>349</v>
      </c>
      <c r="F2080" s="33">
        <f>IF(E2080="AM",1,(IF(E2080="BE",2,(IF(E2080="GV",3,(IF(E2080="RA",4,(IF(E2080="RM",5,(IF(E2080="AC",1,(IF(E2080="AT",2,(IF(E2080="DS",3,(IF(E2080="IP",4,(IF(E2080="MA",5,(IF(E2080="PT",6,(IF(E2080="AE",1,(IF(E2080="CM",2,(IF(E2080="DP",3,(IF(E2080="AN",1,(IF(E2080="CO",2,(IF(E2080="IM",3,(IF(E2080="MI",4,(IF(E2080="RP",5,(IF(E2080="SC",6,0)))))))))))))))))))))))))))))))))))))))</f>
        <v>2</v>
      </c>
      <c r="G2080" s="170">
        <v>3</v>
      </c>
      <c r="H2080" s="38">
        <v>0</v>
      </c>
      <c r="I2080" s="22" t="s">
        <v>266</v>
      </c>
      <c r="J2080" s="149" t="s">
        <v>279</v>
      </c>
      <c r="K2080" s="79" t="s">
        <v>1400</v>
      </c>
      <c r="L2080" s="5">
        <f>IF(O2080="","",N2080*O2080*M2080)</f>
        <v>75</v>
      </c>
      <c r="M2080" s="8">
        <v>1</v>
      </c>
      <c r="N2080" s="1">
        <v>1</v>
      </c>
      <c r="O2080" s="15">
        <f>IF(SUM(Q2080:AF2080)&lt;1,"",SUM(Q2080:AF2080)/COUNTIF(Q2080:AF2080,"&gt;0"))</f>
        <v>75</v>
      </c>
      <c r="P2080" s="16"/>
      <c r="Q2080" s="13"/>
      <c r="R2080" s="4"/>
      <c r="S2080" s="4"/>
      <c r="T2080" s="4">
        <v>75</v>
      </c>
      <c r="U2080" s="2"/>
      <c r="V2080" s="2"/>
      <c r="W2080" s="2"/>
      <c r="X2080" s="2"/>
      <c r="Y2080" s="4"/>
      <c r="Z2080" s="2"/>
      <c r="AA2080" s="2"/>
      <c r="AB2080" s="4"/>
      <c r="AC2080" s="4"/>
      <c r="AD2080" s="4"/>
      <c r="AE2080" s="4"/>
      <c r="AF2080" s="14"/>
    </row>
    <row r="2081" spans="1:32" x14ac:dyDescent="0.25">
      <c r="A2081" s="33" t="str">
        <f>CONCATENATE(D2081,".",F2081,"-",G2081,".",H2081,"")</f>
        <v>4.2-3.0</v>
      </c>
      <c r="B2081" s="33" t="s">
        <v>814</v>
      </c>
      <c r="C2081" s="40" t="s">
        <v>337</v>
      </c>
      <c r="D2081" s="33">
        <f>IF(C2081="ID",1,(IF(C2081="PR",2,(IF(C2081="DE",3,(IF(C2081="RS",4,(IF(C2081="RC",5,0)))))))))</f>
        <v>4</v>
      </c>
      <c r="E2081" s="33" t="s">
        <v>349</v>
      </c>
      <c r="F2081" s="33">
        <f>IF(E2081="AM",1,(IF(E2081="BE",2,(IF(E2081="GV",3,(IF(E2081="RA",4,(IF(E2081="RM",5,(IF(E2081="AC",1,(IF(E2081="AT",2,(IF(E2081="DS",3,(IF(E2081="IP",4,(IF(E2081="MA",5,(IF(E2081="PT",6,(IF(E2081="AE",1,(IF(E2081="CM",2,(IF(E2081="DP",3,(IF(E2081="AN",1,(IF(E2081="CO",2,(IF(E2081="IM",3,(IF(E2081="MI",4,(IF(E2081="RP",5,(IF(E2081="SC",6,0)))))))))))))))))))))))))))))))))))))))</f>
        <v>2</v>
      </c>
      <c r="G2081" s="170">
        <v>3</v>
      </c>
      <c r="H2081" s="38" t="s">
        <v>597</v>
      </c>
      <c r="I2081" s="22" t="s">
        <v>1200</v>
      </c>
      <c r="J2081" s="149" t="s">
        <v>712</v>
      </c>
      <c r="K2081" s="100" t="s">
        <v>422</v>
      </c>
      <c r="L2081" s="5">
        <f>IF(O2081="","",N2081*O2081*M2081)</f>
        <v>75</v>
      </c>
      <c r="M2081" s="8">
        <v>1</v>
      </c>
      <c r="N2081" s="1">
        <v>1</v>
      </c>
      <c r="O2081" s="15">
        <f>IF(SUM(Q2081:AF2081)&lt;1,"",SUM(Q2081:AF2081)/COUNTIF(Q2081:AF2081,"&gt;0"))</f>
        <v>75</v>
      </c>
      <c r="P2081" s="16"/>
      <c r="Q2081" s="13"/>
      <c r="R2081" s="4"/>
      <c r="S2081" s="4"/>
      <c r="T2081" s="4">
        <v>75</v>
      </c>
      <c r="U2081" s="2"/>
      <c r="V2081" s="2"/>
      <c r="W2081" s="2"/>
      <c r="X2081" s="2"/>
      <c r="Y2081" s="4"/>
      <c r="Z2081" s="2"/>
      <c r="AA2081" s="2"/>
      <c r="AB2081" s="4"/>
      <c r="AC2081" s="4"/>
      <c r="AD2081" s="4"/>
      <c r="AE2081" s="4"/>
      <c r="AF2081" s="14"/>
    </row>
    <row r="2082" spans="1:32" x14ac:dyDescent="0.25">
      <c r="A2082" s="33" t="str">
        <f>CONCATENATE(D2082,".",F2082,"-",G2082,".",H2082,"")</f>
        <v>4.2-3.1</v>
      </c>
      <c r="B2082" s="33" t="s">
        <v>814</v>
      </c>
      <c r="C2082" s="40" t="s">
        <v>337</v>
      </c>
      <c r="D2082" s="33">
        <f>IF(C2082="ID",1,(IF(C2082="PR",2,(IF(C2082="DE",3,(IF(C2082="RS",4,(IF(C2082="RC",5,0)))))))))</f>
        <v>4</v>
      </c>
      <c r="E2082" s="33" t="s">
        <v>349</v>
      </c>
      <c r="F2082" s="33">
        <f>IF(E2082="AM",1,(IF(E2082="BE",2,(IF(E2082="GV",3,(IF(E2082="RA",4,(IF(E2082="RM",5,(IF(E2082="AC",1,(IF(E2082="AT",2,(IF(E2082="DS",3,(IF(E2082="IP",4,(IF(E2082="MA",5,(IF(E2082="PT",6,(IF(E2082="AE",1,(IF(E2082="CM",2,(IF(E2082="DP",3,(IF(E2082="AN",1,(IF(E2082="CO",2,(IF(E2082="IM",3,(IF(E2082="MI",4,(IF(E2082="RP",5,(IF(E2082="SC",6,0)))))))))))))))))))))))))))))))))))))))</f>
        <v>2</v>
      </c>
      <c r="G2082" s="171">
        <v>3</v>
      </c>
      <c r="H2082" s="38" t="s">
        <v>511</v>
      </c>
      <c r="I2082" s="3" t="s">
        <v>821</v>
      </c>
      <c r="J2082" s="149" t="s">
        <v>238</v>
      </c>
      <c r="K2082" s="79" t="s">
        <v>1283</v>
      </c>
      <c r="L2082" s="66">
        <f>IF(O2082="","",N2082*O2082*M2082)</f>
        <v>75</v>
      </c>
      <c r="M2082" s="8">
        <v>1</v>
      </c>
      <c r="N2082" s="1">
        <v>1</v>
      </c>
      <c r="O2082" s="15">
        <f>IF(SUM(Q2082:AF2082)&lt;1,"",SUM(Q2082:AF2082)/COUNTIF(Q2082:AF2082,"&gt;0"))</f>
        <v>75</v>
      </c>
      <c r="P2082" s="16"/>
      <c r="Q2082" s="13"/>
      <c r="R2082" s="4"/>
      <c r="S2082" s="4"/>
      <c r="T2082" s="4">
        <v>75</v>
      </c>
      <c r="U2082" s="2"/>
      <c r="V2082" s="2"/>
      <c r="W2082" s="2"/>
      <c r="X2082" s="2"/>
      <c r="Y2082" s="4"/>
      <c r="Z2082" s="2"/>
      <c r="AA2082" s="2"/>
      <c r="AB2082" s="4"/>
      <c r="AC2082" s="4"/>
      <c r="AD2082" s="4"/>
      <c r="AE2082" s="4"/>
      <c r="AF2082" s="14"/>
    </row>
    <row r="2083" spans="1:32" x14ac:dyDescent="0.25">
      <c r="A2083" s="33" t="str">
        <f>CONCATENATE(D2083,".",F2083,"-",G2083,".",H2083,"")</f>
        <v>4.2-3.1</v>
      </c>
      <c r="B2083" s="33" t="s">
        <v>814</v>
      </c>
      <c r="C2083" s="40" t="s">
        <v>337</v>
      </c>
      <c r="D2083" s="33">
        <f>IF(C2083="ID",1,(IF(C2083="PR",2,(IF(C2083="DE",3,(IF(C2083="RS",4,(IF(C2083="RC",5,0)))))))))</f>
        <v>4</v>
      </c>
      <c r="E2083" s="33" t="s">
        <v>349</v>
      </c>
      <c r="F2083" s="33">
        <f>IF(E2083="AM",1,(IF(E2083="BE",2,(IF(E2083="GV",3,(IF(E2083="RA",4,(IF(E2083="RM",5,(IF(E2083="AC",1,(IF(E2083="AT",2,(IF(E2083="DS",3,(IF(E2083="IP",4,(IF(E2083="MA",5,(IF(E2083="PT",6,(IF(E2083="AE",1,(IF(E2083="CM",2,(IF(E2083="DP",3,(IF(E2083="AN",1,(IF(E2083="CO",2,(IF(E2083="IM",3,(IF(E2083="MI",4,(IF(E2083="RP",5,(IF(E2083="SC",6,0)))))))))))))))))))))))))))))))))))))))</f>
        <v>2</v>
      </c>
      <c r="G2083" s="171">
        <v>3</v>
      </c>
      <c r="H2083" s="38" t="s">
        <v>511</v>
      </c>
      <c r="I2083" s="22" t="s">
        <v>936</v>
      </c>
      <c r="J2083" s="163" t="s">
        <v>917</v>
      </c>
      <c r="K2083" s="34" t="s">
        <v>947</v>
      </c>
      <c r="L2083" s="66">
        <f>IF(O2083="","",N2083*O2083*M2083)</f>
        <v>75</v>
      </c>
      <c r="M2083" s="8">
        <v>1</v>
      </c>
      <c r="N2083" s="3">
        <v>1</v>
      </c>
      <c r="O2083" s="15">
        <f>IF(SUM(Q2083:AF2083)&lt;1,"",SUM(Q2083:AF2083)/COUNTIF(Q2083:AF2083,"&gt;0"))</f>
        <v>75</v>
      </c>
      <c r="P2083" s="16"/>
      <c r="Q2083" s="13"/>
      <c r="R2083" s="4"/>
      <c r="S2083" s="4"/>
      <c r="T2083" s="4">
        <v>75</v>
      </c>
      <c r="U2083" s="2"/>
      <c r="V2083" s="2"/>
      <c r="W2083" s="2"/>
      <c r="X2083" s="2"/>
      <c r="Y2083" s="4"/>
      <c r="Z2083" s="2"/>
      <c r="AA2083" s="2"/>
      <c r="AB2083" s="4"/>
      <c r="AC2083" s="4"/>
      <c r="AD2083" s="4"/>
      <c r="AE2083" s="4"/>
      <c r="AF2083" s="14"/>
    </row>
    <row r="2084" spans="1:32" x14ac:dyDescent="0.25">
      <c r="A2084" s="33" t="str">
        <f>CONCATENATE(D2084,".",F2084,"-",G2084,".",H2084,"")</f>
        <v>4.2-3.1</v>
      </c>
      <c r="B2084" s="33" t="s">
        <v>814</v>
      </c>
      <c r="C2084" s="40" t="s">
        <v>337</v>
      </c>
      <c r="D2084" s="33">
        <f>IF(C2084="ID",1,(IF(C2084="PR",2,(IF(C2084="DE",3,(IF(C2084="RS",4,(IF(C2084="RC",5,0)))))))))</f>
        <v>4</v>
      </c>
      <c r="E2084" s="33" t="s">
        <v>349</v>
      </c>
      <c r="F2084" s="33">
        <f>IF(E2084="AM",1,(IF(E2084="BE",2,(IF(E2084="GV",3,(IF(E2084="RA",4,(IF(E2084="RM",5,(IF(E2084="AC",1,(IF(E2084="AT",2,(IF(E2084="DS",3,(IF(E2084="IP",4,(IF(E2084="MA",5,(IF(E2084="PT",6,(IF(E2084="AE",1,(IF(E2084="CM",2,(IF(E2084="DP",3,(IF(E2084="AN",1,(IF(E2084="CO",2,(IF(E2084="IM",3,(IF(E2084="MI",4,(IF(E2084="RP",5,(IF(E2084="SC",6,0)))))))))))))))))))))))))))))))))))))))</f>
        <v>2</v>
      </c>
      <c r="G2084" s="171">
        <v>3</v>
      </c>
      <c r="H2084" s="38" t="s">
        <v>511</v>
      </c>
      <c r="I2084" s="22" t="s">
        <v>936</v>
      </c>
      <c r="J2084" s="163" t="s">
        <v>879</v>
      </c>
      <c r="K2084" s="34" t="s">
        <v>988</v>
      </c>
      <c r="L2084" s="66">
        <f>IF(O2084="","",N2084*O2084*M2084)</f>
        <v>75</v>
      </c>
      <c r="M2084" s="8">
        <v>1</v>
      </c>
      <c r="N2084" s="3">
        <v>1</v>
      </c>
      <c r="O2084" s="15">
        <f>IF(SUM(Q2084:AF2084)&lt;1,"",SUM(Q2084:AF2084)/COUNTIF(Q2084:AF2084,"&gt;0"))</f>
        <v>75</v>
      </c>
      <c r="P2084" s="16"/>
      <c r="Q2084" s="13"/>
      <c r="R2084" s="4"/>
      <c r="S2084" s="4"/>
      <c r="T2084" s="4">
        <v>75</v>
      </c>
      <c r="U2084" s="2"/>
      <c r="V2084" s="2"/>
      <c r="W2084" s="2"/>
      <c r="X2084" s="2"/>
      <c r="Y2084" s="4"/>
      <c r="Z2084" s="2"/>
      <c r="AA2084" s="2"/>
      <c r="AB2084" s="4"/>
      <c r="AC2084" s="4"/>
      <c r="AD2084" s="4"/>
      <c r="AE2084" s="4"/>
      <c r="AF2084" s="14"/>
    </row>
    <row r="2085" spans="1:32" x14ac:dyDescent="0.25">
      <c r="A2085" s="33" t="str">
        <f>CONCATENATE(D2085,".",F2085,"-",G2085,".",H2085,"")</f>
        <v>4.2-3.1</v>
      </c>
      <c r="B2085" s="33" t="s">
        <v>814</v>
      </c>
      <c r="C2085" s="40" t="s">
        <v>337</v>
      </c>
      <c r="D2085" s="33">
        <f>IF(C2085="ID",1,(IF(C2085="PR",2,(IF(C2085="DE",3,(IF(C2085="RS",4,(IF(C2085="RC",5,0)))))))))</f>
        <v>4</v>
      </c>
      <c r="E2085" s="33" t="s">
        <v>349</v>
      </c>
      <c r="F2085" s="33">
        <f>IF(E2085="AM",1,(IF(E2085="BE",2,(IF(E2085="GV",3,(IF(E2085="RA",4,(IF(E2085="RM",5,(IF(E2085="AC",1,(IF(E2085="AT",2,(IF(E2085="DS",3,(IF(E2085="IP",4,(IF(E2085="MA",5,(IF(E2085="PT",6,(IF(E2085="AE",1,(IF(E2085="CM",2,(IF(E2085="DP",3,(IF(E2085="AN",1,(IF(E2085="CO",2,(IF(E2085="IM",3,(IF(E2085="MI",4,(IF(E2085="RP",5,(IF(E2085="SC",6,0)))))))))))))))))))))))))))))))))))))))</f>
        <v>2</v>
      </c>
      <c r="G2085" s="171">
        <v>3</v>
      </c>
      <c r="H2085" s="38" t="s">
        <v>511</v>
      </c>
      <c r="I2085" s="22" t="s">
        <v>936</v>
      </c>
      <c r="J2085" s="163" t="s">
        <v>895</v>
      </c>
      <c r="K2085" s="34" t="s">
        <v>1008</v>
      </c>
      <c r="L2085" s="66">
        <f>IF(O2085="","",N2085*O2085*M2085)</f>
        <v>75</v>
      </c>
      <c r="M2085" s="8">
        <v>1</v>
      </c>
      <c r="N2085" s="3">
        <v>1</v>
      </c>
      <c r="O2085" s="15">
        <f>IF(SUM(Q2085:AF2085)&lt;1,"",SUM(Q2085:AF2085)/COUNTIF(Q2085:AF2085,"&gt;0"))</f>
        <v>75</v>
      </c>
      <c r="P2085" s="16"/>
      <c r="Q2085" s="13"/>
      <c r="R2085" s="4"/>
      <c r="S2085" s="4"/>
      <c r="T2085" s="4">
        <v>75</v>
      </c>
      <c r="U2085" s="2"/>
      <c r="V2085" s="2"/>
      <c r="W2085" s="2"/>
      <c r="X2085" s="2"/>
      <c r="Y2085" s="4"/>
      <c r="Z2085" s="2"/>
      <c r="AA2085" s="2"/>
      <c r="AB2085" s="4"/>
      <c r="AC2085" s="4"/>
      <c r="AD2085" s="4"/>
      <c r="AE2085" s="4"/>
      <c r="AF2085" s="14"/>
    </row>
    <row r="2086" spans="1:32" x14ac:dyDescent="0.25">
      <c r="A2086" s="33" t="str">
        <f>CONCATENATE(D2086,".",F2086,"-",G2086,".",H2086,"")</f>
        <v>4.2-4.0</v>
      </c>
      <c r="B2086" s="33" t="s">
        <v>814</v>
      </c>
      <c r="C2086" s="40" t="s">
        <v>337</v>
      </c>
      <c r="D2086" s="33">
        <f>IF(C2086="ID",1,(IF(C2086="PR",2,(IF(C2086="DE",3,(IF(C2086="RS",4,(IF(C2086="RC",5,0)))))))))</f>
        <v>4</v>
      </c>
      <c r="E2086" s="33" t="s">
        <v>349</v>
      </c>
      <c r="F2086" s="33">
        <f>IF(E2086="AM",1,(IF(E2086="BE",2,(IF(E2086="GV",3,(IF(E2086="RA",4,(IF(E2086="RM",5,(IF(E2086="AC",1,(IF(E2086="AT",2,(IF(E2086="DS",3,(IF(E2086="IP",4,(IF(E2086="MA",5,(IF(E2086="PT",6,(IF(E2086="AE",1,(IF(E2086="CM",2,(IF(E2086="DP",3,(IF(E2086="AN",1,(IF(E2086="CO",2,(IF(E2086="IM",3,(IF(E2086="MI",4,(IF(E2086="RP",5,(IF(E2086="SC",6,0)))))))))))))))))))))))))))))))))))))))</f>
        <v>2</v>
      </c>
      <c r="G2086" s="170">
        <v>4</v>
      </c>
      <c r="H2086" s="38" t="s">
        <v>597</v>
      </c>
      <c r="I2086" s="22" t="s">
        <v>1200</v>
      </c>
      <c r="J2086" s="149" t="s">
        <v>713</v>
      </c>
      <c r="K2086" s="100" t="s">
        <v>423</v>
      </c>
      <c r="L2086" s="5">
        <f>IF(O2086="","",N2086*O2086*M2086)</f>
        <v>75</v>
      </c>
      <c r="M2086" s="8">
        <v>1</v>
      </c>
      <c r="N2086" s="1">
        <v>1</v>
      </c>
      <c r="O2086" s="15">
        <f>IF(SUM(Q2086:AF2086)&lt;1,"",SUM(Q2086:AF2086)/COUNTIF(Q2086:AF2086,"&gt;0"))</f>
        <v>75</v>
      </c>
      <c r="P2086" s="16"/>
      <c r="Q2086" s="13"/>
      <c r="R2086" s="4"/>
      <c r="S2086" s="4"/>
      <c r="T2086" s="4">
        <v>75</v>
      </c>
      <c r="U2086" s="2"/>
      <c r="V2086" s="2"/>
      <c r="W2086" s="2"/>
      <c r="X2086" s="2"/>
      <c r="Y2086" s="4"/>
      <c r="Z2086" s="2"/>
      <c r="AA2086" s="2"/>
      <c r="AB2086" s="4"/>
      <c r="AC2086" s="4"/>
      <c r="AD2086" s="4"/>
      <c r="AE2086" s="4"/>
      <c r="AF2086" s="14"/>
    </row>
    <row r="2087" spans="1:32" x14ac:dyDescent="0.25">
      <c r="A2087" s="33" t="str">
        <f>CONCATENATE(D2087,".",F2087,"-",G2087,".",H2087,"")</f>
        <v>4.2-4.1</v>
      </c>
      <c r="B2087" s="33" t="s">
        <v>814</v>
      </c>
      <c r="C2087" s="40" t="s">
        <v>337</v>
      </c>
      <c r="D2087" s="33">
        <f>IF(C2087="ID",1,(IF(C2087="PR",2,(IF(C2087="DE",3,(IF(C2087="RS",4,(IF(C2087="RC",5,0)))))))))</f>
        <v>4</v>
      </c>
      <c r="E2087" s="33" t="s">
        <v>349</v>
      </c>
      <c r="F2087" s="33">
        <f>IF(E2087="AM",1,(IF(E2087="BE",2,(IF(E2087="GV",3,(IF(E2087="RA",4,(IF(E2087="RM",5,(IF(E2087="AC",1,(IF(E2087="AT",2,(IF(E2087="DS",3,(IF(E2087="IP",4,(IF(E2087="MA",5,(IF(E2087="PT",6,(IF(E2087="AE",1,(IF(E2087="CM",2,(IF(E2087="DP",3,(IF(E2087="AN",1,(IF(E2087="CO",2,(IF(E2087="IM",3,(IF(E2087="MI",4,(IF(E2087="RP",5,(IF(E2087="SC",6,0)))))))))))))))))))))))))))))))))))))))</f>
        <v>2</v>
      </c>
      <c r="G2087" s="171">
        <v>4</v>
      </c>
      <c r="H2087" s="38" t="s">
        <v>511</v>
      </c>
      <c r="I2087" s="22" t="s">
        <v>936</v>
      </c>
      <c r="J2087" s="163" t="s">
        <v>878</v>
      </c>
      <c r="K2087" s="34" t="s">
        <v>938</v>
      </c>
      <c r="L2087" s="66">
        <f>IF(O2087="","",N2087*O2087*M2087)</f>
        <v>75</v>
      </c>
      <c r="M2087" s="8">
        <v>1</v>
      </c>
      <c r="N2087" s="3">
        <v>1</v>
      </c>
      <c r="O2087" s="15">
        <f>IF(SUM(Q2087:AF2087)&lt;1,"",SUM(Q2087:AF2087)/COUNTIF(Q2087:AF2087,"&gt;0"))</f>
        <v>75</v>
      </c>
      <c r="P2087" s="16"/>
      <c r="Q2087" s="13"/>
      <c r="R2087" s="4"/>
      <c r="S2087" s="4"/>
      <c r="T2087" s="4">
        <v>75</v>
      </c>
      <c r="U2087" s="2"/>
      <c r="V2087" s="2"/>
      <c r="W2087" s="2"/>
      <c r="X2087" s="2"/>
      <c r="Y2087" s="4"/>
      <c r="Z2087" s="2"/>
      <c r="AA2087" s="2"/>
      <c r="AB2087" s="4"/>
      <c r="AC2087" s="4"/>
      <c r="AD2087" s="4"/>
      <c r="AE2087" s="4"/>
      <c r="AF2087" s="14"/>
    </row>
    <row r="2088" spans="1:32" x14ac:dyDescent="0.25">
      <c r="A2088" s="33" t="str">
        <f>CONCATENATE(D2088,".",F2088,"-",G2088,".",H2088,"")</f>
        <v>4.2-4.1</v>
      </c>
      <c r="B2088" s="33" t="s">
        <v>814</v>
      </c>
      <c r="C2088" s="40" t="s">
        <v>337</v>
      </c>
      <c r="D2088" s="33">
        <f>IF(C2088="ID",1,(IF(C2088="PR",2,(IF(C2088="DE",3,(IF(C2088="RS",4,(IF(C2088="RC",5,0)))))))))</f>
        <v>4</v>
      </c>
      <c r="E2088" s="33" t="s">
        <v>349</v>
      </c>
      <c r="F2088" s="33">
        <f>IF(E2088="AM",1,(IF(E2088="BE",2,(IF(E2088="GV",3,(IF(E2088="RA",4,(IF(E2088="RM",5,(IF(E2088="AC",1,(IF(E2088="AT",2,(IF(E2088="DS",3,(IF(E2088="IP",4,(IF(E2088="MA",5,(IF(E2088="PT",6,(IF(E2088="AE",1,(IF(E2088="CM",2,(IF(E2088="DP",3,(IF(E2088="AN",1,(IF(E2088="CO",2,(IF(E2088="IM",3,(IF(E2088="MI",4,(IF(E2088="RP",5,(IF(E2088="SC",6,0)))))))))))))))))))))))))))))))))))))))</f>
        <v>2</v>
      </c>
      <c r="G2088" s="171">
        <v>4</v>
      </c>
      <c r="H2088" s="38" t="s">
        <v>511</v>
      </c>
      <c r="I2088" s="22" t="s">
        <v>936</v>
      </c>
      <c r="J2088" s="163" t="s">
        <v>882</v>
      </c>
      <c r="K2088" s="34" t="s">
        <v>951</v>
      </c>
      <c r="L2088" s="66">
        <f>IF(O2088="","",N2088*O2088*M2088)</f>
        <v>75</v>
      </c>
      <c r="M2088" s="8">
        <v>1</v>
      </c>
      <c r="N2088" s="3">
        <v>1</v>
      </c>
      <c r="O2088" s="15">
        <f>IF(SUM(Q2088:AF2088)&lt;1,"",SUM(Q2088:AF2088)/COUNTIF(Q2088:AF2088,"&gt;0"))</f>
        <v>75</v>
      </c>
      <c r="P2088" s="16"/>
      <c r="Q2088" s="13"/>
      <c r="R2088" s="4"/>
      <c r="S2088" s="4"/>
      <c r="T2088" s="4">
        <v>75</v>
      </c>
      <c r="U2088" s="2"/>
      <c r="V2088" s="2"/>
      <c r="W2088" s="2"/>
      <c r="X2088" s="2"/>
      <c r="Y2088" s="4"/>
      <c r="Z2088" s="2"/>
      <c r="AA2088" s="2"/>
      <c r="AB2088" s="4"/>
      <c r="AC2088" s="4"/>
      <c r="AD2088" s="4"/>
      <c r="AE2088" s="4"/>
      <c r="AF2088" s="14"/>
    </row>
    <row r="2089" spans="1:32" x14ac:dyDescent="0.25">
      <c r="A2089" s="33" t="str">
        <f>CONCATENATE(D2089,".",F2089,"-",G2089,".",H2089,"")</f>
        <v>4.2-4.9</v>
      </c>
      <c r="B2089" s="33" t="s">
        <v>814</v>
      </c>
      <c r="C2089" s="39" t="s">
        <v>337</v>
      </c>
      <c r="D2089" s="33">
        <f>IF(C2089="ID",1,(IF(C2089="PR",2,(IF(C2089="DE",3,(IF(C2089="RS",4,(IF(C2089="RC",5,0)))))))))</f>
        <v>4</v>
      </c>
      <c r="E2089" s="33" t="s">
        <v>349</v>
      </c>
      <c r="F2089" s="33">
        <f>IF(E2089="AM",1,(IF(E2089="BE",2,(IF(E2089="GV",3,(IF(E2089="RA",4,(IF(E2089="RM",5,(IF(E2089="AC",1,(IF(E2089="AT",2,(IF(E2089="DS",3,(IF(E2089="IP",4,(IF(E2089="MA",5,(IF(E2089="PT",6,(IF(E2089="AE",1,(IF(E2089="CM",2,(IF(E2089="DP",3,(IF(E2089="AN",1,(IF(E2089="CO",2,(IF(E2089="IM",3,(IF(E2089="MI",4,(IF(E2089="RP",5,(IF(E2089="SC",6,0)))))))))))))))))))))))))))))))))))))))</f>
        <v>2</v>
      </c>
      <c r="G2089" s="170">
        <v>4</v>
      </c>
      <c r="H2089" s="38" t="s">
        <v>596</v>
      </c>
      <c r="I2089" s="22" t="s">
        <v>266</v>
      </c>
      <c r="J2089" s="149" t="s">
        <v>481</v>
      </c>
      <c r="K2089" s="79" t="s">
        <v>1365</v>
      </c>
      <c r="L2089" s="66">
        <f>IF(O2089="","",N2089*O2089*M2089)</f>
        <v>75</v>
      </c>
      <c r="M2089" s="8">
        <v>1</v>
      </c>
      <c r="N2089" s="1">
        <v>1</v>
      </c>
      <c r="O2089" s="15">
        <f>IF(SUM(Q2089:AF2089)&lt;1,"",SUM(Q2089:AF2089)/COUNTIF(Q2089:AF2089,"&gt;0"))</f>
        <v>75</v>
      </c>
      <c r="P2089" s="16"/>
      <c r="Q2089" s="13"/>
      <c r="R2089" s="4"/>
      <c r="S2089" s="4"/>
      <c r="T2089" s="4">
        <v>75</v>
      </c>
      <c r="U2089" s="2"/>
      <c r="V2089" s="2"/>
      <c r="W2089" s="2"/>
      <c r="X2089" s="2"/>
      <c r="Y2089" s="4"/>
      <c r="Z2089" s="2"/>
      <c r="AA2089" s="2"/>
      <c r="AB2089" s="4"/>
      <c r="AC2089" s="4"/>
      <c r="AD2089" s="4"/>
      <c r="AE2089" s="4"/>
      <c r="AF2089" s="14"/>
    </row>
    <row r="2090" spans="1:32" x14ac:dyDescent="0.25">
      <c r="A2090" s="33" t="str">
        <f>CONCATENATE(D2090,".",F2090,"-",G2090,".",H2090,"")</f>
        <v>4.2-5.0</v>
      </c>
      <c r="B2090" s="33" t="s">
        <v>814</v>
      </c>
      <c r="C2090" s="39" t="s">
        <v>337</v>
      </c>
      <c r="D2090" s="33">
        <f>IF(C2090="ID",1,(IF(C2090="PR",2,(IF(C2090="DE",3,(IF(C2090="RS",4,(IF(C2090="RC",5,0)))))))))</f>
        <v>4</v>
      </c>
      <c r="E2090" s="33" t="s">
        <v>349</v>
      </c>
      <c r="F2090" s="33">
        <f>IF(E2090="AM",1,(IF(E2090="BE",2,(IF(E2090="GV",3,(IF(E2090="RA",4,(IF(E2090="RM",5,(IF(E2090="AC",1,(IF(E2090="AT",2,(IF(E2090="DS",3,(IF(E2090="IP",4,(IF(E2090="MA",5,(IF(E2090="PT",6,(IF(E2090="AE",1,(IF(E2090="CM",2,(IF(E2090="DP",3,(IF(E2090="AN",1,(IF(E2090="CO",2,(IF(E2090="IM",3,(IF(E2090="MI",4,(IF(E2090="RP",5,(IF(E2090="SC",6,0)))))))))))))))))))))))))))))))))))))))</f>
        <v>2</v>
      </c>
      <c r="G2090" s="170">
        <v>5</v>
      </c>
      <c r="H2090" s="33">
        <v>0</v>
      </c>
      <c r="I2090" s="22" t="s">
        <v>266</v>
      </c>
      <c r="J2090" s="150" t="s">
        <v>319</v>
      </c>
      <c r="K2090" s="79" t="s">
        <v>1401</v>
      </c>
      <c r="L2090" s="5">
        <f>IF(O2090="","",N2090*O2090*M2090)</f>
        <v>75</v>
      </c>
      <c r="M2090" s="8">
        <v>1</v>
      </c>
      <c r="N2090" s="1">
        <v>1</v>
      </c>
      <c r="O2090" s="15">
        <f>IF(SUM(Q2090:AF2090)&lt;1,"",SUM(Q2090:AF2090)/COUNTIF(Q2090:AF2090,"&gt;0"))</f>
        <v>75</v>
      </c>
      <c r="P2090" s="16"/>
      <c r="Q2090" s="13"/>
      <c r="T2090" s="4">
        <v>75</v>
      </c>
      <c r="AF2090" s="104"/>
    </row>
    <row r="2091" spans="1:32" x14ac:dyDescent="0.25">
      <c r="A2091" s="33" t="str">
        <f>CONCATENATE(D2091,".",F2091,"-",G2091,".",H2091,"")</f>
        <v>4.2-5.0</v>
      </c>
      <c r="B2091" s="33" t="s">
        <v>814</v>
      </c>
      <c r="C2091" s="40" t="s">
        <v>337</v>
      </c>
      <c r="D2091" s="33">
        <f>IF(C2091="ID",1,(IF(C2091="PR",2,(IF(C2091="DE",3,(IF(C2091="RS",4,(IF(C2091="RC",5,0)))))))))</f>
        <v>4</v>
      </c>
      <c r="E2091" s="33" t="s">
        <v>349</v>
      </c>
      <c r="F2091" s="33">
        <f>IF(E2091="AM",1,(IF(E2091="BE",2,(IF(E2091="GV",3,(IF(E2091="RA",4,(IF(E2091="RM",5,(IF(E2091="AC",1,(IF(E2091="AT",2,(IF(E2091="DS",3,(IF(E2091="IP",4,(IF(E2091="MA",5,(IF(E2091="PT",6,(IF(E2091="AE",1,(IF(E2091="CM",2,(IF(E2091="DP",3,(IF(E2091="AN",1,(IF(E2091="CO",2,(IF(E2091="IM",3,(IF(E2091="MI",4,(IF(E2091="RP",5,(IF(E2091="SC",6,0)))))))))))))))))))))))))))))))))))))))</f>
        <v>2</v>
      </c>
      <c r="G2091" s="170">
        <v>5</v>
      </c>
      <c r="H2091" s="38" t="s">
        <v>597</v>
      </c>
      <c r="I2091" s="22" t="s">
        <v>1200</v>
      </c>
      <c r="J2091" s="149" t="s">
        <v>714</v>
      </c>
      <c r="K2091" s="100" t="s">
        <v>424</v>
      </c>
      <c r="L2091" s="5">
        <f>IF(O2091="","",N2091*O2091*M2091)</f>
        <v>75</v>
      </c>
      <c r="M2091" s="8">
        <v>1</v>
      </c>
      <c r="N2091" s="1">
        <v>1</v>
      </c>
      <c r="O2091" s="15">
        <f>IF(SUM(Q2091:AF2091)&lt;1,"",SUM(Q2091:AF2091)/COUNTIF(Q2091:AF2091,"&gt;0"))</f>
        <v>75</v>
      </c>
      <c r="P2091" s="16"/>
      <c r="Q2091" s="13"/>
      <c r="R2091" s="4"/>
      <c r="S2091" s="4"/>
      <c r="T2091" s="4">
        <v>75</v>
      </c>
      <c r="U2091" s="2"/>
      <c r="V2091" s="2"/>
      <c r="W2091" s="2"/>
      <c r="X2091" s="2"/>
      <c r="Y2091" s="4"/>
      <c r="Z2091" s="2"/>
      <c r="AA2091" s="2"/>
      <c r="AB2091" s="4"/>
      <c r="AC2091" s="4"/>
      <c r="AD2091" s="4"/>
      <c r="AE2091" s="4"/>
      <c r="AF2091" s="14"/>
    </row>
    <row r="2092" spans="1:32" x14ac:dyDescent="0.25">
      <c r="A2092" s="33" t="str">
        <f>CONCATENATE(D2092,".",F2092,"-",G2092,".",H2092,"")</f>
        <v>4.2-5.1</v>
      </c>
      <c r="C2092" s="39" t="s">
        <v>337</v>
      </c>
      <c r="D2092" s="33">
        <f>IF(C2092="ID",1,(IF(C2092="PR",2,(IF(C2092="DE",3,(IF(C2092="RS",4,(IF(C2092="RC",5,0)))))))))</f>
        <v>4</v>
      </c>
      <c r="E2092" s="33" t="s">
        <v>349</v>
      </c>
      <c r="F2092" s="33">
        <f>IF(E2092="AM",1,(IF(E2092="BE",2,(IF(E2092="GV",3,(IF(E2092="RA",4,(IF(E2092="RM",5,(IF(E2092="AC",1,(IF(E2092="AT",2,(IF(E2092="DS",3,(IF(E2092="IP",4,(IF(E2092="MA",5,(IF(E2092="PT",6,(IF(E2092="AE",1,(IF(E2092="CM",2,(IF(E2092="DP",3,(IF(E2092="AN",1,(IF(E2092="CO",2,(IF(E2092="IM",3,(IF(E2092="MI",4,(IF(E2092="RP",5,(IF(E2092="SC",6,0)))))))))))))))))))))))))))))))))))))))</f>
        <v>2</v>
      </c>
      <c r="G2092" s="170">
        <v>5</v>
      </c>
      <c r="H2092" s="38" t="s">
        <v>511</v>
      </c>
      <c r="I2092" s="3" t="s">
        <v>1449</v>
      </c>
      <c r="J2092" s="157" t="s">
        <v>3097</v>
      </c>
      <c r="K2092" s="34" t="s">
        <v>3098</v>
      </c>
      <c r="L2092" s="5">
        <f>IF(O2092="","",N2092*O2092*M2092)</f>
        <v>99</v>
      </c>
      <c r="M2092" s="8">
        <v>1</v>
      </c>
      <c r="N2092" s="1">
        <v>1</v>
      </c>
      <c r="O2092" s="15">
        <f>IF(SUM(Q2092:AF2092)&lt;1,"",SUM(Q2092:AF2092)/COUNTIF(Q2092:AF2092,"&gt;0"))</f>
        <v>99</v>
      </c>
      <c r="P2092" s="16"/>
      <c r="Q2092" s="13"/>
      <c r="R2092" s="4"/>
      <c r="S2092" s="4"/>
      <c r="T2092" s="4">
        <v>99</v>
      </c>
      <c r="U2092" s="2"/>
      <c r="V2092" s="2"/>
      <c r="W2092" s="2"/>
      <c r="X2092" s="2"/>
      <c r="Y2092" s="4"/>
      <c r="Z2092" s="2"/>
      <c r="AA2092" s="2"/>
      <c r="AB2092" s="4"/>
      <c r="AC2092" s="4"/>
      <c r="AD2092" s="4"/>
      <c r="AE2092" s="4"/>
      <c r="AF2092" s="14"/>
    </row>
    <row r="2093" spans="1:32" x14ac:dyDescent="0.25">
      <c r="A2093" s="33" t="str">
        <f>CONCATENATE(D2093,".",F2093,"-",G2093,".",H2093,"")</f>
        <v>4.3-0.0</v>
      </c>
      <c r="B2093" s="33" t="s">
        <v>1229</v>
      </c>
      <c r="C2093" s="40" t="s">
        <v>337</v>
      </c>
      <c r="D2093" s="33">
        <f>IF(C2093="ID",1,(IF(C2093="PR",2,(IF(C2093="DE",3,(IF(C2093="RS",4,(IF(C2093="RC",5,0)))))))))</f>
        <v>4</v>
      </c>
      <c r="E2093" s="33" t="s">
        <v>352</v>
      </c>
      <c r="F2093" s="33">
        <f>IF(E2093="AM",1,(IF(E2093="BE",2,(IF(E2093="GV",3,(IF(E2093="RA",4,(IF(E2093="RM",5,(IF(E2093="AC",1,(IF(E2093="AT",2,(IF(E2093="DS",3,(IF(E2093="IP",4,(IF(E2093="MA",5,(IF(E2093="PT",6,(IF(E2093="AE",1,(IF(E2093="CM",2,(IF(E2093="DP",3,(IF(E2093="AN",1,(IF(E2093="CO",2,(IF(E2093="IM",3,(IF(E2093="MI",4,(IF(E2093="RP",5,(IF(E2093="SC",6,0)))))))))))))))))))))))))))))))))))))))</f>
        <v>3</v>
      </c>
      <c r="G2093" s="170">
        <v>0</v>
      </c>
      <c r="H2093" s="38" t="s">
        <v>597</v>
      </c>
      <c r="I2093" s="22" t="s">
        <v>1200</v>
      </c>
      <c r="J2093" s="167" t="s">
        <v>715</v>
      </c>
      <c r="K2093" s="100" t="s">
        <v>743</v>
      </c>
      <c r="L2093" s="5" t="str">
        <f>IF(O2093="","",N2093*O2093*M2093)</f>
        <v/>
      </c>
      <c r="M2093" s="8">
        <v>1</v>
      </c>
      <c r="N2093" s="1">
        <v>1</v>
      </c>
      <c r="O2093" s="15" t="str">
        <f>IF(SUM(Q2093:AF2093)&lt;1,"",SUM(Q2093:AF2093)/COUNTIF(Q2093:AF2093,"&gt;0"))</f>
        <v/>
      </c>
      <c r="P2093" s="16"/>
      <c r="Q2093" s="13"/>
      <c r="R2093" s="4"/>
      <c r="S2093" s="4"/>
      <c r="T2093" s="2"/>
      <c r="U2093" s="2"/>
      <c r="V2093" s="2"/>
      <c r="W2093" s="2"/>
      <c r="X2093" s="2"/>
      <c r="Y2093" s="4"/>
      <c r="Z2093" s="2"/>
      <c r="AA2093" s="2"/>
      <c r="AB2093" s="4"/>
      <c r="AC2093" s="4"/>
      <c r="AD2093" s="4"/>
      <c r="AE2093" s="4"/>
      <c r="AF2093" s="14"/>
    </row>
    <row r="2094" spans="1:32" x14ac:dyDescent="0.25">
      <c r="A2094" s="33" t="str">
        <f>CONCATENATE(D2094,".",F2094,"-",G2094,".",H2094,"")</f>
        <v>4.3-0.1</v>
      </c>
      <c r="B2094" s="33" t="s">
        <v>1229</v>
      </c>
      <c r="C2094" s="40" t="s">
        <v>337</v>
      </c>
      <c r="D2094" s="33">
        <f>IF(C2094="ID",1,(IF(C2094="PR",2,(IF(C2094="DE",3,(IF(C2094="RS",4,(IF(C2094="RC",5,0)))))))))</f>
        <v>4</v>
      </c>
      <c r="E2094" s="33" t="s">
        <v>352</v>
      </c>
      <c r="F2094" s="33">
        <f>IF(E2094="AM",1,(IF(E2094="BE",2,(IF(E2094="GV",3,(IF(E2094="RA",4,(IF(E2094="RM",5,(IF(E2094="AC",1,(IF(E2094="AT",2,(IF(E2094="DS",3,(IF(E2094="IP",4,(IF(E2094="MA",5,(IF(E2094="PT",6,(IF(E2094="AE",1,(IF(E2094="CM",2,(IF(E2094="DP",3,(IF(E2094="AN",1,(IF(E2094="CO",2,(IF(E2094="IM",3,(IF(E2094="MI",4,(IF(E2094="RP",5,(IF(E2094="SC",6,0)))))))))))))))))))))))))))))))))))))))</f>
        <v>3</v>
      </c>
      <c r="G2094" s="170">
        <v>0</v>
      </c>
      <c r="H2094" s="38" t="s">
        <v>511</v>
      </c>
      <c r="I2094" s="22" t="s">
        <v>1200</v>
      </c>
      <c r="J2094" s="167" t="s">
        <v>715</v>
      </c>
      <c r="K2094" s="100" t="s">
        <v>760</v>
      </c>
      <c r="L2094" s="5" t="str">
        <f>IF(O2094="","",N2094*O2094*M2094)</f>
        <v/>
      </c>
      <c r="M2094" s="8">
        <v>1</v>
      </c>
      <c r="N2094" s="1">
        <v>1</v>
      </c>
      <c r="O2094" s="15" t="str">
        <f>IF(SUM(Q2094:AF2094)&lt;1,"",SUM(Q2094:AF2094)/COUNTIF(Q2094:AF2094,"&gt;0"))</f>
        <v/>
      </c>
      <c r="P2094" s="16"/>
      <c r="Q2094" s="13"/>
      <c r="R2094" s="4"/>
      <c r="S2094" s="4"/>
      <c r="T2094" s="2"/>
      <c r="U2094" s="2"/>
      <c r="V2094" s="2"/>
      <c r="W2094" s="2"/>
      <c r="X2094" s="2"/>
      <c r="Y2094" s="4"/>
      <c r="Z2094" s="2"/>
      <c r="AA2094" s="2"/>
      <c r="AB2094" s="4"/>
      <c r="AC2094" s="4"/>
      <c r="AD2094" s="4"/>
      <c r="AE2094" s="4"/>
      <c r="AF2094" s="14"/>
    </row>
    <row r="2095" spans="1:32" x14ac:dyDescent="0.25">
      <c r="A2095" s="33" t="str">
        <f>CONCATENATE(D2095,".",F2095,"-",G2095,".",H2095,"")</f>
        <v>4.3-1.0</v>
      </c>
      <c r="B2095" s="33" t="s">
        <v>814</v>
      </c>
      <c r="C2095" s="40" t="s">
        <v>337</v>
      </c>
      <c r="D2095" s="33">
        <f>IF(C2095="ID",1,(IF(C2095="PR",2,(IF(C2095="DE",3,(IF(C2095="RS",4,(IF(C2095="RC",5,0)))))))))</f>
        <v>4</v>
      </c>
      <c r="E2095" s="33" t="s">
        <v>352</v>
      </c>
      <c r="F2095" s="33">
        <f>IF(E2095="AM",1,(IF(E2095="BE",2,(IF(E2095="GV",3,(IF(E2095="RA",4,(IF(E2095="RM",5,(IF(E2095="AC",1,(IF(E2095="AT",2,(IF(E2095="DS",3,(IF(E2095="IP",4,(IF(E2095="MA",5,(IF(E2095="PT",6,(IF(E2095="AE",1,(IF(E2095="CM",2,(IF(E2095="DP",3,(IF(E2095="AN",1,(IF(E2095="CO",2,(IF(E2095="IM",3,(IF(E2095="MI",4,(IF(E2095="RP",5,(IF(E2095="SC",6,0)))))))))))))))))))))))))))))))))))))))</f>
        <v>3</v>
      </c>
      <c r="G2095" s="170">
        <v>1</v>
      </c>
      <c r="H2095" s="38" t="s">
        <v>597</v>
      </c>
      <c r="I2095" s="22" t="s">
        <v>1200</v>
      </c>
      <c r="J2095" s="149" t="s">
        <v>716</v>
      </c>
      <c r="K2095" s="100" t="s">
        <v>432</v>
      </c>
      <c r="L2095" s="5">
        <f>IF(O2095="","",N2095*O2095*M2095)</f>
        <v>75</v>
      </c>
      <c r="M2095" s="8">
        <v>1</v>
      </c>
      <c r="N2095" s="1">
        <v>1</v>
      </c>
      <c r="O2095" s="15">
        <f>IF(SUM(Q2095:AF2095)&lt;1,"",SUM(Q2095:AF2095)/COUNTIF(Q2095:AF2095,"&gt;0"))</f>
        <v>75</v>
      </c>
      <c r="P2095" s="16"/>
      <c r="Q2095" s="13"/>
      <c r="R2095" s="4"/>
      <c r="S2095" s="4"/>
      <c r="T2095" s="4">
        <v>75</v>
      </c>
      <c r="U2095" s="2"/>
      <c r="V2095" s="2"/>
      <c r="W2095" s="2"/>
      <c r="X2095" s="2"/>
      <c r="Y2095" s="4"/>
      <c r="Z2095" s="2"/>
      <c r="AA2095" s="2"/>
      <c r="AB2095" s="4"/>
      <c r="AC2095" s="4"/>
      <c r="AD2095" s="4"/>
      <c r="AE2095" s="4"/>
      <c r="AF2095" s="14"/>
    </row>
    <row r="2096" spans="1:32" x14ac:dyDescent="0.25">
      <c r="A2096" s="33" t="str">
        <f>CONCATENATE(D2096,".",F2096,"-",G2096,".",H2096,"")</f>
        <v>4.3-1.1</v>
      </c>
      <c r="B2096" s="33" t="s">
        <v>814</v>
      </c>
      <c r="C2096" s="40" t="s">
        <v>337</v>
      </c>
      <c r="D2096" s="33">
        <f>IF(C2096="ID",1,(IF(C2096="PR",2,(IF(C2096="DE",3,(IF(C2096="RS",4,(IF(C2096="RC",5,0)))))))))</f>
        <v>4</v>
      </c>
      <c r="E2096" s="33" t="s">
        <v>352</v>
      </c>
      <c r="F2096" s="33">
        <f>IF(E2096="AM",1,(IF(E2096="BE",2,(IF(E2096="GV",3,(IF(E2096="RA",4,(IF(E2096="RM",5,(IF(E2096="AC",1,(IF(E2096="AT",2,(IF(E2096="DS",3,(IF(E2096="IP",4,(IF(E2096="MA",5,(IF(E2096="PT",6,(IF(E2096="AE",1,(IF(E2096="CM",2,(IF(E2096="DP",3,(IF(E2096="AN",1,(IF(E2096="CO",2,(IF(E2096="IM",3,(IF(E2096="MI",4,(IF(E2096="RP",5,(IF(E2096="SC",6,0)))))))))))))))))))))))))))))))))))))))</f>
        <v>3</v>
      </c>
      <c r="G2096" s="171">
        <v>1</v>
      </c>
      <c r="H2096" s="38" t="s">
        <v>511</v>
      </c>
      <c r="I2096" s="3" t="s">
        <v>821</v>
      </c>
      <c r="J2096" s="149" t="s">
        <v>228</v>
      </c>
      <c r="K2096" s="79" t="s">
        <v>1283</v>
      </c>
      <c r="L2096" s="66">
        <f>IF(O2096="","",N2096*O2096*M2096)</f>
        <v>75</v>
      </c>
      <c r="M2096" s="8">
        <v>1</v>
      </c>
      <c r="N2096" s="1">
        <v>1</v>
      </c>
      <c r="O2096" s="15">
        <f>IF(SUM(Q2096:AF2096)&lt;1,"",SUM(Q2096:AF2096)/COUNTIF(Q2096:AF2096,"&gt;0"))</f>
        <v>75</v>
      </c>
      <c r="P2096" s="16"/>
      <c r="Q2096" s="13"/>
      <c r="R2096" s="4"/>
      <c r="S2096" s="4"/>
      <c r="T2096" s="4">
        <v>75</v>
      </c>
      <c r="U2096" s="2"/>
      <c r="V2096" s="2"/>
      <c r="W2096" s="2"/>
      <c r="X2096" s="2"/>
      <c r="Y2096" s="4"/>
      <c r="Z2096" s="2"/>
      <c r="AA2096" s="2"/>
      <c r="AB2096" s="4"/>
      <c r="AC2096" s="4"/>
      <c r="AD2096" s="4"/>
      <c r="AE2096" s="4"/>
      <c r="AF2096" s="14"/>
    </row>
    <row r="2097" spans="1:32" x14ac:dyDescent="0.25">
      <c r="A2097" s="33" t="str">
        <f>CONCATENATE(D2097,".",F2097,"-",G2097,".",H2097,"")</f>
        <v>4.3-1.1</v>
      </c>
      <c r="B2097" s="33" t="s">
        <v>814</v>
      </c>
      <c r="C2097" s="40" t="s">
        <v>337</v>
      </c>
      <c r="D2097" s="33">
        <f>IF(C2097="ID",1,(IF(C2097="PR",2,(IF(C2097="DE",3,(IF(C2097="RS",4,(IF(C2097="RC",5,0)))))))))</f>
        <v>4</v>
      </c>
      <c r="E2097" s="33" t="s">
        <v>352</v>
      </c>
      <c r="F2097" s="33">
        <f>IF(E2097="AM",1,(IF(E2097="BE",2,(IF(E2097="GV",3,(IF(E2097="RA",4,(IF(E2097="RM",5,(IF(E2097="AC",1,(IF(E2097="AT",2,(IF(E2097="DS",3,(IF(E2097="IP",4,(IF(E2097="MA",5,(IF(E2097="PT",6,(IF(E2097="AE",1,(IF(E2097="CM",2,(IF(E2097="DP",3,(IF(E2097="AN",1,(IF(E2097="CO",2,(IF(E2097="IM",3,(IF(E2097="MI",4,(IF(E2097="RP",5,(IF(E2097="SC",6,0)))))))))))))))))))))))))))))))))))))))</f>
        <v>3</v>
      </c>
      <c r="G2097" s="171">
        <v>1</v>
      </c>
      <c r="H2097" s="38" t="s">
        <v>511</v>
      </c>
      <c r="I2097" s="22" t="s">
        <v>936</v>
      </c>
      <c r="J2097" s="163" t="s">
        <v>880</v>
      </c>
      <c r="K2097" s="34" t="s">
        <v>990</v>
      </c>
      <c r="L2097" s="66">
        <f>IF(O2097="","",N2097*O2097*M2097)</f>
        <v>75</v>
      </c>
      <c r="M2097" s="8">
        <v>1</v>
      </c>
      <c r="N2097" s="3">
        <v>1</v>
      </c>
      <c r="O2097" s="15">
        <f>IF(SUM(Q2097:AF2097)&lt;1,"",SUM(Q2097:AF2097)/COUNTIF(Q2097:AF2097,"&gt;0"))</f>
        <v>75</v>
      </c>
      <c r="P2097" s="16"/>
      <c r="Q2097" s="13"/>
      <c r="R2097" s="4"/>
      <c r="S2097" s="4"/>
      <c r="T2097" s="4">
        <v>75</v>
      </c>
      <c r="U2097" s="2"/>
      <c r="V2097" s="2"/>
      <c r="W2097" s="2"/>
      <c r="X2097" s="2"/>
      <c r="Y2097" s="4"/>
      <c r="Z2097" s="2"/>
      <c r="AA2097" s="2"/>
      <c r="AB2097" s="4"/>
      <c r="AC2097" s="4"/>
      <c r="AD2097" s="4"/>
      <c r="AE2097" s="4"/>
      <c r="AF2097" s="14"/>
    </row>
    <row r="2098" spans="1:32" x14ac:dyDescent="0.25">
      <c r="A2098" s="33" t="str">
        <f>CONCATENATE(D2098,".",F2098,"-",G2098,".",H2098,"")</f>
        <v>4.3-1.1</v>
      </c>
      <c r="B2098" s="33" t="s">
        <v>814</v>
      </c>
      <c r="C2098" s="41" t="s">
        <v>337</v>
      </c>
      <c r="D2098" s="33">
        <f>IF(C2098="ID",1,(IF(C2098="PR",2,(IF(C2098="DE",3,(IF(C2098="RS",4,(IF(C2098="RC",5,0)))))))))</f>
        <v>4</v>
      </c>
      <c r="E2098" s="33" t="s">
        <v>352</v>
      </c>
      <c r="F2098" s="33">
        <f>IF(E2098="AM",1,(IF(E2098="BE",2,(IF(E2098="GV",3,(IF(E2098="RA",4,(IF(E2098="RM",5,(IF(E2098="AC",1,(IF(E2098="AT",2,(IF(E2098="DS",3,(IF(E2098="IP",4,(IF(E2098="MA",5,(IF(E2098="PT",6,(IF(E2098="AE",1,(IF(E2098="CM",2,(IF(E2098="DP",3,(IF(E2098="AN",1,(IF(E2098="CO",2,(IF(E2098="IM",3,(IF(E2098="MI",4,(IF(E2098="RP",5,(IF(E2098="SC",6,0)))))))))))))))))))))))))))))))))))))))</f>
        <v>3</v>
      </c>
      <c r="G2098" s="170">
        <v>1</v>
      </c>
      <c r="H2098" s="38" t="s">
        <v>511</v>
      </c>
      <c r="I2098" s="22" t="s">
        <v>266</v>
      </c>
      <c r="J2098" s="149" t="s">
        <v>282</v>
      </c>
      <c r="K2098" s="79" t="s">
        <v>1371</v>
      </c>
      <c r="L2098" s="5">
        <f>IF(O2098="","",N2098*O2098*M2098)</f>
        <v>75</v>
      </c>
      <c r="M2098" s="8">
        <v>1</v>
      </c>
      <c r="N2098" s="1">
        <v>1</v>
      </c>
      <c r="O2098" s="15">
        <f>IF(SUM(Q2098:AF2098)&lt;1,"",SUM(Q2098:AF2098)/COUNTIF(Q2098:AF2098,"&gt;0"))</f>
        <v>75</v>
      </c>
      <c r="P2098" s="16"/>
      <c r="Q2098" s="13"/>
      <c r="R2098" s="4"/>
      <c r="S2098" s="4"/>
      <c r="T2098" s="4">
        <v>75</v>
      </c>
      <c r="U2098" s="2"/>
      <c r="V2098" s="2"/>
      <c r="W2098" s="2"/>
      <c r="X2098" s="2"/>
      <c r="Y2098" s="4"/>
      <c r="Z2098" s="2"/>
      <c r="AA2098" s="2"/>
      <c r="AB2098" s="4"/>
      <c r="AC2098" s="4"/>
      <c r="AD2098" s="4"/>
      <c r="AE2098" s="4"/>
      <c r="AF2098" s="14"/>
    </row>
    <row r="2099" spans="1:32" x14ac:dyDescent="0.25">
      <c r="A2099" s="33" t="str">
        <f>CONCATENATE(D2099,".",F2099,"-",G2099,".",H2099,"")</f>
        <v>4.3-2.0</v>
      </c>
      <c r="B2099" s="33" t="s">
        <v>814</v>
      </c>
      <c r="C2099" s="40" t="s">
        <v>337</v>
      </c>
      <c r="D2099" s="33">
        <f>IF(C2099="ID",1,(IF(C2099="PR",2,(IF(C2099="DE",3,(IF(C2099="RS",4,(IF(C2099="RC",5,0)))))))))</f>
        <v>4</v>
      </c>
      <c r="E2099" s="33" t="s">
        <v>352</v>
      </c>
      <c r="F2099" s="33">
        <f>IF(E2099="AM",1,(IF(E2099="BE",2,(IF(E2099="GV",3,(IF(E2099="RA",4,(IF(E2099="RM",5,(IF(E2099="AC",1,(IF(E2099="AT",2,(IF(E2099="DS",3,(IF(E2099="IP",4,(IF(E2099="MA",5,(IF(E2099="PT",6,(IF(E2099="AE",1,(IF(E2099="CM",2,(IF(E2099="DP",3,(IF(E2099="AN",1,(IF(E2099="CO",2,(IF(E2099="IM",3,(IF(E2099="MI",4,(IF(E2099="RP",5,(IF(E2099="SC",6,0)))))))))))))))))))))))))))))))))))))))</f>
        <v>3</v>
      </c>
      <c r="G2099" s="170">
        <v>2</v>
      </c>
      <c r="H2099" s="38" t="s">
        <v>597</v>
      </c>
      <c r="I2099" s="22" t="s">
        <v>1200</v>
      </c>
      <c r="J2099" s="149" t="s">
        <v>717</v>
      </c>
      <c r="K2099" s="100" t="s">
        <v>433</v>
      </c>
      <c r="L2099" s="5">
        <f>IF(O2099="","",N2099*O2099*M2099)</f>
        <v>75</v>
      </c>
      <c r="M2099" s="8">
        <v>1</v>
      </c>
      <c r="N2099" s="1">
        <v>1</v>
      </c>
      <c r="O2099" s="15">
        <f>IF(SUM(Q2099:AF2099)&lt;1,"",SUM(Q2099:AF2099)/COUNTIF(Q2099:AF2099,"&gt;0"))</f>
        <v>75</v>
      </c>
      <c r="P2099" s="16"/>
      <c r="Q2099" s="13"/>
      <c r="R2099" s="4"/>
      <c r="S2099" s="4"/>
      <c r="T2099" s="4">
        <v>75</v>
      </c>
      <c r="U2099" s="2"/>
      <c r="V2099" s="2"/>
      <c r="W2099" s="2"/>
      <c r="X2099" s="2"/>
      <c r="Y2099" s="4"/>
      <c r="Z2099" s="2"/>
      <c r="AA2099" s="2"/>
      <c r="AB2099" s="4"/>
      <c r="AC2099" s="4"/>
      <c r="AD2099" s="4"/>
      <c r="AE2099" s="4"/>
      <c r="AF2099" s="14"/>
    </row>
    <row r="2100" spans="1:32" x14ac:dyDescent="0.25">
      <c r="A2100" s="33" t="str">
        <f>CONCATENATE(D2100,".",F2100,"-",G2100,".",H2100,"")</f>
        <v>4.3-2.1</v>
      </c>
      <c r="B2100" s="33" t="s">
        <v>814</v>
      </c>
      <c r="C2100" s="40" t="s">
        <v>337</v>
      </c>
      <c r="D2100" s="33">
        <f>IF(C2100="ID",1,(IF(C2100="PR",2,(IF(C2100="DE",3,(IF(C2100="RS",4,(IF(C2100="RC",5,0)))))))))</f>
        <v>4</v>
      </c>
      <c r="E2100" s="33" t="s">
        <v>352</v>
      </c>
      <c r="F2100" s="33">
        <f>IF(E2100="AM",1,(IF(E2100="BE",2,(IF(E2100="GV",3,(IF(E2100="RA",4,(IF(E2100="RM",5,(IF(E2100="AC",1,(IF(E2100="AT",2,(IF(E2100="DS",3,(IF(E2100="IP",4,(IF(E2100="MA",5,(IF(E2100="PT",6,(IF(E2100="AE",1,(IF(E2100="CM",2,(IF(E2100="DP",3,(IF(E2100="AN",1,(IF(E2100="CO",2,(IF(E2100="IM",3,(IF(E2100="MI",4,(IF(E2100="RP",5,(IF(E2100="SC",6,0)))))))))))))))))))))))))))))))))))))))</f>
        <v>3</v>
      </c>
      <c r="G2100" s="171">
        <v>2</v>
      </c>
      <c r="H2100" s="38" t="s">
        <v>511</v>
      </c>
      <c r="I2100" s="3" t="s">
        <v>821</v>
      </c>
      <c r="J2100" s="150" t="s">
        <v>224</v>
      </c>
      <c r="K2100" s="79" t="s">
        <v>1283</v>
      </c>
      <c r="L2100" s="66">
        <f>IF(O2100="","",N2100*O2100*M2100)</f>
        <v>75</v>
      </c>
      <c r="M2100" s="8">
        <v>1</v>
      </c>
      <c r="N2100" s="3">
        <v>1</v>
      </c>
      <c r="O2100" s="15">
        <f>IF(SUM(Q2100:AF2100)&lt;1,"",SUM(Q2100:AF2100)/COUNTIF(Q2100:AF2100,"&gt;0"))</f>
        <v>75</v>
      </c>
      <c r="P2100" s="16"/>
      <c r="Q2100" s="13"/>
      <c r="R2100" s="4"/>
      <c r="S2100" s="4"/>
      <c r="T2100" s="4">
        <v>75</v>
      </c>
      <c r="U2100" s="2"/>
      <c r="V2100" s="2"/>
      <c r="W2100" s="2"/>
      <c r="X2100" s="2"/>
      <c r="Y2100" s="4"/>
      <c r="Z2100" s="2"/>
      <c r="AA2100" s="2"/>
      <c r="AB2100" s="4"/>
      <c r="AC2100" s="4"/>
      <c r="AD2100" s="4"/>
      <c r="AE2100" s="4"/>
      <c r="AF2100" s="14"/>
    </row>
    <row r="2101" spans="1:32" x14ac:dyDescent="0.25">
      <c r="A2101" s="33" t="str">
        <f>CONCATENATE(D2101,".",F2101,"-",G2101,".",H2101,"")</f>
        <v>4.3-2.1</v>
      </c>
      <c r="B2101" s="33" t="s">
        <v>814</v>
      </c>
      <c r="C2101" s="40" t="s">
        <v>337</v>
      </c>
      <c r="D2101" s="33">
        <f>IF(C2101="ID",1,(IF(C2101="PR",2,(IF(C2101="DE",3,(IF(C2101="RS",4,(IF(C2101="RC",5,0)))))))))</f>
        <v>4</v>
      </c>
      <c r="E2101" s="33" t="s">
        <v>352</v>
      </c>
      <c r="F2101" s="33">
        <f>IF(E2101="AM",1,(IF(E2101="BE",2,(IF(E2101="GV",3,(IF(E2101="RA",4,(IF(E2101="RM",5,(IF(E2101="AC",1,(IF(E2101="AT",2,(IF(E2101="DS",3,(IF(E2101="IP",4,(IF(E2101="MA",5,(IF(E2101="PT",6,(IF(E2101="AE",1,(IF(E2101="CM",2,(IF(E2101="DP",3,(IF(E2101="AN",1,(IF(E2101="CO",2,(IF(E2101="IM",3,(IF(E2101="MI",4,(IF(E2101="RP",5,(IF(E2101="SC",6,0)))))))))))))))))))))))))))))))))))))))</f>
        <v>3</v>
      </c>
      <c r="G2101" s="171">
        <v>2</v>
      </c>
      <c r="H2101" s="38" t="s">
        <v>511</v>
      </c>
      <c r="I2101" s="3" t="s">
        <v>821</v>
      </c>
      <c r="J2101" s="149" t="s">
        <v>228</v>
      </c>
      <c r="K2101" s="79" t="s">
        <v>1283</v>
      </c>
      <c r="L2101" s="66">
        <f>IF(O2101="","",N2101*O2101*M2101)</f>
        <v>75</v>
      </c>
      <c r="M2101" s="8">
        <v>1</v>
      </c>
      <c r="N2101" s="1">
        <v>1</v>
      </c>
      <c r="O2101" s="15">
        <f>IF(SUM(Q2101:AF2101)&lt;1,"",SUM(Q2101:AF2101)/COUNTIF(Q2101:AF2101,"&gt;0"))</f>
        <v>75</v>
      </c>
      <c r="P2101" s="16"/>
      <c r="Q2101" s="13"/>
      <c r="R2101" s="4"/>
      <c r="S2101" s="4"/>
      <c r="T2101" s="4">
        <v>75</v>
      </c>
      <c r="U2101" s="2"/>
      <c r="V2101" s="2"/>
      <c r="W2101" s="2"/>
      <c r="X2101" s="2"/>
      <c r="Y2101" s="4"/>
      <c r="Z2101" s="2"/>
      <c r="AA2101" s="2"/>
      <c r="AB2101" s="4"/>
      <c r="AC2101" s="4"/>
      <c r="AD2101" s="4"/>
      <c r="AE2101" s="4"/>
      <c r="AF2101" s="14"/>
    </row>
    <row r="2102" spans="1:32" x14ac:dyDescent="0.25">
      <c r="A2102" s="33" t="str">
        <f>CONCATENATE(D2102,".",F2102,"-",G2102,".",H2102,"")</f>
        <v>4.3-2.1</v>
      </c>
      <c r="B2102" s="33" t="s">
        <v>814</v>
      </c>
      <c r="C2102" s="40" t="s">
        <v>337</v>
      </c>
      <c r="D2102" s="33">
        <f>IF(C2102="ID",1,(IF(C2102="PR",2,(IF(C2102="DE",3,(IF(C2102="RS",4,(IF(C2102="RC",5,0)))))))))</f>
        <v>4</v>
      </c>
      <c r="E2102" s="33" t="s">
        <v>352</v>
      </c>
      <c r="F2102" s="33">
        <f>IF(E2102="AM",1,(IF(E2102="BE",2,(IF(E2102="GV",3,(IF(E2102="RA",4,(IF(E2102="RM",5,(IF(E2102="AC",1,(IF(E2102="AT",2,(IF(E2102="DS",3,(IF(E2102="IP",4,(IF(E2102="MA",5,(IF(E2102="PT",6,(IF(E2102="AE",1,(IF(E2102="CM",2,(IF(E2102="DP",3,(IF(E2102="AN",1,(IF(E2102="CO",2,(IF(E2102="IM",3,(IF(E2102="MI",4,(IF(E2102="RP",5,(IF(E2102="SC",6,0)))))))))))))))))))))))))))))))))))))))</f>
        <v>3</v>
      </c>
      <c r="G2102" s="171">
        <v>2</v>
      </c>
      <c r="H2102" s="38" t="s">
        <v>511</v>
      </c>
      <c r="I2102" s="22" t="s">
        <v>936</v>
      </c>
      <c r="J2102" s="163" t="s">
        <v>880</v>
      </c>
      <c r="K2102" s="34" t="s">
        <v>990</v>
      </c>
      <c r="L2102" s="66">
        <f>IF(O2102="","",N2102*O2102*M2102)</f>
        <v>75</v>
      </c>
      <c r="M2102" s="8">
        <v>1</v>
      </c>
      <c r="N2102" s="3">
        <v>1</v>
      </c>
      <c r="O2102" s="15">
        <f>IF(SUM(Q2102:AF2102)&lt;1,"",SUM(Q2102:AF2102)/COUNTIF(Q2102:AF2102,"&gt;0"))</f>
        <v>75</v>
      </c>
      <c r="P2102" s="16"/>
      <c r="Q2102" s="13"/>
      <c r="R2102" s="4"/>
      <c r="S2102" s="4"/>
      <c r="T2102" s="4">
        <v>75</v>
      </c>
      <c r="U2102" s="2"/>
      <c r="V2102" s="2"/>
      <c r="W2102" s="2"/>
      <c r="X2102" s="2"/>
      <c r="Y2102" s="4"/>
      <c r="Z2102" s="2"/>
      <c r="AA2102" s="2"/>
      <c r="AB2102" s="4"/>
      <c r="AC2102" s="4"/>
      <c r="AD2102" s="4"/>
      <c r="AE2102" s="4"/>
      <c r="AF2102" s="14"/>
    </row>
    <row r="2103" spans="1:32" x14ac:dyDescent="0.25">
      <c r="A2103" s="33" t="str">
        <f>CONCATENATE(D2103,".",F2103,"-",G2103,".",H2103,"")</f>
        <v>4.3-2.1</v>
      </c>
      <c r="B2103" s="33" t="s">
        <v>814</v>
      </c>
      <c r="C2103" s="39" t="s">
        <v>337</v>
      </c>
      <c r="D2103" s="33">
        <f>IF(C2103="ID",1,(IF(C2103="PR",2,(IF(C2103="DE",3,(IF(C2103="RS",4,(IF(C2103="RC",5,0)))))))))</f>
        <v>4</v>
      </c>
      <c r="E2103" s="33" t="s">
        <v>352</v>
      </c>
      <c r="F2103" s="33">
        <f>IF(E2103="AM",1,(IF(E2103="BE",2,(IF(E2103="GV",3,(IF(E2103="RA",4,(IF(E2103="RM",5,(IF(E2103="AC",1,(IF(E2103="AT",2,(IF(E2103="DS",3,(IF(E2103="IP",4,(IF(E2103="MA",5,(IF(E2103="PT",6,(IF(E2103="AE",1,(IF(E2103="CM",2,(IF(E2103="DP",3,(IF(E2103="AN",1,(IF(E2103="CO",2,(IF(E2103="IM",3,(IF(E2103="MI",4,(IF(E2103="RP",5,(IF(E2103="SC",6,0)))))))))))))))))))))))))))))))))))))))</f>
        <v>3</v>
      </c>
      <c r="G2103" s="170">
        <v>2</v>
      </c>
      <c r="H2103" s="33">
        <v>1</v>
      </c>
      <c r="I2103" s="22" t="s">
        <v>266</v>
      </c>
      <c r="J2103" s="150" t="s">
        <v>5</v>
      </c>
      <c r="K2103" s="79" t="s">
        <v>1393</v>
      </c>
      <c r="L2103" s="5">
        <f>IF(O2103="","",N2103*O2103*M2103)</f>
        <v>75</v>
      </c>
      <c r="M2103" s="8">
        <v>1</v>
      </c>
      <c r="N2103" s="1">
        <v>1</v>
      </c>
      <c r="O2103" s="15">
        <f>IF(SUM(Q2103:AF2103)&lt;1,"",SUM(Q2103:AF2103)/COUNTIF(Q2103:AF2103,"&gt;0"))</f>
        <v>75</v>
      </c>
      <c r="P2103" s="16"/>
      <c r="Q2103" s="13"/>
      <c r="T2103" s="4">
        <v>75</v>
      </c>
      <c r="AF2103" s="104"/>
    </row>
    <row r="2104" spans="1:32" x14ac:dyDescent="0.25">
      <c r="A2104" s="33" t="str">
        <f>CONCATENATE(D2104,".",F2104,"-",G2104,".",H2104,"")</f>
        <v>4.3-2.1</v>
      </c>
      <c r="B2104" s="33" t="s">
        <v>814</v>
      </c>
      <c r="C2104" s="39" t="s">
        <v>337</v>
      </c>
      <c r="D2104" s="33">
        <f>IF(C2104="ID",1,(IF(C2104="PR",2,(IF(C2104="DE",3,(IF(C2104="RS",4,(IF(C2104="RC",5,0)))))))))</f>
        <v>4</v>
      </c>
      <c r="E2104" s="33" t="s">
        <v>352</v>
      </c>
      <c r="F2104" s="33">
        <f>IF(E2104="AM",1,(IF(E2104="BE",2,(IF(E2104="GV",3,(IF(E2104="RA",4,(IF(E2104="RM",5,(IF(E2104="AC",1,(IF(E2104="AT",2,(IF(E2104="DS",3,(IF(E2104="IP",4,(IF(E2104="MA",5,(IF(E2104="PT",6,(IF(E2104="AE",1,(IF(E2104="CM",2,(IF(E2104="DP",3,(IF(E2104="AN",1,(IF(E2104="CO",2,(IF(E2104="IM",3,(IF(E2104="MI",4,(IF(E2104="RP",5,(IF(E2104="SC",6,0)))))))))))))))))))))))))))))))))))))))</f>
        <v>3</v>
      </c>
      <c r="G2104" s="170">
        <v>2</v>
      </c>
      <c r="H2104" s="33">
        <v>1</v>
      </c>
      <c r="I2104" s="22" t="s">
        <v>266</v>
      </c>
      <c r="J2104" s="150" t="s">
        <v>79</v>
      </c>
      <c r="K2104" s="79" t="s">
        <v>1394</v>
      </c>
      <c r="L2104" s="5">
        <f>IF(O2104="","",N2104*O2104*M2104)</f>
        <v>75</v>
      </c>
      <c r="M2104" s="8">
        <v>1</v>
      </c>
      <c r="N2104" s="1">
        <v>1</v>
      </c>
      <c r="O2104" s="15">
        <f>IF(SUM(Q2104:AF2104)&lt;1,"",SUM(Q2104:AF2104)/COUNTIF(Q2104:AF2104,"&gt;0"))</f>
        <v>75</v>
      </c>
      <c r="P2104" s="16"/>
      <c r="Q2104" s="13"/>
      <c r="T2104" s="4">
        <v>75</v>
      </c>
      <c r="AF2104" s="104"/>
    </row>
    <row r="2105" spans="1:32" x14ac:dyDescent="0.25">
      <c r="A2105" s="33" t="str">
        <f>CONCATENATE(D2105,".",F2105,"-",G2105,".",H2105,"")</f>
        <v>4.4-0.0</v>
      </c>
      <c r="B2105" s="33" t="s">
        <v>1229</v>
      </c>
      <c r="C2105" s="40" t="s">
        <v>337</v>
      </c>
      <c r="D2105" s="33">
        <f>IF(C2105="ID",1,(IF(C2105="PR",2,(IF(C2105="DE",3,(IF(C2105="RS",4,(IF(C2105="RC",5,0)))))))))</f>
        <v>4</v>
      </c>
      <c r="E2105" s="33" t="s">
        <v>351</v>
      </c>
      <c r="F2105" s="33">
        <f>IF(E2105="AM",1,(IF(E2105="BE",2,(IF(E2105="GV",3,(IF(E2105="RA",4,(IF(E2105="RM",5,(IF(E2105="AC",1,(IF(E2105="AT",2,(IF(E2105="DS",3,(IF(E2105="IP",4,(IF(E2105="MA",5,(IF(E2105="PT",6,(IF(E2105="AE",1,(IF(E2105="CM",2,(IF(E2105="DP",3,(IF(E2105="AN",1,(IF(E2105="CO",2,(IF(E2105="IM",3,(IF(E2105="MI",4,(IF(E2105="RP",5,(IF(E2105="SC",6,0)))))))))))))))))))))))))))))))))))))))</f>
        <v>4</v>
      </c>
      <c r="G2105" s="170">
        <v>0</v>
      </c>
      <c r="H2105" s="38" t="s">
        <v>597</v>
      </c>
      <c r="I2105" s="22" t="s">
        <v>1200</v>
      </c>
      <c r="J2105" s="167" t="s">
        <v>718</v>
      </c>
      <c r="K2105" s="100" t="s">
        <v>744</v>
      </c>
      <c r="L2105" s="5" t="str">
        <f>IF(O2105="","",N2105*O2105*M2105)</f>
        <v/>
      </c>
      <c r="M2105" s="8">
        <v>1</v>
      </c>
      <c r="N2105" s="1">
        <v>1</v>
      </c>
      <c r="O2105" s="15" t="str">
        <f>IF(SUM(Q2105:AF2105)&lt;1,"",SUM(Q2105:AF2105)/COUNTIF(Q2105:AF2105,"&gt;0"))</f>
        <v/>
      </c>
      <c r="P2105" s="16"/>
      <c r="Q2105" s="13"/>
      <c r="R2105" s="4"/>
      <c r="S2105" s="4"/>
      <c r="T2105" s="2"/>
      <c r="U2105" s="2"/>
      <c r="V2105" s="2"/>
      <c r="W2105" s="2"/>
      <c r="X2105" s="2"/>
      <c r="Y2105" s="4"/>
      <c r="Z2105" s="2"/>
      <c r="AA2105" s="2"/>
      <c r="AB2105" s="4"/>
      <c r="AC2105" s="4"/>
      <c r="AD2105" s="4"/>
      <c r="AE2105" s="4"/>
      <c r="AF2105" s="14"/>
    </row>
    <row r="2106" spans="1:32" x14ac:dyDescent="0.25">
      <c r="A2106" s="33" t="str">
        <f>CONCATENATE(D2106,".",F2106,"-",G2106,".",H2106,"")</f>
        <v>4.4-0.1</v>
      </c>
      <c r="B2106" s="33" t="s">
        <v>1229</v>
      </c>
      <c r="C2106" s="40" t="s">
        <v>337</v>
      </c>
      <c r="D2106" s="33">
        <f>IF(C2106="ID",1,(IF(C2106="PR",2,(IF(C2106="DE",3,(IF(C2106="RS",4,(IF(C2106="RC",5,0)))))))))</f>
        <v>4</v>
      </c>
      <c r="E2106" s="33" t="s">
        <v>351</v>
      </c>
      <c r="F2106" s="33">
        <f>IF(E2106="AM",1,(IF(E2106="BE",2,(IF(E2106="GV",3,(IF(E2106="RA",4,(IF(E2106="RM",5,(IF(E2106="AC",1,(IF(E2106="AT",2,(IF(E2106="DS",3,(IF(E2106="IP",4,(IF(E2106="MA",5,(IF(E2106="PT",6,(IF(E2106="AE",1,(IF(E2106="CM",2,(IF(E2106="DP",3,(IF(E2106="AN",1,(IF(E2106="CO",2,(IF(E2106="IM",3,(IF(E2106="MI",4,(IF(E2106="RP",5,(IF(E2106="SC",6,0)))))))))))))))))))))))))))))))))))))))</f>
        <v>4</v>
      </c>
      <c r="G2106" s="170">
        <v>0</v>
      </c>
      <c r="H2106" s="38" t="s">
        <v>511</v>
      </c>
      <c r="I2106" s="22" t="s">
        <v>1200</v>
      </c>
      <c r="J2106" s="167" t="s">
        <v>718</v>
      </c>
      <c r="K2106" s="100" t="s">
        <v>761</v>
      </c>
      <c r="L2106" s="5" t="str">
        <f>IF(O2106="","",N2106*O2106*M2106)</f>
        <v/>
      </c>
      <c r="M2106" s="8">
        <v>1</v>
      </c>
      <c r="N2106" s="1">
        <v>1</v>
      </c>
      <c r="O2106" s="15" t="str">
        <f>IF(SUM(Q2106:AF2106)&lt;1,"",SUM(Q2106:AF2106)/COUNTIF(Q2106:AF2106,"&gt;0"))</f>
        <v/>
      </c>
      <c r="P2106" s="16"/>
      <c r="Q2106" s="13"/>
      <c r="R2106" s="4"/>
      <c r="S2106" s="4"/>
      <c r="T2106" s="2"/>
      <c r="U2106" s="2"/>
      <c r="V2106" s="2"/>
      <c r="W2106" s="2"/>
      <c r="X2106" s="2"/>
      <c r="Y2106" s="4"/>
      <c r="Z2106" s="2"/>
      <c r="AA2106" s="2"/>
      <c r="AB2106" s="4"/>
      <c r="AC2106" s="4"/>
      <c r="AD2106" s="4"/>
      <c r="AE2106" s="4"/>
      <c r="AF2106" s="14"/>
    </row>
    <row r="2107" spans="1:32" x14ac:dyDescent="0.25">
      <c r="A2107" s="33" t="str">
        <f>CONCATENATE(D2107,".",F2107,"-",G2107,".",H2107,"")</f>
        <v>4.4-1.0</v>
      </c>
      <c r="B2107" s="33" t="s">
        <v>814</v>
      </c>
      <c r="C2107" s="40" t="s">
        <v>337</v>
      </c>
      <c r="D2107" s="33">
        <f>IF(C2107="ID",1,(IF(C2107="PR",2,(IF(C2107="DE",3,(IF(C2107="RS",4,(IF(C2107="RC",5,0)))))))))</f>
        <v>4</v>
      </c>
      <c r="E2107" s="33" t="s">
        <v>351</v>
      </c>
      <c r="F2107" s="33">
        <f>IF(E2107="AM",1,(IF(E2107="BE",2,(IF(E2107="GV",3,(IF(E2107="RA",4,(IF(E2107="RM",5,(IF(E2107="AC",1,(IF(E2107="AT",2,(IF(E2107="DS",3,(IF(E2107="IP",4,(IF(E2107="MA",5,(IF(E2107="PT",6,(IF(E2107="AE",1,(IF(E2107="CM",2,(IF(E2107="DP",3,(IF(E2107="AN",1,(IF(E2107="CO",2,(IF(E2107="IM",3,(IF(E2107="MI",4,(IF(E2107="RP",5,(IF(E2107="SC",6,0)))))))))))))))))))))))))))))))))))))))</f>
        <v>4</v>
      </c>
      <c r="G2107" s="170">
        <v>1</v>
      </c>
      <c r="H2107" s="38" t="s">
        <v>597</v>
      </c>
      <c r="I2107" s="22" t="s">
        <v>1200</v>
      </c>
      <c r="J2107" s="149" t="s">
        <v>719</v>
      </c>
      <c r="K2107" s="100" t="s">
        <v>429</v>
      </c>
      <c r="L2107" s="5">
        <f>IF(O2107="","",N2107*O2107*M2107)</f>
        <v>75</v>
      </c>
      <c r="M2107" s="8">
        <v>1</v>
      </c>
      <c r="N2107" s="1">
        <v>1</v>
      </c>
      <c r="O2107" s="15">
        <f>IF(SUM(Q2107:AF2107)&lt;1,"",SUM(Q2107:AF2107)/COUNTIF(Q2107:AF2107,"&gt;0"))</f>
        <v>75</v>
      </c>
      <c r="P2107" s="16"/>
      <c r="Q2107" s="13"/>
      <c r="R2107" s="4"/>
      <c r="S2107" s="4"/>
      <c r="T2107" s="4">
        <v>75</v>
      </c>
      <c r="U2107" s="2"/>
      <c r="V2107" s="2"/>
      <c r="W2107" s="2"/>
      <c r="X2107" s="2"/>
      <c r="Y2107" s="4"/>
      <c r="Z2107" s="2"/>
      <c r="AA2107" s="2"/>
      <c r="AB2107" s="4"/>
      <c r="AC2107" s="4"/>
      <c r="AD2107" s="4"/>
      <c r="AE2107" s="4"/>
      <c r="AF2107" s="14"/>
    </row>
    <row r="2108" spans="1:32" x14ac:dyDescent="0.25">
      <c r="A2108" s="33" t="str">
        <f>CONCATENATE(D2108,".",F2108,"-",G2108,".",H2108,"")</f>
        <v>4.4-1.1</v>
      </c>
      <c r="B2108" s="33" t="s">
        <v>814</v>
      </c>
      <c r="C2108" s="40" t="s">
        <v>337</v>
      </c>
      <c r="D2108" s="33">
        <f>IF(C2108="ID",1,(IF(C2108="PR",2,(IF(C2108="DE",3,(IF(C2108="RS",4,(IF(C2108="RC",5,0)))))))))</f>
        <v>4</v>
      </c>
      <c r="E2108" s="33" t="s">
        <v>351</v>
      </c>
      <c r="F2108" s="33">
        <f>IF(E2108="AM",1,(IF(E2108="BE",2,(IF(E2108="GV",3,(IF(E2108="RA",4,(IF(E2108="RM",5,(IF(E2108="AC",1,(IF(E2108="AT",2,(IF(E2108="DS",3,(IF(E2108="IP",4,(IF(E2108="MA",5,(IF(E2108="PT",6,(IF(E2108="AE",1,(IF(E2108="CM",2,(IF(E2108="DP",3,(IF(E2108="AN",1,(IF(E2108="CO",2,(IF(E2108="IM",3,(IF(E2108="MI",4,(IF(E2108="RP",5,(IF(E2108="SC",6,0)))))))))))))))))))))))))))))))))))))))</f>
        <v>4</v>
      </c>
      <c r="G2108" s="171">
        <v>1</v>
      </c>
      <c r="H2108" s="38" t="s">
        <v>511</v>
      </c>
      <c r="I2108" s="22" t="s">
        <v>936</v>
      </c>
      <c r="J2108" s="163" t="s">
        <v>885</v>
      </c>
      <c r="K2108" s="34" t="s">
        <v>985</v>
      </c>
      <c r="L2108" s="66">
        <f>IF(O2108="","",N2108*O2108*M2108)</f>
        <v>75</v>
      </c>
      <c r="M2108" s="8">
        <v>1</v>
      </c>
      <c r="N2108" s="3">
        <v>1</v>
      </c>
      <c r="O2108" s="15">
        <f>IF(SUM(Q2108:AF2108)&lt;1,"",SUM(Q2108:AF2108)/COUNTIF(Q2108:AF2108,"&gt;0"))</f>
        <v>75</v>
      </c>
      <c r="P2108" s="16"/>
      <c r="Q2108" s="13"/>
      <c r="R2108" s="4"/>
      <c r="S2108" s="4"/>
      <c r="T2108" s="4">
        <v>75</v>
      </c>
      <c r="U2108" s="2"/>
      <c r="V2108" s="2"/>
      <c r="W2108" s="2"/>
      <c r="X2108" s="2"/>
      <c r="Y2108" s="4"/>
      <c r="Z2108" s="2"/>
      <c r="AA2108" s="2"/>
      <c r="AB2108" s="4"/>
      <c r="AC2108" s="4"/>
      <c r="AD2108" s="4"/>
      <c r="AE2108" s="4"/>
      <c r="AF2108" s="14"/>
    </row>
    <row r="2109" spans="1:32" x14ac:dyDescent="0.25">
      <c r="A2109" s="33" t="str">
        <f>CONCATENATE(D2109,".",F2109,"-",G2109,".",H2109,"")</f>
        <v>4.4-1.1</v>
      </c>
      <c r="B2109" s="33" t="s">
        <v>814</v>
      </c>
      <c r="C2109" s="40" t="s">
        <v>337</v>
      </c>
      <c r="D2109" s="33">
        <f>IF(C2109="ID",1,(IF(C2109="PR",2,(IF(C2109="DE",3,(IF(C2109="RS",4,(IF(C2109="RC",5,0)))))))))</f>
        <v>4</v>
      </c>
      <c r="E2109" s="33" t="s">
        <v>351</v>
      </c>
      <c r="F2109" s="33">
        <f>IF(E2109="AM",1,(IF(E2109="BE",2,(IF(E2109="GV",3,(IF(E2109="RA",4,(IF(E2109="RM",5,(IF(E2109="AC",1,(IF(E2109="AT",2,(IF(E2109="DS",3,(IF(E2109="IP",4,(IF(E2109="MA",5,(IF(E2109="PT",6,(IF(E2109="AE",1,(IF(E2109="CM",2,(IF(E2109="DP",3,(IF(E2109="AN",1,(IF(E2109="CO",2,(IF(E2109="IM",3,(IF(E2109="MI",4,(IF(E2109="RP",5,(IF(E2109="SC",6,0)))))))))))))))))))))))))))))))))))))))</f>
        <v>4</v>
      </c>
      <c r="G2109" s="171">
        <v>1</v>
      </c>
      <c r="H2109" s="38" t="s">
        <v>511</v>
      </c>
      <c r="I2109" s="22" t="s">
        <v>936</v>
      </c>
      <c r="J2109" s="163" t="s">
        <v>869</v>
      </c>
      <c r="K2109" s="34" t="s">
        <v>992</v>
      </c>
      <c r="L2109" s="66">
        <f>IF(O2109="","",N2109*O2109*M2109)</f>
        <v>75</v>
      </c>
      <c r="M2109" s="8">
        <v>1</v>
      </c>
      <c r="N2109" s="3">
        <v>1</v>
      </c>
      <c r="O2109" s="15">
        <f>IF(SUM(Q2109:AF2109)&lt;1,"",SUM(Q2109:AF2109)/COUNTIF(Q2109:AF2109,"&gt;0"))</f>
        <v>75</v>
      </c>
      <c r="P2109" s="16"/>
      <c r="Q2109" s="13"/>
      <c r="R2109" s="4"/>
      <c r="S2109" s="4"/>
      <c r="T2109" s="4">
        <v>75</v>
      </c>
      <c r="U2109" s="2"/>
      <c r="V2109" s="2"/>
      <c r="W2109" s="2"/>
      <c r="X2109" s="2"/>
      <c r="Y2109" s="4"/>
      <c r="Z2109" s="2"/>
      <c r="AA2109" s="2"/>
      <c r="AB2109" s="4"/>
      <c r="AC2109" s="4"/>
      <c r="AD2109" s="4"/>
      <c r="AE2109" s="4"/>
      <c r="AF2109" s="14"/>
    </row>
    <row r="2110" spans="1:32" x14ac:dyDescent="0.25">
      <c r="A2110" s="33" t="str">
        <f>CONCATENATE(D2110,".",F2110,"-",G2110,".",H2110,"")</f>
        <v>4.4-1.1</v>
      </c>
      <c r="B2110" s="33" t="s">
        <v>814</v>
      </c>
      <c r="C2110" s="41" t="s">
        <v>337</v>
      </c>
      <c r="D2110" s="33">
        <f>IF(C2110="ID",1,(IF(C2110="PR",2,(IF(C2110="DE",3,(IF(C2110="RS",4,(IF(C2110="RC",5,0)))))))))</f>
        <v>4</v>
      </c>
      <c r="E2110" s="33" t="s">
        <v>351</v>
      </c>
      <c r="F2110" s="33">
        <f>IF(E2110="AM",1,(IF(E2110="BE",2,(IF(E2110="GV",3,(IF(E2110="RA",4,(IF(E2110="RM",5,(IF(E2110="AC",1,(IF(E2110="AT",2,(IF(E2110="DS",3,(IF(E2110="IP",4,(IF(E2110="MA",5,(IF(E2110="PT",6,(IF(E2110="AE",1,(IF(E2110="CM",2,(IF(E2110="DP",3,(IF(E2110="AN",1,(IF(E2110="CO",2,(IF(E2110="IM",3,(IF(E2110="MI",4,(IF(E2110="RP",5,(IF(E2110="SC",6,0)))))))))))))))))))))))))))))))))))))))</f>
        <v>4</v>
      </c>
      <c r="G2110" s="170">
        <v>1</v>
      </c>
      <c r="H2110" s="38" t="s">
        <v>511</v>
      </c>
      <c r="I2110" s="22" t="s">
        <v>266</v>
      </c>
      <c r="J2110" s="149" t="s">
        <v>293</v>
      </c>
      <c r="K2110" s="79" t="s">
        <v>1370</v>
      </c>
      <c r="L2110" s="5">
        <f>IF(O2110="","",N2110*O2110*M2110)</f>
        <v>75</v>
      </c>
      <c r="M2110" s="8">
        <v>1</v>
      </c>
      <c r="N2110" s="1">
        <v>1</v>
      </c>
      <c r="O2110" s="15">
        <f>IF(SUM(Q2110:AF2110)&lt;1,"",SUM(Q2110:AF2110)/COUNTIF(Q2110:AF2110,"&gt;0"))</f>
        <v>75</v>
      </c>
      <c r="P2110" s="16"/>
      <c r="Q2110" s="13"/>
      <c r="R2110" s="4"/>
      <c r="S2110" s="4"/>
      <c r="T2110" s="4">
        <v>75</v>
      </c>
      <c r="U2110" s="2"/>
      <c r="V2110" s="2"/>
      <c r="W2110" s="2"/>
      <c r="X2110" s="2"/>
      <c r="Y2110" s="4"/>
      <c r="Z2110" s="2"/>
      <c r="AA2110" s="2"/>
      <c r="AB2110" s="4"/>
      <c r="AC2110" s="4"/>
      <c r="AD2110" s="4"/>
      <c r="AE2110" s="4"/>
      <c r="AF2110" s="14"/>
    </row>
    <row r="2111" spans="1:32" x14ac:dyDescent="0.25">
      <c r="A2111" s="33" t="str">
        <f>CONCATENATE(D2111,".",F2111,"-",G2111,".",H2111,"")</f>
        <v>4.4-1.1</v>
      </c>
      <c r="C2111" s="39" t="s">
        <v>337</v>
      </c>
      <c r="D2111" s="33">
        <f>IF(C2111="ID",1,(IF(C2111="PR",2,(IF(C2111="DE",3,(IF(C2111="RS",4,(IF(C2111="RC",5,0)))))))))</f>
        <v>4</v>
      </c>
      <c r="E2111" s="33" t="s">
        <v>351</v>
      </c>
      <c r="F2111" s="33">
        <f>IF(E2111="AM",1,(IF(E2111="BE",2,(IF(E2111="GV",3,(IF(E2111="RA",4,(IF(E2111="RM",5,(IF(E2111="AC",1,(IF(E2111="AT",2,(IF(E2111="DS",3,(IF(E2111="IP",4,(IF(E2111="MA",5,(IF(E2111="PT",6,(IF(E2111="AE",1,(IF(E2111="CM",2,(IF(E2111="DP",3,(IF(E2111="AN",1,(IF(E2111="CO",2,(IF(E2111="IM",3,(IF(E2111="MI",4,(IF(E2111="RP",5,(IF(E2111="SC",6,0)))))))))))))))))))))))))))))))))))))))</f>
        <v>4</v>
      </c>
      <c r="G2111" s="170">
        <v>1</v>
      </c>
      <c r="H2111" s="38" t="s">
        <v>511</v>
      </c>
      <c r="I2111" s="3" t="s">
        <v>1449</v>
      </c>
      <c r="J2111" s="157" t="s">
        <v>2223</v>
      </c>
      <c r="K2111" s="34" t="s">
        <v>2224</v>
      </c>
      <c r="L2111" s="5">
        <f>IF(O2111="","",N2111*O2111*M2111)</f>
        <v>99</v>
      </c>
      <c r="M2111" s="8">
        <v>1</v>
      </c>
      <c r="N2111" s="1">
        <v>1</v>
      </c>
      <c r="O2111" s="15">
        <f>IF(SUM(Q2111:AF2111)&lt;1,"",SUM(Q2111:AF2111)/COUNTIF(Q2111:AF2111,"&gt;0"))</f>
        <v>99</v>
      </c>
      <c r="P2111" s="16"/>
      <c r="Q2111" s="13"/>
      <c r="R2111" s="4"/>
      <c r="S2111" s="4"/>
      <c r="T2111" s="4">
        <v>99</v>
      </c>
      <c r="U2111" s="2"/>
      <c r="V2111" s="2"/>
      <c r="W2111" s="2"/>
      <c r="X2111" s="2"/>
      <c r="Y2111" s="4"/>
      <c r="Z2111" s="2"/>
      <c r="AA2111" s="2"/>
      <c r="AB2111" s="4"/>
      <c r="AC2111" s="4"/>
      <c r="AD2111" s="4"/>
      <c r="AE2111" s="4"/>
      <c r="AF2111" s="14"/>
    </row>
    <row r="2112" spans="1:32" x14ac:dyDescent="0.25">
      <c r="A2112" s="33" t="str">
        <f>CONCATENATE(D2112,".",F2112,"-",G2112,".",H2112,"")</f>
        <v>4.4-2.0</v>
      </c>
      <c r="B2112" s="33" t="s">
        <v>814</v>
      </c>
      <c r="C2112" s="40" t="s">
        <v>337</v>
      </c>
      <c r="D2112" s="33">
        <f>IF(C2112="ID",1,(IF(C2112="PR",2,(IF(C2112="DE",3,(IF(C2112="RS",4,(IF(C2112="RC",5,0)))))))))</f>
        <v>4</v>
      </c>
      <c r="E2112" s="33" t="s">
        <v>351</v>
      </c>
      <c r="F2112" s="33">
        <f>IF(E2112="AM",1,(IF(E2112="BE",2,(IF(E2112="GV",3,(IF(E2112="RA",4,(IF(E2112="RM",5,(IF(E2112="AC",1,(IF(E2112="AT",2,(IF(E2112="DS",3,(IF(E2112="IP",4,(IF(E2112="MA",5,(IF(E2112="PT",6,(IF(E2112="AE",1,(IF(E2112="CM",2,(IF(E2112="DP",3,(IF(E2112="AN",1,(IF(E2112="CO",2,(IF(E2112="IM",3,(IF(E2112="MI",4,(IF(E2112="RP",5,(IF(E2112="SC",6,0)))))))))))))))))))))))))))))))))))))))</f>
        <v>4</v>
      </c>
      <c r="G2112" s="170">
        <v>2</v>
      </c>
      <c r="H2112" s="38" t="s">
        <v>597</v>
      </c>
      <c r="I2112" s="22" t="s">
        <v>1200</v>
      </c>
      <c r="J2112" s="149" t="s">
        <v>720</v>
      </c>
      <c r="K2112" s="100" t="s">
        <v>430</v>
      </c>
      <c r="L2112" s="5">
        <f>IF(O2112="","",N2112*O2112*M2112)</f>
        <v>75</v>
      </c>
      <c r="M2112" s="8">
        <v>1</v>
      </c>
      <c r="N2112" s="1">
        <v>1</v>
      </c>
      <c r="O2112" s="15">
        <f>IF(SUM(Q2112:AF2112)&lt;1,"",SUM(Q2112:AF2112)/COUNTIF(Q2112:AF2112,"&gt;0"))</f>
        <v>75</v>
      </c>
      <c r="P2112" s="16"/>
      <c r="Q2112" s="13"/>
      <c r="R2112" s="4"/>
      <c r="S2112" s="4"/>
      <c r="T2112" s="4">
        <v>75</v>
      </c>
      <c r="U2112" s="2"/>
      <c r="V2112" s="2"/>
      <c r="W2112" s="2"/>
      <c r="X2112" s="2"/>
      <c r="Y2112" s="4"/>
      <c r="Z2112" s="2"/>
      <c r="AA2112" s="2"/>
      <c r="AB2112" s="4"/>
      <c r="AC2112" s="4"/>
      <c r="AD2112" s="4"/>
      <c r="AE2112" s="4"/>
      <c r="AF2112" s="14"/>
    </row>
    <row r="2113" spans="1:32" x14ac:dyDescent="0.25">
      <c r="A2113" s="33" t="str">
        <f>CONCATENATE(D2113,".",F2113,"-",G2113,".",H2113,"")</f>
        <v>4.4-2.1</v>
      </c>
      <c r="B2113" s="33" t="s">
        <v>814</v>
      </c>
      <c r="C2113" s="40" t="s">
        <v>337</v>
      </c>
      <c r="D2113" s="33">
        <f>IF(C2113="ID",1,(IF(C2113="PR",2,(IF(C2113="DE",3,(IF(C2113="RS",4,(IF(C2113="RC",5,0)))))))))</f>
        <v>4</v>
      </c>
      <c r="E2113" s="33" t="s">
        <v>351</v>
      </c>
      <c r="F2113" s="33">
        <f>IF(E2113="AM",1,(IF(E2113="BE",2,(IF(E2113="GV",3,(IF(E2113="RA",4,(IF(E2113="RM",5,(IF(E2113="AC",1,(IF(E2113="AT",2,(IF(E2113="DS",3,(IF(E2113="IP",4,(IF(E2113="MA",5,(IF(E2113="PT",6,(IF(E2113="AE",1,(IF(E2113="CM",2,(IF(E2113="DP",3,(IF(E2113="AN",1,(IF(E2113="CO",2,(IF(E2113="IM",3,(IF(E2113="MI",4,(IF(E2113="RP",5,(IF(E2113="SC",6,0)))))))))))))))))))))))))))))))))))))))</f>
        <v>4</v>
      </c>
      <c r="G2113" s="171">
        <v>2</v>
      </c>
      <c r="H2113" s="38" t="s">
        <v>511</v>
      </c>
      <c r="I2113" s="22" t="s">
        <v>936</v>
      </c>
      <c r="J2113" s="163" t="s">
        <v>885</v>
      </c>
      <c r="K2113" s="34" t="s">
        <v>985</v>
      </c>
      <c r="L2113" s="66">
        <f>IF(O2113="","",N2113*O2113*M2113)</f>
        <v>75</v>
      </c>
      <c r="M2113" s="8">
        <v>1</v>
      </c>
      <c r="N2113" s="3">
        <v>1</v>
      </c>
      <c r="O2113" s="15">
        <f>IF(SUM(Q2113:AF2113)&lt;1,"",SUM(Q2113:AF2113)/COUNTIF(Q2113:AF2113,"&gt;0"))</f>
        <v>75</v>
      </c>
      <c r="P2113" s="16"/>
      <c r="Q2113" s="13"/>
      <c r="R2113" s="4"/>
      <c r="S2113" s="4"/>
      <c r="T2113" s="4">
        <v>75</v>
      </c>
      <c r="U2113" s="2"/>
      <c r="V2113" s="2"/>
      <c r="W2113" s="2"/>
      <c r="X2113" s="2"/>
      <c r="Y2113" s="4"/>
      <c r="Z2113" s="2"/>
      <c r="AA2113" s="2"/>
      <c r="AB2113" s="4"/>
      <c r="AC2113" s="4"/>
      <c r="AD2113" s="4"/>
      <c r="AE2113" s="4"/>
      <c r="AF2113" s="14"/>
    </row>
    <row r="2114" spans="1:32" x14ac:dyDescent="0.25">
      <c r="A2114" s="33" t="str">
        <f>CONCATENATE(D2114,".",F2114,"-",G2114,".",H2114,"")</f>
        <v>4.4-2.1</v>
      </c>
      <c r="B2114" s="33" t="s">
        <v>814</v>
      </c>
      <c r="C2114" s="40" t="s">
        <v>337</v>
      </c>
      <c r="D2114" s="33">
        <f>IF(C2114="ID",1,(IF(C2114="PR",2,(IF(C2114="DE",3,(IF(C2114="RS",4,(IF(C2114="RC",5,0)))))))))</f>
        <v>4</v>
      </c>
      <c r="E2114" s="33" t="s">
        <v>351</v>
      </c>
      <c r="F2114" s="33">
        <f>IF(E2114="AM",1,(IF(E2114="BE",2,(IF(E2114="GV",3,(IF(E2114="RA",4,(IF(E2114="RM",5,(IF(E2114="AC",1,(IF(E2114="AT",2,(IF(E2114="DS",3,(IF(E2114="IP",4,(IF(E2114="MA",5,(IF(E2114="PT",6,(IF(E2114="AE",1,(IF(E2114="CM",2,(IF(E2114="DP",3,(IF(E2114="AN",1,(IF(E2114="CO",2,(IF(E2114="IM",3,(IF(E2114="MI",4,(IF(E2114="RP",5,(IF(E2114="SC",6,0)))))))))))))))))))))))))))))))))))))))</f>
        <v>4</v>
      </c>
      <c r="G2114" s="171">
        <v>2</v>
      </c>
      <c r="H2114" s="38" t="s">
        <v>511</v>
      </c>
      <c r="I2114" s="22" t="s">
        <v>936</v>
      </c>
      <c r="J2114" s="163" t="s">
        <v>869</v>
      </c>
      <c r="K2114" s="34" t="s">
        <v>992</v>
      </c>
      <c r="L2114" s="66">
        <f>IF(O2114="","",N2114*O2114*M2114)</f>
        <v>75</v>
      </c>
      <c r="M2114" s="8">
        <v>1</v>
      </c>
      <c r="N2114" s="3">
        <v>1</v>
      </c>
      <c r="O2114" s="15">
        <f>IF(SUM(Q2114:AF2114)&lt;1,"",SUM(Q2114:AF2114)/COUNTIF(Q2114:AF2114,"&gt;0"))</f>
        <v>75</v>
      </c>
      <c r="P2114" s="16"/>
      <c r="Q2114" s="13"/>
      <c r="R2114" s="4"/>
      <c r="S2114" s="4"/>
      <c r="T2114" s="4">
        <v>75</v>
      </c>
      <c r="U2114" s="2"/>
      <c r="V2114" s="2"/>
      <c r="W2114" s="2"/>
      <c r="X2114" s="2"/>
      <c r="Y2114" s="4"/>
      <c r="Z2114" s="2"/>
      <c r="AA2114" s="2"/>
      <c r="AB2114" s="4"/>
      <c r="AC2114" s="4"/>
      <c r="AD2114" s="4"/>
      <c r="AE2114" s="4"/>
      <c r="AF2114" s="14"/>
    </row>
    <row r="2115" spans="1:32" x14ac:dyDescent="0.25">
      <c r="A2115" s="33" t="str">
        <f>CONCATENATE(D2115,".",F2115,"-",G2115,".",H2115,"")</f>
        <v>4.4-2.1</v>
      </c>
      <c r="B2115" s="33" t="s">
        <v>814</v>
      </c>
      <c r="C2115" s="41" t="s">
        <v>337</v>
      </c>
      <c r="D2115" s="33">
        <f>IF(C2115="ID",1,(IF(C2115="PR",2,(IF(C2115="DE",3,(IF(C2115="RS",4,(IF(C2115="RC",5,0)))))))))</f>
        <v>4</v>
      </c>
      <c r="E2115" s="33" t="s">
        <v>351</v>
      </c>
      <c r="F2115" s="33">
        <f>IF(E2115="AM",1,(IF(E2115="BE",2,(IF(E2115="GV",3,(IF(E2115="RA",4,(IF(E2115="RM",5,(IF(E2115="AC",1,(IF(E2115="AT",2,(IF(E2115="DS",3,(IF(E2115="IP",4,(IF(E2115="MA",5,(IF(E2115="PT",6,(IF(E2115="AE",1,(IF(E2115="CM",2,(IF(E2115="DP",3,(IF(E2115="AN",1,(IF(E2115="CO",2,(IF(E2115="IM",3,(IF(E2115="MI",4,(IF(E2115="RP",5,(IF(E2115="SC",6,0)))))))))))))))))))))))))))))))))))))))</f>
        <v>4</v>
      </c>
      <c r="G2115" s="170">
        <v>2</v>
      </c>
      <c r="H2115" s="38" t="s">
        <v>511</v>
      </c>
      <c r="I2115" s="22" t="s">
        <v>266</v>
      </c>
      <c r="J2115" s="149" t="s">
        <v>293</v>
      </c>
      <c r="K2115" s="79" t="s">
        <v>1370</v>
      </c>
      <c r="L2115" s="5">
        <f>IF(O2115="","",N2115*O2115*M2115)</f>
        <v>75</v>
      </c>
      <c r="M2115" s="8">
        <v>1</v>
      </c>
      <c r="N2115" s="1">
        <v>1</v>
      </c>
      <c r="O2115" s="15">
        <f>IF(SUM(Q2115:AF2115)&lt;1,"",SUM(Q2115:AF2115)/COUNTIF(Q2115:AF2115,"&gt;0"))</f>
        <v>75</v>
      </c>
      <c r="P2115" s="16"/>
      <c r="Q2115" s="13"/>
      <c r="R2115" s="4"/>
      <c r="S2115" s="4"/>
      <c r="T2115" s="4">
        <v>75</v>
      </c>
      <c r="U2115" s="2"/>
      <c r="V2115" s="2"/>
      <c r="W2115" s="2"/>
      <c r="X2115" s="2"/>
      <c r="Y2115" s="4"/>
      <c r="Z2115" s="2"/>
      <c r="AA2115" s="2"/>
      <c r="AB2115" s="4"/>
      <c r="AC2115" s="4"/>
      <c r="AD2115" s="4"/>
      <c r="AE2115" s="4"/>
      <c r="AF2115" s="14"/>
    </row>
    <row r="2116" spans="1:32" x14ac:dyDescent="0.25">
      <c r="A2116" s="33" t="str">
        <f>CONCATENATE(D2116,".",F2116,"-",G2116,".",H2116,"")</f>
        <v>4.4-2.1</v>
      </c>
      <c r="B2116" s="33" t="s">
        <v>814</v>
      </c>
      <c r="C2116" s="39" t="s">
        <v>337</v>
      </c>
      <c r="D2116" s="33">
        <f>IF(C2116="ID",1,(IF(C2116="PR",2,(IF(C2116="DE",3,(IF(C2116="RS",4,(IF(C2116="RC",5,0)))))))))</f>
        <v>4</v>
      </c>
      <c r="E2116" s="33" t="s">
        <v>351</v>
      </c>
      <c r="F2116" s="33">
        <f>IF(E2116="AM",1,(IF(E2116="BE",2,(IF(E2116="GV",3,(IF(E2116="RA",4,(IF(E2116="RM",5,(IF(E2116="AC",1,(IF(E2116="AT",2,(IF(E2116="DS",3,(IF(E2116="IP",4,(IF(E2116="MA",5,(IF(E2116="PT",6,(IF(E2116="AE",1,(IF(E2116="CM",2,(IF(E2116="DP",3,(IF(E2116="AN",1,(IF(E2116="CO",2,(IF(E2116="IM",3,(IF(E2116="MI",4,(IF(E2116="RP",5,(IF(E2116="SC",6,0)))))))))))))))))))))))))))))))))))))))</f>
        <v>4</v>
      </c>
      <c r="G2116" s="170">
        <v>2</v>
      </c>
      <c r="H2116" s="38" t="s">
        <v>511</v>
      </c>
      <c r="I2116" s="3" t="s">
        <v>1449</v>
      </c>
      <c r="J2116" s="157" t="s">
        <v>1496</v>
      </c>
      <c r="K2116" s="34" t="s">
        <v>1497</v>
      </c>
      <c r="L2116" s="5">
        <f>IF(O2116="","",N2116*O2116*M2116)</f>
        <v>99</v>
      </c>
      <c r="M2116" s="8">
        <v>1</v>
      </c>
      <c r="N2116" s="1">
        <v>1</v>
      </c>
      <c r="O2116" s="15">
        <f>IF(SUM(Q2116:AF2116)&lt;1,"",SUM(Q2116:AF2116)/COUNTIF(Q2116:AF2116,"&gt;0"))</f>
        <v>99</v>
      </c>
      <c r="P2116" s="16"/>
      <c r="Q2116" s="13"/>
      <c r="R2116" s="4"/>
      <c r="S2116" s="4"/>
      <c r="T2116" s="4">
        <v>99</v>
      </c>
      <c r="U2116" s="2"/>
      <c r="V2116" s="2"/>
      <c r="W2116" s="2"/>
      <c r="X2116" s="2"/>
      <c r="Y2116" s="4"/>
      <c r="Z2116" s="2"/>
      <c r="AA2116" s="2"/>
      <c r="AB2116" s="4"/>
      <c r="AC2116" s="4"/>
      <c r="AD2116" s="4"/>
      <c r="AE2116" s="4"/>
      <c r="AF2116" s="14"/>
    </row>
    <row r="2117" spans="1:32" x14ac:dyDescent="0.25">
      <c r="A2117" s="33" t="str">
        <f>CONCATENATE(D2117,".",F2117,"-",G2117,".",H2117,"")</f>
        <v>4.4-3.0</v>
      </c>
      <c r="B2117" s="33" t="s">
        <v>814</v>
      </c>
      <c r="C2117" s="40" t="s">
        <v>337</v>
      </c>
      <c r="D2117" s="33">
        <f>IF(C2117="ID",1,(IF(C2117="PR",2,(IF(C2117="DE",3,(IF(C2117="RS",4,(IF(C2117="RC",5,0)))))))))</f>
        <v>4</v>
      </c>
      <c r="E2117" s="33" t="s">
        <v>351</v>
      </c>
      <c r="F2117" s="33">
        <f>IF(E2117="AM",1,(IF(E2117="BE",2,(IF(E2117="GV",3,(IF(E2117="RA",4,(IF(E2117="RM",5,(IF(E2117="AC",1,(IF(E2117="AT",2,(IF(E2117="DS",3,(IF(E2117="IP",4,(IF(E2117="MA",5,(IF(E2117="PT",6,(IF(E2117="AE",1,(IF(E2117="CM",2,(IF(E2117="DP",3,(IF(E2117="AN",1,(IF(E2117="CO",2,(IF(E2117="IM",3,(IF(E2117="MI",4,(IF(E2117="RP",5,(IF(E2117="SC",6,0)))))))))))))))))))))))))))))))))))))))</f>
        <v>4</v>
      </c>
      <c r="G2117" s="170">
        <v>3</v>
      </c>
      <c r="H2117" s="38" t="s">
        <v>597</v>
      </c>
      <c r="I2117" s="22" t="s">
        <v>1200</v>
      </c>
      <c r="J2117" s="149" t="s">
        <v>721</v>
      </c>
      <c r="K2117" s="100" t="s">
        <v>431</v>
      </c>
      <c r="L2117" s="5">
        <f>IF(O2117="","",N2117*O2117*M2117)</f>
        <v>75</v>
      </c>
      <c r="M2117" s="8">
        <v>1</v>
      </c>
      <c r="N2117" s="1">
        <v>1</v>
      </c>
      <c r="O2117" s="15">
        <f>IF(SUM(Q2117:AF2117)&lt;1,"",SUM(Q2117:AF2117)/COUNTIF(Q2117:AF2117,"&gt;0"))</f>
        <v>75</v>
      </c>
      <c r="P2117" s="16"/>
      <c r="Q2117" s="13"/>
      <c r="R2117" s="4"/>
      <c r="S2117" s="4"/>
      <c r="T2117" s="4">
        <v>75</v>
      </c>
      <c r="U2117" s="2"/>
      <c r="V2117" s="2"/>
      <c r="W2117" s="2"/>
      <c r="X2117" s="2"/>
      <c r="Y2117" s="4"/>
      <c r="Z2117" s="2"/>
      <c r="AA2117" s="2"/>
      <c r="AB2117" s="4"/>
      <c r="AC2117" s="4"/>
      <c r="AD2117" s="4"/>
      <c r="AE2117" s="4"/>
      <c r="AF2117" s="14"/>
    </row>
    <row r="2118" spans="1:32" x14ac:dyDescent="0.25">
      <c r="A2118" s="33" t="str">
        <f>CONCATENATE(D2118,".",F2118,"-",G2118,".",H2118,"")</f>
        <v>4.4-3.1</v>
      </c>
      <c r="B2118" s="33" t="s">
        <v>814</v>
      </c>
      <c r="C2118" s="40" t="s">
        <v>337</v>
      </c>
      <c r="D2118" s="33">
        <f>IF(C2118="ID",1,(IF(C2118="PR",2,(IF(C2118="DE",3,(IF(C2118="RS",4,(IF(C2118="RC",5,0)))))))))</f>
        <v>4</v>
      </c>
      <c r="E2118" s="33" t="s">
        <v>351</v>
      </c>
      <c r="F2118" s="33">
        <f>IF(E2118="AM",1,(IF(E2118="BE",2,(IF(E2118="GV",3,(IF(E2118="RA",4,(IF(E2118="RM",5,(IF(E2118="AC",1,(IF(E2118="AT",2,(IF(E2118="DS",3,(IF(E2118="IP",4,(IF(E2118="MA",5,(IF(E2118="PT",6,(IF(E2118="AE",1,(IF(E2118="CM",2,(IF(E2118="DP",3,(IF(E2118="AN",1,(IF(E2118="CO",2,(IF(E2118="IM",3,(IF(E2118="MI",4,(IF(E2118="RP",5,(IF(E2118="SC",6,0)))))))))))))))))))))))))))))))))))))))</f>
        <v>4</v>
      </c>
      <c r="G2118" s="171">
        <v>3</v>
      </c>
      <c r="H2118" s="38" t="s">
        <v>511</v>
      </c>
      <c r="I2118" s="3" t="s">
        <v>821</v>
      </c>
      <c r="J2118" s="149">
        <v>6.1</v>
      </c>
      <c r="K2118" s="79" t="s">
        <v>1283</v>
      </c>
      <c r="L2118" s="66">
        <f>IF(O2118="","",N2118*O2118*M2118)</f>
        <v>75</v>
      </c>
      <c r="M2118" s="8">
        <v>1</v>
      </c>
      <c r="N2118" s="1">
        <v>1</v>
      </c>
      <c r="O2118" s="15">
        <f>IF(SUM(Q2118:AF2118)&lt;1,"",SUM(Q2118:AF2118)/COUNTIF(Q2118:AF2118,"&gt;0"))</f>
        <v>75</v>
      </c>
      <c r="P2118" s="16"/>
      <c r="Q2118" s="13"/>
      <c r="R2118" s="4"/>
      <c r="S2118" s="4"/>
      <c r="T2118" s="4">
        <v>75</v>
      </c>
      <c r="U2118" s="2"/>
      <c r="V2118" s="2"/>
      <c r="W2118" s="2"/>
      <c r="X2118" s="2"/>
      <c r="Y2118" s="4"/>
      <c r="Z2118" s="2"/>
      <c r="AA2118" s="2"/>
      <c r="AB2118" s="4"/>
      <c r="AC2118" s="4"/>
      <c r="AD2118" s="4"/>
      <c r="AE2118" s="4"/>
      <c r="AF2118" s="14"/>
    </row>
    <row r="2119" spans="1:32" x14ac:dyDescent="0.25">
      <c r="A2119" s="33" t="str">
        <f>CONCATENATE(D2119,".",F2119,"-",G2119,".",H2119,"")</f>
        <v>4.4-3.1</v>
      </c>
      <c r="B2119" s="33" t="s">
        <v>814</v>
      </c>
      <c r="C2119" s="40" t="s">
        <v>337</v>
      </c>
      <c r="D2119" s="33">
        <f>IF(C2119="ID",1,(IF(C2119="PR",2,(IF(C2119="DE",3,(IF(C2119="RS",4,(IF(C2119="RC",5,0)))))))))</f>
        <v>4</v>
      </c>
      <c r="E2119" s="33" t="s">
        <v>351</v>
      </c>
      <c r="F2119" s="33">
        <f>IF(E2119="AM",1,(IF(E2119="BE",2,(IF(E2119="GV",3,(IF(E2119="RA",4,(IF(E2119="RM",5,(IF(E2119="AC",1,(IF(E2119="AT",2,(IF(E2119="DS",3,(IF(E2119="IP",4,(IF(E2119="MA",5,(IF(E2119="PT",6,(IF(E2119="AE",1,(IF(E2119="CM",2,(IF(E2119="DP",3,(IF(E2119="AN",1,(IF(E2119="CO",2,(IF(E2119="IM",3,(IF(E2119="MI",4,(IF(E2119="RP",5,(IF(E2119="SC",6,0)))))))))))))))))))))))))))))))))))))))</f>
        <v>4</v>
      </c>
      <c r="G2119" s="171">
        <v>3</v>
      </c>
      <c r="H2119" s="38" t="s">
        <v>511</v>
      </c>
      <c r="I2119" s="3" t="s">
        <v>821</v>
      </c>
      <c r="J2119" s="150" t="s">
        <v>211</v>
      </c>
      <c r="K2119" s="79" t="s">
        <v>1283</v>
      </c>
      <c r="L2119" s="66">
        <f>IF(O2119="","",N2119*O2119*M2119)</f>
        <v>75</v>
      </c>
      <c r="M2119" s="8">
        <v>1</v>
      </c>
      <c r="N2119" s="3">
        <v>1</v>
      </c>
      <c r="O2119" s="15">
        <f>IF(SUM(Q2119:AF2119)&lt;1,"",SUM(Q2119:AF2119)/COUNTIF(Q2119:AF2119,"&gt;0"))</f>
        <v>75</v>
      </c>
      <c r="P2119" s="16"/>
      <c r="Q2119" s="13"/>
      <c r="R2119" s="4"/>
      <c r="S2119" s="4"/>
      <c r="T2119" s="4">
        <v>75</v>
      </c>
      <c r="U2119" s="2"/>
      <c r="V2119" s="2"/>
      <c r="W2119" s="2"/>
      <c r="X2119" s="2"/>
      <c r="Y2119" s="4"/>
      <c r="Z2119" s="2"/>
      <c r="AA2119" s="2"/>
      <c r="AB2119" s="4"/>
      <c r="AC2119" s="4"/>
      <c r="AD2119" s="4"/>
      <c r="AE2119" s="4"/>
      <c r="AF2119" s="14"/>
    </row>
    <row r="2120" spans="1:32" x14ac:dyDescent="0.25">
      <c r="A2120" s="33" t="str">
        <f>CONCATENATE(D2120,".",F2120,"-",G2120,".",H2120,"")</f>
        <v>4.4-3.1</v>
      </c>
      <c r="B2120" s="33" t="s">
        <v>814</v>
      </c>
      <c r="C2120" s="40" t="s">
        <v>337</v>
      </c>
      <c r="D2120" s="33">
        <f>IF(C2120="ID",1,(IF(C2120="PR",2,(IF(C2120="DE",3,(IF(C2120="RS",4,(IF(C2120="RC",5,0)))))))))</f>
        <v>4</v>
      </c>
      <c r="E2120" s="33" t="s">
        <v>351</v>
      </c>
      <c r="F2120" s="33">
        <f>IF(E2120="AM",1,(IF(E2120="BE",2,(IF(E2120="GV",3,(IF(E2120="RA",4,(IF(E2120="RM",5,(IF(E2120="AC",1,(IF(E2120="AT",2,(IF(E2120="DS",3,(IF(E2120="IP",4,(IF(E2120="MA",5,(IF(E2120="PT",6,(IF(E2120="AE",1,(IF(E2120="CM",2,(IF(E2120="DP",3,(IF(E2120="AN",1,(IF(E2120="CO",2,(IF(E2120="IM",3,(IF(E2120="MI",4,(IF(E2120="RP",5,(IF(E2120="SC",6,0)))))))))))))))))))))))))))))))))))))))</f>
        <v>4</v>
      </c>
      <c r="G2120" s="171">
        <v>3</v>
      </c>
      <c r="H2120" s="38" t="s">
        <v>511</v>
      </c>
      <c r="I2120" s="3" t="s">
        <v>821</v>
      </c>
      <c r="J2120" s="150" t="s">
        <v>212</v>
      </c>
      <c r="K2120" s="79" t="s">
        <v>1283</v>
      </c>
      <c r="L2120" s="66">
        <f>IF(O2120="","",N2120*O2120*M2120)</f>
        <v>75</v>
      </c>
      <c r="M2120" s="8">
        <v>1</v>
      </c>
      <c r="N2120" s="3">
        <v>1</v>
      </c>
      <c r="O2120" s="15">
        <f>IF(SUM(Q2120:AF2120)&lt;1,"",SUM(Q2120:AF2120)/COUNTIF(Q2120:AF2120,"&gt;0"))</f>
        <v>75</v>
      </c>
      <c r="P2120" s="16"/>
      <c r="Q2120" s="13"/>
      <c r="R2120" s="4"/>
      <c r="S2120" s="4"/>
      <c r="T2120" s="4">
        <v>75</v>
      </c>
      <c r="U2120" s="2"/>
      <c r="V2120" s="2"/>
      <c r="W2120" s="2"/>
      <c r="X2120" s="2"/>
      <c r="Y2120" s="4"/>
      <c r="Z2120" s="2"/>
      <c r="AA2120" s="2"/>
      <c r="AB2120" s="4"/>
      <c r="AC2120" s="4"/>
      <c r="AD2120" s="4"/>
      <c r="AE2120" s="4"/>
      <c r="AF2120" s="14"/>
    </row>
    <row r="2121" spans="1:32" x14ac:dyDescent="0.25">
      <c r="A2121" s="33" t="str">
        <f>CONCATENATE(D2121,".",F2121,"-",G2121,".",H2121,"")</f>
        <v>4.4-3.1</v>
      </c>
      <c r="B2121" s="33" t="s">
        <v>814</v>
      </c>
      <c r="C2121" s="40" t="s">
        <v>337</v>
      </c>
      <c r="D2121" s="33">
        <f>IF(C2121="ID",1,(IF(C2121="PR",2,(IF(C2121="DE",3,(IF(C2121="RS",4,(IF(C2121="RC",5,0)))))))))</f>
        <v>4</v>
      </c>
      <c r="E2121" s="33" t="s">
        <v>351</v>
      </c>
      <c r="F2121" s="33">
        <f>IF(E2121="AM",1,(IF(E2121="BE",2,(IF(E2121="GV",3,(IF(E2121="RA",4,(IF(E2121="RM",5,(IF(E2121="AC",1,(IF(E2121="AT",2,(IF(E2121="DS",3,(IF(E2121="IP",4,(IF(E2121="MA",5,(IF(E2121="PT",6,(IF(E2121="AE",1,(IF(E2121="CM",2,(IF(E2121="DP",3,(IF(E2121="AN",1,(IF(E2121="CO",2,(IF(E2121="IM",3,(IF(E2121="MI",4,(IF(E2121="RP",5,(IF(E2121="SC",6,0)))))))))))))))))))))))))))))))))))))))</f>
        <v>4</v>
      </c>
      <c r="G2121" s="171">
        <v>3</v>
      </c>
      <c r="H2121" s="38" t="s">
        <v>511</v>
      </c>
      <c r="I2121" s="3" t="s">
        <v>821</v>
      </c>
      <c r="J2121" s="150" t="s">
        <v>213</v>
      </c>
      <c r="K2121" s="79" t="s">
        <v>1283</v>
      </c>
      <c r="L2121" s="66">
        <f>IF(O2121="","",N2121*O2121*M2121)</f>
        <v>75</v>
      </c>
      <c r="M2121" s="8">
        <v>1</v>
      </c>
      <c r="N2121" s="3">
        <v>1</v>
      </c>
      <c r="O2121" s="15">
        <f>IF(SUM(Q2121:AF2121)&lt;1,"",SUM(Q2121:AF2121)/COUNTIF(Q2121:AF2121,"&gt;0"))</f>
        <v>75</v>
      </c>
      <c r="P2121" s="16"/>
      <c r="Q2121" s="13"/>
      <c r="R2121" s="4"/>
      <c r="S2121" s="4"/>
      <c r="T2121" s="4">
        <v>75</v>
      </c>
      <c r="U2121" s="2"/>
      <c r="V2121" s="2"/>
      <c r="W2121" s="2"/>
      <c r="X2121" s="2"/>
      <c r="Y2121" s="4"/>
      <c r="Z2121" s="2"/>
      <c r="AA2121" s="2"/>
      <c r="AB2121" s="4"/>
      <c r="AC2121" s="4"/>
      <c r="AD2121" s="4"/>
      <c r="AE2121" s="4"/>
      <c r="AF2121" s="14"/>
    </row>
    <row r="2122" spans="1:32" x14ac:dyDescent="0.25">
      <c r="A2122" s="33" t="str">
        <f>CONCATENATE(D2122,".",F2122,"-",G2122,".",H2122,"")</f>
        <v>4.4-3.1</v>
      </c>
      <c r="B2122" s="33" t="s">
        <v>814</v>
      </c>
      <c r="C2122" s="39" t="s">
        <v>337</v>
      </c>
      <c r="D2122" s="33">
        <f>IF(C2122="ID",1,(IF(C2122="PR",2,(IF(C2122="DE",3,(IF(C2122="RS",4,(IF(C2122="RC",5,0)))))))))</f>
        <v>4</v>
      </c>
      <c r="E2122" s="33" t="s">
        <v>351</v>
      </c>
      <c r="F2122" s="33">
        <f>IF(E2122="AM",1,(IF(E2122="BE",2,(IF(E2122="GV",3,(IF(E2122="RA",4,(IF(E2122="RM",5,(IF(E2122="AC",1,(IF(E2122="AT",2,(IF(E2122="DS",3,(IF(E2122="IP",4,(IF(E2122="MA",5,(IF(E2122="PT",6,(IF(E2122="AE",1,(IF(E2122="CM",2,(IF(E2122="DP",3,(IF(E2122="AN",1,(IF(E2122="CO",2,(IF(E2122="IM",3,(IF(E2122="MI",4,(IF(E2122="RP",5,(IF(E2122="SC",6,0)))))))))))))))))))))))))))))))))))))))</f>
        <v>4</v>
      </c>
      <c r="G2122" s="170">
        <v>3</v>
      </c>
      <c r="H2122" s="38" t="s">
        <v>511</v>
      </c>
      <c r="I2122" s="3" t="s">
        <v>821</v>
      </c>
      <c r="J2122" s="150" t="s">
        <v>216</v>
      </c>
      <c r="K2122" s="79" t="s">
        <v>1283</v>
      </c>
      <c r="L2122" s="66">
        <f>IF(O2122="","",N2122*O2122*M2122)</f>
        <v>75</v>
      </c>
      <c r="M2122" s="8">
        <v>1</v>
      </c>
      <c r="N2122" s="3">
        <v>1</v>
      </c>
      <c r="O2122" s="15">
        <f>IF(SUM(Q2122:AF2122)&lt;1,"",SUM(Q2122:AF2122)/COUNTIF(Q2122:AF2122,"&gt;0"))</f>
        <v>75</v>
      </c>
      <c r="P2122" s="16"/>
      <c r="Q2122" s="13"/>
      <c r="R2122" s="4"/>
      <c r="S2122" s="4"/>
      <c r="T2122" s="4">
        <v>75</v>
      </c>
      <c r="U2122" s="2"/>
      <c r="V2122" s="2"/>
      <c r="W2122" s="2"/>
      <c r="X2122" s="2"/>
      <c r="Y2122" s="4"/>
      <c r="Z2122" s="2"/>
      <c r="AA2122" s="2"/>
      <c r="AB2122" s="4"/>
      <c r="AC2122" s="4"/>
      <c r="AD2122" s="4"/>
      <c r="AE2122" s="4"/>
      <c r="AF2122" s="14"/>
    </row>
    <row r="2123" spans="1:32" x14ac:dyDescent="0.25">
      <c r="A2123" s="33" t="str">
        <f>CONCATENATE(D2123,".",F2123,"-",G2123,".",H2123,"")</f>
        <v>4.4-3.1</v>
      </c>
      <c r="B2123" s="33" t="s">
        <v>814</v>
      </c>
      <c r="C2123" s="40" t="s">
        <v>337</v>
      </c>
      <c r="D2123" s="33">
        <f>IF(C2123="ID",1,(IF(C2123="PR",2,(IF(C2123="DE",3,(IF(C2123="RS",4,(IF(C2123="RC",5,0)))))))))</f>
        <v>4</v>
      </c>
      <c r="E2123" s="33" t="s">
        <v>351</v>
      </c>
      <c r="F2123" s="33">
        <f>IF(E2123="AM",1,(IF(E2123="BE",2,(IF(E2123="GV",3,(IF(E2123="RA",4,(IF(E2123="RM",5,(IF(E2123="AC",1,(IF(E2123="AT",2,(IF(E2123="DS",3,(IF(E2123="IP",4,(IF(E2123="MA",5,(IF(E2123="PT",6,(IF(E2123="AE",1,(IF(E2123="CM",2,(IF(E2123="DP",3,(IF(E2123="AN",1,(IF(E2123="CO",2,(IF(E2123="IM",3,(IF(E2123="MI",4,(IF(E2123="RP",5,(IF(E2123="SC",6,0)))))))))))))))))))))))))))))))))))))))</f>
        <v>4</v>
      </c>
      <c r="G2123" s="171">
        <v>3</v>
      </c>
      <c r="H2123" s="38" t="s">
        <v>511</v>
      </c>
      <c r="I2123" s="22" t="s">
        <v>936</v>
      </c>
      <c r="J2123" s="163" t="s">
        <v>885</v>
      </c>
      <c r="K2123" s="34" t="s">
        <v>985</v>
      </c>
      <c r="L2123" s="66">
        <f>IF(O2123="","",N2123*O2123*M2123)</f>
        <v>75</v>
      </c>
      <c r="M2123" s="8">
        <v>1</v>
      </c>
      <c r="N2123" s="3">
        <v>1</v>
      </c>
      <c r="O2123" s="15">
        <f>IF(SUM(Q2123:AF2123)&lt;1,"",SUM(Q2123:AF2123)/COUNTIF(Q2123:AF2123,"&gt;0"))</f>
        <v>75</v>
      </c>
      <c r="P2123" s="16"/>
      <c r="Q2123" s="13"/>
      <c r="R2123" s="4"/>
      <c r="S2123" s="4"/>
      <c r="T2123" s="4">
        <v>75</v>
      </c>
      <c r="U2123" s="2"/>
      <c r="V2123" s="2"/>
      <c r="W2123" s="2"/>
      <c r="X2123" s="2"/>
      <c r="Y2123" s="4"/>
      <c r="Z2123" s="2"/>
      <c r="AA2123" s="2"/>
      <c r="AB2123" s="4"/>
      <c r="AC2123" s="4"/>
      <c r="AD2123" s="4"/>
      <c r="AE2123" s="4"/>
      <c r="AF2123" s="14"/>
    </row>
    <row r="2124" spans="1:32" x14ac:dyDescent="0.25">
      <c r="A2124" s="33" t="str">
        <f>CONCATENATE(D2124,".",F2124,"-",G2124,".",H2124,"")</f>
        <v>4.4-3.1</v>
      </c>
      <c r="B2124" s="33" t="s">
        <v>814</v>
      </c>
      <c r="C2124" s="41" t="s">
        <v>337</v>
      </c>
      <c r="D2124" s="33">
        <f>IF(C2124="ID",1,(IF(C2124="PR",2,(IF(C2124="DE",3,(IF(C2124="RS",4,(IF(C2124="RC",5,0)))))))))</f>
        <v>4</v>
      </c>
      <c r="E2124" s="33" t="s">
        <v>351</v>
      </c>
      <c r="F2124" s="33">
        <f>IF(E2124="AM",1,(IF(E2124="BE",2,(IF(E2124="GV",3,(IF(E2124="RA",4,(IF(E2124="RM",5,(IF(E2124="AC",1,(IF(E2124="AT",2,(IF(E2124="DS",3,(IF(E2124="IP",4,(IF(E2124="MA",5,(IF(E2124="PT",6,(IF(E2124="AE",1,(IF(E2124="CM",2,(IF(E2124="DP",3,(IF(E2124="AN",1,(IF(E2124="CO",2,(IF(E2124="IM",3,(IF(E2124="MI",4,(IF(E2124="RP",5,(IF(E2124="SC",6,0)))))))))))))))))))))))))))))))))))))))</f>
        <v>4</v>
      </c>
      <c r="G2124" s="170">
        <v>3</v>
      </c>
      <c r="H2124" s="38" t="s">
        <v>511</v>
      </c>
      <c r="I2124" s="22" t="s">
        <v>266</v>
      </c>
      <c r="J2124" s="149" t="s">
        <v>305</v>
      </c>
      <c r="K2124" s="79" t="s">
        <v>1314</v>
      </c>
      <c r="L2124" s="5">
        <f>IF(O2124="","",N2124*O2124*M2124)</f>
        <v>75</v>
      </c>
      <c r="M2124" s="8">
        <v>1</v>
      </c>
      <c r="N2124" s="1">
        <v>1</v>
      </c>
      <c r="O2124" s="15">
        <f>IF(SUM(Q2124:AF2124)&lt;1,"",SUM(Q2124:AF2124)/COUNTIF(Q2124:AF2124,"&gt;0"))</f>
        <v>75</v>
      </c>
      <c r="P2124" s="16"/>
      <c r="Q2124" s="13"/>
      <c r="R2124" s="4"/>
      <c r="S2124" s="4"/>
      <c r="T2124" s="4">
        <v>75</v>
      </c>
      <c r="U2124" s="2"/>
      <c r="V2124" s="2"/>
      <c r="W2124" s="2"/>
      <c r="X2124" s="2"/>
      <c r="Y2124" s="4"/>
      <c r="Z2124" s="2"/>
      <c r="AA2124" s="2"/>
      <c r="AB2124" s="4"/>
      <c r="AC2124" s="4"/>
      <c r="AD2124" s="4"/>
      <c r="AE2124" s="4"/>
      <c r="AF2124" s="14"/>
    </row>
    <row r="2125" spans="1:32" x14ac:dyDescent="0.25">
      <c r="A2125" s="33" t="str">
        <f>CONCATENATE(D2125,".",F2125,"-",G2125,".",H2125,"")</f>
        <v>4.4-3.1</v>
      </c>
      <c r="B2125" s="33" t="s">
        <v>814</v>
      </c>
      <c r="C2125" s="41" t="s">
        <v>337</v>
      </c>
      <c r="D2125" s="33">
        <f>IF(C2125="ID",1,(IF(C2125="PR",2,(IF(C2125="DE",3,(IF(C2125="RS",4,(IF(C2125="RC",5,0)))))))))</f>
        <v>4</v>
      </c>
      <c r="E2125" s="33" t="s">
        <v>351</v>
      </c>
      <c r="F2125" s="33">
        <f>IF(E2125="AM",1,(IF(E2125="BE",2,(IF(E2125="GV",3,(IF(E2125="RA",4,(IF(E2125="RM",5,(IF(E2125="AC",1,(IF(E2125="AT",2,(IF(E2125="DS",3,(IF(E2125="IP",4,(IF(E2125="MA",5,(IF(E2125="PT",6,(IF(E2125="AE",1,(IF(E2125="CM",2,(IF(E2125="DP",3,(IF(E2125="AN",1,(IF(E2125="CO",2,(IF(E2125="IM",3,(IF(E2125="MI",4,(IF(E2125="RP",5,(IF(E2125="SC",6,0)))))))))))))))))))))))))))))))))))))))</f>
        <v>4</v>
      </c>
      <c r="G2125" s="170">
        <v>3</v>
      </c>
      <c r="H2125" s="38" t="s">
        <v>511</v>
      </c>
      <c r="I2125" s="22" t="s">
        <v>266</v>
      </c>
      <c r="J2125" s="149" t="s">
        <v>272</v>
      </c>
      <c r="K2125" s="79" t="s">
        <v>1325</v>
      </c>
      <c r="L2125" s="5">
        <f>IF(O2125="","",N2125*O2125*M2125)</f>
        <v>75</v>
      </c>
      <c r="M2125" s="8">
        <v>1</v>
      </c>
      <c r="N2125" s="1">
        <v>1</v>
      </c>
      <c r="O2125" s="15">
        <f>IF(SUM(Q2125:AF2125)&lt;1,"",SUM(Q2125:AF2125)/COUNTIF(Q2125:AF2125,"&gt;0"))</f>
        <v>75</v>
      </c>
      <c r="P2125" s="16"/>
      <c r="Q2125" s="13"/>
      <c r="R2125" s="4"/>
      <c r="S2125" s="4"/>
      <c r="T2125" s="4">
        <v>75</v>
      </c>
      <c r="U2125" s="2"/>
      <c r="V2125" s="2"/>
      <c r="W2125" s="2"/>
      <c r="X2125" s="2"/>
      <c r="Y2125" s="4"/>
      <c r="Z2125" s="2"/>
      <c r="AA2125" s="2"/>
      <c r="AB2125" s="4"/>
      <c r="AC2125" s="4"/>
      <c r="AD2125" s="4"/>
      <c r="AE2125" s="4"/>
      <c r="AF2125" s="14"/>
    </row>
    <row r="2126" spans="1:32" x14ac:dyDescent="0.25">
      <c r="A2126" s="33" t="str">
        <f>CONCATENATE(D2126,".",F2126,"-",G2126,".",H2126,"")</f>
        <v>4.4-3.1</v>
      </c>
      <c r="B2126" s="33" t="s">
        <v>814</v>
      </c>
      <c r="C2126" s="39" t="s">
        <v>337</v>
      </c>
      <c r="D2126" s="33">
        <f>IF(C2126="ID",1,(IF(C2126="PR",2,(IF(C2126="DE",3,(IF(C2126="RS",4,(IF(C2126="RC",5,0)))))))))</f>
        <v>4</v>
      </c>
      <c r="E2126" s="33" t="s">
        <v>351</v>
      </c>
      <c r="F2126" s="33">
        <f>IF(E2126="AM",1,(IF(E2126="BE",2,(IF(E2126="GV",3,(IF(E2126="RA",4,(IF(E2126="RM",5,(IF(E2126="AC",1,(IF(E2126="AT",2,(IF(E2126="DS",3,(IF(E2126="IP",4,(IF(E2126="MA",5,(IF(E2126="PT",6,(IF(E2126="AE",1,(IF(E2126="CM",2,(IF(E2126="DP",3,(IF(E2126="AN",1,(IF(E2126="CO",2,(IF(E2126="IM",3,(IF(E2126="MI",4,(IF(E2126="RP",5,(IF(E2126="SC",6,0)))))))))))))))))))))))))))))))))))))))</f>
        <v>4</v>
      </c>
      <c r="G2126" s="170">
        <v>3</v>
      </c>
      <c r="H2126" s="33">
        <v>1</v>
      </c>
      <c r="I2126" s="22" t="s">
        <v>266</v>
      </c>
      <c r="J2126" s="150" t="s">
        <v>327</v>
      </c>
      <c r="K2126" s="79" t="s">
        <v>1369</v>
      </c>
      <c r="L2126" s="5">
        <f>IF(O2126="","",N2126*O2126*M2126)</f>
        <v>75</v>
      </c>
      <c r="M2126" s="8">
        <v>1</v>
      </c>
      <c r="N2126" s="1">
        <v>1</v>
      </c>
      <c r="O2126" s="15">
        <f>IF(SUM(Q2126:AF2126)&lt;1,"",SUM(Q2126:AF2126)/COUNTIF(Q2126:AF2126,"&gt;0"))</f>
        <v>75</v>
      </c>
      <c r="P2126" s="16"/>
      <c r="Q2126" s="13"/>
      <c r="T2126" s="4">
        <v>75</v>
      </c>
      <c r="AF2126" s="104"/>
    </row>
    <row r="2127" spans="1:32" x14ac:dyDescent="0.25">
      <c r="A2127" s="33" t="str">
        <f>CONCATENATE(D2127,".",F2127,"-",G2127,".",H2127,"")</f>
        <v>4.5-0.0</v>
      </c>
      <c r="B2127" s="33" t="s">
        <v>1229</v>
      </c>
      <c r="C2127" s="40" t="s">
        <v>337</v>
      </c>
      <c r="D2127" s="33">
        <f>IF(C2127="ID",1,(IF(C2127="PR",2,(IF(C2127="DE",3,(IF(C2127="RS",4,(IF(C2127="RC",5,0)))))))))</f>
        <v>4</v>
      </c>
      <c r="E2127" s="33" t="s">
        <v>348</v>
      </c>
      <c r="F2127" s="33">
        <f>IF(E2127="AM",1,(IF(E2127="BE",2,(IF(E2127="GV",3,(IF(E2127="RA",4,(IF(E2127="RM",5,(IF(E2127="AC",1,(IF(E2127="AT",2,(IF(E2127="DS",3,(IF(E2127="IP",4,(IF(E2127="MA",5,(IF(E2127="PT",6,(IF(E2127="AE",1,(IF(E2127="CM",2,(IF(E2127="DP",3,(IF(E2127="AN",1,(IF(E2127="CO",2,(IF(E2127="IM",3,(IF(E2127="MI",4,(IF(E2127="RP",5,(IF(E2127="SC",6,0)))))))))))))))))))))))))))))))))))))))</f>
        <v>5</v>
      </c>
      <c r="G2127" s="170">
        <v>0</v>
      </c>
      <c r="H2127" s="38" t="s">
        <v>597</v>
      </c>
      <c r="I2127" s="22" t="s">
        <v>1200</v>
      </c>
      <c r="J2127" s="167" t="s">
        <v>722</v>
      </c>
      <c r="K2127" s="100" t="s">
        <v>745</v>
      </c>
      <c r="L2127" s="5" t="str">
        <f>IF(O2127="","",N2127*O2127*M2127)</f>
        <v/>
      </c>
      <c r="M2127" s="8">
        <v>1</v>
      </c>
      <c r="N2127" s="1">
        <v>1</v>
      </c>
      <c r="O2127" s="15" t="str">
        <f>IF(SUM(Q2127:AF2127)&lt;1,"",SUM(Q2127:AF2127)/COUNTIF(Q2127:AF2127,"&gt;0"))</f>
        <v/>
      </c>
      <c r="P2127" s="16"/>
      <c r="Q2127" s="13"/>
      <c r="R2127" s="4"/>
      <c r="S2127" s="4"/>
      <c r="T2127" s="2"/>
      <c r="U2127" s="2"/>
      <c r="V2127" s="2"/>
      <c r="W2127" s="2"/>
      <c r="X2127" s="2"/>
      <c r="Y2127" s="4"/>
      <c r="Z2127" s="2"/>
      <c r="AA2127" s="2"/>
      <c r="AB2127" s="4"/>
      <c r="AC2127" s="4"/>
      <c r="AD2127" s="4"/>
      <c r="AE2127" s="4"/>
      <c r="AF2127" s="14"/>
    </row>
    <row r="2128" spans="1:32" x14ac:dyDescent="0.25">
      <c r="A2128" s="33" t="str">
        <f>CONCATENATE(D2128,".",F2128,"-",G2128,".",H2128,"")</f>
        <v>4.5-0.1</v>
      </c>
      <c r="B2128" s="33" t="s">
        <v>1229</v>
      </c>
      <c r="C2128" s="40" t="s">
        <v>337</v>
      </c>
      <c r="D2128" s="33">
        <f>IF(C2128="ID",1,(IF(C2128="PR",2,(IF(C2128="DE",3,(IF(C2128="RS",4,(IF(C2128="RC",5,0)))))))))</f>
        <v>4</v>
      </c>
      <c r="E2128" s="33" t="s">
        <v>348</v>
      </c>
      <c r="F2128" s="33">
        <f>IF(E2128="AM",1,(IF(E2128="BE",2,(IF(E2128="GV",3,(IF(E2128="RA",4,(IF(E2128="RM",5,(IF(E2128="AC",1,(IF(E2128="AT",2,(IF(E2128="DS",3,(IF(E2128="IP",4,(IF(E2128="MA",5,(IF(E2128="PT",6,(IF(E2128="AE",1,(IF(E2128="CM",2,(IF(E2128="DP",3,(IF(E2128="AN",1,(IF(E2128="CO",2,(IF(E2128="IM",3,(IF(E2128="MI",4,(IF(E2128="RP",5,(IF(E2128="SC",6,0)))))))))))))))))))))))))))))))))))))))</f>
        <v>5</v>
      </c>
      <c r="G2128" s="170">
        <v>0</v>
      </c>
      <c r="H2128" s="38" t="s">
        <v>511</v>
      </c>
      <c r="I2128" s="22" t="s">
        <v>1200</v>
      </c>
      <c r="J2128" s="167" t="s">
        <v>722</v>
      </c>
      <c r="K2128" s="100" t="s">
        <v>762</v>
      </c>
      <c r="L2128" s="5" t="str">
        <f>IF(O2128="","",N2128*O2128*M2128)</f>
        <v/>
      </c>
      <c r="M2128" s="8">
        <v>1</v>
      </c>
      <c r="N2128" s="1">
        <v>1</v>
      </c>
      <c r="O2128" s="15" t="str">
        <f>IF(SUM(Q2128:AF2128)&lt;1,"",SUM(Q2128:AF2128)/COUNTIF(Q2128:AF2128,"&gt;0"))</f>
        <v/>
      </c>
      <c r="P2128" s="16"/>
      <c r="Q2128" s="13"/>
      <c r="R2128" s="4"/>
      <c r="S2128" s="4"/>
      <c r="T2128" s="2"/>
      <c r="U2128" s="2"/>
      <c r="V2128" s="2"/>
      <c r="W2128" s="2"/>
      <c r="X2128" s="2"/>
      <c r="Y2128" s="4"/>
      <c r="Z2128" s="2"/>
      <c r="AA2128" s="2"/>
      <c r="AB2128" s="4"/>
      <c r="AC2128" s="4"/>
      <c r="AD2128" s="4"/>
      <c r="AE2128" s="4"/>
      <c r="AF2128" s="14"/>
    </row>
    <row r="2129" spans="1:32" x14ac:dyDescent="0.25">
      <c r="A2129" s="33" t="str">
        <f>CONCATENATE(D2129,".",F2129,"-",G2129,".",H2129,"")</f>
        <v>4.5-1.0</v>
      </c>
      <c r="B2129" s="33" t="s">
        <v>814</v>
      </c>
      <c r="C2129" s="40" t="s">
        <v>337</v>
      </c>
      <c r="D2129" s="33">
        <f>IF(C2129="ID",1,(IF(C2129="PR",2,(IF(C2129="DE",3,(IF(C2129="RS",4,(IF(C2129="RC",5,0)))))))))</f>
        <v>4</v>
      </c>
      <c r="E2129" s="33" t="s">
        <v>348</v>
      </c>
      <c r="F2129" s="33">
        <f>IF(E2129="AM",1,(IF(E2129="BE",2,(IF(E2129="GV",3,(IF(E2129="RA",4,(IF(E2129="RM",5,(IF(E2129="AC",1,(IF(E2129="AT",2,(IF(E2129="DS",3,(IF(E2129="IP",4,(IF(E2129="MA",5,(IF(E2129="PT",6,(IF(E2129="AE",1,(IF(E2129="CM",2,(IF(E2129="DP",3,(IF(E2129="AN",1,(IF(E2129="CO",2,(IF(E2129="IM",3,(IF(E2129="MI",4,(IF(E2129="RP",5,(IF(E2129="SC",6,0)))))))))))))))))))))))))))))))))))))))</f>
        <v>5</v>
      </c>
      <c r="G2129" s="170">
        <v>1</v>
      </c>
      <c r="H2129" s="38" t="s">
        <v>597</v>
      </c>
      <c r="I2129" s="22" t="s">
        <v>1200</v>
      </c>
      <c r="J2129" s="149" t="s">
        <v>723</v>
      </c>
      <c r="K2129" s="100" t="s">
        <v>419</v>
      </c>
      <c r="L2129" s="5">
        <f>IF(O2129="","",N2129*O2129*M2129)</f>
        <v>75</v>
      </c>
      <c r="M2129" s="8">
        <v>1</v>
      </c>
      <c r="N2129" s="1">
        <v>1</v>
      </c>
      <c r="O2129" s="15">
        <f>IF(SUM(Q2129:AF2129)&lt;1,"",SUM(Q2129:AF2129)/COUNTIF(Q2129:AF2129,"&gt;0"))</f>
        <v>75</v>
      </c>
      <c r="P2129" s="16"/>
      <c r="Q2129" s="13"/>
      <c r="R2129" s="4"/>
      <c r="S2129" s="4"/>
      <c r="T2129" s="4">
        <v>75</v>
      </c>
      <c r="U2129" s="2"/>
      <c r="V2129" s="2"/>
      <c r="W2129" s="2"/>
      <c r="X2129" s="2"/>
      <c r="Y2129" s="4"/>
      <c r="Z2129" s="2"/>
      <c r="AA2129" s="2"/>
      <c r="AB2129" s="4"/>
      <c r="AC2129" s="4"/>
      <c r="AD2129" s="4"/>
      <c r="AE2129" s="4"/>
      <c r="AF2129" s="14"/>
    </row>
    <row r="2130" spans="1:32" x14ac:dyDescent="0.25">
      <c r="A2130" s="33" t="str">
        <f>CONCATENATE(D2130,".",F2130,"-",G2130,".",H2130,"")</f>
        <v>4.5-1.1</v>
      </c>
      <c r="B2130" s="33" t="s">
        <v>814</v>
      </c>
      <c r="C2130" s="40" t="s">
        <v>337</v>
      </c>
      <c r="D2130" s="33">
        <f>IF(C2130="ID",1,(IF(C2130="PR",2,(IF(C2130="DE",3,(IF(C2130="RS",4,(IF(C2130="RC",5,0)))))))))</f>
        <v>4</v>
      </c>
      <c r="E2130" s="33" t="s">
        <v>348</v>
      </c>
      <c r="F2130" s="33">
        <f>IF(E2130="AM",1,(IF(E2130="BE",2,(IF(E2130="GV",3,(IF(E2130="RA",4,(IF(E2130="RM",5,(IF(E2130="AC",1,(IF(E2130="AT",2,(IF(E2130="DS",3,(IF(E2130="IP",4,(IF(E2130="MA",5,(IF(E2130="PT",6,(IF(E2130="AE",1,(IF(E2130="CM",2,(IF(E2130="DP",3,(IF(E2130="AN",1,(IF(E2130="CO",2,(IF(E2130="IM",3,(IF(E2130="MI",4,(IF(E2130="RP",5,(IF(E2130="SC",6,0)))))))))))))))))))))))))))))))))))))))</f>
        <v>5</v>
      </c>
      <c r="G2130" s="171">
        <v>1</v>
      </c>
      <c r="H2130" s="38" t="s">
        <v>511</v>
      </c>
      <c r="I2130" s="22" t="s">
        <v>936</v>
      </c>
      <c r="J2130" s="163" t="s">
        <v>885</v>
      </c>
      <c r="K2130" s="34" t="s">
        <v>985</v>
      </c>
      <c r="L2130" s="66">
        <f>IF(O2130="","",N2130*O2130*M2130)</f>
        <v>75</v>
      </c>
      <c r="M2130" s="8">
        <v>1</v>
      </c>
      <c r="N2130" s="3">
        <v>1</v>
      </c>
      <c r="O2130" s="15">
        <f>IF(SUM(Q2130:AF2130)&lt;1,"",SUM(Q2130:AF2130)/COUNTIF(Q2130:AF2130,"&gt;0"))</f>
        <v>75</v>
      </c>
      <c r="P2130" s="16"/>
      <c r="Q2130" s="13"/>
      <c r="R2130" s="4"/>
      <c r="S2130" s="4"/>
      <c r="T2130" s="4">
        <v>75</v>
      </c>
      <c r="U2130" s="2"/>
      <c r="V2130" s="2"/>
      <c r="W2130" s="2"/>
      <c r="X2130" s="2"/>
      <c r="Y2130" s="4"/>
      <c r="Z2130" s="2"/>
      <c r="AA2130" s="2"/>
      <c r="AB2130" s="4"/>
      <c r="AC2130" s="4"/>
      <c r="AD2130" s="4"/>
      <c r="AE2130" s="4"/>
      <c r="AF2130" s="14"/>
    </row>
    <row r="2131" spans="1:32" x14ac:dyDescent="0.25">
      <c r="A2131" s="33" t="str">
        <f>CONCATENATE(D2131,".",F2131,"-",G2131,".",H2131,"")</f>
        <v>4.5-1.1</v>
      </c>
      <c r="B2131" s="33" t="s">
        <v>814</v>
      </c>
      <c r="C2131" s="40" t="s">
        <v>337</v>
      </c>
      <c r="D2131" s="33">
        <f>IF(C2131="ID",1,(IF(C2131="PR",2,(IF(C2131="DE",3,(IF(C2131="RS",4,(IF(C2131="RC",5,0)))))))))</f>
        <v>4</v>
      </c>
      <c r="E2131" s="33" t="s">
        <v>348</v>
      </c>
      <c r="F2131" s="33">
        <f>IF(E2131="AM",1,(IF(E2131="BE",2,(IF(E2131="GV",3,(IF(E2131="RA",4,(IF(E2131="RM",5,(IF(E2131="AC",1,(IF(E2131="AT",2,(IF(E2131="DS",3,(IF(E2131="IP",4,(IF(E2131="MA",5,(IF(E2131="PT",6,(IF(E2131="AE",1,(IF(E2131="CM",2,(IF(E2131="DP",3,(IF(E2131="AN",1,(IF(E2131="CO",2,(IF(E2131="IM",3,(IF(E2131="MI",4,(IF(E2131="RP",5,(IF(E2131="SC",6,0)))))))))))))))))))))))))))))))))))))))</f>
        <v>5</v>
      </c>
      <c r="G2131" s="171">
        <v>1</v>
      </c>
      <c r="H2131" s="38" t="s">
        <v>511</v>
      </c>
      <c r="I2131" s="22" t="s">
        <v>936</v>
      </c>
      <c r="J2131" s="163" t="s">
        <v>881</v>
      </c>
      <c r="K2131" s="34" t="s">
        <v>986</v>
      </c>
      <c r="L2131" s="66">
        <f>IF(O2131="","",N2131*O2131*M2131)</f>
        <v>75</v>
      </c>
      <c r="M2131" s="8">
        <v>1</v>
      </c>
      <c r="N2131" s="3">
        <v>1</v>
      </c>
      <c r="O2131" s="15">
        <f>IF(SUM(Q2131:AF2131)&lt;1,"",SUM(Q2131:AF2131)/COUNTIF(Q2131:AF2131,"&gt;0"))</f>
        <v>75</v>
      </c>
      <c r="P2131" s="16"/>
      <c r="Q2131" s="13"/>
      <c r="R2131" s="4"/>
      <c r="S2131" s="4"/>
      <c r="T2131" s="4">
        <v>75</v>
      </c>
      <c r="U2131" s="2"/>
      <c r="V2131" s="2"/>
      <c r="W2131" s="2"/>
      <c r="X2131" s="2"/>
      <c r="Y2131" s="4"/>
      <c r="Z2131" s="2"/>
      <c r="AA2131" s="2"/>
      <c r="AB2131" s="4"/>
      <c r="AC2131" s="4"/>
      <c r="AD2131" s="4"/>
      <c r="AE2131" s="4"/>
      <c r="AF2131" s="14"/>
    </row>
    <row r="2132" spans="1:32" x14ac:dyDescent="0.25">
      <c r="A2132" s="33" t="str">
        <f>CONCATENATE(D2132,".",F2132,"-",G2132,".",H2132,"")</f>
        <v>4.5-1.1</v>
      </c>
      <c r="B2132" s="33" t="s">
        <v>814</v>
      </c>
      <c r="C2132" s="40" t="s">
        <v>337</v>
      </c>
      <c r="D2132" s="33">
        <f>IF(C2132="ID",1,(IF(C2132="PR",2,(IF(C2132="DE",3,(IF(C2132="RS",4,(IF(C2132="RC",5,0)))))))))</f>
        <v>4</v>
      </c>
      <c r="E2132" s="33" t="s">
        <v>348</v>
      </c>
      <c r="F2132" s="33">
        <f>IF(E2132="AM",1,(IF(E2132="BE",2,(IF(E2132="GV",3,(IF(E2132="RA",4,(IF(E2132="RM",5,(IF(E2132="AC",1,(IF(E2132="AT",2,(IF(E2132="DS",3,(IF(E2132="IP",4,(IF(E2132="MA",5,(IF(E2132="PT",6,(IF(E2132="AE",1,(IF(E2132="CM",2,(IF(E2132="DP",3,(IF(E2132="AN",1,(IF(E2132="CO",2,(IF(E2132="IM",3,(IF(E2132="MI",4,(IF(E2132="RP",5,(IF(E2132="SC",6,0)))))))))))))))))))))))))))))))))))))))</f>
        <v>5</v>
      </c>
      <c r="G2132" s="171">
        <v>1</v>
      </c>
      <c r="H2132" s="38" t="s">
        <v>511</v>
      </c>
      <c r="I2132" s="22" t="s">
        <v>936</v>
      </c>
      <c r="J2132" s="163" t="s">
        <v>879</v>
      </c>
      <c r="K2132" s="34" t="s">
        <v>988</v>
      </c>
      <c r="L2132" s="66">
        <f>IF(O2132="","",N2132*O2132*M2132)</f>
        <v>75</v>
      </c>
      <c r="M2132" s="8">
        <v>1</v>
      </c>
      <c r="N2132" s="3">
        <v>1</v>
      </c>
      <c r="O2132" s="15">
        <f>IF(SUM(Q2132:AF2132)&lt;1,"",SUM(Q2132:AF2132)/COUNTIF(Q2132:AF2132,"&gt;0"))</f>
        <v>75</v>
      </c>
      <c r="P2132" s="16"/>
      <c r="Q2132" s="13"/>
      <c r="R2132" s="4"/>
      <c r="S2132" s="4"/>
      <c r="T2132" s="4">
        <v>75</v>
      </c>
      <c r="U2132" s="2"/>
      <c r="V2132" s="2"/>
      <c r="W2132" s="2"/>
      <c r="X2132" s="2"/>
      <c r="Y2132" s="4"/>
      <c r="Z2132" s="2"/>
      <c r="AA2132" s="2"/>
      <c r="AB2132" s="4"/>
      <c r="AC2132" s="4"/>
      <c r="AD2132" s="4"/>
      <c r="AE2132" s="4"/>
      <c r="AF2132" s="14"/>
    </row>
    <row r="2133" spans="1:32" x14ac:dyDescent="0.25">
      <c r="A2133" s="33" t="str">
        <f>CONCATENATE(D2133,".",F2133,"-",G2133,".",H2133,"")</f>
        <v>4.5-1.1</v>
      </c>
      <c r="B2133" s="33" t="s">
        <v>814</v>
      </c>
      <c r="C2133" s="40" t="s">
        <v>337</v>
      </c>
      <c r="D2133" s="33">
        <f>IF(C2133="ID",1,(IF(C2133="PR",2,(IF(C2133="DE",3,(IF(C2133="RS",4,(IF(C2133="RC",5,0)))))))))</f>
        <v>4</v>
      </c>
      <c r="E2133" s="33" t="s">
        <v>348</v>
      </c>
      <c r="F2133" s="33">
        <f>IF(E2133="AM",1,(IF(E2133="BE",2,(IF(E2133="GV",3,(IF(E2133="RA",4,(IF(E2133="RM",5,(IF(E2133="AC",1,(IF(E2133="AT",2,(IF(E2133="DS",3,(IF(E2133="IP",4,(IF(E2133="MA",5,(IF(E2133="PT",6,(IF(E2133="AE",1,(IF(E2133="CM",2,(IF(E2133="DP",3,(IF(E2133="AN",1,(IF(E2133="CO",2,(IF(E2133="IM",3,(IF(E2133="MI",4,(IF(E2133="RP",5,(IF(E2133="SC",6,0)))))))))))))))))))))))))))))))))))))))</f>
        <v>5</v>
      </c>
      <c r="G2133" s="171">
        <v>1</v>
      </c>
      <c r="H2133" s="38" t="s">
        <v>511</v>
      </c>
      <c r="I2133" s="22" t="s">
        <v>936</v>
      </c>
      <c r="J2133" s="163" t="s">
        <v>877</v>
      </c>
      <c r="K2133" s="34" t="s">
        <v>989</v>
      </c>
      <c r="L2133" s="66">
        <f>IF(O2133="","",N2133*O2133*M2133)</f>
        <v>75</v>
      </c>
      <c r="M2133" s="8">
        <v>1</v>
      </c>
      <c r="N2133" s="3">
        <v>1</v>
      </c>
      <c r="O2133" s="15">
        <f>IF(SUM(Q2133:AF2133)&lt;1,"",SUM(Q2133:AF2133)/COUNTIF(Q2133:AF2133,"&gt;0"))</f>
        <v>75</v>
      </c>
      <c r="P2133" s="16"/>
      <c r="Q2133" s="13"/>
      <c r="R2133" s="4"/>
      <c r="S2133" s="4"/>
      <c r="T2133" s="4">
        <v>75</v>
      </c>
      <c r="U2133" s="2"/>
      <c r="V2133" s="2"/>
      <c r="W2133" s="2"/>
      <c r="X2133" s="2"/>
      <c r="Y2133" s="4"/>
      <c r="Z2133" s="2"/>
      <c r="AA2133" s="2"/>
      <c r="AB2133" s="4"/>
      <c r="AC2133" s="4"/>
      <c r="AD2133" s="4"/>
      <c r="AE2133" s="4"/>
      <c r="AF2133" s="14"/>
    </row>
    <row r="2134" spans="1:32" x14ac:dyDescent="0.25">
      <c r="A2134" s="33" t="str">
        <f>CONCATENATE(D2134,".",F2134,"-",G2134,".",H2134,"")</f>
        <v>4.5-1.1</v>
      </c>
      <c r="B2134" s="33" t="s">
        <v>814</v>
      </c>
      <c r="C2134" s="40" t="s">
        <v>337</v>
      </c>
      <c r="D2134" s="33">
        <f>IF(C2134="ID",1,(IF(C2134="PR",2,(IF(C2134="DE",3,(IF(C2134="RS",4,(IF(C2134="RC",5,0)))))))))</f>
        <v>4</v>
      </c>
      <c r="E2134" s="33" t="s">
        <v>348</v>
      </c>
      <c r="F2134" s="33">
        <f>IF(E2134="AM",1,(IF(E2134="BE",2,(IF(E2134="GV",3,(IF(E2134="RA",4,(IF(E2134="RM",5,(IF(E2134="AC",1,(IF(E2134="AT",2,(IF(E2134="DS",3,(IF(E2134="IP",4,(IF(E2134="MA",5,(IF(E2134="PT",6,(IF(E2134="AE",1,(IF(E2134="CM",2,(IF(E2134="DP",3,(IF(E2134="AN",1,(IF(E2134="CO",2,(IF(E2134="IM",3,(IF(E2134="MI",4,(IF(E2134="RP",5,(IF(E2134="SC",6,0)))))))))))))))))))))))))))))))))))))))</f>
        <v>5</v>
      </c>
      <c r="G2134" s="171">
        <v>1</v>
      </c>
      <c r="H2134" s="38" t="s">
        <v>511</v>
      </c>
      <c r="I2134" s="22" t="s">
        <v>936</v>
      </c>
      <c r="J2134" s="163" t="s">
        <v>878</v>
      </c>
      <c r="K2134" s="34" t="s">
        <v>938</v>
      </c>
      <c r="L2134" s="66">
        <f>IF(O2134="","",N2134*O2134*M2134)</f>
        <v>75</v>
      </c>
      <c r="M2134" s="8">
        <v>1</v>
      </c>
      <c r="N2134" s="3">
        <v>1</v>
      </c>
      <c r="O2134" s="15">
        <f>IF(SUM(Q2134:AF2134)&lt;1,"",SUM(Q2134:AF2134)/COUNTIF(Q2134:AF2134,"&gt;0"))</f>
        <v>75</v>
      </c>
      <c r="P2134" s="16"/>
      <c r="Q2134" s="13"/>
      <c r="R2134" s="4"/>
      <c r="S2134" s="4"/>
      <c r="T2134" s="4">
        <v>75</v>
      </c>
      <c r="U2134" s="2"/>
      <c r="V2134" s="2"/>
      <c r="W2134" s="2"/>
      <c r="X2134" s="2"/>
      <c r="Y2134" s="4"/>
      <c r="Z2134" s="2"/>
      <c r="AA2134" s="2"/>
      <c r="AB2134" s="4"/>
      <c r="AC2134" s="4"/>
      <c r="AD2134" s="4"/>
      <c r="AE2134" s="4"/>
      <c r="AF2134" s="14"/>
    </row>
    <row r="2135" spans="1:32" x14ac:dyDescent="0.25">
      <c r="A2135" s="33" t="str">
        <f>CONCATENATE(D2135,".",F2135,"-",G2135,".",H2135,"")</f>
        <v>4.5-1.1</v>
      </c>
      <c r="B2135" s="33" t="s">
        <v>814</v>
      </c>
      <c r="C2135" s="40" t="s">
        <v>337</v>
      </c>
      <c r="D2135" s="33">
        <f>IF(C2135="ID",1,(IF(C2135="PR",2,(IF(C2135="DE",3,(IF(C2135="RS",4,(IF(C2135="RC",5,0)))))))))</f>
        <v>4</v>
      </c>
      <c r="E2135" s="33" t="s">
        <v>348</v>
      </c>
      <c r="F2135" s="33">
        <f>IF(E2135="AM",1,(IF(E2135="BE",2,(IF(E2135="GV",3,(IF(E2135="RA",4,(IF(E2135="RM",5,(IF(E2135="AC",1,(IF(E2135="AT",2,(IF(E2135="DS",3,(IF(E2135="IP",4,(IF(E2135="MA",5,(IF(E2135="PT",6,(IF(E2135="AE",1,(IF(E2135="CM",2,(IF(E2135="DP",3,(IF(E2135="AN",1,(IF(E2135="CO",2,(IF(E2135="IM",3,(IF(E2135="MI",4,(IF(E2135="RP",5,(IF(E2135="SC",6,0)))))))))))))))))))))))))))))))))))))))</f>
        <v>5</v>
      </c>
      <c r="G2135" s="171">
        <v>1</v>
      </c>
      <c r="H2135" s="38" t="s">
        <v>511</v>
      </c>
      <c r="I2135" s="22" t="s">
        <v>936</v>
      </c>
      <c r="J2135" s="163" t="s">
        <v>882</v>
      </c>
      <c r="K2135" s="34" t="s">
        <v>951</v>
      </c>
      <c r="L2135" s="66">
        <f>IF(O2135="","",N2135*O2135*M2135)</f>
        <v>75</v>
      </c>
      <c r="M2135" s="8">
        <v>1</v>
      </c>
      <c r="N2135" s="3">
        <v>1</v>
      </c>
      <c r="O2135" s="15">
        <f>IF(SUM(Q2135:AF2135)&lt;1,"",SUM(Q2135:AF2135)/COUNTIF(Q2135:AF2135,"&gt;0"))</f>
        <v>75</v>
      </c>
      <c r="P2135" s="16"/>
      <c r="Q2135" s="13"/>
      <c r="R2135" s="4"/>
      <c r="S2135" s="4"/>
      <c r="T2135" s="4">
        <v>75</v>
      </c>
      <c r="U2135" s="2"/>
      <c r="V2135" s="2"/>
      <c r="W2135" s="2"/>
      <c r="X2135" s="2"/>
      <c r="Y2135" s="4"/>
      <c r="Z2135" s="2"/>
      <c r="AA2135" s="2"/>
      <c r="AB2135" s="4"/>
      <c r="AC2135" s="4"/>
      <c r="AD2135" s="4"/>
      <c r="AE2135" s="4"/>
      <c r="AF2135" s="14"/>
    </row>
    <row r="2136" spans="1:32" x14ac:dyDescent="0.25">
      <c r="A2136" s="33" t="str">
        <f>CONCATENATE(D2136,".",F2136,"-",G2136,".",H2136,"")</f>
        <v>4.5-1.1</v>
      </c>
      <c r="B2136" s="33" t="s">
        <v>814</v>
      </c>
      <c r="C2136" s="39" t="s">
        <v>337</v>
      </c>
      <c r="D2136" s="33">
        <f>IF(C2136="ID",1,(IF(C2136="PR",2,(IF(C2136="DE",3,(IF(C2136="RS",4,(IF(C2136="RC",5,0)))))))))</f>
        <v>4</v>
      </c>
      <c r="E2136" s="33" t="s">
        <v>348</v>
      </c>
      <c r="F2136" s="33">
        <f>IF(E2136="AM",1,(IF(E2136="BE",2,(IF(E2136="GV",3,(IF(E2136="RA",4,(IF(E2136="RM",5,(IF(E2136="AC",1,(IF(E2136="AT",2,(IF(E2136="DS",3,(IF(E2136="IP",4,(IF(E2136="MA",5,(IF(E2136="PT",6,(IF(E2136="AE",1,(IF(E2136="CM",2,(IF(E2136="DP",3,(IF(E2136="AN",1,(IF(E2136="CO",2,(IF(E2136="IM",3,(IF(E2136="MI",4,(IF(E2136="RP",5,(IF(E2136="SC",6,0)))))))))))))))))))))))))))))))))))))))</f>
        <v>5</v>
      </c>
      <c r="G2136" s="170">
        <v>1</v>
      </c>
      <c r="H2136" s="33">
        <v>1</v>
      </c>
      <c r="I2136" s="22" t="s">
        <v>266</v>
      </c>
      <c r="J2136" s="150" t="s">
        <v>278</v>
      </c>
      <c r="K2136" s="79" t="s">
        <v>1367</v>
      </c>
      <c r="L2136" s="5">
        <f>IF(O2136="","",N2136*O2136*M2136)</f>
        <v>75</v>
      </c>
      <c r="M2136" s="8">
        <v>1</v>
      </c>
      <c r="N2136" s="1">
        <v>1</v>
      </c>
      <c r="O2136" s="15">
        <f>IF(SUM(Q2136:AF2136)&lt;1,"",SUM(Q2136:AF2136)/COUNTIF(Q2136:AF2136,"&gt;0"))</f>
        <v>75</v>
      </c>
      <c r="P2136" s="16"/>
      <c r="Q2136" s="13"/>
      <c r="T2136" s="4">
        <v>75</v>
      </c>
      <c r="AF2136" s="104"/>
    </row>
    <row r="2137" spans="1:32" x14ac:dyDescent="0.25">
      <c r="A2137" s="33" t="str">
        <f>CONCATENATE(D2137,".",F2137,"-",G2137,".",H2137,"")</f>
        <v>4.5-1.1</v>
      </c>
      <c r="B2137" s="33" t="s">
        <v>814</v>
      </c>
      <c r="C2137" s="39" t="s">
        <v>337</v>
      </c>
      <c r="D2137" s="33">
        <f>IF(C2137="ID",1,(IF(C2137="PR",2,(IF(C2137="DE",3,(IF(C2137="RS",4,(IF(C2137="RC",5,0)))))))))</f>
        <v>4</v>
      </c>
      <c r="E2137" s="33" t="s">
        <v>348</v>
      </c>
      <c r="F2137" s="33">
        <f>IF(E2137="AM",1,(IF(E2137="BE",2,(IF(E2137="GV",3,(IF(E2137="RA",4,(IF(E2137="RM",5,(IF(E2137="AC",1,(IF(E2137="AT",2,(IF(E2137="DS",3,(IF(E2137="IP",4,(IF(E2137="MA",5,(IF(E2137="PT",6,(IF(E2137="AE",1,(IF(E2137="CM",2,(IF(E2137="DP",3,(IF(E2137="AN",1,(IF(E2137="CO",2,(IF(E2137="IM",3,(IF(E2137="MI",4,(IF(E2137="RP",5,(IF(E2137="SC",6,0)))))))))))))))))))))))))))))))))))))))</f>
        <v>5</v>
      </c>
      <c r="G2137" s="171">
        <v>1</v>
      </c>
      <c r="H2137" s="38" t="s">
        <v>511</v>
      </c>
      <c r="I2137" s="22" t="s">
        <v>266</v>
      </c>
      <c r="J2137" s="149" t="s">
        <v>483</v>
      </c>
      <c r="K2137" s="79" t="s">
        <v>1373</v>
      </c>
      <c r="L2137" s="66">
        <f>IF(O2137="","",N2137*O2137*M2137)</f>
        <v>75</v>
      </c>
      <c r="M2137" s="8">
        <v>1</v>
      </c>
      <c r="N2137" s="1">
        <v>1</v>
      </c>
      <c r="O2137" s="15">
        <f>IF(SUM(Q2137:AF2137)&lt;1,"",SUM(Q2137:AF2137)/COUNTIF(Q2137:AF2137,"&gt;0"))</f>
        <v>75</v>
      </c>
      <c r="P2137" s="16"/>
      <c r="Q2137" s="13"/>
      <c r="R2137" s="4"/>
      <c r="S2137" s="4"/>
      <c r="T2137" s="4">
        <v>75</v>
      </c>
      <c r="U2137" s="2"/>
      <c r="V2137" s="2"/>
      <c r="W2137" s="2"/>
      <c r="X2137" s="2"/>
      <c r="Y2137" s="4"/>
      <c r="Z2137" s="2"/>
      <c r="AA2137" s="2"/>
      <c r="AB2137" s="4"/>
      <c r="AC2137" s="4"/>
      <c r="AD2137" s="4"/>
      <c r="AE2137" s="4"/>
      <c r="AF2137" s="14"/>
    </row>
    <row r="2138" spans="1:32" x14ac:dyDescent="0.25">
      <c r="A2138" s="33" t="str">
        <f>CONCATENATE(D2138,".",F2138,"-",G2138,".",H2138,"")</f>
        <v>4.5-1.1</v>
      </c>
      <c r="B2138" s="33" t="s">
        <v>814</v>
      </c>
      <c r="C2138" s="39" t="s">
        <v>337</v>
      </c>
      <c r="D2138" s="33">
        <f>IF(C2138="ID",1,(IF(C2138="PR",2,(IF(C2138="DE",3,(IF(C2138="RS",4,(IF(C2138="RC",5,0)))))))))</f>
        <v>4</v>
      </c>
      <c r="E2138" s="33" t="s">
        <v>348</v>
      </c>
      <c r="F2138" s="33">
        <f>IF(E2138="AM",1,(IF(E2138="BE",2,(IF(E2138="GV",3,(IF(E2138="RA",4,(IF(E2138="RM",5,(IF(E2138="AC",1,(IF(E2138="AT",2,(IF(E2138="DS",3,(IF(E2138="IP",4,(IF(E2138="MA",5,(IF(E2138="PT",6,(IF(E2138="AE",1,(IF(E2138="CM",2,(IF(E2138="DP",3,(IF(E2138="AN",1,(IF(E2138="CO",2,(IF(E2138="IM",3,(IF(E2138="MI",4,(IF(E2138="RP",5,(IF(E2138="SC",6,0)))))))))))))))))))))))))))))))))))))))</f>
        <v>5</v>
      </c>
      <c r="G2138" s="171">
        <v>1</v>
      </c>
      <c r="H2138" s="38" t="s">
        <v>511</v>
      </c>
      <c r="I2138" s="22" t="s">
        <v>266</v>
      </c>
      <c r="J2138" s="149" t="s">
        <v>484</v>
      </c>
      <c r="K2138" s="79" t="s">
        <v>1374</v>
      </c>
      <c r="L2138" s="5">
        <f>IF(O2138="","",N2138*O2138*M2138)</f>
        <v>75</v>
      </c>
      <c r="M2138" s="8">
        <v>1</v>
      </c>
      <c r="N2138" s="1">
        <v>1</v>
      </c>
      <c r="O2138" s="15">
        <f>IF(SUM(Q2138:AF2138)&lt;1,"",SUM(Q2138:AF2138)/COUNTIF(Q2138:AF2138,"&gt;0"))</f>
        <v>75</v>
      </c>
      <c r="P2138" s="16"/>
      <c r="Q2138" s="13"/>
      <c r="R2138" s="4"/>
      <c r="S2138" s="4"/>
      <c r="T2138" s="4">
        <v>75</v>
      </c>
      <c r="U2138" s="2"/>
      <c r="V2138" s="2"/>
      <c r="W2138" s="2"/>
      <c r="X2138" s="2"/>
      <c r="Y2138" s="4"/>
      <c r="Z2138" s="2"/>
      <c r="AA2138" s="2"/>
      <c r="AB2138" s="4"/>
      <c r="AC2138" s="4"/>
      <c r="AD2138" s="4"/>
      <c r="AE2138" s="4"/>
      <c r="AF2138" s="14"/>
    </row>
    <row r="2139" spans="1:32" x14ac:dyDescent="0.25">
      <c r="A2139" s="33" t="str">
        <f>CONCATENATE(D2139,".",F2139,"-",G2139,".",H2139,"")</f>
        <v>4.5-1.1</v>
      </c>
      <c r="C2139" s="39" t="s">
        <v>337</v>
      </c>
      <c r="D2139" s="33">
        <f>IF(C2139="ID",1,(IF(C2139="PR",2,(IF(C2139="DE",3,(IF(C2139="RS",4,(IF(C2139="RC",5,0)))))))))</f>
        <v>4</v>
      </c>
      <c r="E2139" s="33" t="s">
        <v>348</v>
      </c>
      <c r="F2139" s="33">
        <f>IF(E2139="AM",1,(IF(E2139="BE",2,(IF(E2139="GV",3,(IF(E2139="RA",4,(IF(E2139="RM",5,(IF(E2139="AC",1,(IF(E2139="AT",2,(IF(E2139="DS",3,(IF(E2139="IP",4,(IF(E2139="MA",5,(IF(E2139="PT",6,(IF(E2139="AE",1,(IF(E2139="CM",2,(IF(E2139="DP",3,(IF(E2139="AN",1,(IF(E2139="CO",2,(IF(E2139="IM",3,(IF(E2139="MI",4,(IF(E2139="RP",5,(IF(E2139="SC",6,0)))))))))))))))))))))))))))))))))))))))</f>
        <v>5</v>
      </c>
      <c r="G2139" s="170">
        <v>1</v>
      </c>
      <c r="H2139" s="38" t="s">
        <v>511</v>
      </c>
      <c r="I2139" s="3" t="s">
        <v>1449</v>
      </c>
      <c r="J2139" s="157" t="s">
        <v>1971</v>
      </c>
      <c r="K2139" s="34" t="s">
        <v>1972</v>
      </c>
      <c r="L2139" s="5">
        <f>IF(O2139="","",N2139*O2139*M2139)</f>
        <v>99</v>
      </c>
      <c r="M2139" s="8">
        <v>1</v>
      </c>
      <c r="N2139" s="1">
        <v>1</v>
      </c>
      <c r="O2139" s="15">
        <f>IF(SUM(Q2139:AF2139)&lt;1,"",SUM(Q2139:AF2139)/COUNTIF(Q2139:AF2139,"&gt;0"))</f>
        <v>99</v>
      </c>
      <c r="P2139" s="16"/>
      <c r="Q2139" s="13"/>
      <c r="R2139" s="4"/>
      <c r="S2139" s="4"/>
      <c r="T2139" s="4">
        <v>99</v>
      </c>
      <c r="U2139" s="2"/>
      <c r="V2139" s="2"/>
      <c r="W2139" s="2"/>
      <c r="X2139" s="2"/>
      <c r="Y2139" s="4"/>
      <c r="Z2139" s="2"/>
      <c r="AA2139" s="2"/>
      <c r="AB2139" s="4"/>
      <c r="AC2139" s="4"/>
      <c r="AD2139" s="4"/>
      <c r="AE2139" s="4"/>
      <c r="AF2139" s="14"/>
    </row>
    <row r="2140" spans="1:32" x14ac:dyDescent="0.25">
      <c r="A2140" s="33" t="str">
        <f>CONCATENATE(D2140,".",F2140,"-",G2140,".",H2140,"")</f>
        <v>4.5-1.1</v>
      </c>
      <c r="C2140" s="39" t="s">
        <v>337</v>
      </c>
      <c r="D2140" s="33">
        <f>IF(C2140="ID",1,(IF(C2140="PR",2,(IF(C2140="DE",3,(IF(C2140="RS",4,(IF(C2140="RC",5,0)))))))))</f>
        <v>4</v>
      </c>
      <c r="E2140" s="33" t="s">
        <v>348</v>
      </c>
      <c r="F2140" s="33">
        <f>IF(E2140="AM",1,(IF(E2140="BE",2,(IF(E2140="GV",3,(IF(E2140="RA",4,(IF(E2140="RM",5,(IF(E2140="AC",1,(IF(E2140="AT",2,(IF(E2140="DS",3,(IF(E2140="IP",4,(IF(E2140="MA",5,(IF(E2140="PT",6,(IF(E2140="AE",1,(IF(E2140="CM",2,(IF(E2140="DP",3,(IF(E2140="AN",1,(IF(E2140="CO",2,(IF(E2140="IM",3,(IF(E2140="MI",4,(IF(E2140="RP",5,(IF(E2140="SC",6,0)))))))))))))))))))))))))))))))))))))))</f>
        <v>5</v>
      </c>
      <c r="G2140" s="170">
        <v>1</v>
      </c>
      <c r="H2140" s="38" t="s">
        <v>511</v>
      </c>
      <c r="I2140" s="3" t="s">
        <v>1449</v>
      </c>
      <c r="J2140" s="157" t="s">
        <v>1973</v>
      </c>
      <c r="K2140" s="34" t="s">
        <v>1974</v>
      </c>
      <c r="L2140" s="5">
        <f>IF(O2140="","",N2140*O2140*M2140)</f>
        <v>99</v>
      </c>
      <c r="M2140" s="8">
        <v>1</v>
      </c>
      <c r="N2140" s="1">
        <v>1</v>
      </c>
      <c r="O2140" s="15">
        <f>IF(SUM(Q2140:AF2140)&lt;1,"",SUM(Q2140:AF2140)/COUNTIF(Q2140:AF2140,"&gt;0"))</f>
        <v>99</v>
      </c>
      <c r="P2140" s="16"/>
      <c r="Q2140" s="13"/>
      <c r="R2140" s="4"/>
      <c r="S2140" s="4"/>
      <c r="T2140" s="4">
        <v>99</v>
      </c>
      <c r="U2140" s="2"/>
      <c r="V2140" s="2"/>
      <c r="W2140" s="2"/>
      <c r="X2140" s="2"/>
      <c r="Y2140" s="4"/>
      <c r="Z2140" s="2"/>
      <c r="AA2140" s="2"/>
      <c r="AB2140" s="4"/>
      <c r="AC2140" s="4"/>
      <c r="AD2140" s="4"/>
      <c r="AE2140" s="4"/>
      <c r="AF2140" s="14"/>
    </row>
    <row r="2141" spans="1:32" x14ac:dyDescent="0.25">
      <c r="A2141" s="33" t="str">
        <f>CONCATENATE(D2141,".",F2141,"-",G2141,".",H2141,"")</f>
        <v>4.5-1.1</v>
      </c>
      <c r="C2141" s="39" t="s">
        <v>337</v>
      </c>
      <c r="D2141" s="33">
        <f>IF(C2141="ID",1,(IF(C2141="PR",2,(IF(C2141="DE",3,(IF(C2141="RS",4,(IF(C2141="RC",5,0)))))))))</f>
        <v>4</v>
      </c>
      <c r="E2141" s="33" t="s">
        <v>348</v>
      </c>
      <c r="F2141" s="33">
        <f>IF(E2141="AM",1,(IF(E2141="BE",2,(IF(E2141="GV",3,(IF(E2141="RA",4,(IF(E2141="RM",5,(IF(E2141="AC",1,(IF(E2141="AT",2,(IF(E2141="DS",3,(IF(E2141="IP",4,(IF(E2141="MA",5,(IF(E2141="PT",6,(IF(E2141="AE",1,(IF(E2141="CM",2,(IF(E2141="DP",3,(IF(E2141="AN",1,(IF(E2141="CO",2,(IF(E2141="IM",3,(IF(E2141="MI",4,(IF(E2141="RP",5,(IF(E2141="SC",6,0)))))))))))))))))))))))))))))))))))))))</f>
        <v>5</v>
      </c>
      <c r="G2141" s="170">
        <v>1</v>
      </c>
      <c r="H2141" s="38" t="s">
        <v>511</v>
      </c>
      <c r="I2141" s="3" t="s">
        <v>1449</v>
      </c>
      <c r="J2141" s="157" t="s">
        <v>1975</v>
      </c>
      <c r="K2141" s="34" t="s">
        <v>1976</v>
      </c>
      <c r="L2141" s="5">
        <f>IF(O2141="","",N2141*O2141*M2141)</f>
        <v>99</v>
      </c>
      <c r="M2141" s="8">
        <v>1</v>
      </c>
      <c r="N2141" s="1">
        <v>1</v>
      </c>
      <c r="O2141" s="15">
        <f>IF(SUM(Q2141:AF2141)&lt;1,"",SUM(Q2141:AF2141)/COUNTIF(Q2141:AF2141,"&gt;0"))</f>
        <v>99</v>
      </c>
      <c r="P2141" s="16"/>
      <c r="Q2141" s="13"/>
      <c r="R2141" s="4"/>
      <c r="S2141" s="4"/>
      <c r="T2141" s="4">
        <v>99</v>
      </c>
      <c r="U2141" s="2"/>
      <c r="V2141" s="2"/>
      <c r="W2141" s="2"/>
      <c r="X2141" s="2"/>
      <c r="Y2141" s="4"/>
      <c r="Z2141" s="2"/>
      <c r="AA2141" s="2"/>
      <c r="AB2141" s="4"/>
      <c r="AC2141" s="4"/>
      <c r="AD2141" s="4"/>
      <c r="AE2141" s="4"/>
      <c r="AF2141" s="14"/>
    </row>
    <row r="2142" spans="1:32" x14ac:dyDescent="0.25">
      <c r="A2142" s="33" t="str">
        <f>CONCATENATE(D2142,".",F2142,"-",G2142,".",H2142,"")</f>
        <v>4.5-1.1</v>
      </c>
      <c r="C2142" s="39" t="s">
        <v>337</v>
      </c>
      <c r="D2142" s="33">
        <f>IF(C2142="ID",1,(IF(C2142="PR",2,(IF(C2142="DE",3,(IF(C2142="RS",4,(IF(C2142="RC",5,0)))))))))</f>
        <v>4</v>
      </c>
      <c r="E2142" s="33" t="s">
        <v>348</v>
      </c>
      <c r="F2142" s="33">
        <f>IF(E2142="AM",1,(IF(E2142="BE",2,(IF(E2142="GV",3,(IF(E2142="RA",4,(IF(E2142="RM",5,(IF(E2142="AC",1,(IF(E2142="AT",2,(IF(E2142="DS",3,(IF(E2142="IP",4,(IF(E2142="MA",5,(IF(E2142="PT",6,(IF(E2142="AE",1,(IF(E2142="CM",2,(IF(E2142="DP",3,(IF(E2142="AN",1,(IF(E2142="CO",2,(IF(E2142="IM",3,(IF(E2142="MI",4,(IF(E2142="RP",5,(IF(E2142="SC",6,0)))))))))))))))))))))))))))))))))))))))</f>
        <v>5</v>
      </c>
      <c r="G2142" s="170">
        <v>1</v>
      </c>
      <c r="H2142" s="38" t="s">
        <v>511</v>
      </c>
      <c r="I2142" s="3" t="s">
        <v>1449</v>
      </c>
      <c r="J2142" s="157" t="s">
        <v>1977</v>
      </c>
      <c r="K2142" s="34" t="s">
        <v>1978</v>
      </c>
      <c r="L2142" s="5">
        <f>IF(O2142="","",N2142*O2142*M2142)</f>
        <v>99</v>
      </c>
      <c r="M2142" s="8">
        <v>1</v>
      </c>
      <c r="N2142" s="1">
        <v>1</v>
      </c>
      <c r="O2142" s="15">
        <f>IF(SUM(Q2142:AF2142)&lt;1,"",SUM(Q2142:AF2142)/COUNTIF(Q2142:AF2142,"&gt;0"))</f>
        <v>99</v>
      </c>
      <c r="P2142" s="16"/>
      <c r="Q2142" s="13"/>
      <c r="R2142" s="4"/>
      <c r="S2142" s="4"/>
      <c r="T2142" s="4">
        <v>99</v>
      </c>
      <c r="U2142" s="2"/>
      <c r="V2142" s="2"/>
      <c r="W2142" s="2"/>
      <c r="X2142" s="2"/>
      <c r="Y2142" s="4"/>
      <c r="Z2142" s="2"/>
      <c r="AA2142" s="2"/>
      <c r="AB2142" s="4"/>
      <c r="AC2142" s="4"/>
      <c r="AD2142" s="4"/>
      <c r="AE2142" s="4"/>
      <c r="AF2142" s="14"/>
    </row>
    <row r="2143" spans="1:32" x14ac:dyDescent="0.25">
      <c r="A2143" s="33" t="str">
        <f>CONCATENATE(D2143,".",F2143,"-",G2143,".",H2143,"")</f>
        <v>4.5-1.1</v>
      </c>
      <c r="C2143" s="39" t="s">
        <v>337</v>
      </c>
      <c r="D2143" s="33">
        <f>IF(C2143="ID",1,(IF(C2143="PR",2,(IF(C2143="DE",3,(IF(C2143="RS",4,(IF(C2143="RC",5,0)))))))))</f>
        <v>4</v>
      </c>
      <c r="E2143" s="33" t="s">
        <v>348</v>
      </c>
      <c r="F2143" s="33">
        <f>IF(E2143="AM",1,(IF(E2143="BE",2,(IF(E2143="GV",3,(IF(E2143="RA",4,(IF(E2143="RM",5,(IF(E2143="AC",1,(IF(E2143="AT",2,(IF(E2143="DS",3,(IF(E2143="IP",4,(IF(E2143="MA",5,(IF(E2143="PT",6,(IF(E2143="AE",1,(IF(E2143="CM",2,(IF(E2143="DP",3,(IF(E2143="AN",1,(IF(E2143="CO",2,(IF(E2143="IM",3,(IF(E2143="MI",4,(IF(E2143="RP",5,(IF(E2143="SC",6,0)))))))))))))))))))))))))))))))))))))))</f>
        <v>5</v>
      </c>
      <c r="G2143" s="170">
        <v>1</v>
      </c>
      <c r="H2143" s="38" t="s">
        <v>511</v>
      </c>
      <c r="I2143" s="3" t="s">
        <v>1449</v>
      </c>
      <c r="J2143" s="157" t="s">
        <v>2201</v>
      </c>
      <c r="K2143" s="34" t="s">
        <v>2202</v>
      </c>
      <c r="L2143" s="5">
        <f>IF(O2143="","",N2143*O2143*M2143)</f>
        <v>99</v>
      </c>
      <c r="M2143" s="8">
        <v>1</v>
      </c>
      <c r="N2143" s="1">
        <v>1</v>
      </c>
      <c r="O2143" s="15">
        <f>IF(SUM(Q2143:AF2143)&lt;1,"",SUM(Q2143:AF2143)/COUNTIF(Q2143:AF2143,"&gt;0"))</f>
        <v>99</v>
      </c>
      <c r="P2143" s="16"/>
      <c r="Q2143" s="13"/>
      <c r="R2143" s="4"/>
      <c r="S2143" s="4"/>
      <c r="T2143" s="4">
        <v>99</v>
      </c>
      <c r="U2143" s="2"/>
      <c r="V2143" s="2"/>
      <c r="W2143" s="2"/>
      <c r="X2143" s="2"/>
      <c r="Y2143" s="4"/>
      <c r="Z2143" s="2"/>
      <c r="AA2143" s="2"/>
      <c r="AB2143" s="4"/>
      <c r="AC2143" s="4"/>
      <c r="AD2143" s="4"/>
      <c r="AE2143" s="4"/>
      <c r="AF2143" s="14"/>
    </row>
    <row r="2144" spans="1:32" x14ac:dyDescent="0.25">
      <c r="A2144" s="33" t="str">
        <f>CONCATENATE(D2144,".",F2144,"-",G2144,".",H2144,"")</f>
        <v>4.5-1.1</v>
      </c>
      <c r="C2144" s="39" t="s">
        <v>337</v>
      </c>
      <c r="D2144" s="33">
        <f>IF(C2144="ID",1,(IF(C2144="PR",2,(IF(C2144="DE",3,(IF(C2144="RS",4,(IF(C2144="RC",5,0)))))))))</f>
        <v>4</v>
      </c>
      <c r="E2144" s="33" t="s">
        <v>348</v>
      </c>
      <c r="F2144" s="33">
        <f>IF(E2144="AM",1,(IF(E2144="BE",2,(IF(E2144="GV",3,(IF(E2144="RA",4,(IF(E2144="RM",5,(IF(E2144="AC",1,(IF(E2144="AT",2,(IF(E2144="DS",3,(IF(E2144="IP",4,(IF(E2144="MA",5,(IF(E2144="PT",6,(IF(E2144="AE",1,(IF(E2144="CM",2,(IF(E2144="DP",3,(IF(E2144="AN",1,(IF(E2144="CO",2,(IF(E2144="IM",3,(IF(E2144="MI",4,(IF(E2144="RP",5,(IF(E2144="SC",6,0)))))))))))))))))))))))))))))))))))))))</f>
        <v>5</v>
      </c>
      <c r="G2144" s="170">
        <v>1</v>
      </c>
      <c r="H2144" s="38" t="s">
        <v>511</v>
      </c>
      <c r="I2144" s="3" t="s">
        <v>1449</v>
      </c>
      <c r="J2144" s="157" t="s">
        <v>2203</v>
      </c>
      <c r="K2144" s="34" t="s">
        <v>2204</v>
      </c>
      <c r="L2144" s="5">
        <f>IF(O2144="","",N2144*O2144*M2144)</f>
        <v>99</v>
      </c>
      <c r="M2144" s="8">
        <v>1</v>
      </c>
      <c r="N2144" s="1">
        <v>1</v>
      </c>
      <c r="O2144" s="15">
        <f>IF(SUM(Q2144:AF2144)&lt;1,"",SUM(Q2144:AF2144)/COUNTIF(Q2144:AF2144,"&gt;0"))</f>
        <v>99</v>
      </c>
      <c r="P2144" s="16"/>
      <c r="Q2144" s="13"/>
      <c r="R2144" s="4"/>
      <c r="S2144" s="4"/>
      <c r="T2144" s="4">
        <v>99</v>
      </c>
      <c r="U2144" s="2"/>
      <c r="V2144" s="2"/>
      <c r="W2144" s="2"/>
      <c r="X2144" s="2"/>
      <c r="Y2144" s="4"/>
      <c r="Z2144" s="2"/>
      <c r="AA2144" s="2"/>
      <c r="AB2144" s="4"/>
      <c r="AC2144" s="4"/>
      <c r="AD2144" s="4"/>
      <c r="AE2144" s="4"/>
      <c r="AF2144" s="14"/>
    </row>
    <row r="2145" spans="1:32" x14ac:dyDescent="0.25">
      <c r="A2145" s="33" t="str">
        <f>CONCATENATE(D2145,".",F2145,"-",G2145,".",H2145,"")</f>
        <v>4.5-1.1</v>
      </c>
      <c r="C2145" s="39" t="s">
        <v>337</v>
      </c>
      <c r="D2145" s="33">
        <f>IF(C2145="ID",1,(IF(C2145="PR",2,(IF(C2145="DE",3,(IF(C2145="RS",4,(IF(C2145="RC",5,0)))))))))</f>
        <v>4</v>
      </c>
      <c r="E2145" s="33" t="s">
        <v>348</v>
      </c>
      <c r="F2145" s="33">
        <f>IF(E2145="AM",1,(IF(E2145="BE",2,(IF(E2145="GV",3,(IF(E2145="RA",4,(IF(E2145="RM",5,(IF(E2145="AC",1,(IF(E2145="AT",2,(IF(E2145="DS",3,(IF(E2145="IP",4,(IF(E2145="MA",5,(IF(E2145="PT",6,(IF(E2145="AE",1,(IF(E2145="CM",2,(IF(E2145="DP",3,(IF(E2145="AN",1,(IF(E2145="CO",2,(IF(E2145="IM",3,(IF(E2145="MI",4,(IF(E2145="RP",5,(IF(E2145="SC",6,0)))))))))))))))))))))))))))))))))))))))</f>
        <v>5</v>
      </c>
      <c r="G2145" s="170">
        <v>1</v>
      </c>
      <c r="H2145" s="38" t="s">
        <v>511</v>
      </c>
      <c r="I2145" s="3" t="s">
        <v>1449</v>
      </c>
      <c r="J2145" s="157" t="s">
        <v>2205</v>
      </c>
      <c r="K2145" s="34" t="s">
        <v>2206</v>
      </c>
      <c r="L2145" s="5">
        <f>IF(O2145="","",N2145*O2145*M2145)</f>
        <v>99</v>
      </c>
      <c r="M2145" s="8">
        <v>1</v>
      </c>
      <c r="N2145" s="1">
        <v>1</v>
      </c>
      <c r="O2145" s="15">
        <f>IF(SUM(Q2145:AF2145)&lt;1,"",SUM(Q2145:AF2145)/COUNTIF(Q2145:AF2145,"&gt;0"))</f>
        <v>99</v>
      </c>
      <c r="P2145" s="16"/>
      <c r="Q2145" s="13"/>
      <c r="R2145" s="4"/>
      <c r="S2145" s="4"/>
      <c r="T2145" s="4">
        <v>99</v>
      </c>
      <c r="U2145" s="2"/>
      <c r="V2145" s="2"/>
      <c r="W2145" s="2"/>
      <c r="X2145" s="2"/>
      <c r="Y2145" s="4"/>
      <c r="Z2145" s="2"/>
      <c r="AA2145" s="2"/>
      <c r="AB2145" s="4"/>
      <c r="AC2145" s="4"/>
      <c r="AD2145" s="4"/>
      <c r="AE2145" s="4"/>
      <c r="AF2145" s="14"/>
    </row>
    <row r="2146" spans="1:32" x14ac:dyDescent="0.25">
      <c r="A2146" s="33" t="str">
        <f>CONCATENATE(D2146,".",F2146,"-",G2146,".",H2146,"")</f>
        <v>4.5-1.1</v>
      </c>
      <c r="C2146" s="39" t="s">
        <v>337</v>
      </c>
      <c r="D2146" s="33">
        <f>IF(C2146="ID",1,(IF(C2146="PR",2,(IF(C2146="DE",3,(IF(C2146="RS",4,(IF(C2146="RC",5,0)))))))))</f>
        <v>4</v>
      </c>
      <c r="E2146" s="33" t="s">
        <v>348</v>
      </c>
      <c r="F2146" s="33">
        <f>IF(E2146="AM",1,(IF(E2146="BE",2,(IF(E2146="GV",3,(IF(E2146="RA",4,(IF(E2146="RM",5,(IF(E2146="AC",1,(IF(E2146="AT",2,(IF(E2146="DS",3,(IF(E2146="IP",4,(IF(E2146="MA",5,(IF(E2146="PT",6,(IF(E2146="AE",1,(IF(E2146="CM",2,(IF(E2146="DP",3,(IF(E2146="AN",1,(IF(E2146="CO",2,(IF(E2146="IM",3,(IF(E2146="MI",4,(IF(E2146="RP",5,(IF(E2146="SC",6,0)))))))))))))))))))))))))))))))))))))))</f>
        <v>5</v>
      </c>
      <c r="G2146" s="170">
        <v>1</v>
      </c>
      <c r="H2146" s="38" t="s">
        <v>511</v>
      </c>
      <c r="I2146" s="3" t="s">
        <v>1449</v>
      </c>
      <c r="J2146" s="157" t="s">
        <v>2247</v>
      </c>
      <c r="K2146" s="34" t="s">
        <v>2248</v>
      </c>
      <c r="L2146" s="5">
        <f>IF(O2146="","",N2146*O2146*M2146)</f>
        <v>99</v>
      </c>
      <c r="M2146" s="8">
        <v>1</v>
      </c>
      <c r="N2146" s="1">
        <v>1</v>
      </c>
      <c r="O2146" s="15">
        <f>IF(SUM(Q2146:AF2146)&lt;1,"",SUM(Q2146:AF2146)/COUNTIF(Q2146:AF2146,"&gt;0"))</f>
        <v>99</v>
      </c>
      <c r="P2146" s="16"/>
      <c r="Q2146" s="13"/>
      <c r="R2146" s="4"/>
      <c r="S2146" s="4"/>
      <c r="T2146" s="4">
        <v>99</v>
      </c>
      <c r="U2146" s="2"/>
      <c r="V2146" s="2"/>
      <c r="W2146" s="2"/>
      <c r="X2146" s="2"/>
      <c r="Y2146" s="4"/>
      <c r="Z2146" s="2"/>
      <c r="AA2146" s="2"/>
      <c r="AB2146" s="4"/>
      <c r="AC2146" s="4"/>
      <c r="AD2146" s="4"/>
      <c r="AE2146" s="4"/>
      <c r="AF2146" s="14"/>
    </row>
    <row r="2147" spans="1:32" x14ac:dyDescent="0.25">
      <c r="A2147" s="33" t="str">
        <f>CONCATENATE(D2147,".",F2147,"-",G2147,".",H2147,"")</f>
        <v>4.5-1.1</v>
      </c>
      <c r="C2147" s="39" t="s">
        <v>337</v>
      </c>
      <c r="D2147" s="33">
        <f>IF(C2147="ID",1,(IF(C2147="PR",2,(IF(C2147="DE",3,(IF(C2147="RS",4,(IF(C2147="RC",5,0)))))))))</f>
        <v>4</v>
      </c>
      <c r="E2147" s="33" t="s">
        <v>348</v>
      </c>
      <c r="F2147" s="33">
        <f>IF(E2147="AM",1,(IF(E2147="BE",2,(IF(E2147="GV",3,(IF(E2147="RA",4,(IF(E2147="RM",5,(IF(E2147="AC",1,(IF(E2147="AT",2,(IF(E2147="DS",3,(IF(E2147="IP",4,(IF(E2147="MA",5,(IF(E2147="PT",6,(IF(E2147="AE",1,(IF(E2147="CM",2,(IF(E2147="DP",3,(IF(E2147="AN",1,(IF(E2147="CO",2,(IF(E2147="IM",3,(IF(E2147="MI",4,(IF(E2147="RP",5,(IF(E2147="SC",6,0)))))))))))))))))))))))))))))))))))))))</f>
        <v>5</v>
      </c>
      <c r="G2147" s="170">
        <v>1</v>
      </c>
      <c r="H2147" s="38" t="s">
        <v>511</v>
      </c>
      <c r="I2147" s="3" t="s">
        <v>1449</v>
      </c>
      <c r="J2147" s="157" t="s">
        <v>2249</v>
      </c>
      <c r="K2147" s="34" t="s">
        <v>2250</v>
      </c>
      <c r="L2147" s="5">
        <f>IF(O2147="","",N2147*O2147*M2147)</f>
        <v>99</v>
      </c>
      <c r="M2147" s="8">
        <v>1</v>
      </c>
      <c r="N2147" s="1">
        <v>1</v>
      </c>
      <c r="O2147" s="15">
        <f>IF(SUM(Q2147:AF2147)&lt;1,"",SUM(Q2147:AF2147)/COUNTIF(Q2147:AF2147,"&gt;0"))</f>
        <v>99</v>
      </c>
      <c r="P2147" s="16"/>
      <c r="Q2147" s="13"/>
      <c r="R2147" s="4"/>
      <c r="S2147" s="4"/>
      <c r="T2147" s="4">
        <v>99</v>
      </c>
      <c r="U2147" s="2"/>
      <c r="V2147" s="2"/>
      <c r="W2147" s="2"/>
      <c r="X2147" s="2"/>
      <c r="Y2147" s="4"/>
      <c r="Z2147" s="2"/>
      <c r="AA2147" s="2"/>
      <c r="AB2147" s="4"/>
      <c r="AC2147" s="4"/>
      <c r="AD2147" s="4"/>
      <c r="AE2147" s="4"/>
      <c r="AF2147" s="14"/>
    </row>
    <row r="2148" spans="1:32" x14ac:dyDescent="0.25">
      <c r="A2148" s="33" t="str">
        <f>CONCATENATE(D2148,".",F2148,"-",G2148,".",H2148,"")</f>
        <v>4.5-1.1</v>
      </c>
      <c r="C2148" s="39" t="s">
        <v>337</v>
      </c>
      <c r="D2148" s="33">
        <f>IF(C2148="ID",1,(IF(C2148="PR",2,(IF(C2148="DE",3,(IF(C2148="RS",4,(IF(C2148="RC",5,0)))))))))</f>
        <v>4</v>
      </c>
      <c r="E2148" s="33" t="s">
        <v>348</v>
      </c>
      <c r="F2148" s="33">
        <f>IF(E2148="AM",1,(IF(E2148="BE",2,(IF(E2148="GV",3,(IF(E2148="RA",4,(IF(E2148="RM",5,(IF(E2148="AC",1,(IF(E2148="AT",2,(IF(E2148="DS",3,(IF(E2148="IP",4,(IF(E2148="MA",5,(IF(E2148="PT",6,(IF(E2148="AE",1,(IF(E2148="CM",2,(IF(E2148="DP",3,(IF(E2148="AN",1,(IF(E2148="CO",2,(IF(E2148="IM",3,(IF(E2148="MI",4,(IF(E2148="RP",5,(IF(E2148="SC",6,0)))))))))))))))))))))))))))))))))))))))</f>
        <v>5</v>
      </c>
      <c r="G2148" s="170">
        <v>1</v>
      </c>
      <c r="H2148" s="38" t="s">
        <v>511</v>
      </c>
      <c r="I2148" s="3" t="s">
        <v>1449</v>
      </c>
      <c r="J2148" s="157" t="s">
        <v>2251</v>
      </c>
      <c r="K2148" s="34" t="s">
        <v>2252</v>
      </c>
      <c r="L2148" s="5">
        <f>IF(O2148="","",N2148*O2148*M2148)</f>
        <v>99</v>
      </c>
      <c r="M2148" s="8">
        <v>1</v>
      </c>
      <c r="N2148" s="1">
        <v>1</v>
      </c>
      <c r="O2148" s="15">
        <f>IF(SUM(Q2148:AF2148)&lt;1,"",SUM(Q2148:AF2148)/COUNTIF(Q2148:AF2148,"&gt;0"))</f>
        <v>99</v>
      </c>
      <c r="P2148" s="16"/>
      <c r="Q2148" s="13"/>
      <c r="R2148" s="4"/>
      <c r="S2148" s="4"/>
      <c r="T2148" s="4">
        <v>99</v>
      </c>
      <c r="U2148" s="2"/>
      <c r="V2148" s="2"/>
      <c r="W2148" s="2"/>
      <c r="X2148" s="2"/>
      <c r="Y2148" s="4"/>
      <c r="Z2148" s="2"/>
      <c r="AA2148" s="2"/>
      <c r="AB2148" s="4"/>
      <c r="AC2148" s="4"/>
      <c r="AD2148" s="4"/>
      <c r="AE2148" s="4"/>
      <c r="AF2148" s="14"/>
    </row>
    <row r="2149" spans="1:32" x14ac:dyDescent="0.25">
      <c r="A2149" s="33" t="str">
        <f>CONCATENATE(D2149,".",F2149,"-",G2149,".",H2149,"")</f>
        <v>4.5-1.1</v>
      </c>
      <c r="C2149" s="39" t="s">
        <v>337</v>
      </c>
      <c r="D2149" s="33">
        <f>IF(C2149="ID",1,(IF(C2149="PR",2,(IF(C2149="DE",3,(IF(C2149="RS",4,(IF(C2149="RC",5,0)))))))))</f>
        <v>4</v>
      </c>
      <c r="E2149" s="33" t="s">
        <v>348</v>
      </c>
      <c r="F2149" s="33">
        <f>IF(E2149="AM",1,(IF(E2149="BE",2,(IF(E2149="GV",3,(IF(E2149="RA",4,(IF(E2149="RM",5,(IF(E2149="AC",1,(IF(E2149="AT",2,(IF(E2149="DS",3,(IF(E2149="IP",4,(IF(E2149="MA",5,(IF(E2149="PT",6,(IF(E2149="AE",1,(IF(E2149="CM",2,(IF(E2149="DP",3,(IF(E2149="AN",1,(IF(E2149="CO",2,(IF(E2149="IM",3,(IF(E2149="MI",4,(IF(E2149="RP",5,(IF(E2149="SC",6,0)))))))))))))))))))))))))))))))))))))))</f>
        <v>5</v>
      </c>
      <c r="G2149" s="170">
        <v>1</v>
      </c>
      <c r="H2149" s="38" t="s">
        <v>511</v>
      </c>
      <c r="I2149" s="3" t="s">
        <v>1449</v>
      </c>
      <c r="J2149" s="157" t="s">
        <v>2255</v>
      </c>
      <c r="K2149" s="34" t="s">
        <v>2256</v>
      </c>
      <c r="L2149" s="5">
        <f>IF(O2149="","",N2149*O2149*M2149)</f>
        <v>99</v>
      </c>
      <c r="M2149" s="8">
        <v>1</v>
      </c>
      <c r="N2149" s="1">
        <v>1</v>
      </c>
      <c r="O2149" s="15">
        <f>IF(SUM(Q2149:AF2149)&lt;1,"",SUM(Q2149:AF2149)/COUNTIF(Q2149:AF2149,"&gt;0"))</f>
        <v>99</v>
      </c>
      <c r="P2149" s="16"/>
      <c r="Q2149" s="13"/>
      <c r="R2149" s="4"/>
      <c r="S2149" s="4"/>
      <c r="T2149" s="4">
        <v>99</v>
      </c>
      <c r="U2149" s="2"/>
      <c r="V2149" s="2"/>
      <c r="W2149" s="2"/>
      <c r="X2149" s="2"/>
      <c r="Y2149" s="4"/>
      <c r="Z2149" s="2"/>
      <c r="AA2149" s="2"/>
      <c r="AB2149" s="4"/>
      <c r="AC2149" s="4"/>
      <c r="AD2149" s="4"/>
      <c r="AE2149" s="4"/>
      <c r="AF2149" s="14"/>
    </row>
    <row r="2150" spans="1:32" x14ac:dyDescent="0.25">
      <c r="A2150" s="33" t="str">
        <f>CONCATENATE(D2150,".",F2150,"-",G2150,".",H2150,"")</f>
        <v>4.5-1.1</v>
      </c>
      <c r="C2150" s="39" t="s">
        <v>337</v>
      </c>
      <c r="D2150" s="33">
        <f>IF(C2150="ID",1,(IF(C2150="PR",2,(IF(C2150="DE",3,(IF(C2150="RS",4,(IF(C2150="RC",5,0)))))))))</f>
        <v>4</v>
      </c>
      <c r="E2150" s="33" t="s">
        <v>348</v>
      </c>
      <c r="F2150" s="33">
        <f>IF(E2150="AM",1,(IF(E2150="BE",2,(IF(E2150="GV",3,(IF(E2150="RA",4,(IF(E2150="RM",5,(IF(E2150="AC",1,(IF(E2150="AT",2,(IF(E2150="DS",3,(IF(E2150="IP",4,(IF(E2150="MA",5,(IF(E2150="PT",6,(IF(E2150="AE",1,(IF(E2150="CM",2,(IF(E2150="DP",3,(IF(E2150="AN",1,(IF(E2150="CO",2,(IF(E2150="IM",3,(IF(E2150="MI",4,(IF(E2150="RP",5,(IF(E2150="SC",6,0)))))))))))))))))))))))))))))))))))))))</f>
        <v>5</v>
      </c>
      <c r="G2150" s="170">
        <v>1</v>
      </c>
      <c r="H2150" s="38" t="s">
        <v>511</v>
      </c>
      <c r="I2150" s="3" t="s">
        <v>1449</v>
      </c>
      <c r="J2150" s="157" t="s">
        <v>2257</v>
      </c>
      <c r="K2150" s="34" t="s">
        <v>2258</v>
      </c>
      <c r="L2150" s="5">
        <f>IF(O2150="","",N2150*O2150*M2150)</f>
        <v>99</v>
      </c>
      <c r="M2150" s="8">
        <v>1</v>
      </c>
      <c r="N2150" s="1">
        <v>1</v>
      </c>
      <c r="O2150" s="15">
        <f>IF(SUM(Q2150:AF2150)&lt;1,"",SUM(Q2150:AF2150)/COUNTIF(Q2150:AF2150,"&gt;0"))</f>
        <v>99</v>
      </c>
      <c r="P2150" s="16"/>
      <c r="Q2150" s="13"/>
      <c r="R2150" s="4"/>
      <c r="S2150" s="4"/>
      <c r="T2150" s="4">
        <v>99</v>
      </c>
      <c r="U2150" s="2"/>
      <c r="V2150" s="2"/>
      <c r="W2150" s="2"/>
      <c r="X2150" s="2"/>
      <c r="Y2150" s="4"/>
      <c r="Z2150" s="2"/>
      <c r="AA2150" s="2"/>
      <c r="AB2150" s="4"/>
      <c r="AC2150" s="4"/>
      <c r="AD2150" s="4"/>
      <c r="AE2150" s="4"/>
      <c r="AF2150" s="14"/>
    </row>
    <row r="2151" spans="1:32" x14ac:dyDescent="0.25">
      <c r="A2151" s="33" t="str">
        <f>CONCATENATE(D2151,".",F2151,"-",G2151,".",H2151,"")</f>
        <v>4.5-1.1</v>
      </c>
      <c r="C2151" s="39" t="s">
        <v>337</v>
      </c>
      <c r="D2151" s="33">
        <f>IF(C2151="ID",1,(IF(C2151="PR",2,(IF(C2151="DE",3,(IF(C2151="RS",4,(IF(C2151="RC",5,0)))))))))</f>
        <v>4</v>
      </c>
      <c r="E2151" s="33" t="s">
        <v>348</v>
      </c>
      <c r="F2151" s="33">
        <f>IF(E2151="AM",1,(IF(E2151="BE",2,(IF(E2151="GV",3,(IF(E2151="RA",4,(IF(E2151="RM",5,(IF(E2151="AC",1,(IF(E2151="AT",2,(IF(E2151="DS",3,(IF(E2151="IP",4,(IF(E2151="MA",5,(IF(E2151="PT",6,(IF(E2151="AE",1,(IF(E2151="CM",2,(IF(E2151="DP",3,(IF(E2151="AN",1,(IF(E2151="CO",2,(IF(E2151="IM",3,(IF(E2151="MI",4,(IF(E2151="RP",5,(IF(E2151="SC",6,0)))))))))))))))))))))))))))))))))))))))</f>
        <v>5</v>
      </c>
      <c r="G2151" s="170">
        <v>1</v>
      </c>
      <c r="H2151" s="38" t="s">
        <v>511</v>
      </c>
      <c r="I2151" s="3" t="s">
        <v>1449</v>
      </c>
      <c r="J2151" s="157" t="s">
        <v>2259</v>
      </c>
      <c r="K2151" s="34" t="s">
        <v>2260</v>
      </c>
      <c r="L2151" s="5">
        <f>IF(O2151="","",N2151*O2151*M2151)</f>
        <v>99</v>
      </c>
      <c r="M2151" s="8">
        <v>1</v>
      </c>
      <c r="N2151" s="1">
        <v>1</v>
      </c>
      <c r="O2151" s="15">
        <f>IF(SUM(Q2151:AF2151)&lt;1,"",SUM(Q2151:AF2151)/COUNTIF(Q2151:AF2151,"&gt;0"))</f>
        <v>99</v>
      </c>
      <c r="P2151" s="16"/>
      <c r="Q2151" s="13"/>
      <c r="R2151" s="4"/>
      <c r="S2151" s="4"/>
      <c r="T2151" s="4">
        <v>99</v>
      </c>
      <c r="U2151" s="2"/>
      <c r="V2151" s="2"/>
      <c r="W2151" s="2"/>
      <c r="X2151" s="2"/>
      <c r="Y2151" s="4"/>
      <c r="Z2151" s="2"/>
      <c r="AA2151" s="2"/>
      <c r="AB2151" s="4"/>
      <c r="AC2151" s="4"/>
      <c r="AD2151" s="4"/>
      <c r="AE2151" s="4"/>
      <c r="AF2151" s="14"/>
    </row>
    <row r="2152" spans="1:32" x14ac:dyDescent="0.25">
      <c r="A2152" s="33" t="str">
        <f>CONCATENATE(D2152,".",F2152,"-",G2152,".",H2152,"")</f>
        <v>4.5-1.1</v>
      </c>
      <c r="C2152" s="39" t="s">
        <v>337</v>
      </c>
      <c r="D2152" s="33">
        <f>IF(C2152="ID",1,(IF(C2152="PR",2,(IF(C2152="DE",3,(IF(C2152="RS",4,(IF(C2152="RC",5,0)))))))))</f>
        <v>4</v>
      </c>
      <c r="E2152" s="33" t="s">
        <v>348</v>
      </c>
      <c r="F2152" s="33">
        <f>IF(E2152="AM",1,(IF(E2152="BE",2,(IF(E2152="GV",3,(IF(E2152="RA",4,(IF(E2152="RM",5,(IF(E2152="AC",1,(IF(E2152="AT",2,(IF(E2152="DS",3,(IF(E2152="IP",4,(IF(E2152="MA",5,(IF(E2152="PT",6,(IF(E2152="AE",1,(IF(E2152="CM",2,(IF(E2152="DP",3,(IF(E2152="AN",1,(IF(E2152="CO",2,(IF(E2152="IM",3,(IF(E2152="MI",4,(IF(E2152="RP",5,(IF(E2152="SC",6,0)))))))))))))))))))))))))))))))))))))))</f>
        <v>5</v>
      </c>
      <c r="G2152" s="170">
        <v>1</v>
      </c>
      <c r="H2152" s="38" t="s">
        <v>511</v>
      </c>
      <c r="I2152" s="3" t="s">
        <v>1449</v>
      </c>
      <c r="J2152" s="157" t="s">
        <v>2261</v>
      </c>
      <c r="K2152" s="34" t="s">
        <v>2262</v>
      </c>
      <c r="L2152" s="5">
        <f>IF(O2152="","",N2152*O2152*M2152)</f>
        <v>99</v>
      </c>
      <c r="M2152" s="8">
        <v>1</v>
      </c>
      <c r="N2152" s="1">
        <v>1</v>
      </c>
      <c r="O2152" s="15">
        <f>IF(SUM(Q2152:AF2152)&lt;1,"",SUM(Q2152:AF2152)/COUNTIF(Q2152:AF2152,"&gt;0"))</f>
        <v>99</v>
      </c>
      <c r="P2152" s="16"/>
      <c r="Q2152" s="13"/>
      <c r="R2152" s="4"/>
      <c r="S2152" s="4"/>
      <c r="T2152" s="4">
        <v>99</v>
      </c>
      <c r="U2152" s="2"/>
      <c r="V2152" s="2"/>
      <c r="W2152" s="2"/>
      <c r="X2152" s="2"/>
      <c r="Y2152" s="4"/>
      <c r="Z2152" s="2"/>
      <c r="AA2152" s="2"/>
      <c r="AB2152" s="4"/>
      <c r="AC2152" s="4"/>
      <c r="AD2152" s="4"/>
      <c r="AE2152" s="4"/>
      <c r="AF2152" s="14"/>
    </row>
    <row r="2153" spans="1:32" x14ac:dyDescent="0.25">
      <c r="A2153" s="33" t="str">
        <f>CONCATENATE(D2153,".",F2153,"-",G2153,".",H2153,"")</f>
        <v>4.5-1.1</v>
      </c>
      <c r="C2153" s="39" t="s">
        <v>337</v>
      </c>
      <c r="D2153" s="33">
        <f>IF(C2153="ID",1,(IF(C2153="PR",2,(IF(C2153="DE",3,(IF(C2153="RS",4,(IF(C2153="RC",5,0)))))))))</f>
        <v>4</v>
      </c>
      <c r="E2153" s="33" t="s">
        <v>348</v>
      </c>
      <c r="F2153" s="33">
        <f>IF(E2153="AM",1,(IF(E2153="BE",2,(IF(E2153="GV",3,(IF(E2153="RA",4,(IF(E2153="RM",5,(IF(E2153="AC",1,(IF(E2153="AT",2,(IF(E2153="DS",3,(IF(E2153="IP",4,(IF(E2153="MA",5,(IF(E2153="PT",6,(IF(E2153="AE",1,(IF(E2153="CM",2,(IF(E2153="DP",3,(IF(E2153="AN",1,(IF(E2153="CO",2,(IF(E2153="IM",3,(IF(E2153="MI",4,(IF(E2153="RP",5,(IF(E2153="SC",6,0)))))))))))))))))))))))))))))))))))))))</f>
        <v>5</v>
      </c>
      <c r="G2153" s="170">
        <v>1</v>
      </c>
      <c r="H2153" s="38" t="s">
        <v>511</v>
      </c>
      <c r="I2153" s="3" t="s">
        <v>1449</v>
      </c>
      <c r="J2153" s="157" t="s">
        <v>2263</v>
      </c>
      <c r="K2153" s="34" t="s">
        <v>2264</v>
      </c>
      <c r="L2153" s="5">
        <f>IF(O2153="","",N2153*O2153*M2153)</f>
        <v>99</v>
      </c>
      <c r="M2153" s="8">
        <v>1</v>
      </c>
      <c r="N2153" s="1">
        <v>1</v>
      </c>
      <c r="O2153" s="15">
        <f>IF(SUM(Q2153:AF2153)&lt;1,"",SUM(Q2153:AF2153)/COUNTIF(Q2153:AF2153,"&gt;0"))</f>
        <v>99</v>
      </c>
      <c r="P2153" s="16"/>
      <c r="Q2153" s="13"/>
      <c r="R2153" s="4"/>
      <c r="S2153" s="4"/>
      <c r="T2153" s="4">
        <v>99</v>
      </c>
      <c r="U2153" s="2"/>
      <c r="V2153" s="2"/>
      <c r="W2153" s="2"/>
      <c r="X2153" s="2"/>
      <c r="Y2153" s="4"/>
      <c r="Z2153" s="2"/>
      <c r="AA2153" s="2"/>
      <c r="AB2153" s="4"/>
      <c r="AC2153" s="4"/>
      <c r="AD2153" s="4"/>
      <c r="AE2153" s="4"/>
      <c r="AF2153" s="14"/>
    </row>
    <row r="2154" spans="1:32" x14ac:dyDescent="0.25">
      <c r="A2154" s="33" t="str">
        <f>CONCATENATE(D2154,".",F2154,"-",G2154,".",H2154,"")</f>
        <v>4.5-1.9</v>
      </c>
      <c r="B2154" s="33" t="s">
        <v>814</v>
      </c>
      <c r="C2154" s="39" t="s">
        <v>337</v>
      </c>
      <c r="D2154" s="33">
        <f>IF(C2154="ID",1,(IF(C2154="PR",2,(IF(C2154="DE",3,(IF(C2154="RS",4,(IF(C2154="RC",5,0)))))))))</f>
        <v>4</v>
      </c>
      <c r="E2154" s="33" t="s">
        <v>348</v>
      </c>
      <c r="F2154" s="33">
        <f>IF(E2154="AM",1,(IF(E2154="BE",2,(IF(E2154="GV",3,(IF(E2154="RA",4,(IF(E2154="RM",5,(IF(E2154="AC",1,(IF(E2154="AT",2,(IF(E2154="DS",3,(IF(E2154="IP",4,(IF(E2154="MA",5,(IF(E2154="PT",6,(IF(E2154="AE",1,(IF(E2154="CM",2,(IF(E2154="DP",3,(IF(E2154="AN",1,(IF(E2154="CO",2,(IF(E2154="IM",3,(IF(E2154="MI",4,(IF(E2154="RP",5,(IF(E2154="SC",6,0)))))))))))))))))))))))))))))))))))))))</f>
        <v>5</v>
      </c>
      <c r="G2154" s="170">
        <v>1</v>
      </c>
      <c r="H2154" s="38" t="s">
        <v>596</v>
      </c>
      <c r="I2154" s="22" t="s">
        <v>266</v>
      </c>
      <c r="J2154" s="149" t="s">
        <v>293</v>
      </c>
      <c r="K2154" s="79" t="s">
        <v>1370</v>
      </c>
      <c r="L2154" s="66">
        <f>IF(O2154="","",N2154*O2154*M2154)</f>
        <v>75</v>
      </c>
      <c r="M2154" s="8">
        <v>1</v>
      </c>
      <c r="N2154" s="1">
        <v>1</v>
      </c>
      <c r="O2154" s="15">
        <f>IF(SUM(Q2154:AF2154)&lt;1,"",SUM(Q2154:AF2154)/COUNTIF(Q2154:AF2154,"&gt;0"))</f>
        <v>75</v>
      </c>
      <c r="P2154" s="16"/>
      <c r="Q2154" s="13"/>
      <c r="R2154" s="4"/>
      <c r="S2154" s="4"/>
      <c r="T2154" s="4">
        <v>75</v>
      </c>
      <c r="U2154" s="2"/>
      <c r="V2154" s="2"/>
      <c r="W2154" s="2"/>
      <c r="X2154" s="2"/>
      <c r="Y2154" s="4"/>
      <c r="Z2154" s="2"/>
      <c r="AA2154" s="2"/>
      <c r="AB2154" s="4"/>
      <c r="AC2154" s="4"/>
      <c r="AD2154" s="4"/>
      <c r="AE2154" s="4"/>
      <c r="AF2154" s="14"/>
    </row>
    <row r="2155" spans="1:32" x14ac:dyDescent="0.25">
      <c r="A2155" s="33" t="str">
        <f>CONCATENATE(D2155,".",F2155,"-",G2155,".",H2155,"")</f>
        <v>5.2-0.0</v>
      </c>
      <c r="B2155" s="33" t="s">
        <v>1229</v>
      </c>
      <c r="C2155" s="40" t="s">
        <v>338</v>
      </c>
      <c r="D2155" s="33">
        <f>IF(C2155="ID",1,(IF(C2155="PR",2,(IF(C2155="DE",3,(IF(C2155="RS",4,(IF(C2155="RC",5,0)))))))))</f>
        <v>5</v>
      </c>
      <c r="E2155" s="33" t="s">
        <v>349</v>
      </c>
      <c r="F2155" s="33">
        <f>IF(E2155="AM",1,(IF(E2155="BE",2,(IF(E2155="GV",3,(IF(E2155="RA",4,(IF(E2155="RM",5,(IF(E2155="AC",1,(IF(E2155="AT",2,(IF(E2155="DS",3,(IF(E2155="IP",4,(IF(E2155="MA",5,(IF(E2155="PT",6,(IF(E2155="AE",1,(IF(E2155="CM",2,(IF(E2155="DP",3,(IF(E2155="AN",1,(IF(E2155="CO",2,(IF(E2155="IM",3,(IF(E2155="MI",4,(IF(E2155="RP",5,(IF(E2155="SC",6,0)))))))))))))))))))))))))))))))))))))))</f>
        <v>2</v>
      </c>
      <c r="G2155" s="170">
        <v>0</v>
      </c>
      <c r="H2155" s="38" t="s">
        <v>597</v>
      </c>
      <c r="I2155" s="22" t="s">
        <v>1200</v>
      </c>
      <c r="J2155" s="160" t="s">
        <v>699</v>
      </c>
      <c r="K2155" s="96" t="s">
        <v>746</v>
      </c>
      <c r="L2155" s="5" t="str">
        <f>IF(O2155="","",N2155*O2155*M2155)</f>
        <v/>
      </c>
      <c r="M2155" s="8">
        <v>1</v>
      </c>
      <c r="N2155" s="1">
        <v>1</v>
      </c>
      <c r="O2155" s="15" t="str">
        <f>IF(SUM(Q2155:AF2155)&lt;1,"",SUM(Q2155:AF2155)/COUNTIF(Q2155:AF2155,"&gt;0"))</f>
        <v/>
      </c>
      <c r="P2155" s="16"/>
      <c r="Q2155" s="13"/>
      <c r="R2155" s="4"/>
      <c r="S2155" s="4"/>
      <c r="T2155" s="2"/>
      <c r="U2155" s="2"/>
      <c r="V2155" s="2"/>
      <c r="W2155" s="2"/>
      <c r="X2155" s="2"/>
      <c r="Y2155" s="4"/>
      <c r="Z2155" s="2"/>
      <c r="AA2155" s="2"/>
      <c r="AB2155" s="4"/>
      <c r="AC2155" s="4"/>
      <c r="AD2155" s="4"/>
      <c r="AE2155" s="4"/>
      <c r="AF2155" s="14"/>
    </row>
    <row r="2156" spans="1:32" x14ac:dyDescent="0.25">
      <c r="A2156" s="33" t="str">
        <f>CONCATENATE(D2156,".",F2156,"-",G2156,".",H2156,"")</f>
        <v>5.2-0.1</v>
      </c>
      <c r="B2156" s="33" t="s">
        <v>1229</v>
      </c>
      <c r="C2156" s="40" t="s">
        <v>338</v>
      </c>
      <c r="D2156" s="33">
        <f>IF(C2156="ID",1,(IF(C2156="PR",2,(IF(C2156="DE",3,(IF(C2156="RS",4,(IF(C2156="RC",5,0)))))))))</f>
        <v>5</v>
      </c>
      <c r="E2156" s="33" t="s">
        <v>349</v>
      </c>
      <c r="F2156" s="33">
        <f>IF(E2156="AM",1,(IF(E2156="BE",2,(IF(E2156="GV",3,(IF(E2156="RA",4,(IF(E2156="RM",5,(IF(E2156="AC",1,(IF(E2156="AT",2,(IF(E2156="DS",3,(IF(E2156="IP",4,(IF(E2156="MA",5,(IF(E2156="PT",6,(IF(E2156="AE",1,(IF(E2156="CM",2,(IF(E2156="DP",3,(IF(E2156="AN",1,(IF(E2156="CO",2,(IF(E2156="IM",3,(IF(E2156="MI",4,(IF(E2156="RP",5,(IF(E2156="SC",6,0)))))))))))))))))))))))))))))))))))))))</f>
        <v>2</v>
      </c>
      <c r="G2156" s="170">
        <v>0</v>
      </c>
      <c r="H2156" s="38" t="s">
        <v>511</v>
      </c>
      <c r="I2156" s="22" t="s">
        <v>1200</v>
      </c>
      <c r="J2156" s="160" t="s">
        <v>699</v>
      </c>
      <c r="K2156" s="96" t="s">
        <v>763</v>
      </c>
      <c r="L2156" s="5" t="str">
        <f>IF(O2156="","",N2156*O2156*M2156)</f>
        <v/>
      </c>
      <c r="M2156" s="8">
        <v>1</v>
      </c>
      <c r="N2156" s="1">
        <v>1</v>
      </c>
      <c r="O2156" s="15" t="str">
        <f>IF(SUM(Q2156:AF2156)&lt;1,"",SUM(Q2156:AF2156)/COUNTIF(Q2156:AF2156,"&gt;0"))</f>
        <v/>
      </c>
      <c r="P2156" s="16"/>
      <c r="Q2156" s="13"/>
      <c r="R2156" s="4"/>
      <c r="S2156" s="4"/>
      <c r="T2156" s="2"/>
      <c r="U2156" s="2"/>
      <c r="V2156" s="2"/>
      <c r="W2156" s="2"/>
      <c r="X2156" s="2"/>
      <c r="Y2156" s="4"/>
      <c r="Z2156" s="2"/>
      <c r="AA2156" s="2"/>
      <c r="AB2156" s="4"/>
      <c r="AC2156" s="4"/>
      <c r="AD2156" s="4"/>
      <c r="AE2156" s="4"/>
      <c r="AF2156" s="14"/>
    </row>
    <row r="2157" spans="1:32" x14ac:dyDescent="0.25">
      <c r="A2157" s="33" t="str">
        <f>CONCATENATE(D2157,".",F2157,"-",G2157,".",H2157,"")</f>
        <v>5.2-1.0</v>
      </c>
      <c r="B2157" s="33" t="s">
        <v>814</v>
      </c>
      <c r="C2157" s="40" t="s">
        <v>338</v>
      </c>
      <c r="D2157" s="33">
        <f>IF(C2157="ID",1,(IF(C2157="PR",2,(IF(C2157="DE",3,(IF(C2157="RS",4,(IF(C2157="RC",5,0)))))))))</f>
        <v>5</v>
      </c>
      <c r="E2157" s="33" t="s">
        <v>349</v>
      </c>
      <c r="F2157" s="33">
        <f>IF(E2157="AM",1,(IF(E2157="BE",2,(IF(E2157="GV",3,(IF(E2157="RA",4,(IF(E2157="RM",5,(IF(E2157="AC",1,(IF(E2157="AT",2,(IF(E2157="DS",3,(IF(E2157="IP",4,(IF(E2157="MA",5,(IF(E2157="PT",6,(IF(E2157="AE",1,(IF(E2157="CM",2,(IF(E2157="DP",3,(IF(E2157="AN",1,(IF(E2157="CO",2,(IF(E2157="IM",3,(IF(E2157="MI",4,(IF(E2157="RP",5,(IF(E2157="SC",6,0)))))))))))))))))))))))))))))))))))))))</f>
        <v>2</v>
      </c>
      <c r="G2157" s="170">
        <v>1</v>
      </c>
      <c r="H2157" s="38" t="s">
        <v>597</v>
      </c>
      <c r="I2157" s="22" t="s">
        <v>1200</v>
      </c>
      <c r="J2157" s="149" t="s">
        <v>622</v>
      </c>
      <c r="K2157" s="96" t="s">
        <v>442</v>
      </c>
      <c r="L2157" s="5">
        <f>IF(O2157="","",N2157*O2157*M2157)</f>
        <v>75</v>
      </c>
      <c r="M2157" s="8">
        <v>1</v>
      </c>
      <c r="N2157" s="1">
        <v>1</v>
      </c>
      <c r="O2157" s="15">
        <f>IF(SUM(Q2157:AF2157)&lt;1,"",SUM(Q2157:AF2157)/COUNTIF(Q2157:AF2157,"&gt;0"))</f>
        <v>75</v>
      </c>
      <c r="P2157" s="16"/>
      <c r="Q2157" s="13"/>
      <c r="R2157" s="4"/>
      <c r="S2157" s="4"/>
      <c r="T2157" s="4">
        <v>75</v>
      </c>
      <c r="U2157" s="2"/>
      <c r="V2157" s="2"/>
      <c r="W2157" s="2"/>
      <c r="X2157" s="2"/>
      <c r="Y2157" s="4"/>
      <c r="Z2157" s="2"/>
      <c r="AA2157" s="2"/>
      <c r="AB2157" s="4"/>
      <c r="AC2157" s="4"/>
      <c r="AD2157" s="4"/>
      <c r="AE2157" s="4"/>
      <c r="AF2157" s="14"/>
    </row>
    <row r="2158" spans="1:32" x14ac:dyDescent="0.25">
      <c r="A2158" s="33" t="str">
        <f>CONCATENATE(D2158,".",F2158,"-",G2158,".",H2158,"")</f>
        <v>5.2-1.1</v>
      </c>
      <c r="B2158" s="33" t="s">
        <v>814</v>
      </c>
      <c r="C2158" s="40" t="s">
        <v>338</v>
      </c>
      <c r="D2158" s="33">
        <f>IF(C2158="ID",1,(IF(C2158="PR",2,(IF(C2158="DE",3,(IF(C2158="RS",4,(IF(C2158="RC",5,0)))))))))</f>
        <v>5</v>
      </c>
      <c r="E2158" s="33" t="s">
        <v>349</v>
      </c>
      <c r="F2158" s="33">
        <f>IF(E2158="AM",1,(IF(E2158="BE",2,(IF(E2158="GV",3,(IF(E2158="RA",4,(IF(E2158="RM",5,(IF(E2158="AC",1,(IF(E2158="AT",2,(IF(E2158="DS",3,(IF(E2158="IP",4,(IF(E2158="MA",5,(IF(E2158="PT",6,(IF(E2158="AE",1,(IF(E2158="CM",2,(IF(E2158="DP",3,(IF(E2158="AN",1,(IF(E2158="CO",2,(IF(E2158="IM",3,(IF(E2158="MI",4,(IF(E2158="RP",5,(IF(E2158="SC",6,0)))))))))))))))))))))))))))))))))))))))</f>
        <v>2</v>
      </c>
      <c r="G2158" s="171">
        <v>1</v>
      </c>
      <c r="H2158" s="38" t="s">
        <v>511</v>
      </c>
      <c r="I2158" s="22" t="s">
        <v>936</v>
      </c>
      <c r="J2158" s="163" t="s">
        <v>934</v>
      </c>
      <c r="K2158" s="34" t="s">
        <v>970</v>
      </c>
      <c r="L2158" s="66">
        <f>IF(O2158="","",N2158*O2158*M2158)</f>
        <v>75</v>
      </c>
      <c r="M2158" s="8">
        <v>1</v>
      </c>
      <c r="N2158" s="3">
        <v>1</v>
      </c>
      <c r="O2158" s="15">
        <f>IF(SUM(Q2158:AF2158)&lt;1,"",SUM(Q2158:AF2158)/COUNTIF(Q2158:AF2158,"&gt;0"))</f>
        <v>75</v>
      </c>
      <c r="P2158" s="16"/>
      <c r="Q2158" s="13"/>
      <c r="R2158" s="4"/>
      <c r="S2158" s="4"/>
      <c r="T2158" s="4">
        <v>75</v>
      </c>
      <c r="U2158" s="2"/>
      <c r="V2158" s="2"/>
      <c r="W2158" s="2"/>
      <c r="X2158" s="2"/>
      <c r="Y2158" s="4"/>
      <c r="Z2158" s="2"/>
      <c r="AA2158" s="2"/>
      <c r="AB2158" s="4"/>
      <c r="AC2158" s="4"/>
      <c r="AD2158" s="4"/>
      <c r="AE2158" s="4"/>
      <c r="AF2158" s="14"/>
    </row>
    <row r="2159" spans="1:32" x14ac:dyDescent="0.25">
      <c r="A2159" s="33" t="str">
        <f>CONCATENATE(D2159,".",F2159,"-",G2159,".",H2159,"")</f>
        <v>5.2-1.1</v>
      </c>
      <c r="B2159" s="33" t="s">
        <v>814</v>
      </c>
      <c r="C2159" s="41" t="s">
        <v>338</v>
      </c>
      <c r="D2159" s="33">
        <f>IF(C2159="ID",1,(IF(C2159="PR",2,(IF(C2159="DE",3,(IF(C2159="RS",4,(IF(C2159="RC",5,0)))))))))</f>
        <v>5</v>
      </c>
      <c r="E2159" s="33" t="s">
        <v>349</v>
      </c>
      <c r="F2159" s="33">
        <f>IF(E2159="AM",1,(IF(E2159="BE",2,(IF(E2159="GV",3,(IF(E2159="RA",4,(IF(E2159="RM",5,(IF(E2159="AC",1,(IF(E2159="AT",2,(IF(E2159="DS",3,(IF(E2159="IP",4,(IF(E2159="MA",5,(IF(E2159="PT",6,(IF(E2159="AE",1,(IF(E2159="CM",2,(IF(E2159="DP",3,(IF(E2159="AN",1,(IF(E2159="CO",2,(IF(E2159="IM",3,(IF(E2159="MI",4,(IF(E2159="RP",5,(IF(E2159="SC",6,0)))))))))))))))))))))))))))))))))))))))</f>
        <v>2</v>
      </c>
      <c r="G2159" s="170">
        <v>1</v>
      </c>
      <c r="H2159" s="38" t="s">
        <v>511</v>
      </c>
      <c r="I2159" s="22" t="s">
        <v>266</v>
      </c>
      <c r="J2159" s="149" t="s">
        <v>278</v>
      </c>
      <c r="K2159" s="79" t="s">
        <v>1367</v>
      </c>
      <c r="L2159" s="5">
        <f>IF(O2159="","",N2159*O2159*M2159)</f>
        <v>75</v>
      </c>
      <c r="M2159" s="8">
        <v>1</v>
      </c>
      <c r="N2159" s="1">
        <v>1</v>
      </c>
      <c r="O2159" s="15">
        <f>IF(SUM(Q2159:AF2159)&lt;1,"",SUM(Q2159:AF2159)/COUNTIF(Q2159:AF2159,"&gt;0"))</f>
        <v>75</v>
      </c>
      <c r="P2159" s="16"/>
      <c r="Q2159" s="13"/>
      <c r="R2159" s="4"/>
      <c r="S2159" s="4"/>
      <c r="T2159" s="4">
        <v>75</v>
      </c>
      <c r="U2159" s="2"/>
      <c r="V2159" s="2"/>
      <c r="W2159" s="2"/>
      <c r="X2159" s="2"/>
      <c r="Y2159" s="4"/>
      <c r="Z2159" s="2"/>
      <c r="AA2159" s="2"/>
      <c r="AB2159" s="4"/>
      <c r="AC2159" s="4"/>
      <c r="AD2159" s="4"/>
      <c r="AE2159" s="4"/>
      <c r="AF2159" s="14"/>
    </row>
    <row r="2160" spans="1:32" x14ac:dyDescent="0.25">
      <c r="A2160" s="33" t="str">
        <f>CONCATENATE(D2160,".",F2160,"-",G2160,".",H2160,"")</f>
        <v>5.2-1.1</v>
      </c>
      <c r="B2160" s="33" t="s">
        <v>814</v>
      </c>
      <c r="C2160" s="40" t="s">
        <v>338</v>
      </c>
      <c r="D2160" s="33">
        <f>IF(C2160="ID",1,(IF(C2160="PR",2,(IF(C2160="DE",3,(IF(C2160="RS",4,(IF(C2160="RC",5,0)))))))))</f>
        <v>5</v>
      </c>
      <c r="E2160" s="33" t="s">
        <v>349</v>
      </c>
      <c r="F2160" s="33">
        <f>IF(E2160="AM",1,(IF(E2160="BE",2,(IF(E2160="GV",3,(IF(E2160="RA",4,(IF(E2160="RM",5,(IF(E2160="AC",1,(IF(E2160="AT",2,(IF(E2160="DS",3,(IF(E2160="IP",4,(IF(E2160="MA",5,(IF(E2160="PT",6,(IF(E2160="AE",1,(IF(E2160="CM",2,(IF(E2160="DP",3,(IF(E2160="AN",1,(IF(E2160="CO",2,(IF(E2160="IM",3,(IF(E2160="MI",4,(IF(E2160="RP",5,(IF(E2160="SC",6,0)))))))))))))))))))))))))))))))))))))))</f>
        <v>2</v>
      </c>
      <c r="G2160" s="171">
        <v>1</v>
      </c>
      <c r="H2160" s="38" t="s">
        <v>511</v>
      </c>
      <c r="I2160" s="22" t="s">
        <v>936</v>
      </c>
      <c r="J2160" s="148" t="s">
        <v>969</v>
      </c>
      <c r="K2160" t="s">
        <v>935</v>
      </c>
      <c r="L2160" s="66">
        <f>IF(O2160="","",N2160*O2160*M2160)</f>
        <v>75</v>
      </c>
      <c r="M2160" s="8">
        <v>1</v>
      </c>
      <c r="N2160" s="3">
        <v>1</v>
      </c>
      <c r="O2160" s="15">
        <f>IF(SUM(Q2160:AF2160)&lt;1,"",SUM(Q2160:AF2160)/COUNTIF(Q2160:AF2160,"&gt;0"))</f>
        <v>75</v>
      </c>
      <c r="P2160" s="16"/>
      <c r="Q2160" s="13"/>
      <c r="R2160" s="4"/>
      <c r="S2160" s="4"/>
      <c r="T2160" s="4">
        <v>75</v>
      </c>
      <c r="U2160" s="2"/>
      <c r="V2160" s="2"/>
      <c r="W2160" s="2"/>
      <c r="X2160" s="2"/>
      <c r="Y2160" s="4"/>
      <c r="Z2160" s="2"/>
      <c r="AA2160" s="2"/>
      <c r="AB2160" s="4"/>
      <c r="AC2160" s="4"/>
      <c r="AD2160" s="4"/>
      <c r="AE2160" s="4"/>
      <c r="AF2160" s="14"/>
    </row>
    <row r="2161" spans="1:32" x14ac:dyDescent="0.25">
      <c r="A2161" s="33" t="str">
        <f>CONCATENATE(D2161,".",F2161,"-",G2161,".",H2161,"")</f>
        <v>5.2-1.9</v>
      </c>
      <c r="C2161" s="39" t="s">
        <v>338</v>
      </c>
      <c r="D2161" s="33">
        <f>IF(C2161="ID",1,(IF(C2161="PR",2,(IF(C2161="DE",3,(IF(C2161="RS",4,(IF(C2161="RC",5,0)))))))))</f>
        <v>5</v>
      </c>
      <c r="E2161" s="33" t="s">
        <v>349</v>
      </c>
      <c r="F2161" s="33">
        <f>IF(E2161="AM",1,(IF(E2161="BE",2,(IF(E2161="GV",3,(IF(E2161="RA",4,(IF(E2161="RM",5,(IF(E2161="AC",1,(IF(E2161="AT",2,(IF(E2161="DS",3,(IF(E2161="IP",4,(IF(E2161="MA",5,(IF(E2161="PT",6,(IF(E2161="AE",1,(IF(E2161="CM",2,(IF(E2161="DP",3,(IF(E2161="AN",1,(IF(E2161="CO",2,(IF(E2161="IM",3,(IF(E2161="MI",4,(IF(E2161="RP",5,(IF(E2161="SC",6,0)))))))))))))))))))))))))))))))))))))))</f>
        <v>2</v>
      </c>
      <c r="G2161" s="170">
        <v>1</v>
      </c>
      <c r="H2161" s="38" t="s">
        <v>596</v>
      </c>
      <c r="I2161" s="3" t="s">
        <v>1449</v>
      </c>
      <c r="J2161" s="157" t="s">
        <v>3019</v>
      </c>
      <c r="K2161" s="34" t="s">
        <v>3020</v>
      </c>
      <c r="L2161" s="5">
        <f>IF(O2161="","",N2161*O2161*M2161)</f>
        <v>99</v>
      </c>
      <c r="M2161" s="8">
        <v>1</v>
      </c>
      <c r="N2161" s="1">
        <v>1</v>
      </c>
      <c r="O2161" s="15">
        <f>IF(SUM(Q2161:AF2161)&lt;1,"",SUM(Q2161:AF2161)/COUNTIF(Q2161:AF2161,"&gt;0"))</f>
        <v>99</v>
      </c>
      <c r="P2161" s="16"/>
      <c r="Q2161" s="13"/>
      <c r="R2161" s="4"/>
      <c r="S2161" s="4"/>
      <c r="T2161" s="4">
        <v>99</v>
      </c>
      <c r="U2161" s="2"/>
      <c r="V2161" s="2"/>
      <c r="W2161" s="2"/>
      <c r="X2161" s="2"/>
      <c r="Y2161" s="4"/>
      <c r="Z2161" s="2"/>
      <c r="AA2161" s="2"/>
      <c r="AB2161" s="4"/>
      <c r="AC2161" s="4"/>
      <c r="AD2161" s="4"/>
      <c r="AE2161" s="4"/>
      <c r="AF2161" s="14"/>
    </row>
    <row r="2162" spans="1:32" x14ac:dyDescent="0.25">
      <c r="A2162" s="33" t="str">
        <f>CONCATENATE(D2162,".",F2162,"-",G2162,".",H2162,"")</f>
        <v>5.2-2.0</v>
      </c>
      <c r="B2162" s="33" t="s">
        <v>814</v>
      </c>
      <c r="C2162" s="40" t="s">
        <v>338</v>
      </c>
      <c r="D2162" s="33">
        <f>IF(C2162="ID",1,(IF(C2162="PR",2,(IF(C2162="DE",3,(IF(C2162="RS",4,(IF(C2162="RC",5,0)))))))))</f>
        <v>5</v>
      </c>
      <c r="E2162" s="33" t="s">
        <v>349</v>
      </c>
      <c r="F2162" s="33">
        <f>IF(E2162="AM",1,(IF(E2162="BE",2,(IF(E2162="GV",3,(IF(E2162="RA",4,(IF(E2162="RM",5,(IF(E2162="AC",1,(IF(E2162="AT",2,(IF(E2162="DS",3,(IF(E2162="IP",4,(IF(E2162="MA",5,(IF(E2162="PT",6,(IF(E2162="AE",1,(IF(E2162="CM",2,(IF(E2162="DP",3,(IF(E2162="AN",1,(IF(E2162="CO",2,(IF(E2162="IM",3,(IF(E2162="MI",4,(IF(E2162="RP",5,(IF(E2162="SC",6,0)))))))))))))))))))))))))))))))))))))))</f>
        <v>2</v>
      </c>
      <c r="G2162" s="170">
        <v>2</v>
      </c>
      <c r="H2162" s="38" t="s">
        <v>597</v>
      </c>
      <c r="I2162" s="22" t="s">
        <v>1200</v>
      </c>
      <c r="J2162" s="149" t="s">
        <v>700</v>
      </c>
      <c r="K2162" s="96" t="s">
        <v>443</v>
      </c>
      <c r="L2162" s="5">
        <f>IF(O2162="","",N2162*O2162*M2162)</f>
        <v>75</v>
      </c>
      <c r="M2162" s="8">
        <v>1</v>
      </c>
      <c r="N2162" s="1">
        <v>1</v>
      </c>
      <c r="O2162" s="15">
        <f>IF(SUM(Q2162:AF2162)&lt;1,"",SUM(Q2162:AF2162)/COUNTIF(Q2162:AF2162,"&gt;0"))</f>
        <v>75</v>
      </c>
      <c r="P2162" s="16"/>
      <c r="Q2162" s="13"/>
      <c r="R2162" s="4"/>
      <c r="S2162" s="4"/>
      <c r="T2162" s="4">
        <v>75</v>
      </c>
      <c r="U2162" s="2"/>
      <c r="V2162" s="2"/>
      <c r="W2162" s="2"/>
      <c r="X2162" s="2"/>
      <c r="Y2162" s="4"/>
      <c r="Z2162" s="2"/>
      <c r="AA2162" s="2"/>
      <c r="AB2162" s="4"/>
      <c r="AC2162" s="4"/>
      <c r="AD2162" s="4"/>
      <c r="AE2162" s="4"/>
      <c r="AF2162" s="14"/>
    </row>
    <row r="2163" spans="1:32" x14ac:dyDescent="0.25">
      <c r="A2163" s="33" t="str">
        <f>CONCATENATE(D2163,".",F2163,"-",G2163,".",H2163,"")</f>
        <v>5.2-2.1</v>
      </c>
      <c r="B2163" s="33" t="s">
        <v>814</v>
      </c>
      <c r="C2163" s="40" t="s">
        <v>338</v>
      </c>
      <c r="D2163" s="33">
        <f>IF(C2163="ID",1,(IF(C2163="PR",2,(IF(C2163="DE",3,(IF(C2163="RS",4,(IF(C2163="RC",5,0)))))))))</f>
        <v>5</v>
      </c>
      <c r="E2163" s="33" t="s">
        <v>349</v>
      </c>
      <c r="F2163" s="33">
        <f>IF(E2163="AM",1,(IF(E2163="BE",2,(IF(E2163="GV",3,(IF(E2163="RA",4,(IF(E2163="RM",5,(IF(E2163="AC",1,(IF(E2163="AT",2,(IF(E2163="DS",3,(IF(E2163="IP",4,(IF(E2163="MA",5,(IF(E2163="PT",6,(IF(E2163="AE",1,(IF(E2163="CM",2,(IF(E2163="DP",3,(IF(E2163="AN",1,(IF(E2163="CO",2,(IF(E2163="IM",3,(IF(E2163="MI",4,(IF(E2163="RP",5,(IF(E2163="SC",6,0)))))))))))))))))))))))))))))))))))))))</f>
        <v>2</v>
      </c>
      <c r="G2163" s="171">
        <v>2</v>
      </c>
      <c r="H2163" s="38" t="s">
        <v>511</v>
      </c>
      <c r="I2163" s="22" t="s">
        <v>936</v>
      </c>
      <c r="J2163" s="163" t="s">
        <v>934</v>
      </c>
      <c r="K2163" s="34" t="s">
        <v>970</v>
      </c>
      <c r="L2163" s="66">
        <f>IF(O2163="","",N2163*O2163*M2163)</f>
        <v>75</v>
      </c>
      <c r="M2163" s="8">
        <v>1</v>
      </c>
      <c r="N2163" s="3">
        <v>1</v>
      </c>
      <c r="O2163" s="15">
        <f>IF(SUM(Q2163:AF2163)&lt;1,"",SUM(Q2163:AF2163)/COUNTIF(Q2163:AF2163,"&gt;0"))</f>
        <v>75</v>
      </c>
      <c r="P2163" s="16"/>
      <c r="Q2163" s="13"/>
      <c r="R2163" s="4"/>
      <c r="S2163" s="4"/>
      <c r="T2163" s="4">
        <v>75</v>
      </c>
      <c r="U2163" s="2"/>
      <c r="V2163" s="2"/>
      <c r="W2163" s="2"/>
      <c r="X2163" s="2"/>
      <c r="Y2163" s="4"/>
      <c r="Z2163" s="2"/>
      <c r="AA2163" s="2"/>
      <c r="AB2163" s="4"/>
      <c r="AC2163" s="4"/>
      <c r="AD2163" s="4"/>
      <c r="AE2163" s="4"/>
      <c r="AF2163" s="14"/>
    </row>
    <row r="2164" spans="1:32" x14ac:dyDescent="0.25">
      <c r="A2164" s="33" t="str">
        <f>CONCATENATE(D2164,".",F2164,"-",G2164,".",H2164,"")</f>
        <v>5.2-2.1</v>
      </c>
      <c r="B2164" s="33" t="s">
        <v>814</v>
      </c>
      <c r="C2164" s="41" t="s">
        <v>338</v>
      </c>
      <c r="D2164" s="33">
        <f>IF(C2164="ID",1,(IF(C2164="PR",2,(IF(C2164="DE",3,(IF(C2164="RS",4,(IF(C2164="RC",5,0)))))))))</f>
        <v>5</v>
      </c>
      <c r="E2164" s="33" t="s">
        <v>349</v>
      </c>
      <c r="F2164" s="33">
        <f>IF(E2164="AM",1,(IF(E2164="BE",2,(IF(E2164="GV",3,(IF(E2164="RA",4,(IF(E2164="RM",5,(IF(E2164="AC",1,(IF(E2164="AT",2,(IF(E2164="DS",3,(IF(E2164="IP",4,(IF(E2164="MA",5,(IF(E2164="PT",6,(IF(E2164="AE",1,(IF(E2164="CM",2,(IF(E2164="DP",3,(IF(E2164="AN",1,(IF(E2164="CO",2,(IF(E2164="IM",3,(IF(E2164="MI",4,(IF(E2164="RP",5,(IF(E2164="SC",6,0)))))))))))))))))))))))))))))))))))))))</f>
        <v>2</v>
      </c>
      <c r="G2164" s="170">
        <v>2</v>
      </c>
      <c r="H2164" s="38" t="s">
        <v>511</v>
      </c>
      <c r="I2164" s="22" t="s">
        <v>266</v>
      </c>
      <c r="J2164" s="149" t="s">
        <v>278</v>
      </c>
      <c r="K2164" s="79" t="s">
        <v>1367</v>
      </c>
      <c r="L2164" s="5">
        <f>IF(O2164="","",N2164*O2164*M2164)</f>
        <v>75</v>
      </c>
      <c r="M2164" s="8">
        <v>1</v>
      </c>
      <c r="N2164" s="1">
        <v>1</v>
      </c>
      <c r="O2164" s="15">
        <f>IF(SUM(Q2164:AF2164)&lt;1,"",SUM(Q2164:AF2164)/COUNTIF(Q2164:AF2164,"&gt;0"))</f>
        <v>75</v>
      </c>
      <c r="P2164" s="16"/>
      <c r="Q2164" s="13"/>
      <c r="R2164" s="4"/>
      <c r="S2164" s="4"/>
      <c r="T2164" s="4">
        <v>75</v>
      </c>
      <c r="U2164" s="2"/>
      <c r="V2164" s="2"/>
      <c r="W2164" s="2"/>
      <c r="X2164" s="2"/>
      <c r="Y2164" s="4"/>
      <c r="Z2164" s="2"/>
      <c r="AA2164" s="2"/>
      <c r="AB2164" s="4"/>
      <c r="AC2164" s="4"/>
      <c r="AD2164" s="4"/>
      <c r="AE2164" s="4"/>
      <c r="AF2164" s="14"/>
    </row>
    <row r="2165" spans="1:32" x14ac:dyDescent="0.25">
      <c r="A2165" s="33" t="str">
        <f>CONCATENATE(D2165,".",F2165,"-",G2165,".",H2165,"")</f>
        <v>5.2-2.1</v>
      </c>
      <c r="B2165" s="33" t="s">
        <v>814</v>
      </c>
      <c r="C2165" s="41" t="s">
        <v>338</v>
      </c>
      <c r="D2165" s="33">
        <f>IF(C2165="ID",1,(IF(C2165="PR",2,(IF(C2165="DE",3,(IF(C2165="RS",4,(IF(C2165="RC",5,0)))))))))</f>
        <v>5</v>
      </c>
      <c r="E2165" s="33" t="s">
        <v>349</v>
      </c>
      <c r="F2165" s="33">
        <f>IF(E2165="AM",1,(IF(E2165="BE",2,(IF(E2165="GV",3,(IF(E2165="RA",4,(IF(E2165="RM",5,(IF(E2165="AC",1,(IF(E2165="AT",2,(IF(E2165="DS",3,(IF(E2165="IP",4,(IF(E2165="MA",5,(IF(E2165="PT",6,(IF(E2165="AE",1,(IF(E2165="CM",2,(IF(E2165="DP",3,(IF(E2165="AN",1,(IF(E2165="CO",2,(IF(E2165="IM",3,(IF(E2165="MI",4,(IF(E2165="RP",5,(IF(E2165="SC",6,0)))))))))))))))))))))))))))))))))))))))</f>
        <v>2</v>
      </c>
      <c r="G2165" s="170">
        <v>2</v>
      </c>
      <c r="H2165" s="38" t="s">
        <v>511</v>
      </c>
      <c r="I2165" s="22" t="s">
        <v>266</v>
      </c>
      <c r="J2165" s="149" t="s">
        <v>293</v>
      </c>
      <c r="K2165" s="79" t="s">
        <v>1370</v>
      </c>
      <c r="L2165" s="5">
        <f>IF(O2165="","",N2165*O2165*M2165)</f>
        <v>75</v>
      </c>
      <c r="M2165" s="8">
        <v>1</v>
      </c>
      <c r="N2165" s="1">
        <v>1</v>
      </c>
      <c r="O2165" s="15">
        <f>IF(SUM(Q2165:AF2165)&lt;1,"",SUM(Q2165:AF2165)/COUNTIF(Q2165:AF2165,"&gt;0"))</f>
        <v>75</v>
      </c>
      <c r="P2165" s="16"/>
      <c r="Q2165" s="13"/>
      <c r="R2165" s="4"/>
      <c r="S2165" s="4"/>
      <c r="T2165" s="4">
        <v>75</v>
      </c>
      <c r="U2165" s="2"/>
      <c r="V2165" s="2"/>
      <c r="W2165" s="2"/>
      <c r="X2165" s="2"/>
      <c r="Y2165" s="4"/>
      <c r="Z2165" s="2"/>
      <c r="AA2165" s="2"/>
      <c r="AB2165" s="4"/>
      <c r="AC2165" s="4"/>
      <c r="AD2165" s="4"/>
      <c r="AE2165" s="4"/>
      <c r="AF2165" s="14"/>
    </row>
    <row r="2166" spans="1:32" x14ac:dyDescent="0.25">
      <c r="A2166" s="33" t="str">
        <f>CONCATENATE(D2166,".",F2166,"-",G2166,".",H2166,"")</f>
        <v>5.2-2.1</v>
      </c>
      <c r="B2166" s="33" t="s">
        <v>814</v>
      </c>
      <c r="C2166" s="40" t="s">
        <v>338</v>
      </c>
      <c r="D2166" s="33">
        <f>IF(C2166="ID",1,(IF(C2166="PR",2,(IF(C2166="DE",3,(IF(C2166="RS",4,(IF(C2166="RC",5,0)))))))))</f>
        <v>5</v>
      </c>
      <c r="E2166" s="33" t="s">
        <v>349</v>
      </c>
      <c r="F2166" s="33">
        <f>IF(E2166="AM",1,(IF(E2166="BE",2,(IF(E2166="GV",3,(IF(E2166="RA",4,(IF(E2166="RM",5,(IF(E2166="AC",1,(IF(E2166="AT",2,(IF(E2166="DS",3,(IF(E2166="IP",4,(IF(E2166="MA",5,(IF(E2166="PT",6,(IF(E2166="AE",1,(IF(E2166="CM",2,(IF(E2166="DP",3,(IF(E2166="AN",1,(IF(E2166="CO",2,(IF(E2166="IM",3,(IF(E2166="MI",4,(IF(E2166="RP",5,(IF(E2166="SC",6,0)))))))))))))))))))))))))))))))))))))))</f>
        <v>2</v>
      </c>
      <c r="G2166" s="171">
        <v>2</v>
      </c>
      <c r="H2166" s="38" t="s">
        <v>511</v>
      </c>
      <c r="I2166" s="22" t="s">
        <v>936</v>
      </c>
      <c r="J2166" s="148" t="s">
        <v>969</v>
      </c>
      <c r="K2166" t="s">
        <v>935</v>
      </c>
      <c r="L2166" s="66">
        <f>IF(O2166="","",N2166*O2166*M2166)</f>
        <v>75</v>
      </c>
      <c r="M2166" s="8">
        <v>1</v>
      </c>
      <c r="N2166" s="3">
        <v>1</v>
      </c>
      <c r="O2166" s="15">
        <f>IF(SUM(Q2166:AF2166)&lt;1,"",SUM(Q2166:AF2166)/COUNTIF(Q2166:AF2166,"&gt;0"))</f>
        <v>75</v>
      </c>
      <c r="P2166" s="16"/>
      <c r="Q2166" s="13"/>
      <c r="R2166" s="4"/>
      <c r="S2166" s="4"/>
      <c r="T2166" s="4">
        <v>75</v>
      </c>
      <c r="U2166" s="2"/>
      <c r="V2166" s="2"/>
      <c r="W2166" s="2"/>
      <c r="X2166" s="2"/>
      <c r="Y2166" s="4"/>
      <c r="Z2166" s="2"/>
      <c r="AA2166" s="2"/>
      <c r="AB2166" s="4"/>
      <c r="AC2166" s="4"/>
      <c r="AD2166" s="4"/>
      <c r="AE2166" s="4"/>
      <c r="AF2166" s="14"/>
    </row>
    <row r="2167" spans="1:32" x14ac:dyDescent="0.25">
      <c r="A2167" s="33" t="str">
        <f>CONCATENATE(D2167,".",F2167,"-",G2167,".",H2167,"")</f>
        <v>5.2-3.0</v>
      </c>
      <c r="B2167" s="33" t="s">
        <v>814</v>
      </c>
      <c r="C2167" s="40" t="s">
        <v>338</v>
      </c>
      <c r="D2167" s="33">
        <f>IF(C2167="ID",1,(IF(C2167="PR",2,(IF(C2167="DE",3,(IF(C2167="RS",4,(IF(C2167="RC",5,0)))))))))</f>
        <v>5</v>
      </c>
      <c r="E2167" s="33" t="s">
        <v>349</v>
      </c>
      <c r="F2167" s="33">
        <f>IF(E2167="AM",1,(IF(E2167="BE",2,(IF(E2167="GV",3,(IF(E2167="RA",4,(IF(E2167="RM",5,(IF(E2167="AC",1,(IF(E2167="AT",2,(IF(E2167="DS",3,(IF(E2167="IP",4,(IF(E2167="MA",5,(IF(E2167="PT",6,(IF(E2167="AE",1,(IF(E2167="CM",2,(IF(E2167="DP",3,(IF(E2167="AN",1,(IF(E2167="CO",2,(IF(E2167="IM",3,(IF(E2167="MI",4,(IF(E2167="RP",5,(IF(E2167="SC",6,0)))))))))))))))))))))))))))))))))))))))</f>
        <v>2</v>
      </c>
      <c r="G2167" s="170">
        <v>3</v>
      </c>
      <c r="H2167" s="38" t="s">
        <v>597</v>
      </c>
      <c r="I2167" s="22" t="s">
        <v>1200</v>
      </c>
      <c r="J2167" s="149" t="s">
        <v>701</v>
      </c>
      <c r="K2167" s="96" t="s">
        <v>437</v>
      </c>
      <c r="L2167" s="5">
        <f>IF(O2167="","",N2167*O2167*M2167)</f>
        <v>75</v>
      </c>
      <c r="M2167" s="8">
        <v>1</v>
      </c>
      <c r="N2167" s="1">
        <v>1</v>
      </c>
      <c r="O2167" s="15">
        <f>IF(SUM(Q2167:AF2167)&lt;1,"",SUM(Q2167:AF2167)/COUNTIF(Q2167:AF2167,"&gt;0"))</f>
        <v>75</v>
      </c>
      <c r="P2167" s="16"/>
      <c r="Q2167" s="13"/>
      <c r="R2167" s="4"/>
      <c r="S2167" s="4"/>
      <c r="T2167" s="4">
        <v>75</v>
      </c>
      <c r="U2167" s="4"/>
      <c r="V2167" s="4"/>
      <c r="W2167" s="4"/>
      <c r="X2167" s="2"/>
      <c r="Y2167" s="4"/>
      <c r="Z2167" s="2"/>
      <c r="AA2167" s="2"/>
      <c r="AB2167" s="4"/>
      <c r="AC2167" s="4"/>
      <c r="AD2167" s="4"/>
      <c r="AE2167" s="4"/>
      <c r="AF2167" s="14"/>
    </row>
    <row r="2168" spans="1:32" x14ac:dyDescent="0.25">
      <c r="A2168" s="33" t="str">
        <f>CONCATENATE(D2168,".",F2168,"-",G2168,".",H2168,"")</f>
        <v>5.2-3.1</v>
      </c>
      <c r="B2168" s="33" t="s">
        <v>814</v>
      </c>
      <c r="C2168" s="40" t="s">
        <v>338</v>
      </c>
      <c r="D2168" s="33">
        <f>IF(C2168="ID",1,(IF(C2168="PR",2,(IF(C2168="DE",3,(IF(C2168="RS",4,(IF(C2168="RC",5,0)))))))))</f>
        <v>5</v>
      </c>
      <c r="E2168" s="33" t="s">
        <v>349</v>
      </c>
      <c r="F2168" s="33">
        <f>IF(E2168="AM",1,(IF(E2168="BE",2,(IF(E2168="GV",3,(IF(E2168="RA",4,(IF(E2168="RM",5,(IF(E2168="AC",1,(IF(E2168="AT",2,(IF(E2168="DS",3,(IF(E2168="IP",4,(IF(E2168="MA",5,(IF(E2168="PT",6,(IF(E2168="AE",1,(IF(E2168="CM",2,(IF(E2168="DP",3,(IF(E2168="AN",1,(IF(E2168="CO",2,(IF(E2168="IM",3,(IF(E2168="MI",4,(IF(E2168="RP",5,(IF(E2168="SC",6,0)))))))))))))))))))))))))))))))))))))))</f>
        <v>2</v>
      </c>
      <c r="G2168" s="171">
        <v>3</v>
      </c>
      <c r="H2168" s="38" t="s">
        <v>511</v>
      </c>
      <c r="I2168" s="22" t="s">
        <v>936</v>
      </c>
      <c r="J2168" s="163" t="s">
        <v>885</v>
      </c>
      <c r="K2168" s="34" t="s">
        <v>985</v>
      </c>
      <c r="L2168" s="66">
        <f>IF(O2168="","",N2168*O2168*M2168)</f>
        <v>75</v>
      </c>
      <c r="M2168" s="8">
        <v>1</v>
      </c>
      <c r="N2168" s="3">
        <v>1</v>
      </c>
      <c r="O2168" s="15">
        <f>IF(SUM(Q2168:AF2168)&lt;1,"",SUM(Q2168:AF2168)/COUNTIF(Q2168:AF2168,"&gt;0"))</f>
        <v>75</v>
      </c>
      <c r="P2168" s="16"/>
      <c r="Q2168" s="13"/>
      <c r="R2168" s="4"/>
      <c r="S2168" s="4"/>
      <c r="T2168" s="4">
        <v>75</v>
      </c>
      <c r="U2168" s="2"/>
      <c r="V2168" s="2"/>
      <c r="W2168" s="2"/>
      <c r="X2168" s="2"/>
      <c r="Y2168" s="4"/>
      <c r="Z2168" s="2"/>
      <c r="AA2168" s="2"/>
      <c r="AB2168" s="4"/>
      <c r="AC2168" s="4"/>
      <c r="AD2168" s="4"/>
      <c r="AE2168" s="4"/>
      <c r="AF2168" s="14"/>
    </row>
    <row r="2169" spans="1:32" x14ac:dyDescent="0.25">
      <c r="A2169" s="33" t="str">
        <f>CONCATENATE(D2169,".",F2169,"-",G2169,".",H2169,"")</f>
        <v>5.2-3.1</v>
      </c>
      <c r="B2169" s="33" t="s">
        <v>814</v>
      </c>
      <c r="C2169" s="40" t="s">
        <v>338</v>
      </c>
      <c r="D2169" s="33">
        <f>IF(C2169="ID",1,(IF(C2169="PR",2,(IF(C2169="DE",3,(IF(C2169="RS",4,(IF(C2169="RC",5,0)))))))))</f>
        <v>5</v>
      </c>
      <c r="E2169" s="33" t="s">
        <v>349</v>
      </c>
      <c r="F2169" s="33">
        <f>IF(E2169="AM",1,(IF(E2169="BE",2,(IF(E2169="GV",3,(IF(E2169="RA",4,(IF(E2169="RM",5,(IF(E2169="AC",1,(IF(E2169="AT",2,(IF(E2169="DS",3,(IF(E2169="IP",4,(IF(E2169="MA",5,(IF(E2169="PT",6,(IF(E2169="AE",1,(IF(E2169="CM",2,(IF(E2169="DP",3,(IF(E2169="AN",1,(IF(E2169="CO",2,(IF(E2169="IM",3,(IF(E2169="MI",4,(IF(E2169="RP",5,(IF(E2169="SC",6,0)))))))))))))))))))))))))))))))))))))))</f>
        <v>2</v>
      </c>
      <c r="G2169" s="171">
        <v>3</v>
      </c>
      <c r="H2169" s="38" t="s">
        <v>511</v>
      </c>
      <c r="I2169" s="22" t="s">
        <v>936</v>
      </c>
      <c r="J2169" s="163" t="s">
        <v>877</v>
      </c>
      <c r="K2169" s="34" t="s">
        <v>989</v>
      </c>
      <c r="L2169" s="66">
        <f>IF(O2169="","",N2169*O2169*M2169)</f>
        <v>75</v>
      </c>
      <c r="M2169" s="8">
        <v>1</v>
      </c>
      <c r="N2169" s="3">
        <v>1</v>
      </c>
      <c r="O2169" s="15">
        <f>IF(SUM(Q2169:AF2169)&lt;1,"",SUM(Q2169:AF2169)/COUNTIF(Q2169:AF2169,"&gt;0"))</f>
        <v>75</v>
      </c>
      <c r="P2169" s="16"/>
      <c r="Q2169" s="13"/>
      <c r="R2169" s="4"/>
      <c r="S2169" s="4"/>
      <c r="T2169" s="4">
        <v>75</v>
      </c>
      <c r="U2169" s="2"/>
      <c r="V2169" s="2"/>
      <c r="W2169" s="2"/>
      <c r="X2169" s="2"/>
      <c r="Y2169" s="4"/>
      <c r="Z2169" s="2"/>
      <c r="AA2169" s="2"/>
      <c r="AB2169" s="4"/>
      <c r="AC2169" s="4"/>
      <c r="AD2169" s="4"/>
      <c r="AE2169" s="4"/>
      <c r="AF2169" s="14"/>
    </row>
    <row r="2170" spans="1:32" x14ac:dyDescent="0.25">
      <c r="A2170" s="33" t="str">
        <f>CONCATENATE(D2170,".",F2170,"-",G2170,".",H2170,"")</f>
        <v>5.2-3.1</v>
      </c>
      <c r="B2170" s="33" t="s">
        <v>814</v>
      </c>
      <c r="C2170" s="40" t="s">
        <v>338</v>
      </c>
      <c r="D2170" s="33">
        <f>IF(C2170="ID",1,(IF(C2170="PR",2,(IF(C2170="DE",3,(IF(C2170="RS",4,(IF(C2170="RC",5,0)))))))))</f>
        <v>5</v>
      </c>
      <c r="E2170" s="33" t="s">
        <v>349</v>
      </c>
      <c r="F2170" s="33">
        <f>IF(E2170="AM",1,(IF(E2170="BE",2,(IF(E2170="GV",3,(IF(E2170="RA",4,(IF(E2170="RM",5,(IF(E2170="AC",1,(IF(E2170="AT",2,(IF(E2170="DS",3,(IF(E2170="IP",4,(IF(E2170="MA",5,(IF(E2170="PT",6,(IF(E2170="AE",1,(IF(E2170="CM",2,(IF(E2170="DP",3,(IF(E2170="AN",1,(IF(E2170="CO",2,(IF(E2170="IM",3,(IF(E2170="MI",4,(IF(E2170="RP",5,(IF(E2170="SC",6,0)))))))))))))))))))))))))))))))))))))))</f>
        <v>2</v>
      </c>
      <c r="G2170" s="171">
        <v>3</v>
      </c>
      <c r="H2170" s="38" t="s">
        <v>511</v>
      </c>
      <c r="I2170" s="22" t="s">
        <v>936</v>
      </c>
      <c r="J2170" s="163" t="s">
        <v>878</v>
      </c>
      <c r="K2170" s="34" t="s">
        <v>938</v>
      </c>
      <c r="L2170" s="66">
        <f>IF(O2170="","",N2170*O2170*M2170)</f>
        <v>75</v>
      </c>
      <c r="M2170" s="8">
        <v>1</v>
      </c>
      <c r="N2170" s="3">
        <v>1</v>
      </c>
      <c r="O2170" s="15">
        <f>IF(SUM(Q2170:AF2170)&lt;1,"",SUM(Q2170:AF2170)/COUNTIF(Q2170:AF2170,"&gt;0"))</f>
        <v>75</v>
      </c>
      <c r="P2170" s="16"/>
      <c r="Q2170" s="13"/>
      <c r="R2170" s="4"/>
      <c r="S2170" s="4"/>
      <c r="T2170" s="4">
        <v>75</v>
      </c>
      <c r="U2170" s="2"/>
      <c r="V2170" s="2"/>
      <c r="W2170" s="2"/>
      <c r="X2170" s="2"/>
      <c r="Y2170" s="4"/>
      <c r="Z2170" s="2"/>
      <c r="AA2170" s="2"/>
      <c r="AB2170" s="4"/>
      <c r="AC2170" s="4"/>
      <c r="AD2170" s="4"/>
      <c r="AE2170" s="4"/>
      <c r="AF2170" s="14"/>
    </row>
    <row r="2171" spans="1:32" x14ac:dyDescent="0.25">
      <c r="A2171" s="33" t="str">
        <f>CONCATENATE(D2171,".",F2171,"-",G2171,".",H2171,"")</f>
        <v>5.2-3.1</v>
      </c>
      <c r="B2171" s="33" t="s">
        <v>814</v>
      </c>
      <c r="C2171" s="40" t="s">
        <v>338</v>
      </c>
      <c r="D2171" s="33">
        <f>IF(C2171="ID",1,(IF(C2171="PR",2,(IF(C2171="DE",3,(IF(C2171="RS",4,(IF(C2171="RC",5,0)))))))))</f>
        <v>5</v>
      </c>
      <c r="E2171" s="33" t="s">
        <v>349</v>
      </c>
      <c r="F2171" s="33">
        <f>IF(E2171="AM",1,(IF(E2171="BE",2,(IF(E2171="GV",3,(IF(E2171="RA",4,(IF(E2171="RM",5,(IF(E2171="AC",1,(IF(E2171="AT",2,(IF(E2171="DS",3,(IF(E2171="IP",4,(IF(E2171="MA",5,(IF(E2171="PT",6,(IF(E2171="AE",1,(IF(E2171="CM",2,(IF(E2171="DP",3,(IF(E2171="AN",1,(IF(E2171="CO",2,(IF(E2171="IM",3,(IF(E2171="MI",4,(IF(E2171="RP",5,(IF(E2171="SC",6,0)))))))))))))))))))))))))))))))))))))))</f>
        <v>2</v>
      </c>
      <c r="G2171" s="171">
        <v>3</v>
      </c>
      <c r="H2171" s="38" t="s">
        <v>511</v>
      </c>
      <c r="I2171" s="22" t="s">
        <v>936</v>
      </c>
      <c r="J2171" s="163" t="s">
        <v>895</v>
      </c>
      <c r="K2171" s="34" t="s">
        <v>1008</v>
      </c>
      <c r="L2171" s="66">
        <f>IF(O2171="","",N2171*O2171*M2171)</f>
        <v>75</v>
      </c>
      <c r="M2171" s="8">
        <v>1</v>
      </c>
      <c r="N2171" s="3">
        <v>1</v>
      </c>
      <c r="O2171" s="15">
        <f>IF(SUM(Q2171:AF2171)&lt;1,"",SUM(Q2171:AF2171)/COUNTIF(Q2171:AF2171,"&gt;0"))</f>
        <v>75</v>
      </c>
      <c r="P2171" s="16"/>
      <c r="Q2171" s="13"/>
      <c r="R2171" s="4"/>
      <c r="S2171" s="4"/>
      <c r="T2171" s="4">
        <v>75</v>
      </c>
      <c r="U2171" s="2"/>
      <c r="V2171" s="2"/>
      <c r="W2171" s="2"/>
      <c r="X2171" s="2"/>
      <c r="Y2171" s="4"/>
      <c r="Z2171" s="2"/>
      <c r="AA2171" s="2"/>
      <c r="AB2171" s="4"/>
      <c r="AC2171" s="4"/>
      <c r="AD2171" s="4"/>
      <c r="AE2171" s="4"/>
      <c r="AF2171" s="14"/>
    </row>
    <row r="2172" spans="1:32" x14ac:dyDescent="0.25">
      <c r="A2172" s="33" t="str">
        <f>CONCATENATE(D2172,".",F2172,"-",G2172,".",H2172,"")</f>
        <v>5.2-3.1</v>
      </c>
      <c r="B2172" s="33" t="s">
        <v>814</v>
      </c>
      <c r="C2172" s="41" t="s">
        <v>338</v>
      </c>
      <c r="D2172" s="33">
        <f>IF(C2172="ID",1,(IF(C2172="PR",2,(IF(C2172="DE",3,(IF(C2172="RS",4,(IF(C2172="RC",5,0)))))))))</f>
        <v>5</v>
      </c>
      <c r="E2172" s="33" t="s">
        <v>349</v>
      </c>
      <c r="F2172" s="33">
        <f>IF(E2172="AM",1,(IF(E2172="BE",2,(IF(E2172="GV",3,(IF(E2172="RA",4,(IF(E2172="RM",5,(IF(E2172="AC",1,(IF(E2172="AT",2,(IF(E2172="DS",3,(IF(E2172="IP",4,(IF(E2172="MA",5,(IF(E2172="PT",6,(IF(E2172="AE",1,(IF(E2172="CM",2,(IF(E2172="DP",3,(IF(E2172="AN",1,(IF(E2172="CO",2,(IF(E2172="IM",3,(IF(E2172="MI",4,(IF(E2172="RP",5,(IF(E2172="SC",6,0)))))))))))))))))))))))))))))))))))))))</f>
        <v>2</v>
      </c>
      <c r="G2172" s="170">
        <v>3</v>
      </c>
      <c r="H2172" s="38" t="s">
        <v>511</v>
      </c>
      <c r="I2172" s="22" t="s">
        <v>266</v>
      </c>
      <c r="J2172" s="149" t="s">
        <v>278</v>
      </c>
      <c r="K2172" s="79" t="s">
        <v>1367</v>
      </c>
      <c r="L2172" s="5">
        <f>IF(O2172="","",N2172*O2172*M2172)</f>
        <v>75</v>
      </c>
      <c r="M2172" s="8">
        <v>1</v>
      </c>
      <c r="N2172" s="1">
        <v>1</v>
      </c>
      <c r="O2172" s="15">
        <f>IF(SUM(Q2172:AF2172)&lt;1,"",SUM(Q2172:AF2172)/COUNTIF(Q2172:AF2172,"&gt;0"))</f>
        <v>75</v>
      </c>
      <c r="P2172" s="16"/>
      <c r="Q2172" s="13"/>
      <c r="R2172" s="4"/>
      <c r="S2172" s="4"/>
      <c r="T2172" s="4">
        <v>75</v>
      </c>
      <c r="U2172" s="2"/>
      <c r="V2172" s="2"/>
      <c r="W2172" s="2"/>
      <c r="X2172" s="2"/>
      <c r="Y2172" s="4"/>
      <c r="Z2172" s="2"/>
      <c r="AA2172" s="2"/>
      <c r="AB2172" s="4"/>
      <c r="AC2172" s="4"/>
      <c r="AD2172" s="4"/>
      <c r="AE2172" s="4"/>
      <c r="AF2172" s="14"/>
    </row>
    <row r="2173" spans="1:32" x14ac:dyDescent="0.25">
      <c r="A2173" s="33" t="str">
        <f>CONCATENATE(D2173,".",F2173,"-",G2173,".",H2173,"")</f>
        <v>5.3-0.0</v>
      </c>
      <c r="B2173" s="33" t="s">
        <v>1229</v>
      </c>
      <c r="C2173" s="40" t="s">
        <v>338</v>
      </c>
      <c r="D2173" s="33">
        <f>IF(C2173="ID",1,(IF(C2173="PR",2,(IF(C2173="DE",3,(IF(C2173="RS",4,(IF(C2173="RC",5,0)))))))))</f>
        <v>5</v>
      </c>
      <c r="E2173" s="33" t="s">
        <v>352</v>
      </c>
      <c r="F2173" s="33">
        <f>IF(E2173="AM",1,(IF(E2173="BE",2,(IF(E2173="GV",3,(IF(E2173="RA",4,(IF(E2173="RM",5,(IF(E2173="AC",1,(IF(E2173="AT",2,(IF(E2173="DS",3,(IF(E2173="IP",4,(IF(E2173="MA",5,(IF(E2173="PT",6,(IF(E2173="AE",1,(IF(E2173="CM",2,(IF(E2173="DP",3,(IF(E2173="AN",1,(IF(E2173="CO",2,(IF(E2173="IM",3,(IF(E2173="MI",4,(IF(E2173="RP",5,(IF(E2173="SC",6,0)))))))))))))))))))))))))))))))))))))))</f>
        <v>3</v>
      </c>
      <c r="G2173" s="170">
        <v>0</v>
      </c>
      <c r="H2173" s="38" t="s">
        <v>597</v>
      </c>
      <c r="I2173" s="22" t="s">
        <v>1200</v>
      </c>
      <c r="J2173" s="160" t="s">
        <v>702</v>
      </c>
      <c r="K2173" s="96" t="s">
        <v>747</v>
      </c>
      <c r="L2173" s="5" t="str">
        <f>IF(O2173="","",N2173*O2173*M2173)</f>
        <v/>
      </c>
      <c r="M2173" s="8">
        <v>1</v>
      </c>
      <c r="N2173" s="1">
        <v>1</v>
      </c>
      <c r="O2173" s="15" t="str">
        <f>IF(SUM(Q2173:AF2173)&lt;1,"",SUM(Q2173:AF2173)/COUNTIF(Q2173:AF2173,"&gt;0"))</f>
        <v/>
      </c>
      <c r="P2173" s="16"/>
      <c r="Q2173" s="13"/>
      <c r="R2173" s="4"/>
      <c r="S2173" s="4"/>
      <c r="T2173" s="4"/>
      <c r="U2173" s="2"/>
      <c r="V2173" s="2"/>
      <c r="W2173" s="2"/>
      <c r="X2173" s="2"/>
      <c r="Y2173" s="4"/>
      <c r="Z2173" s="2"/>
      <c r="AA2173" s="2"/>
      <c r="AB2173" s="4"/>
      <c r="AC2173" s="4"/>
      <c r="AD2173" s="4"/>
      <c r="AE2173" s="4"/>
      <c r="AF2173" s="14"/>
    </row>
    <row r="2174" spans="1:32" x14ac:dyDescent="0.25">
      <c r="A2174" s="33" t="str">
        <f>CONCATENATE(D2174,".",F2174,"-",G2174,".",H2174,"")</f>
        <v>5.3-0.1</v>
      </c>
      <c r="B2174" s="33" t="s">
        <v>1229</v>
      </c>
      <c r="C2174" s="40" t="s">
        <v>338</v>
      </c>
      <c r="D2174" s="33">
        <f>IF(C2174="ID",1,(IF(C2174="PR",2,(IF(C2174="DE",3,(IF(C2174="RS",4,(IF(C2174="RC",5,0)))))))))</f>
        <v>5</v>
      </c>
      <c r="E2174" s="33" t="s">
        <v>352</v>
      </c>
      <c r="F2174" s="33">
        <f>IF(E2174="AM",1,(IF(E2174="BE",2,(IF(E2174="GV",3,(IF(E2174="RA",4,(IF(E2174="RM",5,(IF(E2174="AC",1,(IF(E2174="AT",2,(IF(E2174="DS",3,(IF(E2174="IP",4,(IF(E2174="MA",5,(IF(E2174="PT",6,(IF(E2174="AE",1,(IF(E2174="CM",2,(IF(E2174="DP",3,(IF(E2174="AN",1,(IF(E2174="CO",2,(IF(E2174="IM",3,(IF(E2174="MI",4,(IF(E2174="RP",5,(IF(E2174="SC",6,0)))))))))))))))))))))))))))))))))))))))</f>
        <v>3</v>
      </c>
      <c r="G2174" s="170">
        <v>0</v>
      </c>
      <c r="H2174" s="38" t="s">
        <v>511</v>
      </c>
      <c r="I2174" s="22" t="s">
        <v>1200</v>
      </c>
      <c r="J2174" s="160" t="s">
        <v>702</v>
      </c>
      <c r="K2174" s="96" t="s">
        <v>764</v>
      </c>
      <c r="L2174" s="5" t="str">
        <f>IF(O2174="","",N2174*O2174*M2174)</f>
        <v/>
      </c>
      <c r="M2174" s="8">
        <v>1</v>
      </c>
      <c r="N2174" s="1">
        <v>1</v>
      </c>
      <c r="O2174" s="15" t="str">
        <f>IF(SUM(Q2174:AF2174)&lt;1,"",SUM(Q2174:AF2174)/COUNTIF(Q2174:AF2174,"&gt;0"))</f>
        <v/>
      </c>
      <c r="P2174" s="16"/>
      <c r="Q2174" s="13"/>
      <c r="R2174" s="4"/>
      <c r="S2174" s="4"/>
      <c r="T2174" s="2"/>
      <c r="U2174" s="2"/>
      <c r="V2174" s="2"/>
      <c r="W2174" s="2"/>
      <c r="X2174" s="2"/>
      <c r="Y2174" s="4"/>
      <c r="Z2174" s="2"/>
      <c r="AA2174" s="2"/>
      <c r="AB2174" s="4"/>
      <c r="AC2174" s="4"/>
      <c r="AD2174" s="4"/>
      <c r="AE2174" s="4"/>
      <c r="AF2174" s="14"/>
    </row>
    <row r="2175" spans="1:32" x14ac:dyDescent="0.25">
      <c r="A2175" s="33" t="str">
        <f>CONCATENATE(D2175,".",F2175,"-",G2175,".",H2175,"")</f>
        <v>5.3-1.0</v>
      </c>
      <c r="B2175" s="33" t="s">
        <v>814</v>
      </c>
      <c r="C2175" s="40" t="s">
        <v>338</v>
      </c>
      <c r="D2175" s="33">
        <f>IF(C2175="ID",1,(IF(C2175="PR",2,(IF(C2175="DE",3,(IF(C2175="RS",4,(IF(C2175="RC",5,0)))))))))</f>
        <v>5</v>
      </c>
      <c r="E2175" s="33" t="s">
        <v>352</v>
      </c>
      <c r="F2175" s="33">
        <f>IF(E2175="AM",1,(IF(E2175="BE",2,(IF(E2175="GV",3,(IF(E2175="RA",4,(IF(E2175="RM",5,(IF(E2175="AC",1,(IF(E2175="AT",2,(IF(E2175="DS",3,(IF(E2175="IP",4,(IF(E2175="MA",5,(IF(E2175="PT",6,(IF(E2175="AE",1,(IF(E2175="CM",2,(IF(E2175="DP",3,(IF(E2175="AN",1,(IF(E2175="CO",2,(IF(E2175="IM",3,(IF(E2175="MI",4,(IF(E2175="RP",5,(IF(E2175="SC",6,0)))))))))))))))))))))))))))))))))))))))</f>
        <v>3</v>
      </c>
      <c r="G2175" s="170">
        <v>1</v>
      </c>
      <c r="H2175" s="38" t="s">
        <v>597</v>
      </c>
      <c r="I2175" s="22" t="s">
        <v>1200</v>
      </c>
      <c r="J2175" s="149" t="s">
        <v>703</v>
      </c>
      <c r="K2175" s="96" t="s">
        <v>435</v>
      </c>
      <c r="L2175" s="5">
        <f>IF(O2175="","",N2175*O2175*M2175)</f>
        <v>75</v>
      </c>
      <c r="M2175" s="8">
        <v>1</v>
      </c>
      <c r="N2175" s="1">
        <v>1</v>
      </c>
      <c r="O2175" s="15">
        <f>IF(SUM(Q2175:AF2175)&lt;1,"",SUM(Q2175:AF2175)/COUNTIF(Q2175:AF2175,"&gt;0"))</f>
        <v>75</v>
      </c>
      <c r="P2175" s="16"/>
      <c r="Q2175" s="13"/>
      <c r="R2175" s="4"/>
      <c r="S2175" s="4"/>
      <c r="T2175" s="4">
        <v>75</v>
      </c>
      <c r="U2175" s="2"/>
      <c r="V2175" s="2"/>
      <c r="W2175" s="2"/>
      <c r="X2175" s="2"/>
      <c r="Y2175" s="4"/>
      <c r="Z2175" s="2"/>
      <c r="AA2175" s="2"/>
      <c r="AB2175" s="4"/>
      <c r="AC2175" s="4"/>
      <c r="AD2175" s="4"/>
      <c r="AE2175" s="4"/>
      <c r="AF2175" s="14"/>
    </row>
    <row r="2176" spans="1:32" x14ac:dyDescent="0.25">
      <c r="A2176" s="33" t="str">
        <f>CONCATENATE(D2176,".",F2176,"-",G2176,".",H2176,"")</f>
        <v>5.3-1.1</v>
      </c>
      <c r="B2176" s="33" t="s">
        <v>814</v>
      </c>
      <c r="C2176" s="40" t="s">
        <v>338</v>
      </c>
      <c r="D2176" s="33">
        <f>IF(C2176="ID",1,(IF(C2176="PR",2,(IF(C2176="DE",3,(IF(C2176="RS",4,(IF(C2176="RC",5,0)))))))))</f>
        <v>5</v>
      </c>
      <c r="E2176" s="33" t="s">
        <v>352</v>
      </c>
      <c r="F2176" s="33">
        <f>IF(E2176="AM",1,(IF(E2176="BE",2,(IF(E2176="GV",3,(IF(E2176="RA",4,(IF(E2176="RM",5,(IF(E2176="AC",1,(IF(E2176="AT",2,(IF(E2176="DS",3,(IF(E2176="IP",4,(IF(E2176="MA",5,(IF(E2176="PT",6,(IF(E2176="AE",1,(IF(E2176="CM",2,(IF(E2176="DP",3,(IF(E2176="AN",1,(IF(E2176="CO",2,(IF(E2176="IM",3,(IF(E2176="MI",4,(IF(E2176="RP",5,(IF(E2176="SC",6,0)))))))))))))))))))))))))))))))))))))))</f>
        <v>3</v>
      </c>
      <c r="G2176" s="171">
        <v>1</v>
      </c>
      <c r="H2176" s="38" t="s">
        <v>511</v>
      </c>
      <c r="I2176" s="22" t="s">
        <v>936</v>
      </c>
      <c r="J2176" s="163" t="s">
        <v>880</v>
      </c>
      <c r="K2176" s="34" t="s">
        <v>990</v>
      </c>
      <c r="L2176" s="66">
        <f>IF(O2176="","",N2176*O2176*M2176)</f>
        <v>75</v>
      </c>
      <c r="M2176" s="8">
        <v>1</v>
      </c>
      <c r="N2176" s="3">
        <v>1</v>
      </c>
      <c r="O2176" s="15">
        <f>IF(SUM(Q2176:AF2176)&lt;1,"",SUM(Q2176:AF2176)/COUNTIF(Q2176:AF2176,"&gt;0"))</f>
        <v>75</v>
      </c>
      <c r="P2176" s="16"/>
      <c r="Q2176" s="13"/>
      <c r="R2176" s="4"/>
      <c r="S2176" s="4"/>
      <c r="T2176" s="4">
        <v>75</v>
      </c>
      <c r="U2176" s="2"/>
      <c r="V2176" s="2"/>
      <c r="W2176" s="2"/>
      <c r="X2176" s="2"/>
      <c r="Y2176" s="4"/>
      <c r="Z2176" s="2"/>
      <c r="AA2176" s="2"/>
      <c r="AB2176" s="4"/>
      <c r="AC2176" s="4"/>
      <c r="AD2176" s="4"/>
      <c r="AE2176" s="4"/>
      <c r="AF2176" s="14"/>
    </row>
    <row r="2177" spans="1:32" x14ac:dyDescent="0.25">
      <c r="A2177" s="33" t="str">
        <f>CONCATENATE(D2177,".",F2177,"-",G2177,".",H2177,"")</f>
        <v>5.3-1.1</v>
      </c>
      <c r="B2177" s="33" t="s">
        <v>814</v>
      </c>
      <c r="C2177" s="40" t="s">
        <v>338</v>
      </c>
      <c r="D2177" s="33">
        <f>IF(C2177="ID",1,(IF(C2177="PR",2,(IF(C2177="DE",3,(IF(C2177="RS",4,(IF(C2177="RC",5,0)))))))))</f>
        <v>5</v>
      </c>
      <c r="E2177" s="33" t="s">
        <v>352</v>
      </c>
      <c r="F2177" s="33">
        <f>IF(E2177="AM",1,(IF(E2177="BE",2,(IF(E2177="GV",3,(IF(E2177="RA",4,(IF(E2177="RM",5,(IF(E2177="AC",1,(IF(E2177="AT",2,(IF(E2177="DS",3,(IF(E2177="IP",4,(IF(E2177="MA",5,(IF(E2177="PT",6,(IF(E2177="AE",1,(IF(E2177="CM",2,(IF(E2177="DP",3,(IF(E2177="AN",1,(IF(E2177="CO",2,(IF(E2177="IM",3,(IF(E2177="MI",4,(IF(E2177="RP",5,(IF(E2177="SC",6,0)))))))))))))))))))))))))))))))))))))))</f>
        <v>3</v>
      </c>
      <c r="G2177" s="171">
        <v>1</v>
      </c>
      <c r="H2177" s="38" t="s">
        <v>511</v>
      </c>
      <c r="I2177" s="22" t="s">
        <v>936</v>
      </c>
      <c r="J2177" s="163" t="s">
        <v>869</v>
      </c>
      <c r="K2177" s="34" t="s">
        <v>992</v>
      </c>
      <c r="L2177" s="66">
        <f>IF(O2177="","",N2177*O2177*M2177)</f>
        <v>75</v>
      </c>
      <c r="M2177" s="8">
        <v>1</v>
      </c>
      <c r="N2177" s="3">
        <v>1</v>
      </c>
      <c r="O2177" s="15">
        <f>IF(SUM(Q2177:AF2177)&lt;1,"",SUM(Q2177:AF2177)/COUNTIF(Q2177:AF2177,"&gt;0"))</f>
        <v>75</v>
      </c>
      <c r="P2177" s="16"/>
      <c r="Q2177" s="13"/>
      <c r="R2177" s="4"/>
      <c r="S2177" s="4"/>
      <c r="T2177" s="4">
        <v>75</v>
      </c>
      <c r="U2177" s="2"/>
      <c r="V2177" s="2"/>
      <c r="W2177" s="2"/>
      <c r="X2177" s="2"/>
      <c r="Y2177" s="4"/>
      <c r="Z2177" s="2"/>
      <c r="AA2177" s="2"/>
      <c r="AB2177" s="4"/>
      <c r="AC2177" s="4"/>
      <c r="AD2177" s="4"/>
      <c r="AE2177" s="4"/>
      <c r="AF2177" s="14"/>
    </row>
    <row r="2178" spans="1:32" x14ac:dyDescent="0.25">
      <c r="A2178" s="33" t="str">
        <f>CONCATENATE(D2178,".",F2178,"-",G2178,".",H2178,"")</f>
        <v>5.3-1.1</v>
      </c>
      <c r="B2178" s="33" t="s">
        <v>814</v>
      </c>
      <c r="C2178" s="39" t="s">
        <v>338</v>
      </c>
      <c r="D2178" s="33">
        <f>IF(C2178="ID",1,(IF(C2178="PR",2,(IF(C2178="DE",3,(IF(C2178="RS",4,(IF(C2178="RC",5,0)))))))))</f>
        <v>5</v>
      </c>
      <c r="E2178" s="33" t="s">
        <v>352</v>
      </c>
      <c r="F2178" s="33">
        <f>IF(E2178="AM",1,(IF(E2178="BE",2,(IF(E2178="GV",3,(IF(E2178="RA",4,(IF(E2178="RM",5,(IF(E2178="AC",1,(IF(E2178="AT",2,(IF(E2178="DS",3,(IF(E2178="IP",4,(IF(E2178="MA",5,(IF(E2178="PT",6,(IF(E2178="AE",1,(IF(E2178="CM",2,(IF(E2178="DP",3,(IF(E2178="AN",1,(IF(E2178="CO",2,(IF(E2178="IM",3,(IF(E2178="MI",4,(IF(E2178="RP",5,(IF(E2178="SC",6,0)))))))))))))))))))))))))))))))))))))))</f>
        <v>3</v>
      </c>
      <c r="G2178" s="170">
        <v>1</v>
      </c>
      <c r="H2178" s="33">
        <v>1</v>
      </c>
      <c r="I2178" s="22" t="s">
        <v>266</v>
      </c>
      <c r="J2178" s="150" t="s">
        <v>79</v>
      </c>
      <c r="K2178" s="79" t="s">
        <v>1394</v>
      </c>
      <c r="L2178" s="5">
        <f>IF(O2178="","",N2178*O2178*M2178)</f>
        <v>75</v>
      </c>
      <c r="M2178" s="8">
        <v>1</v>
      </c>
      <c r="N2178" s="1">
        <v>1</v>
      </c>
      <c r="O2178" s="15">
        <f>IF(SUM(Q2178:AF2178)&lt;1,"",SUM(Q2178:AF2178)/COUNTIF(Q2178:AF2178,"&gt;0"))</f>
        <v>75</v>
      </c>
      <c r="P2178" s="16"/>
      <c r="Q2178" s="13"/>
      <c r="T2178" s="4">
        <v>75</v>
      </c>
      <c r="AF2178" s="104"/>
    </row>
    <row r="2179" spans="1:32" x14ac:dyDescent="0.25">
      <c r="A2179" s="33" t="str">
        <f>CONCATENATE(D2179,".",F2179,"-",G2179,".",H2179,"")</f>
        <v>5.3-1.1</v>
      </c>
      <c r="B2179" s="33" t="s">
        <v>814</v>
      </c>
      <c r="C2179" s="39" t="s">
        <v>338</v>
      </c>
      <c r="D2179" s="33">
        <f>IF(C2179="ID",1,(IF(C2179="PR",2,(IF(C2179="DE",3,(IF(C2179="RS",4,(IF(C2179="RC",5,0)))))))))</f>
        <v>5</v>
      </c>
      <c r="E2179" s="33" t="s">
        <v>352</v>
      </c>
      <c r="F2179" s="33">
        <f>IF(E2179="AM",1,(IF(E2179="BE",2,(IF(E2179="GV",3,(IF(E2179="RA",4,(IF(E2179="RM",5,(IF(E2179="AC",1,(IF(E2179="AT",2,(IF(E2179="DS",3,(IF(E2179="IP",4,(IF(E2179="MA",5,(IF(E2179="PT",6,(IF(E2179="AE",1,(IF(E2179="CM",2,(IF(E2179="DP",3,(IF(E2179="AN",1,(IF(E2179="CO",2,(IF(E2179="IM",3,(IF(E2179="MI",4,(IF(E2179="RP",5,(IF(E2179="SC",6,0)))))))))))))))))))))))))))))))))))))))</f>
        <v>3</v>
      </c>
      <c r="G2179" s="170">
        <v>1</v>
      </c>
      <c r="H2179" s="33">
        <v>1</v>
      </c>
      <c r="I2179" s="22" t="s">
        <v>266</v>
      </c>
      <c r="J2179" s="150" t="s">
        <v>270</v>
      </c>
      <c r="K2179" s="79" t="s">
        <v>1412</v>
      </c>
      <c r="L2179" s="5">
        <f>IF(O2179="","",N2179*O2179*M2179)</f>
        <v>75</v>
      </c>
      <c r="M2179" s="8">
        <v>1</v>
      </c>
      <c r="N2179" s="1">
        <v>1</v>
      </c>
      <c r="O2179" s="15">
        <f>IF(SUM(Q2179:AF2179)&lt;1,"",SUM(Q2179:AF2179)/COUNTIF(Q2179:AF2179,"&gt;0"))</f>
        <v>75</v>
      </c>
      <c r="P2179" s="16"/>
      <c r="Q2179" s="13"/>
      <c r="T2179" s="4">
        <v>75</v>
      </c>
      <c r="AF2179" s="104"/>
    </row>
    <row r="2180" spans="1:32" x14ac:dyDescent="0.25">
      <c r="A2180" s="33" t="str">
        <f>CONCATENATE(D2180,".",F2180,"-",G2180,".",H2180,"")</f>
        <v>5.3-1.9</v>
      </c>
      <c r="C2180" s="39" t="s">
        <v>338</v>
      </c>
      <c r="D2180" s="33">
        <f>IF(C2180="ID",1,(IF(C2180="PR",2,(IF(C2180="DE",3,(IF(C2180="RS",4,(IF(C2180="RC",5,0)))))))))</f>
        <v>5</v>
      </c>
      <c r="E2180" s="33" t="s">
        <v>352</v>
      </c>
      <c r="F2180" s="33">
        <f>IF(E2180="AM",1,(IF(E2180="BE",2,(IF(E2180="GV",3,(IF(E2180="RA",4,(IF(E2180="RM",5,(IF(E2180="AC",1,(IF(E2180="AT",2,(IF(E2180="DS",3,(IF(E2180="IP",4,(IF(E2180="MA",5,(IF(E2180="PT",6,(IF(E2180="AE",1,(IF(E2180="CM",2,(IF(E2180="DP",3,(IF(E2180="AN",1,(IF(E2180="CO",2,(IF(E2180="IM",3,(IF(E2180="MI",4,(IF(E2180="RP",5,(IF(E2180="SC",6,0)))))))))))))))))))))))))))))))))))))))</f>
        <v>3</v>
      </c>
      <c r="G2180" s="170">
        <v>1</v>
      </c>
      <c r="H2180" s="38" t="s">
        <v>596</v>
      </c>
      <c r="I2180" s="3" t="s">
        <v>1449</v>
      </c>
      <c r="J2180" s="157" t="s">
        <v>3001</v>
      </c>
      <c r="K2180" s="34" t="s">
        <v>3002</v>
      </c>
      <c r="L2180" s="5">
        <f>IF(O2180="","",N2180*O2180*M2180)</f>
        <v>99</v>
      </c>
      <c r="M2180" s="8">
        <v>1</v>
      </c>
      <c r="N2180" s="1">
        <v>1</v>
      </c>
      <c r="O2180" s="15">
        <f>IF(SUM(Q2180:AF2180)&lt;1,"",SUM(Q2180:AF2180)/COUNTIF(Q2180:AF2180,"&gt;0"))</f>
        <v>99</v>
      </c>
      <c r="P2180" s="16"/>
      <c r="Q2180" s="13"/>
      <c r="R2180" s="4"/>
      <c r="S2180" s="4"/>
      <c r="T2180" s="4">
        <v>99</v>
      </c>
      <c r="U2180" s="2"/>
      <c r="V2180" s="2"/>
      <c r="W2180" s="2"/>
      <c r="X2180" s="2"/>
      <c r="Y2180" s="4"/>
      <c r="Z2180" s="2"/>
      <c r="AA2180" s="2"/>
      <c r="AB2180" s="4"/>
      <c r="AC2180" s="4"/>
      <c r="AD2180" s="4"/>
      <c r="AE2180" s="4"/>
      <c r="AF2180" s="14"/>
    </row>
    <row r="2181" spans="1:32" x14ac:dyDescent="0.25">
      <c r="A2181" s="33" t="str">
        <f>CONCATENATE(D2181,".",F2181,"-",G2181,".",H2181,"")</f>
        <v>5.3-1.9</v>
      </c>
      <c r="C2181" s="39" t="s">
        <v>338</v>
      </c>
      <c r="D2181" s="33">
        <f>IF(C2181="ID",1,(IF(C2181="PR",2,(IF(C2181="DE",3,(IF(C2181="RS",4,(IF(C2181="RC",5,0)))))))))</f>
        <v>5</v>
      </c>
      <c r="E2181" s="33" t="s">
        <v>352</v>
      </c>
      <c r="F2181" s="33">
        <f>IF(E2181="AM",1,(IF(E2181="BE",2,(IF(E2181="GV",3,(IF(E2181="RA",4,(IF(E2181="RM",5,(IF(E2181="AC",1,(IF(E2181="AT",2,(IF(E2181="DS",3,(IF(E2181="IP",4,(IF(E2181="MA",5,(IF(E2181="PT",6,(IF(E2181="AE",1,(IF(E2181="CM",2,(IF(E2181="DP",3,(IF(E2181="AN",1,(IF(E2181="CO",2,(IF(E2181="IM",3,(IF(E2181="MI",4,(IF(E2181="RP",5,(IF(E2181="SC",6,0)))))))))))))))))))))))))))))))))))))))</f>
        <v>3</v>
      </c>
      <c r="G2181" s="170">
        <v>1</v>
      </c>
      <c r="H2181" s="38" t="s">
        <v>596</v>
      </c>
      <c r="I2181" s="3" t="s">
        <v>1449</v>
      </c>
      <c r="J2181" s="157" t="s">
        <v>3003</v>
      </c>
      <c r="K2181" s="34" t="s">
        <v>3004</v>
      </c>
      <c r="L2181" s="5">
        <f>IF(O2181="","",N2181*O2181*M2181)</f>
        <v>99</v>
      </c>
      <c r="M2181" s="8">
        <v>1</v>
      </c>
      <c r="N2181" s="1">
        <v>1</v>
      </c>
      <c r="O2181" s="15">
        <f>IF(SUM(Q2181:AF2181)&lt;1,"",SUM(Q2181:AF2181)/COUNTIF(Q2181:AF2181,"&gt;0"))</f>
        <v>99</v>
      </c>
      <c r="P2181" s="16"/>
      <c r="Q2181" s="13"/>
      <c r="R2181" s="4"/>
      <c r="S2181" s="4"/>
      <c r="T2181" s="4">
        <v>99</v>
      </c>
      <c r="U2181" s="2"/>
      <c r="V2181" s="2"/>
      <c r="W2181" s="2"/>
      <c r="X2181" s="2"/>
      <c r="Y2181" s="4"/>
      <c r="Z2181" s="2"/>
      <c r="AA2181" s="2"/>
      <c r="AB2181" s="4"/>
      <c r="AC2181" s="4"/>
      <c r="AD2181" s="4"/>
      <c r="AE2181" s="4"/>
      <c r="AF2181" s="14"/>
    </row>
    <row r="2182" spans="1:32" x14ac:dyDescent="0.25">
      <c r="A2182" s="33" t="str">
        <f>CONCATENATE(D2182,".",F2182,"-",G2182,".",H2182,"")</f>
        <v>5.3-1.9</v>
      </c>
      <c r="C2182" s="39" t="s">
        <v>338</v>
      </c>
      <c r="D2182" s="33">
        <f>IF(C2182="ID",1,(IF(C2182="PR",2,(IF(C2182="DE",3,(IF(C2182="RS",4,(IF(C2182="RC",5,0)))))))))</f>
        <v>5</v>
      </c>
      <c r="E2182" s="33" t="s">
        <v>352</v>
      </c>
      <c r="F2182" s="33">
        <f>IF(E2182="AM",1,(IF(E2182="BE",2,(IF(E2182="GV",3,(IF(E2182="RA",4,(IF(E2182="RM",5,(IF(E2182="AC",1,(IF(E2182="AT",2,(IF(E2182="DS",3,(IF(E2182="IP",4,(IF(E2182="MA",5,(IF(E2182="PT",6,(IF(E2182="AE",1,(IF(E2182="CM",2,(IF(E2182="DP",3,(IF(E2182="AN",1,(IF(E2182="CO",2,(IF(E2182="IM",3,(IF(E2182="MI",4,(IF(E2182="RP",5,(IF(E2182="SC",6,0)))))))))))))))))))))))))))))))))))))))</f>
        <v>3</v>
      </c>
      <c r="G2182" s="170">
        <v>1</v>
      </c>
      <c r="H2182" s="38" t="s">
        <v>596</v>
      </c>
      <c r="I2182" s="3" t="s">
        <v>1449</v>
      </c>
      <c r="J2182" s="157" t="s">
        <v>3005</v>
      </c>
      <c r="K2182" s="34" t="s">
        <v>3006</v>
      </c>
      <c r="L2182" s="5">
        <f>IF(O2182="","",N2182*O2182*M2182)</f>
        <v>99</v>
      </c>
      <c r="M2182" s="8">
        <v>1</v>
      </c>
      <c r="N2182" s="1">
        <v>1</v>
      </c>
      <c r="O2182" s="15">
        <f>IF(SUM(Q2182:AF2182)&lt;1,"",SUM(Q2182:AF2182)/COUNTIF(Q2182:AF2182,"&gt;0"))</f>
        <v>99</v>
      </c>
      <c r="P2182" s="16"/>
      <c r="Q2182" s="13"/>
      <c r="R2182" s="4"/>
      <c r="S2182" s="4"/>
      <c r="T2182" s="4">
        <v>99</v>
      </c>
      <c r="U2182" s="2"/>
      <c r="V2182" s="2"/>
      <c r="W2182" s="2"/>
      <c r="X2182" s="2"/>
      <c r="Y2182" s="4"/>
      <c r="Z2182" s="2"/>
      <c r="AA2182" s="2"/>
      <c r="AB2182" s="4"/>
      <c r="AC2182" s="4"/>
      <c r="AD2182" s="4"/>
      <c r="AE2182" s="4"/>
      <c r="AF2182" s="14"/>
    </row>
    <row r="2183" spans="1:32" x14ac:dyDescent="0.25">
      <c r="A2183" s="33" t="str">
        <f>CONCATENATE(D2183,".",F2183,"-",G2183,".",H2183,"")</f>
        <v>5.3-1.9</v>
      </c>
      <c r="C2183" s="39" t="s">
        <v>338</v>
      </c>
      <c r="D2183" s="33">
        <f>IF(C2183="ID",1,(IF(C2183="PR",2,(IF(C2183="DE",3,(IF(C2183="RS",4,(IF(C2183="RC",5,0)))))))))</f>
        <v>5</v>
      </c>
      <c r="E2183" s="33" t="s">
        <v>352</v>
      </c>
      <c r="F2183" s="33">
        <f>IF(E2183="AM",1,(IF(E2183="BE",2,(IF(E2183="GV",3,(IF(E2183="RA",4,(IF(E2183="RM",5,(IF(E2183="AC",1,(IF(E2183="AT",2,(IF(E2183="DS",3,(IF(E2183="IP",4,(IF(E2183="MA",5,(IF(E2183="PT",6,(IF(E2183="AE",1,(IF(E2183="CM",2,(IF(E2183="DP",3,(IF(E2183="AN",1,(IF(E2183="CO",2,(IF(E2183="IM",3,(IF(E2183="MI",4,(IF(E2183="RP",5,(IF(E2183="SC",6,0)))))))))))))))))))))))))))))))))))))))</f>
        <v>3</v>
      </c>
      <c r="G2183" s="170">
        <v>1</v>
      </c>
      <c r="H2183" s="38" t="s">
        <v>596</v>
      </c>
      <c r="I2183" s="3" t="s">
        <v>1449</v>
      </c>
      <c r="J2183" s="157" t="s">
        <v>3007</v>
      </c>
      <c r="K2183" s="34" t="s">
        <v>3008</v>
      </c>
      <c r="L2183" s="5">
        <f>IF(O2183="","",N2183*O2183*M2183)</f>
        <v>99</v>
      </c>
      <c r="M2183" s="8">
        <v>1</v>
      </c>
      <c r="N2183" s="1">
        <v>1</v>
      </c>
      <c r="O2183" s="15">
        <f>IF(SUM(Q2183:AF2183)&lt;1,"",SUM(Q2183:AF2183)/COUNTIF(Q2183:AF2183,"&gt;0"))</f>
        <v>99</v>
      </c>
      <c r="P2183" s="16"/>
      <c r="Q2183" s="13"/>
      <c r="R2183" s="4"/>
      <c r="S2183" s="4"/>
      <c r="T2183" s="4">
        <v>99</v>
      </c>
      <c r="U2183" s="2"/>
      <c r="V2183" s="2"/>
      <c r="W2183" s="2"/>
      <c r="X2183" s="2"/>
      <c r="Y2183" s="4"/>
      <c r="Z2183" s="2"/>
      <c r="AA2183" s="2"/>
      <c r="AB2183" s="4"/>
      <c r="AC2183" s="4"/>
      <c r="AD2183" s="4"/>
      <c r="AE2183" s="4"/>
      <c r="AF2183" s="14"/>
    </row>
    <row r="2184" spans="1:32" x14ac:dyDescent="0.25">
      <c r="A2184" s="33" t="str">
        <f>CONCATENATE(D2184,".",F2184,"-",G2184,".",H2184,"")</f>
        <v>5.3-1.9</v>
      </c>
      <c r="C2184" s="39" t="s">
        <v>338</v>
      </c>
      <c r="D2184" s="33">
        <f>IF(C2184="ID",1,(IF(C2184="PR",2,(IF(C2184="DE",3,(IF(C2184="RS",4,(IF(C2184="RC",5,0)))))))))</f>
        <v>5</v>
      </c>
      <c r="E2184" s="33" t="s">
        <v>352</v>
      </c>
      <c r="F2184" s="33">
        <f>IF(E2184="AM",1,(IF(E2184="BE",2,(IF(E2184="GV",3,(IF(E2184="RA",4,(IF(E2184="RM",5,(IF(E2184="AC",1,(IF(E2184="AT",2,(IF(E2184="DS",3,(IF(E2184="IP",4,(IF(E2184="MA",5,(IF(E2184="PT",6,(IF(E2184="AE",1,(IF(E2184="CM",2,(IF(E2184="DP",3,(IF(E2184="AN",1,(IF(E2184="CO",2,(IF(E2184="IM",3,(IF(E2184="MI",4,(IF(E2184="RP",5,(IF(E2184="SC",6,0)))))))))))))))))))))))))))))))))))))))</f>
        <v>3</v>
      </c>
      <c r="G2184" s="170">
        <v>1</v>
      </c>
      <c r="H2184" s="38" t="s">
        <v>596</v>
      </c>
      <c r="I2184" s="3" t="s">
        <v>1449</v>
      </c>
      <c r="J2184" s="157" t="s">
        <v>3009</v>
      </c>
      <c r="K2184" s="34" t="s">
        <v>3010</v>
      </c>
      <c r="L2184" s="5">
        <f>IF(O2184="","",N2184*O2184*M2184)</f>
        <v>99</v>
      </c>
      <c r="M2184" s="8">
        <v>1</v>
      </c>
      <c r="N2184" s="1">
        <v>1</v>
      </c>
      <c r="O2184" s="15">
        <f>IF(SUM(Q2184:AF2184)&lt;1,"",SUM(Q2184:AF2184)/COUNTIF(Q2184:AF2184,"&gt;0"))</f>
        <v>99</v>
      </c>
      <c r="P2184" s="16"/>
      <c r="Q2184" s="13"/>
      <c r="R2184" s="4"/>
      <c r="S2184" s="4"/>
      <c r="T2184" s="4">
        <v>99</v>
      </c>
      <c r="U2184" s="2"/>
      <c r="V2184" s="2"/>
      <c r="W2184" s="2"/>
      <c r="X2184" s="2"/>
      <c r="Y2184" s="4"/>
      <c r="Z2184" s="2"/>
      <c r="AA2184" s="2"/>
      <c r="AB2184" s="4"/>
      <c r="AC2184" s="4"/>
      <c r="AD2184" s="4"/>
      <c r="AE2184" s="4"/>
      <c r="AF2184" s="14"/>
    </row>
    <row r="2185" spans="1:32" x14ac:dyDescent="0.25">
      <c r="A2185" s="33" t="str">
        <f>CONCATENATE(D2185,".",F2185,"-",G2185,".",H2185,"")</f>
        <v>5.3-2.0</v>
      </c>
      <c r="B2185" s="33" t="s">
        <v>814</v>
      </c>
      <c r="C2185" s="40" t="s">
        <v>338</v>
      </c>
      <c r="D2185" s="33">
        <f>IF(C2185="ID",1,(IF(C2185="PR",2,(IF(C2185="DE",3,(IF(C2185="RS",4,(IF(C2185="RC",5,0)))))))))</f>
        <v>5</v>
      </c>
      <c r="E2185" s="33" t="s">
        <v>352</v>
      </c>
      <c r="F2185" s="33">
        <f>IF(E2185="AM",1,(IF(E2185="BE",2,(IF(E2185="GV",3,(IF(E2185="RA",4,(IF(E2185="RM",5,(IF(E2185="AC",1,(IF(E2185="AT",2,(IF(E2185="DS",3,(IF(E2185="IP",4,(IF(E2185="MA",5,(IF(E2185="PT",6,(IF(E2185="AE",1,(IF(E2185="CM",2,(IF(E2185="DP",3,(IF(E2185="AN",1,(IF(E2185="CO",2,(IF(E2185="IM",3,(IF(E2185="MI",4,(IF(E2185="RP",5,(IF(E2185="SC",6,0)))))))))))))))))))))))))))))))))))))))</f>
        <v>3</v>
      </c>
      <c r="G2185" s="170">
        <v>2</v>
      </c>
      <c r="H2185" s="38" t="s">
        <v>597</v>
      </c>
      <c r="I2185" s="22" t="s">
        <v>1200</v>
      </c>
      <c r="J2185" s="149" t="s">
        <v>623</v>
      </c>
      <c r="K2185" s="96" t="s">
        <v>436</v>
      </c>
      <c r="L2185" s="5">
        <f>IF(O2185="","",N2185*O2185*M2185)</f>
        <v>75</v>
      </c>
      <c r="M2185" s="8">
        <v>1</v>
      </c>
      <c r="N2185" s="1">
        <v>1</v>
      </c>
      <c r="O2185" s="15">
        <f>IF(SUM(Q2185:AF2185)&lt;1,"",SUM(Q2185:AF2185)/COUNTIF(Q2185:AF2185,"&gt;0"))</f>
        <v>75</v>
      </c>
      <c r="P2185" s="16"/>
      <c r="Q2185" s="13"/>
      <c r="R2185" s="4"/>
      <c r="S2185" s="4"/>
      <c r="T2185" s="4">
        <v>75</v>
      </c>
      <c r="U2185" s="2"/>
      <c r="V2185" s="2"/>
      <c r="W2185" s="2"/>
      <c r="X2185" s="2"/>
      <c r="Y2185" s="4"/>
      <c r="Z2185" s="2"/>
      <c r="AA2185" s="2"/>
      <c r="AB2185" s="4"/>
      <c r="AC2185" s="4"/>
      <c r="AD2185" s="4"/>
      <c r="AE2185" s="4"/>
      <c r="AF2185" s="14"/>
    </row>
    <row r="2186" spans="1:32" x14ac:dyDescent="0.25">
      <c r="A2186" s="33" t="str">
        <f>CONCATENATE(D2186,".",F2186,"-",G2186,".",H2186,"")</f>
        <v>5.3-2.1</v>
      </c>
      <c r="B2186" s="33" t="s">
        <v>814</v>
      </c>
      <c r="C2186" s="40" t="s">
        <v>338</v>
      </c>
      <c r="D2186" s="33">
        <f>IF(C2186="ID",1,(IF(C2186="PR",2,(IF(C2186="DE",3,(IF(C2186="RS",4,(IF(C2186="RC",5,0)))))))))</f>
        <v>5</v>
      </c>
      <c r="E2186" s="33" t="s">
        <v>352</v>
      </c>
      <c r="F2186" s="33">
        <f>IF(E2186="AM",1,(IF(E2186="BE",2,(IF(E2186="GV",3,(IF(E2186="RA",4,(IF(E2186="RM",5,(IF(E2186="AC",1,(IF(E2186="AT",2,(IF(E2186="DS",3,(IF(E2186="IP",4,(IF(E2186="MA",5,(IF(E2186="PT",6,(IF(E2186="AE",1,(IF(E2186="CM",2,(IF(E2186="DP",3,(IF(E2186="AN",1,(IF(E2186="CO",2,(IF(E2186="IM",3,(IF(E2186="MI",4,(IF(E2186="RP",5,(IF(E2186="SC",6,0)))))))))))))))))))))))))))))))))))))))</f>
        <v>3</v>
      </c>
      <c r="G2186" s="171">
        <v>2</v>
      </c>
      <c r="H2186" s="38" t="s">
        <v>511</v>
      </c>
      <c r="I2186" s="22" t="s">
        <v>936</v>
      </c>
      <c r="J2186" s="163" t="s">
        <v>880</v>
      </c>
      <c r="K2186" s="34" t="s">
        <v>990</v>
      </c>
      <c r="L2186" s="66">
        <f>IF(O2186="","",N2186*O2186*M2186)</f>
        <v>75</v>
      </c>
      <c r="M2186" s="8">
        <v>1</v>
      </c>
      <c r="N2186" s="3">
        <v>1</v>
      </c>
      <c r="O2186" s="15">
        <f>IF(SUM(Q2186:AF2186)&lt;1,"",SUM(Q2186:AF2186)/COUNTIF(Q2186:AF2186,"&gt;0"))</f>
        <v>75</v>
      </c>
      <c r="P2186" s="16"/>
      <c r="Q2186" s="13"/>
      <c r="R2186" s="4"/>
      <c r="S2186" s="4"/>
      <c r="T2186" s="4">
        <v>75</v>
      </c>
      <c r="U2186" s="2"/>
      <c r="V2186" s="2"/>
      <c r="W2186" s="2"/>
      <c r="X2186" s="2"/>
      <c r="Y2186" s="4"/>
      <c r="Z2186" s="2"/>
      <c r="AA2186" s="2"/>
      <c r="AB2186" s="4"/>
      <c r="AC2186" s="4"/>
      <c r="AD2186" s="4"/>
      <c r="AE2186" s="4"/>
      <c r="AF2186" s="14"/>
    </row>
    <row r="2187" spans="1:32" x14ac:dyDescent="0.25">
      <c r="A2187" s="33" t="str">
        <f>CONCATENATE(D2187,".",F2187,"-",G2187,".",H2187,"")</f>
        <v>5.3-2.1</v>
      </c>
      <c r="B2187" s="33" t="s">
        <v>814</v>
      </c>
      <c r="C2187" s="40" t="s">
        <v>338</v>
      </c>
      <c r="D2187" s="33">
        <f>IF(C2187="ID",1,(IF(C2187="PR",2,(IF(C2187="DE",3,(IF(C2187="RS",4,(IF(C2187="RC",5,0)))))))))</f>
        <v>5</v>
      </c>
      <c r="E2187" s="33" t="s">
        <v>352</v>
      </c>
      <c r="F2187" s="33">
        <f>IF(E2187="AM",1,(IF(E2187="BE",2,(IF(E2187="GV",3,(IF(E2187="RA",4,(IF(E2187="RM",5,(IF(E2187="AC",1,(IF(E2187="AT",2,(IF(E2187="DS",3,(IF(E2187="IP",4,(IF(E2187="MA",5,(IF(E2187="PT",6,(IF(E2187="AE",1,(IF(E2187="CM",2,(IF(E2187="DP",3,(IF(E2187="AN",1,(IF(E2187="CO",2,(IF(E2187="IM",3,(IF(E2187="MI",4,(IF(E2187="RP",5,(IF(E2187="SC",6,0)))))))))))))))))))))))))))))))))))))))</f>
        <v>3</v>
      </c>
      <c r="G2187" s="171">
        <v>2</v>
      </c>
      <c r="H2187" s="38" t="s">
        <v>511</v>
      </c>
      <c r="I2187" s="22" t="s">
        <v>936</v>
      </c>
      <c r="J2187" s="163" t="s">
        <v>869</v>
      </c>
      <c r="K2187" s="34" t="s">
        <v>992</v>
      </c>
      <c r="L2187" s="66">
        <f>IF(O2187="","",N2187*O2187*M2187)</f>
        <v>75</v>
      </c>
      <c r="M2187" s="8">
        <v>1</v>
      </c>
      <c r="N2187" s="3">
        <v>1</v>
      </c>
      <c r="O2187" s="15">
        <f>IF(SUM(Q2187:AF2187)&lt;1,"",SUM(Q2187:AF2187)/COUNTIF(Q2187:AF2187,"&gt;0"))</f>
        <v>75</v>
      </c>
      <c r="P2187" s="16"/>
      <c r="Q2187" s="13"/>
      <c r="R2187" s="4"/>
      <c r="S2187" s="4"/>
      <c r="T2187" s="4">
        <v>75</v>
      </c>
      <c r="U2187" s="2"/>
      <c r="V2187" s="2"/>
      <c r="W2187" s="2"/>
      <c r="X2187" s="2"/>
      <c r="Y2187" s="4"/>
      <c r="Z2187" s="2"/>
      <c r="AA2187" s="2"/>
      <c r="AB2187" s="4"/>
      <c r="AC2187" s="4"/>
      <c r="AD2187" s="4"/>
      <c r="AE2187" s="4"/>
      <c r="AF2187" s="14"/>
    </row>
    <row r="2188" spans="1:32" x14ac:dyDescent="0.25">
      <c r="A2188" s="33" t="str">
        <f>CONCATENATE(D2188,".",F2188,"-",G2188,".",H2188,"")</f>
        <v>5.3-2.1</v>
      </c>
      <c r="B2188" s="33" t="s">
        <v>814</v>
      </c>
      <c r="C2188" s="39" t="s">
        <v>338</v>
      </c>
      <c r="D2188" s="33">
        <f>IF(C2188="ID",1,(IF(C2188="PR",2,(IF(C2188="DE",3,(IF(C2188="RS",4,(IF(C2188="RC",5,0)))))))))</f>
        <v>5</v>
      </c>
      <c r="E2188" s="33" t="s">
        <v>352</v>
      </c>
      <c r="F2188" s="33">
        <f>IF(E2188="AM",1,(IF(E2188="BE",2,(IF(E2188="GV",3,(IF(E2188="RA",4,(IF(E2188="RM",5,(IF(E2188="AC",1,(IF(E2188="AT",2,(IF(E2188="DS",3,(IF(E2188="IP",4,(IF(E2188="MA",5,(IF(E2188="PT",6,(IF(E2188="AE",1,(IF(E2188="CM",2,(IF(E2188="DP",3,(IF(E2188="AN",1,(IF(E2188="CO",2,(IF(E2188="IM",3,(IF(E2188="MI",4,(IF(E2188="RP",5,(IF(E2188="SC",6,0)))))))))))))))))))))))))))))))))))))))</f>
        <v>3</v>
      </c>
      <c r="G2188" s="170">
        <v>2</v>
      </c>
      <c r="H2188" s="33">
        <v>1</v>
      </c>
      <c r="I2188" s="22" t="s">
        <v>266</v>
      </c>
      <c r="J2188" s="150" t="s">
        <v>5</v>
      </c>
      <c r="K2188" s="79" t="s">
        <v>1393</v>
      </c>
      <c r="L2188" s="5">
        <f>IF(O2188="","",N2188*O2188*M2188)</f>
        <v>75</v>
      </c>
      <c r="M2188" s="8">
        <v>1</v>
      </c>
      <c r="N2188" s="1">
        <v>1</v>
      </c>
      <c r="O2188" s="15">
        <f>IF(SUM(Q2188:AF2188)&lt;1,"",SUM(Q2188:AF2188)/COUNTIF(Q2188:AF2188,"&gt;0"))</f>
        <v>75</v>
      </c>
      <c r="P2188" s="16"/>
      <c r="Q2188" s="13"/>
      <c r="T2188" s="4">
        <v>75</v>
      </c>
      <c r="AF2188" s="104"/>
    </row>
    <row r="2189" spans="1:32" x14ac:dyDescent="0.25">
      <c r="A2189" s="33" t="str">
        <f>CONCATENATE(D2189,".",F2189,"-",G2189,".",H2189,"")</f>
        <v>5.3-2.9</v>
      </c>
      <c r="C2189" s="39" t="s">
        <v>338</v>
      </c>
      <c r="D2189" s="33">
        <f>IF(C2189="ID",1,(IF(C2189="PR",2,(IF(C2189="DE",3,(IF(C2189="RS",4,(IF(C2189="RC",5,0)))))))))</f>
        <v>5</v>
      </c>
      <c r="E2189" s="33" t="s">
        <v>352</v>
      </c>
      <c r="F2189" s="33">
        <f>IF(E2189="AM",1,(IF(E2189="BE",2,(IF(E2189="GV",3,(IF(E2189="RA",4,(IF(E2189="RM",5,(IF(E2189="AC",1,(IF(E2189="AT",2,(IF(E2189="DS",3,(IF(E2189="IP",4,(IF(E2189="MA",5,(IF(E2189="PT",6,(IF(E2189="AE",1,(IF(E2189="CM",2,(IF(E2189="DP",3,(IF(E2189="AN",1,(IF(E2189="CO",2,(IF(E2189="IM",3,(IF(E2189="MI",4,(IF(E2189="RP",5,(IF(E2189="SC",6,0)))))))))))))))))))))))))))))))))))))))</f>
        <v>3</v>
      </c>
      <c r="G2189" s="170">
        <v>2</v>
      </c>
      <c r="H2189" s="38" t="s">
        <v>596</v>
      </c>
      <c r="I2189" s="3" t="s">
        <v>1449</v>
      </c>
      <c r="J2189" s="157" t="s">
        <v>2867</v>
      </c>
      <c r="K2189" s="34" t="s">
        <v>2868</v>
      </c>
      <c r="L2189" s="5">
        <f>IF(O2189="","",N2189*O2189*M2189)</f>
        <v>99</v>
      </c>
      <c r="M2189" s="8">
        <v>1</v>
      </c>
      <c r="N2189" s="1">
        <v>1</v>
      </c>
      <c r="O2189" s="15">
        <f>IF(SUM(Q2189:AF2189)&lt;1,"",SUM(Q2189:AF2189)/COUNTIF(Q2189:AF2189,"&gt;0"))</f>
        <v>99</v>
      </c>
      <c r="P2189" s="16"/>
      <c r="Q2189" s="13"/>
      <c r="R2189" s="4"/>
      <c r="S2189" s="4"/>
      <c r="T2189" s="4">
        <v>99</v>
      </c>
      <c r="U2189" s="2"/>
      <c r="V2189" s="2"/>
      <c r="W2189" s="2"/>
      <c r="X2189" s="2"/>
      <c r="Y2189" s="4"/>
      <c r="Z2189" s="2"/>
      <c r="AA2189" s="2"/>
      <c r="AB2189" s="4"/>
      <c r="AC2189" s="4"/>
      <c r="AD2189" s="4"/>
      <c r="AE2189" s="4"/>
      <c r="AF2189" s="14"/>
    </row>
    <row r="2190" spans="1:32" x14ac:dyDescent="0.25">
      <c r="A2190" s="33" t="str">
        <f>CONCATENATE(D2190,".",F2190,"-",G2190,".",H2190,"")</f>
        <v>5.3-2.9</v>
      </c>
      <c r="C2190" s="39" t="s">
        <v>338</v>
      </c>
      <c r="D2190" s="33">
        <f>IF(C2190="ID",1,(IF(C2190="PR",2,(IF(C2190="DE",3,(IF(C2190="RS",4,(IF(C2190="RC",5,0)))))))))</f>
        <v>5</v>
      </c>
      <c r="E2190" s="33" t="s">
        <v>352</v>
      </c>
      <c r="F2190" s="33">
        <f>IF(E2190="AM",1,(IF(E2190="BE",2,(IF(E2190="GV",3,(IF(E2190="RA",4,(IF(E2190="RM",5,(IF(E2190="AC",1,(IF(E2190="AT",2,(IF(E2190="DS",3,(IF(E2190="IP",4,(IF(E2190="MA",5,(IF(E2190="PT",6,(IF(E2190="AE",1,(IF(E2190="CM",2,(IF(E2190="DP",3,(IF(E2190="AN",1,(IF(E2190="CO",2,(IF(E2190="IM",3,(IF(E2190="MI",4,(IF(E2190="RP",5,(IF(E2190="SC",6,0)))))))))))))))))))))))))))))))))))))))</f>
        <v>3</v>
      </c>
      <c r="G2190" s="170">
        <v>2</v>
      </c>
      <c r="H2190" s="38" t="s">
        <v>596</v>
      </c>
      <c r="I2190" s="3" t="s">
        <v>1449</v>
      </c>
      <c r="J2190" s="157" t="s">
        <v>2869</v>
      </c>
      <c r="K2190" s="34" t="s">
        <v>2870</v>
      </c>
      <c r="L2190" s="5">
        <f>IF(O2190="","",N2190*O2190*M2190)</f>
        <v>99</v>
      </c>
      <c r="M2190" s="8">
        <v>1</v>
      </c>
      <c r="N2190" s="1">
        <v>1</v>
      </c>
      <c r="O2190" s="15">
        <f>IF(SUM(Q2190:AF2190)&lt;1,"",SUM(Q2190:AF2190)/COUNTIF(Q2190:AF2190,"&gt;0"))</f>
        <v>99</v>
      </c>
      <c r="P2190" s="16"/>
      <c r="Q2190" s="13"/>
      <c r="R2190" s="4"/>
      <c r="S2190" s="4"/>
      <c r="T2190" s="4">
        <v>99</v>
      </c>
      <c r="U2190" s="2"/>
      <c r="V2190" s="2"/>
      <c r="W2190" s="2"/>
      <c r="X2190" s="2"/>
      <c r="Y2190" s="4"/>
      <c r="Z2190" s="2"/>
      <c r="AA2190" s="2"/>
      <c r="AB2190" s="4"/>
      <c r="AC2190" s="4"/>
      <c r="AD2190" s="4"/>
      <c r="AE2190" s="4"/>
      <c r="AF2190" s="14"/>
    </row>
    <row r="2191" spans="1:32" x14ac:dyDescent="0.25">
      <c r="A2191" s="33" t="str">
        <f>CONCATENATE(D2191,".",F2191,"-",G2191,".",H2191,"")</f>
        <v>5.5-0.0</v>
      </c>
      <c r="B2191" s="33" t="s">
        <v>1229</v>
      </c>
      <c r="C2191" s="40" t="s">
        <v>338</v>
      </c>
      <c r="D2191" s="33">
        <f>IF(C2191="ID",1,(IF(C2191="PR",2,(IF(C2191="DE",3,(IF(C2191="RS",4,(IF(C2191="RC",5,0)))))))))</f>
        <v>5</v>
      </c>
      <c r="E2191" s="33" t="s">
        <v>348</v>
      </c>
      <c r="F2191" s="33">
        <f>IF(E2191="AM",1,(IF(E2191="BE",2,(IF(E2191="GV",3,(IF(E2191="RA",4,(IF(E2191="RM",5,(IF(E2191="AC",1,(IF(E2191="AT",2,(IF(E2191="DS",3,(IF(E2191="IP",4,(IF(E2191="MA",5,(IF(E2191="PT",6,(IF(E2191="AE",1,(IF(E2191="CM",2,(IF(E2191="DP",3,(IF(E2191="AN",1,(IF(E2191="CO",2,(IF(E2191="IM",3,(IF(E2191="MI",4,(IF(E2191="RP",5,(IF(E2191="SC",6,0)))))))))))))))))))))))))))))))))))))))</f>
        <v>5</v>
      </c>
      <c r="G2191" s="170">
        <v>0</v>
      </c>
      <c r="H2191" s="38" t="s">
        <v>597</v>
      </c>
      <c r="I2191" s="22" t="s">
        <v>1200</v>
      </c>
      <c r="J2191" s="160" t="s">
        <v>704</v>
      </c>
      <c r="K2191" s="96" t="s">
        <v>748</v>
      </c>
      <c r="L2191" s="5" t="str">
        <f>IF(O2191="","",N2191*O2191*M2191)</f>
        <v/>
      </c>
      <c r="M2191" s="8">
        <v>1</v>
      </c>
      <c r="N2191" s="1">
        <v>1</v>
      </c>
      <c r="O2191" s="15" t="str">
        <f>IF(SUM(Q2191:AF2191)&lt;1,"",SUM(Q2191:AF2191)/COUNTIF(Q2191:AF2191,"&gt;0"))</f>
        <v/>
      </c>
      <c r="P2191" s="16"/>
      <c r="Q2191" s="13"/>
      <c r="R2191" s="4"/>
      <c r="S2191" s="4"/>
      <c r="T2191" s="2"/>
      <c r="U2191" s="2"/>
      <c r="V2191" s="2"/>
      <c r="W2191" s="2"/>
      <c r="X2191" s="2"/>
      <c r="Y2191" s="4"/>
      <c r="Z2191" s="2"/>
      <c r="AA2191" s="2"/>
      <c r="AB2191" s="4"/>
      <c r="AC2191" s="4"/>
      <c r="AD2191" s="4"/>
      <c r="AE2191" s="4"/>
      <c r="AF2191" s="14"/>
    </row>
    <row r="2192" spans="1:32" x14ac:dyDescent="0.25">
      <c r="A2192" s="33" t="str">
        <f>CONCATENATE(D2192,".",F2192,"-",G2192,".",H2192,"")</f>
        <v>5.5-0.1</v>
      </c>
      <c r="B2192" s="33" t="s">
        <v>1229</v>
      </c>
      <c r="C2192" s="40" t="s">
        <v>338</v>
      </c>
      <c r="D2192" s="33">
        <f>IF(C2192="ID",1,(IF(C2192="PR",2,(IF(C2192="DE",3,(IF(C2192="RS",4,(IF(C2192="RC",5,0)))))))))</f>
        <v>5</v>
      </c>
      <c r="E2192" s="33" t="s">
        <v>348</v>
      </c>
      <c r="F2192" s="33">
        <f>IF(E2192="AM",1,(IF(E2192="BE",2,(IF(E2192="GV",3,(IF(E2192="RA",4,(IF(E2192="RM",5,(IF(E2192="AC",1,(IF(E2192="AT",2,(IF(E2192="DS",3,(IF(E2192="IP",4,(IF(E2192="MA",5,(IF(E2192="PT",6,(IF(E2192="AE",1,(IF(E2192="CM",2,(IF(E2192="DP",3,(IF(E2192="AN",1,(IF(E2192="CO",2,(IF(E2192="IM",3,(IF(E2192="MI",4,(IF(E2192="RP",5,(IF(E2192="SC",6,0)))))))))))))))))))))))))))))))))))))))</f>
        <v>5</v>
      </c>
      <c r="G2192" s="170">
        <v>0</v>
      </c>
      <c r="H2192" s="38" t="s">
        <v>511</v>
      </c>
      <c r="I2192" s="22" t="s">
        <v>1200</v>
      </c>
      <c r="J2192" s="160" t="s">
        <v>704</v>
      </c>
      <c r="K2192" s="96" t="s">
        <v>765</v>
      </c>
      <c r="L2192" s="5" t="str">
        <f>IF(O2192="","",N2192*O2192*M2192)</f>
        <v/>
      </c>
      <c r="M2192" s="8">
        <v>1</v>
      </c>
      <c r="N2192" s="1">
        <v>1</v>
      </c>
      <c r="O2192" s="15" t="str">
        <f>IF(SUM(Q2192:AF2192)&lt;1,"",SUM(Q2192:AF2192)/COUNTIF(Q2192:AF2192,"&gt;0"))</f>
        <v/>
      </c>
      <c r="P2192" s="16"/>
      <c r="Q2192" s="13"/>
      <c r="R2192" s="4"/>
      <c r="S2192" s="4"/>
      <c r="T2192" s="2"/>
      <c r="U2192" s="2"/>
      <c r="V2192" s="2"/>
      <c r="W2192" s="2"/>
      <c r="X2192" s="2"/>
      <c r="Y2192" s="4"/>
      <c r="Z2192" s="2"/>
      <c r="AA2192" s="2"/>
      <c r="AB2192" s="4"/>
      <c r="AC2192" s="4"/>
      <c r="AD2192" s="4"/>
      <c r="AE2192" s="4"/>
      <c r="AF2192" s="14"/>
    </row>
    <row r="2193" spans="1:32" x14ac:dyDescent="0.25">
      <c r="A2193" s="33" t="str">
        <f>CONCATENATE(D2193,".",F2193,"-",G2193,".",H2193,"")</f>
        <v>5.5-1.0</v>
      </c>
      <c r="B2193" s="33" t="s">
        <v>814</v>
      </c>
      <c r="C2193" s="40" t="s">
        <v>338</v>
      </c>
      <c r="D2193" s="33">
        <f>IF(C2193="ID",1,(IF(C2193="PR",2,(IF(C2193="DE",3,(IF(C2193="RS",4,(IF(C2193="RC",5,0)))))))))</f>
        <v>5</v>
      </c>
      <c r="E2193" s="33" t="s">
        <v>348</v>
      </c>
      <c r="F2193" s="33">
        <f>IF(E2193="AM",1,(IF(E2193="BE",2,(IF(E2193="GV",3,(IF(E2193="RA",4,(IF(E2193="RM",5,(IF(E2193="AC",1,(IF(E2193="AT",2,(IF(E2193="DS",3,(IF(E2193="IP",4,(IF(E2193="MA",5,(IF(E2193="PT",6,(IF(E2193="AE",1,(IF(E2193="CM",2,(IF(E2193="DP",3,(IF(E2193="AN",1,(IF(E2193="CO",2,(IF(E2193="IM",3,(IF(E2193="MI",4,(IF(E2193="RP",5,(IF(E2193="SC",6,0)))))))))))))))))))))))))))))))))))))))</f>
        <v>5</v>
      </c>
      <c r="G2193" s="170">
        <v>1</v>
      </c>
      <c r="H2193" s="38" t="s">
        <v>597</v>
      </c>
      <c r="I2193" s="22" t="s">
        <v>1200</v>
      </c>
      <c r="J2193" s="149" t="s">
        <v>705</v>
      </c>
      <c r="K2193" s="96" t="s">
        <v>434</v>
      </c>
      <c r="L2193" s="5">
        <f>IF(O2193="","",N2193*O2193*M2193)</f>
        <v>75</v>
      </c>
      <c r="M2193" s="8">
        <v>1</v>
      </c>
      <c r="N2193" s="1">
        <v>1</v>
      </c>
      <c r="O2193" s="15">
        <f>IF(SUM(Q2193:AF2193)&lt;1,"",SUM(Q2193:AF2193)/COUNTIF(Q2193:AF2193,"&gt;0"))</f>
        <v>75</v>
      </c>
      <c r="P2193" s="16"/>
      <c r="Q2193" s="13"/>
      <c r="R2193" s="4"/>
      <c r="S2193" s="4"/>
      <c r="T2193" s="4">
        <v>75</v>
      </c>
      <c r="U2193" s="2"/>
      <c r="V2193" s="2"/>
      <c r="W2193" s="2"/>
      <c r="X2193" s="2"/>
      <c r="Y2193" s="4"/>
      <c r="Z2193" s="2"/>
      <c r="AA2193" s="2"/>
      <c r="AB2193" s="4"/>
      <c r="AC2193" s="4"/>
      <c r="AD2193" s="4"/>
      <c r="AE2193" s="4"/>
      <c r="AF2193" s="14"/>
    </row>
    <row r="2194" spans="1:32" x14ac:dyDescent="0.25">
      <c r="A2194" s="33" t="str">
        <f>CONCATENATE(D2194,".",F2194,"-",G2194,".",H2194,"")</f>
        <v>5.5-1.1</v>
      </c>
      <c r="B2194" s="33" t="s">
        <v>814</v>
      </c>
      <c r="C2194" s="40" t="s">
        <v>338</v>
      </c>
      <c r="D2194" s="33">
        <f>IF(C2194="ID",1,(IF(C2194="PR",2,(IF(C2194="DE",3,(IF(C2194="RS",4,(IF(C2194="RC",5,0)))))))))</f>
        <v>5</v>
      </c>
      <c r="E2194" s="33" t="s">
        <v>348</v>
      </c>
      <c r="F2194" s="33">
        <f>IF(E2194="AM",1,(IF(E2194="BE",2,(IF(E2194="GV",3,(IF(E2194="RA",4,(IF(E2194="RM",5,(IF(E2194="AC",1,(IF(E2194="AT",2,(IF(E2194="DS",3,(IF(E2194="IP",4,(IF(E2194="MA",5,(IF(E2194="PT",6,(IF(E2194="AE",1,(IF(E2194="CM",2,(IF(E2194="DP",3,(IF(E2194="AN",1,(IF(E2194="CO",2,(IF(E2194="IM",3,(IF(E2194="MI",4,(IF(E2194="RP",5,(IF(E2194="SC",6,0)))))))))))))))))))))))))))))))))))))))</f>
        <v>5</v>
      </c>
      <c r="G2194" s="171">
        <v>1</v>
      </c>
      <c r="H2194" s="38" t="s">
        <v>511</v>
      </c>
      <c r="I2194" s="22" t="s">
        <v>936</v>
      </c>
      <c r="J2194" s="163" t="s">
        <v>905</v>
      </c>
      <c r="K2194" s="34" t="s">
        <v>987</v>
      </c>
      <c r="L2194" s="66">
        <f>IF(O2194="","",N2194*O2194*M2194)</f>
        <v>75</v>
      </c>
      <c r="M2194" s="8">
        <v>1</v>
      </c>
      <c r="N2194" s="3">
        <v>1</v>
      </c>
      <c r="O2194" s="15">
        <f>IF(SUM(Q2194:AF2194)&lt;1,"",SUM(Q2194:AF2194)/COUNTIF(Q2194:AF2194,"&gt;0"))</f>
        <v>75</v>
      </c>
      <c r="P2194" s="16"/>
      <c r="Q2194" s="13"/>
      <c r="R2194" s="4"/>
      <c r="S2194" s="4"/>
      <c r="T2194" s="4">
        <v>75</v>
      </c>
      <c r="U2194" s="2"/>
      <c r="V2194" s="2"/>
      <c r="W2194" s="2"/>
      <c r="X2194" s="2"/>
      <c r="Y2194" s="4"/>
      <c r="Z2194" s="2"/>
      <c r="AA2194" s="2"/>
      <c r="AB2194" s="4"/>
      <c r="AC2194" s="4"/>
      <c r="AD2194" s="4"/>
      <c r="AE2194" s="4"/>
      <c r="AF2194" s="14"/>
    </row>
    <row r="2195" spans="1:32" x14ac:dyDescent="0.25">
      <c r="A2195" s="33" t="str">
        <f>CONCATENATE(D2195,".",F2195,"-",G2195,".",H2195,"")</f>
        <v>5.5-1.1</v>
      </c>
      <c r="B2195" s="33" t="s">
        <v>814</v>
      </c>
      <c r="C2195" s="40" t="s">
        <v>338</v>
      </c>
      <c r="D2195" s="33">
        <f>IF(C2195="ID",1,(IF(C2195="PR",2,(IF(C2195="DE",3,(IF(C2195="RS",4,(IF(C2195="RC",5,0)))))))))</f>
        <v>5</v>
      </c>
      <c r="E2195" s="33" t="s">
        <v>348</v>
      </c>
      <c r="F2195" s="33">
        <f>IF(E2195="AM",1,(IF(E2195="BE",2,(IF(E2195="GV",3,(IF(E2195="RA",4,(IF(E2195="RM",5,(IF(E2195="AC",1,(IF(E2195="AT",2,(IF(E2195="DS",3,(IF(E2195="IP",4,(IF(E2195="MA",5,(IF(E2195="PT",6,(IF(E2195="AE",1,(IF(E2195="CM",2,(IF(E2195="DP",3,(IF(E2195="AN",1,(IF(E2195="CO",2,(IF(E2195="IM",3,(IF(E2195="MI",4,(IF(E2195="RP",5,(IF(E2195="SC",6,0)))))))))))))))))))))))))))))))))))))))</f>
        <v>5</v>
      </c>
      <c r="G2195" s="171">
        <v>1</v>
      </c>
      <c r="H2195" s="38" t="s">
        <v>511</v>
      </c>
      <c r="I2195" s="22" t="s">
        <v>936</v>
      </c>
      <c r="J2195" s="163" t="s">
        <v>879</v>
      </c>
      <c r="K2195" s="34" t="s">
        <v>988</v>
      </c>
      <c r="L2195" s="66">
        <f>IF(O2195="","",N2195*O2195*M2195)</f>
        <v>75</v>
      </c>
      <c r="M2195" s="8">
        <v>1</v>
      </c>
      <c r="N2195" s="3">
        <v>1</v>
      </c>
      <c r="O2195" s="15">
        <f>IF(SUM(Q2195:AF2195)&lt;1,"",SUM(Q2195:AF2195)/COUNTIF(Q2195:AF2195,"&gt;0"))</f>
        <v>75</v>
      </c>
      <c r="P2195" s="16"/>
      <c r="Q2195" s="13"/>
      <c r="R2195" s="4"/>
      <c r="S2195" s="4"/>
      <c r="T2195" s="4">
        <v>75</v>
      </c>
      <c r="U2195" s="2"/>
      <c r="V2195" s="2"/>
      <c r="W2195" s="2"/>
      <c r="X2195" s="2"/>
      <c r="Y2195" s="4"/>
      <c r="Z2195" s="2"/>
      <c r="AA2195" s="2"/>
      <c r="AB2195" s="4"/>
      <c r="AC2195" s="4"/>
      <c r="AD2195" s="4"/>
      <c r="AE2195" s="4"/>
      <c r="AF2195" s="14"/>
    </row>
    <row r="2196" spans="1:32" x14ac:dyDescent="0.25">
      <c r="A2196" s="33" t="str">
        <f>CONCATENATE(D2196,".",F2196,"-",G2196,".",H2196,"")</f>
        <v>5.5-1.1</v>
      </c>
      <c r="B2196" s="33" t="s">
        <v>814</v>
      </c>
      <c r="C2196" s="40" t="s">
        <v>338</v>
      </c>
      <c r="D2196" s="33">
        <f>IF(C2196="ID",1,(IF(C2196="PR",2,(IF(C2196="DE",3,(IF(C2196="RS",4,(IF(C2196="RC",5,0)))))))))</f>
        <v>5</v>
      </c>
      <c r="E2196" s="33" t="s">
        <v>348</v>
      </c>
      <c r="F2196" s="33">
        <f>IF(E2196="AM",1,(IF(E2196="BE",2,(IF(E2196="GV",3,(IF(E2196="RA",4,(IF(E2196="RM",5,(IF(E2196="AC",1,(IF(E2196="AT",2,(IF(E2196="DS",3,(IF(E2196="IP",4,(IF(E2196="MA",5,(IF(E2196="PT",6,(IF(E2196="AE",1,(IF(E2196="CM",2,(IF(E2196="DP",3,(IF(E2196="AN",1,(IF(E2196="CO",2,(IF(E2196="IM",3,(IF(E2196="MI",4,(IF(E2196="RP",5,(IF(E2196="SC",6,0)))))))))))))))))))))))))))))))))))))))</f>
        <v>5</v>
      </c>
      <c r="G2196" s="171">
        <v>1</v>
      </c>
      <c r="H2196" s="38" t="s">
        <v>511</v>
      </c>
      <c r="I2196" s="22" t="s">
        <v>936</v>
      </c>
      <c r="J2196" s="163" t="s">
        <v>878</v>
      </c>
      <c r="K2196" s="34" t="s">
        <v>938</v>
      </c>
      <c r="L2196" s="66">
        <f>IF(O2196="","",N2196*O2196*M2196)</f>
        <v>75</v>
      </c>
      <c r="M2196" s="8">
        <v>1</v>
      </c>
      <c r="N2196" s="3">
        <v>1</v>
      </c>
      <c r="O2196" s="15">
        <f>IF(SUM(Q2196:AF2196)&lt;1,"",SUM(Q2196:AF2196)/COUNTIF(Q2196:AF2196,"&gt;0"))</f>
        <v>75</v>
      </c>
      <c r="P2196" s="16"/>
      <c r="Q2196" s="13"/>
      <c r="R2196" s="4"/>
      <c r="S2196" s="4"/>
      <c r="T2196" s="4">
        <v>75</v>
      </c>
      <c r="U2196" s="2"/>
      <c r="V2196" s="2"/>
      <c r="W2196" s="2"/>
      <c r="X2196" s="2"/>
      <c r="Y2196" s="4"/>
      <c r="Z2196" s="2"/>
      <c r="AA2196" s="2"/>
      <c r="AB2196" s="4"/>
      <c r="AC2196" s="4"/>
      <c r="AD2196" s="4"/>
      <c r="AE2196" s="4"/>
      <c r="AF2196" s="14"/>
    </row>
    <row r="2197" spans="1:32" x14ac:dyDescent="0.25">
      <c r="A2197" s="33" t="str">
        <f>CONCATENATE(D2197,".",F2197,"-",G2197,".",H2197,"")</f>
        <v>5.5-1.1</v>
      </c>
      <c r="B2197" s="33" t="s">
        <v>814</v>
      </c>
      <c r="C2197" s="39" t="s">
        <v>338</v>
      </c>
      <c r="D2197" s="33">
        <f>IF(C2197="ID",1,(IF(C2197="PR",2,(IF(C2197="DE",3,(IF(C2197="RS",4,(IF(C2197="RC",5,0)))))))))</f>
        <v>5</v>
      </c>
      <c r="E2197" s="33" t="s">
        <v>348</v>
      </c>
      <c r="F2197" s="33">
        <f>IF(E2197="AM",1,(IF(E2197="BE",2,(IF(E2197="GV",3,(IF(E2197="RA",4,(IF(E2197="RM",5,(IF(E2197="AC",1,(IF(E2197="AT",2,(IF(E2197="DS",3,(IF(E2197="IP",4,(IF(E2197="MA",5,(IF(E2197="PT",6,(IF(E2197="AE",1,(IF(E2197="CM",2,(IF(E2197="DP",3,(IF(E2197="AN",1,(IF(E2197="CO",2,(IF(E2197="IM",3,(IF(E2197="MI",4,(IF(E2197="RP",5,(IF(E2197="SC",6,0)))))))))))))))))))))))))))))))))))))))</f>
        <v>5</v>
      </c>
      <c r="G2197" s="170">
        <v>1</v>
      </c>
      <c r="H2197" s="33">
        <v>1</v>
      </c>
      <c r="I2197" s="22" t="s">
        <v>266</v>
      </c>
      <c r="J2197" s="150" t="s">
        <v>78</v>
      </c>
      <c r="K2197" s="79" t="s">
        <v>1309</v>
      </c>
      <c r="L2197" s="5">
        <f>IF(O2197="","",N2197*O2197*M2197)</f>
        <v>75</v>
      </c>
      <c r="M2197" s="8">
        <v>1</v>
      </c>
      <c r="N2197" s="1">
        <v>1</v>
      </c>
      <c r="O2197" s="15">
        <f>IF(SUM(Q2197:AF2197)&lt;1,"",SUM(Q2197:AF2197)/COUNTIF(Q2197:AF2197,"&gt;0"))</f>
        <v>75</v>
      </c>
      <c r="P2197" s="16"/>
      <c r="Q2197" s="13"/>
      <c r="T2197" s="4">
        <v>75</v>
      </c>
      <c r="AF2197" s="104"/>
    </row>
    <row r="2198" spans="1:32" x14ac:dyDescent="0.25">
      <c r="A2198" s="33" t="str">
        <f>CONCATENATE(D2198,".",F2198,"-",G2198,".",H2198,"")</f>
        <v>5.5-1.1</v>
      </c>
      <c r="C2198" s="39" t="s">
        <v>338</v>
      </c>
      <c r="D2198" s="33">
        <f>IF(C2198="ID",1,(IF(C2198="PR",2,(IF(C2198="DE",3,(IF(C2198="RS",4,(IF(C2198="RC",5,0)))))))))</f>
        <v>5</v>
      </c>
      <c r="E2198" s="33" t="s">
        <v>348</v>
      </c>
      <c r="F2198" s="33">
        <f>IF(E2198="AM",1,(IF(E2198="BE",2,(IF(E2198="GV",3,(IF(E2198="RA",4,(IF(E2198="RM",5,(IF(E2198="AC",1,(IF(E2198="AT",2,(IF(E2198="DS",3,(IF(E2198="IP",4,(IF(E2198="MA",5,(IF(E2198="PT",6,(IF(E2198="AE",1,(IF(E2198="CM",2,(IF(E2198="DP",3,(IF(E2198="AN",1,(IF(E2198="CO",2,(IF(E2198="IM",3,(IF(E2198="MI",4,(IF(E2198="RP",5,(IF(E2198="SC",6,0)))))))))))))))))))))))))))))))))))))))</f>
        <v>5</v>
      </c>
      <c r="G2198" s="170">
        <v>1</v>
      </c>
      <c r="H2198" s="38" t="s">
        <v>511</v>
      </c>
      <c r="I2198" s="3" t="s">
        <v>1449</v>
      </c>
      <c r="J2198" s="157" t="s">
        <v>1981</v>
      </c>
      <c r="K2198" s="34" t="s">
        <v>1982</v>
      </c>
      <c r="L2198" s="5">
        <f>IF(O2198="","",N2198*O2198*M2198)</f>
        <v>99</v>
      </c>
      <c r="M2198" s="8">
        <v>1</v>
      </c>
      <c r="N2198" s="1">
        <v>1</v>
      </c>
      <c r="O2198" s="15">
        <f>IF(SUM(Q2198:AF2198)&lt;1,"",SUM(Q2198:AF2198)/COUNTIF(Q2198:AF2198,"&gt;0"))</f>
        <v>99</v>
      </c>
      <c r="P2198" s="16"/>
      <c r="Q2198" s="13"/>
      <c r="R2198" s="4"/>
      <c r="S2198" s="4"/>
      <c r="T2198" s="4">
        <v>99</v>
      </c>
      <c r="U2198" s="2"/>
      <c r="V2198" s="2"/>
      <c r="W2198" s="2"/>
      <c r="X2198" s="2"/>
      <c r="Y2198" s="4"/>
      <c r="Z2198" s="2"/>
      <c r="AA2198" s="2"/>
      <c r="AB2198" s="4"/>
      <c r="AC2198" s="4"/>
      <c r="AD2198" s="4"/>
      <c r="AE2198" s="4"/>
      <c r="AF2198" s="14"/>
    </row>
    <row r="2199" spans="1:32" x14ac:dyDescent="0.25">
      <c r="A2199" s="33" t="str">
        <f>CONCATENATE(D2199,".",F2199,"-",G2199,".",H2199,"")</f>
        <v>5.5-1.1</v>
      </c>
      <c r="C2199" s="39" t="s">
        <v>338</v>
      </c>
      <c r="D2199" s="33">
        <f>IF(C2199="ID",1,(IF(C2199="PR",2,(IF(C2199="DE",3,(IF(C2199="RS",4,(IF(C2199="RC",5,0)))))))))</f>
        <v>5</v>
      </c>
      <c r="E2199" s="33" t="s">
        <v>348</v>
      </c>
      <c r="F2199" s="33">
        <f>IF(E2199="AM",1,(IF(E2199="BE",2,(IF(E2199="GV",3,(IF(E2199="RA",4,(IF(E2199="RM",5,(IF(E2199="AC",1,(IF(E2199="AT",2,(IF(E2199="DS",3,(IF(E2199="IP",4,(IF(E2199="MA",5,(IF(E2199="PT",6,(IF(E2199="AE",1,(IF(E2199="CM",2,(IF(E2199="DP",3,(IF(E2199="AN",1,(IF(E2199="CO",2,(IF(E2199="IM",3,(IF(E2199="MI",4,(IF(E2199="RP",5,(IF(E2199="SC",6,0)))))))))))))))))))))))))))))))))))))))</f>
        <v>5</v>
      </c>
      <c r="G2199" s="170">
        <v>1</v>
      </c>
      <c r="H2199" s="38" t="s">
        <v>511</v>
      </c>
      <c r="I2199" s="3" t="s">
        <v>1449</v>
      </c>
      <c r="J2199" s="157" t="s">
        <v>1983</v>
      </c>
      <c r="K2199" s="34" t="s">
        <v>1984</v>
      </c>
      <c r="L2199" s="5">
        <f>IF(O2199="","",N2199*O2199*M2199)</f>
        <v>99</v>
      </c>
      <c r="M2199" s="8">
        <v>1</v>
      </c>
      <c r="N2199" s="1">
        <v>1</v>
      </c>
      <c r="O2199" s="15">
        <f>IF(SUM(Q2199:AF2199)&lt;1,"",SUM(Q2199:AF2199)/COUNTIF(Q2199:AF2199,"&gt;0"))</f>
        <v>99</v>
      </c>
      <c r="P2199" s="16"/>
      <c r="Q2199" s="13"/>
      <c r="R2199" s="4"/>
      <c r="S2199" s="4"/>
      <c r="T2199" s="4">
        <v>99</v>
      </c>
      <c r="U2199" s="2"/>
      <c r="V2199" s="2"/>
      <c r="W2199" s="2"/>
      <c r="X2199" s="2"/>
      <c r="Y2199" s="4"/>
      <c r="Z2199" s="2"/>
      <c r="AA2199" s="2"/>
      <c r="AB2199" s="4"/>
      <c r="AC2199" s="4"/>
      <c r="AD2199" s="4"/>
      <c r="AE2199" s="4"/>
      <c r="AF2199" s="14"/>
    </row>
    <row r="2200" spans="1:32" x14ac:dyDescent="0.25">
      <c r="A2200" s="33" t="str">
        <f>CONCATENATE(D2200,".",F2200,"-",G2200,".",H2200,"")</f>
        <v>5.5-1.1</v>
      </c>
      <c r="C2200" s="39" t="s">
        <v>338</v>
      </c>
      <c r="D2200" s="33">
        <f>IF(C2200="ID",1,(IF(C2200="PR",2,(IF(C2200="DE",3,(IF(C2200="RS",4,(IF(C2200="RC",5,0)))))))))</f>
        <v>5</v>
      </c>
      <c r="E2200" s="33" t="s">
        <v>348</v>
      </c>
      <c r="F2200" s="33">
        <f>IF(E2200="AM",1,(IF(E2200="BE",2,(IF(E2200="GV",3,(IF(E2200="RA",4,(IF(E2200="RM",5,(IF(E2200="AC",1,(IF(E2200="AT",2,(IF(E2200="DS",3,(IF(E2200="IP",4,(IF(E2200="MA",5,(IF(E2200="PT",6,(IF(E2200="AE",1,(IF(E2200="CM",2,(IF(E2200="DP",3,(IF(E2200="AN",1,(IF(E2200="CO",2,(IF(E2200="IM",3,(IF(E2200="MI",4,(IF(E2200="RP",5,(IF(E2200="SC",6,0)))))))))))))))))))))))))))))))))))))))</f>
        <v>5</v>
      </c>
      <c r="G2200" s="170">
        <v>1</v>
      </c>
      <c r="H2200" s="38" t="s">
        <v>511</v>
      </c>
      <c r="I2200" s="3" t="s">
        <v>1449</v>
      </c>
      <c r="J2200" s="157" t="s">
        <v>2027</v>
      </c>
      <c r="K2200" s="34" t="s">
        <v>2028</v>
      </c>
      <c r="L2200" s="5">
        <f>IF(O2200="","",N2200*O2200*M2200)</f>
        <v>99</v>
      </c>
      <c r="M2200" s="8">
        <v>1</v>
      </c>
      <c r="N2200" s="1">
        <v>1</v>
      </c>
      <c r="O2200" s="15">
        <f>IF(SUM(Q2200:AF2200)&lt;1,"",SUM(Q2200:AF2200)/COUNTIF(Q2200:AF2200,"&gt;0"))</f>
        <v>99</v>
      </c>
      <c r="P2200" s="16"/>
      <c r="Q2200" s="13"/>
      <c r="R2200" s="4"/>
      <c r="S2200" s="4"/>
      <c r="T2200" s="4">
        <v>99</v>
      </c>
      <c r="U2200" s="2"/>
      <c r="V2200" s="2"/>
      <c r="W2200" s="2"/>
      <c r="X2200" s="2"/>
      <c r="Y2200" s="4"/>
      <c r="Z2200" s="2"/>
      <c r="AA2200" s="2"/>
      <c r="AB2200" s="4"/>
      <c r="AC2200" s="4"/>
      <c r="AD2200" s="4"/>
      <c r="AE2200" s="4"/>
      <c r="AF2200" s="14"/>
    </row>
    <row r="2201" spans="1:32" x14ac:dyDescent="0.25">
      <c r="A2201" s="33" t="str">
        <f>CONCATENATE(D2201,".",F2201,"-",G2201,".",H2201,"")</f>
        <v>5.5-1.1</v>
      </c>
      <c r="C2201" s="39" t="s">
        <v>338</v>
      </c>
      <c r="D2201" s="33">
        <f>IF(C2201="ID",1,(IF(C2201="PR",2,(IF(C2201="DE",3,(IF(C2201="RS",4,(IF(C2201="RC",5,0)))))))))</f>
        <v>5</v>
      </c>
      <c r="E2201" s="33" t="s">
        <v>348</v>
      </c>
      <c r="F2201" s="33">
        <f>IF(E2201="AM",1,(IF(E2201="BE",2,(IF(E2201="GV",3,(IF(E2201="RA",4,(IF(E2201="RM",5,(IF(E2201="AC",1,(IF(E2201="AT",2,(IF(E2201="DS",3,(IF(E2201="IP",4,(IF(E2201="MA",5,(IF(E2201="PT",6,(IF(E2201="AE",1,(IF(E2201="CM",2,(IF(E2201="DP",3,(IF(E2201="AN",1,(IF(E2201="CO",2,(IF(E2201="IM",3,(IF(E2201="MI",4,(IF(E2201="RP",5,(IF(E2201="SC",6,0)))))))))))))))))))))))))))))))))))))))</f>
        <v>5</v>
      </c>
      <c r="G2201" s="170">
        <v>1</v>
      </c>
      <c r="H2201" s="38" t="s">
        <v>511</v>
      </c>
      <c r="I2201" s="3" t="s">
        <v>1449</v>
      </c>
      <c r="J2201" s="157" t="s">
        <v>2029</v>
      </c>
      <c r="K2201" s="34" t="s">
        <v>2030</v>
      </c>
      <c r="L2201" s="5">
        <f>IF(O2201="","",N2201*O2201*M2201)</f>
        <v>99</v>
      </c>
      <c r="M2201" s="8">
        <v>1</v>
      </c>
      <c r="N2201" s="1">
        <v>1</v>
      </c>
      <c r="O2201" s="15">
        <f>IF(SUM(Q2201:AF2201)&lt;1,"",SUM(Q2201:AF2201)/COUNTIF(Q2201:AF2201,"&gt;0"))</f>
        <v>99</v>
      </c>
      <c r="P2201" s="16"/>
      <c r="Q2201" s="13"/>
      <c r="R2201" s="4"/>
      <c r="S2201" s="4"/>
      <c r="T2201" s="4">
        <v>99</v>
      </c>
      <c r="U2201" s="2"/>
      <c r="V2201" s="2"/>
      <c r="W2201" s="2"/>
      <c r="X2201" s="2"/>
      <c r="Y2201" s="4"/>
      <c r="Z2201" s="2"/>
      <c r="AA2201" s="2"/>
      <c r="AB2201" s="4"/>
      <c r="AC2201" s="4"/>
      <c r="AD2201" s="4"/>
      <c r="AE2201" s="4"/>
      <c r="AF2201" s="14"/>
    </row>
    <row r="2202" spans="1:32" x14ac:dyDescent="0.25">
      <c r="A2202" s="33" t="str">
        <f>CONCATENATE(D2202,".",F2202,"-",G2202,".",H2202,"")</f>
        <v>5.5-1.1</v>
      </c>
      <c r="C2202" s="39" t="s">
        <v>338</v>
      </c>
      <c r="D2202" s="33">
        <f>IF(C2202="ID",1,(IF(C2202="PR",2,(IF(C2202="DE",3,(IF(C2202="RS",4,(IF(C2202="RC",5,0)))))))))</f>
        <v>5</v>
      </c>
      <c r="E2202" s="33" t="s">
        <v>348</v>
      </c>
      <c r="F2202" s="33">
        <f>IF(E2202="AM",1,(IF(E2202="BE",2,(IF(E2202="GV",3,(IF(E2202="RA",4,(IF(E2202="RM",5,(IF(E2202="AC",1,(IF(E2202="AT",2,(IF(E2202="DS",3,(IF(E2202="IP",4,(IF(E2202="MA",5,(IF(E2202="PT",6,(IF(E2202="AE",1,(IF(E2202="CM",2,(IF(E2202="DP",3,(IF(E2202="AN",1,(IF(E2202="CO",2,(IF(E2202="IM",3,(IF(E2202="MI",4,(IF(E2202="RP",5,(IF(E2202="SC",6,0)))))))))))))))))))))))))))))))))))))))</f>
        <v>5</v>
      </c>
      <c r="G2202" s="170">
        <v>1</v>
      </c>
      <c r="H2202" s="38" t="s">
        <v>511</v>
      </c>
      <c r="I2202" s="3" t="s">
        <v>1449</v>
      </c>
      <c r="J2202" s="157" t="s">
        <v>2031</v>
      </c>
      <c r="K2202" s="34" t="s">
        <v>2032</v>
      </c>
      <c r="L2202" s="5">
        <f>IF(O2202="","",N2202*O2202*M2202)</f>
        <v>99</v>
      </c>
      <c r="M2202" s="8">
        <v>1</v>
      </c>
      <c r="N2202" s="1">
        <v>1</v>
      </c>
      <c r="O2202" s="15">
        <f>IF(SUM(Q2202:AF2202)&lt;1,"",SUM(Q2202:AF2202)/COUNTIF(Q2202:AF2202,"&gt;0"))</f>
        <v>99</v>
      </c>
      <c r="P2202" s="16"/>
      <c r="Q2202" s="13"/>
      <c r="R2202" s="4"/>
      <c r="S2202" s="4"/>
      <c r="T2202" s="4">
        <v>99</v>
      </c>
      <c r="U2202" s="2"/>
      <c r="V2202" s="2"/>
      <c r="W2202" s="2"/>
      <c r="X2202" s="2"/>
      <c r="Y2202" s="4"/>
      <c r="Z2202" s="2"/>
      <c r="AA2202" s="2"/>
      <c r="AB2202" s="4"/>
      <c r="AC2202" s="4"/>
      <c r="AD2202" s="4"/>
      <c r="AE2202" s="4"/>
      <c r="AF2202" s="14"/>
    </row>
    <row r="2203" spans="1:32" x14ac:dyDescent="0.25">
      <c r="A2203" s="33" t="str">
        <f>CONCATENATE(D2203,".",F2203,"-",G2203,".",H2203,"")</f>
        <v>5.5-1.1</v>
      </c>
      <c r="C2203" s="39" t="s">
        <v>338</v>
      </c>
      <c r="D2203" s="33">
        <f>IF(C2203="ID",1,(IF(C2203="PR",2,(IF(C2203="DE",3,(IF(C2203="RS",4,(IF(C2203="RC",5,0)))))))))</f>
        <v>5</v>
      </c>
      <c r="E2203" s="33" t="s">
        <v>348</v>
      </c>
      <c r="F2203" s="33">
        <f>IF(E2203="AM",1,(IF(E2203="BE",2,(IF(E2203="GV",3,(IF(E2203="RA",4,(IF(E2203="RM",5,(IF(E2203="AC",1,(IF(E2203="AT",2,(IF(E2203="DS",3,(IF(E2203="IP",4,(IF(E2203="MA",5,(IF(E2203="PT",6,(IF(E2203="AE",1,(IF(E2203="CM",2,(IF(E2203="DP",3,(IF(E2203="AN",1,(IF(E2203="CO",2,(IF(E2203="IM",3,(IF(E2203="MI",4,(IF(E2203="RP",5,(IF(E2203="SC",6,0)))))))))))))))))))))))))))))))))))))))</f>
        <v>5</v>
      </c>
      <c r="G2203" s="170">
        <v>1</v>
      </c>
      <c r="H2203" s="38" t="s">
        <v>511</v>
      </c>
      <c r="I2203" s="3" t="s">
        <v>1449</v>
      </c>
      <c r="J2203" s="157" t="s">
        <v>2033</v>
      </c>
      <c r="K2203" s="34" t="s">
        <v>2034</v>
      </c>
      <c r="L2203" s="5">
        <f>IF(O2203="","",N2203*O2203*M2203)</f>
        <v>99</v>
      </c>
      <c r="M2203" s="8">
        <v>1</v>
      </c>
      <c r="N2203" s="1">
        <v>1</v>
      </c>
      <c r="O2203" s="15">
        <f>IF(SUM(Q2203:AF2203)&lt;1,"",SUM(Q2203:AF2203)/COUNTIF(Q2203:AF2203,"&gt;0"))</f>
        <v>99</v>
      </c>
      <c r="P2203" s="16"/>
      <c r="Q2203" s="13"/>
      <c r="R2203" s="4"/>
      <c r="S2203" s="4"/>
      <c r="T2203" s="4">
        <v>99</v>
      </c>
      <c r="U2203" s="2"/>
      <c r="V2203" s="2"/>
      <c r="W2203" s="2"/>
      <c r="X2203" s="2"/>
      <c r="Y2203" s="4"/>
      <c r="Z2203" s="2"/>
      <c r="AA2203" s="2"/>
      <c r="AB2203" s="4"/>
      <c r="AC2203" s="4"/>
      <c r="AD2203" s="4"/>
      <c r="AE2203" s="4"/>
      <c r="AF2203" s="14"/>
    </row>
    <row r="2204" spans="1:32" x14ac:dyDescent="0.25">
      <c r="A2204" s="33" t="str">
        <f>CONCATENATE(D2204,".",F2204,"-",G2204,".",H2204,"")</f>
        <v>5.5-1.1</v>
      </c>
      <c r="C2204" s="39" t="s">
        <v>338</v>
      </c>
      <c r="D2204" s="33">
        <f>IF(C2204="ID",1,(IF(C2204="PR",2,(IF(C2204="DE",3,(IF(C2204="RS",4,(IF(C2204="RC",5,0)))))))))</f>
        <v>5</v>
      </c>
      <c r="E2204" s="33" t="s">
        <v>348</v>
      </c>
      <c r="F2204" s="33">
        <f>IF(E2204="AM",1,(IF(E2204="BE",2,(IF(E2204="GV",3,(IF(E2204="RA",4,(IF(E2204="RM",5,(IF(E2204="AC",1,(IF(E2204="AT",2,(IF(E2204="DS",3,(IF(E2204="IP",4,(IF(E2204="MA",5,(IF(E2204="PT",6,(IF(E2204="AE",1,(IF(E2204="CM",2,(IF(E2204="DP",3,(IF(E2204="AN",1,(IF(E2204="CO",2,(IF(E2204="IM",3,(IF(E2204="MI",4,(IF(E2204="RP",5,(IF(E2204="SC",6,0)))))))))))))))))))))))))))))))))))))))</f>
        <v>5</v>
      </c>
      <c r="G2204" s="170">
        <v>1</v>
      </c>
      <c r="H2204" s="38" t="s">
        <v>511</v>
      </c>
      <c r="I2204" s="3" t="s">
        <v>1449</v>
      </c>
      <c r="J2204" s="157" t="s">
        <v>2035</v>
      </c>
      <c r="K2204" s="34" t="s">
        <v>2036</v>
      </c>
      <c r="L2204" s="5">
        <f>IF(O2204="","",N2204*O2204*M2204)</f>
        <v>99</v>
      </c>
      <c r="M2204" s="8">
        <v>1</v>
      </c>
      <c r="N2204" s="1">
        <v>1</v>
      </c>
      <c r="O2204" s="15">
        <f>IF(SUM(Q2204:AF2204)&lt;1,"",SUM(Q2204:AF2204)/COUNTIF(Q2204:AF2204,"&gt;0"))</f>
        <v>99</v>
      </c>
      <c r="P2204" s="16"/>
      <c r="Q2204" s="13"/>
      <c r="R2204" s="4"/>
      <c r="S2204" s="4"/>
      <c r="T2204" s="4">
        <v>99</v>
      </c>
      <c r="U2204" s="2"/>
      <c r="V2204" s="2"/>
      <c r="W2204" s="2"/>
      <c r="X2204" s="2"/>
      <c r="Y2204" s="4"/>
      <c r="Z2204" s="2"/>
      <c r="AA2204" s="2"/>
      <c r="AB2204" s="4"/>
      <c r="AC2204" s="4"/>
      <c r="AD2204" s="4"/>
      <c r="AE2204" s="4"/>
      <c r="AF2204" s="14"/>
    </row>
    <row r="2205" spans="1:32" x14ac:dyDescent="0.25">
      <c r="A2205" s="33" t="str">
        <f>CONCATENATE(D2205,".",F2205,"-",G2205,".",H2205,"")</f>
        <v>5.5-1.1</v>
      </c>
      <c r="C2205" s="39" t="s">
        <v>338</v>
      </c>
      <c r="D2205" s="33">
        <f>IF(C2205="ID",1,(IF(C2205="PR",2,(IF(C2205="DE",3,(IF(C2205="RS",4,(IF(C2205="RC",5,0)))))))))</f>
        <v>5</v>
      </c>
      <c r="E2205" s="33" t="s">
        <v>348</v>
      </c>
      <c r="F2205" s="33">
        <f>IF(E2205="AM",1,(IF(E2205="BE",2,(IF(E2205="GV",3,(IF(E2205="RA",4,(IF(E2205="RM",5,(IF(E2205="AC",1,(IF(E2205="AT",2,(IF(E2205="DS",3,(IF(E2205="IP",4,(IF(E2205="MA",5,(IF(E2205="PT",6,(IF(E2205="AE",1,(IF(E2205="CM",2,(IF(E2205="DP",3,(IF(E2205="AN",1,(IF(E2205="CO",2,(IF(E2205="IM",3,(IF(E2205="MI",4,(IF(E2205="RP",5,(IF(E2205="SC",6,0)))))))))))))))))))))))))))))))))))))))</f>
        <v>5</v>
      </c>
      <c r="G2205" s="170">
        <v>1</v>
      </c>
      <c r="H2205" s="38" t="s">
        <v>511</v>
      </c>
      <c r="I2205" s="3" t="s">
        <v>1449</v>
      </c>
      <c r="J2205" s="157" t="s">
        <v>2037</v>
      </c>
      <c r="K2205" s="34" t="s">
        <v>2038</v>
      </c>
      <c r="L2205" s="5">
        <f>IF(O2205="","",N2205*O2205*M2205)</f>
        <v>99</v>
      </c>
      <c r="M2205" s="8">
        <v>1</v>
      </c>
      <c r="N2205" s="1">
        <v>1</v>
      </c>
      <c r="O2205" s="15">
        <f>IF(SUM(Q2205:AF2205)&lt;1,"",SUM(Q2205:AF2205)/COUNTIF(Q2205:AF2205,"&gt;0"))</f>
        <v>99</v>
      </c>
      <c r="P2205" s="16"/>
      <c r="Q2205" s="13"/>
      <c r="R2205" s="4"/>
      <c r="S2205" s="4"/>
      <c r="T2205" s="4">
        <v>99</v>
      </c>
      <c r="U2205" s="2"/>
      <c r="V2205" s="2"/>
      <c r="W2205" s="2"/>
      <c r="X2205" s="2"/>
      <c r="Y2205" s="4"/>
      <c r="Z2205" s="2"/>
      <c r="AA2205" s="2"/>
      <c r="AB2205" s="4"/>
      <c r="AC2205" s="4"/>
      <c r="AD2205" s="4"/>
      <c r="AE2205" s="4"/>
      <c r="AF2205" s="14"/>
    </row>
  </sheetData>
  <autoFilter ref="A1:AF2205">
    <sortState ref="A2:AF2205">
      <sortCondition ref="A1:A2205"/>
    </sortState>
  </autoFilter>
  <sortState ref="A2:AB3723">
    <sortCondition ref="D2:D3723"/>
    <sortCondition ref="E2:E3723"/>
    <sortCondition ref="G2:G3723"/>
  </sortState>
  <conditionalFormatting sqref="L63">
    <cfRule type="colorScale" priority="897">
      <colorScale>
        <cfvo type="min"/>
        <cfvo type="percentile" val="50"/>
        <cfvo type="max"/>
        <color rgb="FFF8696B"/>
        <color rgb="FFFFEB84"/>
        <color rgb="FF63BE7B"/>
      </colorScale>
    </cfRule>
  </conditionalFormatting>
  <conditionalFormatting sqref="L56">
    <cfRule type="colorScale" priority="896">
      <colorScale>
        <cfvo type="min"/>
        <cfvo type="percentile" val="50"/>
        <cfvo type="max"/>
        <color rgb="FFF8696B"/>
        <color rgb="FFFFEB84"/>
        <color rgb="FF63BE7B"/>
      </colorScale>
    </cfRule>
  </conditionalFormatting>
  <conditionalFormatting sqref="L65">
    <cfRule type="colorScale" priority="894">
      <colorScale>
        <cfvo type="min"/>
        <cfvo type="percentile" val="50"/>
        <cfvo type="max"/>
        <color rgb="FFF8696B"/>
        <color rgb="FFFFEB84"/>
        <color rgb="FF63BE7B"/>
      </colorScale>
    </cfRule>
  </conditionalFormatting>
  <conditionalFormatting sqref="L71">
    <cfRule type="colorScale" priority="893">
      <colorScale>
        <cfvo type="min"/>
        <cfvo type="percentile" val="50"/>
        <cfvo type="max"/>
        <color rgb="FFF8696B"/>
        <color rgb="FFFFEB84"/>
        <color rgb="FF63BE7B"/>
      </colorScale>
    </cfRule>
  </conditionalFormatting>
  <conditionalFormatting sqref="L89">
    <cfRule type="colorScale" priority="888">
      <colorScale>
        <cfvo type="min"/>
        <cfvo type="percentile" val="50"/>
        <cfvo type="max"/>
        <color rgb="FFF8696B"/>
        <color rgb="FFFFEB84"/>
        <color rgb="FF63BE7B"/>
      </colorScale>
    </cfRule>
  </conditionalFormatting>
  <conditionalFormatting sqref="L97">
    <cfRule type="colorScale" priority="885">
      <colorScale>
        <cfvo type="min"/>
        <cfvo type="percentile" val="50"/>
        <cfvo type="max"/>
        <color rgb="FFF8696B"/>
        <color rgb="FFFFEB84"/>
        <color rgb="FF63BE7B"/>
      </colorScale>
    </cfRule>
  </conditionalFormatting>
  <conditionalFormatting sqref="L72">
    <cfRule type="colorScale" priority="884">
      <colorScale>
        <cfvo type="min"/>
        <cfvo type="percentile" val="50"/>
        <cfvo type="max"/>
        <color rgb="FFF8696B"/>
        <color rgb="FFFFEB84"/>
        <color rgb="FF63BE7B"/>
      </colorScale>
    </cfRule>
  </conditionalFormatting>
  <conditionalFormatting sqref="L74">
    <cfRule type="colorScale" priority="883">
      <colorScale>
        <cfvo type="min"/>
        <cfvo type="percentile" val="50"/>
        <cfvo type="max"/>
        <color rgb="FFF8696B"/>
        <color rgb="FFFFEB84"/>
        <color rgb="FF63BE7B"/>
      </colorScale>
    </cfRule>
  </conditionalFormatting>
  <conditionalFormatting sqref="L76">
    <cfRule type="colorScale" priority="882">
      <colorScale>
        <cfvo type="min"/>
        <cfvo type="percentile" val="50"/>
        <cfvo type="max"/>
        <color rgb="FFF8696B"/>
        <color rgb="FFFFEB84"/>
        <color rgb="FF63BE7B"/>
      </colorScale>
    </cfRule>
  </conditionalFormatting>
  <conditionalFormatting sqref="L98:L99">
    <cfRule type="colorScale" priority="879">
      <colorScale>
        <cfvo type="min"/>
        <cfvo type="percentile" val="50"/>
        <cfvo type="max"/>
        <color rgb="FFF8696B"/>
        <color rgb="FFFFEB84"/>
        <color rgb="FF63BE7B"/>
      </colorScale>
    </cfRule>
  </conditionalFormatting>
  <conditionalFormatting sqref="L365">
    <cfRule type="colorScale" priority="871">
      <colorScale>
        <cfvo type="min"/>
        <cfvo type="percentile" val="50"/>
        <cfvo type="max"/>
        <color rgb="FFF8696B"/>
        <color rgb="FFFFEB84"/>
        <color rgb="FF63BE7B"/>
      </colorScale>
    </cfRule>
  </conditionalFormatting>
  <conditionalFormatting sqref="L402">
    <cfRule type="colorScale" priority="870">
      <colorScale>
        <cfvo type="min"/>
        <cfvo type="percentile" val="50"/>
        <cfvo type="max"/>
        <color rgb="FFF8696B"/>
        <color rgb="FFFFEB84"/>
        <color rgb="FF63BE7B"/>
      </colorScale>
    </cfRule>
  </conditionalFormatting>
  <conditionalFormatting sqref="L433">
    <cfRule type="colorScale" priority="868">
      <colorScale>
        <cfvo type="min"/>
        <cfvo type="percentile" val="50"/>
        <cfvo type="max"/>
        <color rgb="FFF8696B"/>
        <color rgb="FFFFEB84"/>
        <color rgb="FF63BE7B"/>
      </colorScale>
    </cfRule>
  </conditionalFormatting>
  <conditionalFormatting sqref="L986">
    <cfRule type="colorScale" priority="866">
      <colorScale>
        <cfvo type="min"/>
        <cfvo type="percentile" val="50"/>
        <cfvo type="max"/>
        <color rgb="FFF8696B"/>
        <color rgb="FFFFEB84"/>
        <color rgb="FF63BE7B"/>
      </colorScale>
    </cfRule>
  </conditionalFormatting>
  <conditionalFormatting sqref="L1086">
    <cfRule type="colorScale" priority="864">
      <colorScale>
        <cfvo type="min"/>
        <cfvo type="percentile" val="50"/>
        <cfvo type="max"/>
        <color rgb="FFF8696B"/>
        <color rgb="FFFFEB84"/>
        <color rgb="FF63BE7B"/>
      </colorScale>
    </cfRule>
  </conditionalFormatting>
  <conditionalFormatting sqref="L1287:L1290">
    <cfRule type="colorScale" priority="836">
      <colorScale>
        <cfvo type="min"/>
        <cfvo type="percentile" val="50"/>
        <cfvo type="max"/>
        <color rgb="FFF8696B"/>
        <color rgb="FFFFEB84"/>
        <color rgb="FF63BE7B"/>
      </colorScale>
    </cfRule>
  </conditionalFormatting>
  <conditionalFormatting sqref="L1283:L1284">
    <cfRule type="colorScale" priority="831">
      <colorScale>
        <cfvo type="min"/>
        <cfvo type="percentile" val="50"/>
        <cfvo type="max"/>
        <color rgb="FFF8696B"/>
        <color rgb="FFFFEB84"/>
        <color rgb="FF63BE7B"/>
      </colorScale>
    </cfRule>
  </conditionalFormatting>
  <conditionalFormatting sqref="L54">
    <cfRule type="colorScale" priority="827">
      <colorScale>
        <cfvo type="min"/>
        <cfvo type="percentile" val="50"/>
        <cfvo type="max"/>
        <color rgb="FFF8696B"/>
        <color rgb="FFFFEB84"/>
        <color rgb="FF63BE7B"/>
      </colorScale>
    </cfRule>
  </conditionalFormatting>
  <conditionalFormatting sqref="L137">
    <cfRule type="colorScale" priority="826">
      <colorScale>
        <cfvo type="min"/>
        <cfvo type="percentile" val="50"/>
        <cfvo type="max"/>
        <color rgb="FFF8696B"/>
        <color rgb="FFFFEB84"/>
        <color rgb="FF63BE7B"/>
      </colorScale>
    </cfRule>
  </conditionalFormatting>
  <conditionalFormatting sqref="L138">
    <cfRule type="colorScale" priority="825">
      <colorScale>
        <cfvo type="min"/>
        <cfvo type="percentile" val="50"/>
        <cfvo type="max"/>
        <color rgb="FFF8696B"/>
        <color rgb="FFFFEB84"/>
        <color rgb="FF63BE7B"/>
      </colorScale>
    </cfRule>
  </conditionalFormatting>
  <conditionalFormatting sqref="L352">
    <cfRule type="colorScale" priority="822">
      <colorScale>
        <cfvo type="min"/>
        <cfvo type="percentile" val="50"/>
        <cfvo type="max"/>
        <color rgb="FFF8696B"/>
        <color rgb="FFFFEB84"/>
        <color rgb="FF63BE7B"/>
      </colorScale>
    </cfRule>
  </conditionalFormatting>
  <conditionalFormatting sqref="L374">
    <cfRule type="colorScale" priority="821">
      <colorScale>
        <cfvo type="min"/>
        <cfvo type="percentile" val="50"/>
        <cfvo type="max"/>
        <color rgb="FFF8696B"/>
        <color rgb="FFFFEB84"/>
        <color rgb="FF63BE7B"/>
      </colorScale>
    </cfRule>
  </conditionalFormatting>
  <conditionalFormatting sqref="L8">
    <cfRule type="colorScale" priority="817">
      <colorScale>
        <cfvo type="min"/>
        <cfvo type="percentile" val="50"/>
        <cfvo type="max"/>
        <color rgb="FFF8696B"/>
        <color rgb="FFFFEB84"/>
        <color rgb="FF63BE7B"/>
      </colorScale>
    </cfRule>
  </conditionalFormatting>
  <conditionalFormatting sqref="L21">
    <cfRule type="colorScale" priority="816">
      <colorScale>
        <cfvo type="min"/>
        <cfvo type="percentile" val="50"/>
        <cfvo type="max"/>
        <color rgb="FFF8696B"/>
        <color rgb="FFFFEB84"/>
        <color rgb="FF63BE7B"/>
      </colorScale>
    </cfRule>
  </conditionalFormatting>
  <conditionalFormatting sqref="L23">
    <cfRule type="colorScale" priority="813">
      <colorScale>
        <cfvo type="min"/>
        <cfvo type="percentile" val="50"/>
        <cfvo type="max"/>
        <color rgb="FFF8696B"/>
        <color rgb="FFFFEB84"/>
        <color rgb="FF63BE7B"/>
      </colorScale>
    </cfRule>
  </conditionalFormatting>
  <conditionalFormatting sqref="L26">
    <cfRule type="colorScale" priority="812">
      <colorScale>
        <cfvo type="min"/>
        <cfvo type="percentile" val="50"/>
        <cfvo type="max"/>
        <color rgb="FFF8696B"/>
        <color rgb="FFFFEB84"/>
        <color rgb="FF63BE7B"/>
      </colorScale>
    </cfRule>
  </conditionalFormatting>
  <conditionalFormatting sqref="L1079:L1080">
    <cfRule type="colorScale" priority="23101">
      <colorScale>
        <cfvo type="min"/>
        <cfvo type="percentile" val="50"/>
        <cfvo type="max"/>
        <color rgb="FFF8696B"/>
        <color rgb="FFFFEB84"/>
        <color rgb="FF63BE7B"/>
      </colorScale>
    </cfRule>
  </conditionalFormatting>
  <conditionalFormatting sqref="L109">
    <cfRule type="colorScale" priority="43645">
      <colorScale>
        <cfvo type="min"/>
        <cfvo type="percentile" val="50"/>
        <cfvo type="max"/>
        <color rgb="FFF8696B"/>
        <color rgb="FFFFEB84"/>
        <color rgb="FF63BE7B"/>
      </colorScale>
    </cfRule>
  </conditionalFormatting>
  <conditionalFormatting sqref="L79:L80">
    <cfRule type="colorScale" priority="43875">
      <colorScale>
        <cfvo type="min"/>
        <cfvo type="percentile" val="50"/>
        <cfvo type="max"/>
        <color rgb="FFF8696B"/>
        <color rgb="FFFFEB84"/>
        <color rgb="FF63BE7B"/>
      </colorScale>
    </cfRule>
  </conditionalFormatting>
  <conditionalFormatting sqref="L508">
    <cfRule type="colorScale" priority="631">
      <colorScale>
        <cfvo type="min"/>
        <cfvo type="percentile" val="50"/>
        <cfvo type="max"/>
        <color rgb="FFF8696B"/>
        <color rgb="FFFFEB84"/>
        <color rgb="FF63BE7B"/>
      </colorScale>
    </cfRule>
  </conditionalFormatting>
  <conditionalFormatting sqref="L508">
    <cfRule type="colorScale" priority="632">
      <colorScale>
        <cfvo type="min"/>
        <cfvo type="percentile" val="50"/>
        <cfvo type="max"/>
        <color rgb="FFF8696B"/>
        <color rgb="FFFFEB84"/>
        <color rgb="FF63BE7B"/>
      </colorScale>
    </cfRule>
  </conditionalFormatting>
  <conditionalFormatting sqref="L508">
    <cfRule type="colorScale" priority="633">
      <colorScale>
        <cfvo type="min"/>
        <cfvo type="percentile" val="50"/>
        <cfvo type="max"/>
        <color rgb="FFF8696B"/>
        <color rgb="FFFFEB84"/>
        <color rgb="FF63BE7B"/>
      </colorScale>
    </cfRule>
  </conditionalFormatting>
  <conditionalFormatting sqref="L508">
    <cfRule type="colorScale" priority="634">
      <colorScale>
        <cfvo type="min"/>
        <cfvo type="percentile" val="50"/>
        <cfvo type="max"/>
        <color rgb="FFF8696B"/>
        <color rgb="FFFFEB84"/>
        <color rgb="FF63BE7B"/>
      </colorScale>
    </cfRule>
  </conditionalFormatting>
  <conditionalFormatting sqref="L508">
    <cfRule type="colorScale" priority="635">
      <colorScale>
        <cfvo type="min"/>
        <cfvo type="percentile" val="50"/>
        <cfvo type="max"/>
        <color rgb="FFF8696B"/>
        <color rgb="FFFFEB84"/>
        <color rgb="FF63BE7B"/>
      </colorScale>
    </cfRule>
  </conditionalFormatting>
  <conditionalFormatting sqref="L508">
    <cfRule type="colorScale" priority="636">
      <colorScale>
        <cfvo type="min"/>
        <cfvo type="percentile" val="50"/>
        <cfvo type="max"/>
        <color rgb="FFF8696B"/>
        <color rgb="FFFFEB84"/>
        <color rgb="FF63BE7B"/>
      </colorScale>
    </cfRule>
  </conditionalFormatting>
  <conditionalFormatting sqref="L508">
    <cfRule type="colorScale" priority="637">
      <colorScale>
        <cfvo type="min"/>
        <cfvo type="percentile" val="50"/>
        <cfvo type="max"/>
        <color rgb="FFF8696B"/>
        <color rgb="FFFFEB84"/>
        <color rgb="FF63BE7B"/>
      </colorScale>
    </cfRule>
  </conditionalFormatting>
  <conditionalFormatting sqref="L508">
    <cfRule type="colorScale" priority="638">
      <colorScale>
        <cfvo type="min"/>
        <cfvo type="percentile" val="50"/>
        <cfvo type="max"/>
        <color rgb="FFF8696B"/>
        <color rgb="FFFFEB84"/>
        <color rgb="FF63BE7B"/>
      </colorScale>
    </cfRule>
  </conditionalFormatting>
  <conditionalFormatting sqref="L508">
    <cfRule type="colorScale" priority="639">
      <colorScale>
        <cfvo type="min"/>
        <cfvo type="percentile" val="50"/>
        <cfvo type="max"/>
        <color rgb="FFF8696B"/>
        <color rgb="FFFFEB84"/>
        <color rgb="FF63BE7B"/>
      </colorScale>
    </cfRule>
  </conditionalFormatting>
  <conditionalFormatting sqref="L11">
    <cfRule type="colorScale" priority="617">
      <colorScale>
        <cfvo type="min"/>
        <cfvo type="percentile" val="50"/>
        <cfvo type="max"/>
        <color rgb="FFF8696B"/>
        <color rgb="FFFFEB84"/>
        <color rgb="FF63BE7B"/>
      </colorScale>
    </cfRule>
  </conditionalFormatting>
  <conditionalFormatting sqref="L11">
    <cfRule type="colorScale" priority="618">
      <colorScale>
        <cfvo type="min"/>
        <cfvo type="percentile" val="50"/>
        <cfvo type="max"/>
        <color rgb="FFF8696B"/>
        <color rgb="FFFFEB84"/>
        <color rgb="FF63BE7B"/>
      </colorScale>
    </cfRule>
  </conditionalFormatting>
  <conditionalFormatting sqref="L11">
    <cfRule type="colorScale" priority="619">
      <colorScale>
        <cfvo type="min"/>
        <cfvo type="percentile" val="50"/>
        <cfvo type="max"/>
        <color rgb="FFF8696B"/>
        <color rgb="FFFFEB84"/>
        <color rgb="FF63BE7B"/>
      </colorScale>
    </cfRule>
  </conditionalFormatting>
  <conditionalFormatting sqref="L11">
    <cfRule type="colorScale" priority="620">
      <colorScale>
        <cfvo type="min"/>
        <cfvo type="percentile" val="50"/>
        <cfvo type="max"/>
        <color rgb="FFF8696B"/>
        <color rgb="FFFFEB84"/>
        <color rgb="FF63BE7B"/>
      </colorScale>
    </cfRule>
  </conditionalFormatting>
  <conditionalFormatting sqref="L11">
    <cfRule type="colorScale" priority="621">
      <colorScale>
        <cfvo type="min"/>
        <cfvo type="percentile" val="50"/>
        <cfvo type="max"/>
        <color rgb="FFF8696B"/>
        <color rgb="FFFFEB84"/>
        <color rgb="FF63BE7B"/>
      </colorScale>
    </cfRule>
  </conditionalFormatting>
  <conditionalFormatting sqref="L11">
    <cfRule type="colorScale" priority="622">
      <colorScale>
        <cfvo type="min"/>
        <cfvo type="percentile" val="50"/>
        <cfvo type="max"/>
        <color rgb="FFF8696B"/>
        <color rgb="FFFFEB84"/>
        <color rgb="FF63BE7B"/>
      </colorScale>
    </cfRule>
  </conditionalFormatting>
  <conditionalFormatting sqref="L11">
    <cfRule type="colorScale" priority="623">
      <colorScale>
        <cfvo type="min"/>
        <cfvo type="percentile" val="50"/>
        <cfvo type="max"/>
        <color rgb="FFF8696B"/>
        <color rgb="FFFFEB84"/>
        <color rgb="FF63BE7B"/>
      </colorScale>
    </cfRule>
  </conditionalFormatting>
  <conditionalFormatting sqref="L13">
    <cfRule type="colorScale" priority="610">
      <colorScale>
        <cfvo type="min"/>
        <cfvo type="percentile" val="50"/>
        <cfvo type="max"/>
        <color rgb="FFF8696B"/>
        <color rgb="FFFFEB84"/>
        <color rgb="FF63BE7B"/>
      </colorScale>
    </cfRule>
  </conditionalFormatting>
  <conditionalFormatting sqref="L13">
    <cfRule type="colorScale" priority="611">
      <colorScale>
        <cfvo type="min"/>
        <cfvo type="percentile" val="50"/>
        <cfvo type="max"/>
        <color rgb="FFF8696B"/>
        <color rgb="FFFFEB84"/>
        <color rgb="FF63BE7B"/>
      </colorScale>
    </cfRule>
  </conditionalFormatting>
  <conditionalFormatting sqref="L13">
    <cfRule type="colorScale" priority="612">
      <colorScale>
        <cfvo type="min"/>
        <cfvo type="percentile" val="50"/>
        <cfvo type="max"/>
        <color rgb="FFF8696B"/>
        <color rgb="FFFFEB84"/>
        <color rgb="FF63BE7B"/>
      </colorScale>
    </cfRule>
  </conditionalFormatting>
  <conditionalFormatting sqref="L13">
    <cfRule type="colorScale" priority="613">
      <colorScale>
        <cfvo type="min"/>
        <cfvo type="percentile" val="50"/>
        <cfvo type="max"/>
        <color rgb="FFF8696B"/>
        <color rgb="FFFFEB84"/>
        <color rgb="FF63BE7B"/>
      </colorScale>
    </cfRule>
  </conditionalFormatting>
  <conditionalFormatting sqref="L13">
    <cfRule type="colorScale" priority="614">
      <colorScale>
        <cfvo type="min"/>
        <cfvo type="percentile" val="50"/>
        <cfvo type="max"/>
        <color rgb="FFF8696B"/>
        <color rgb="FFFFEB84"/>
        <color rgb="FF63BE7B"/>
      </colorScale>
    </cfRule>
  </conditionalFormatting>
  <conditionalFormatting sqref="L13">
    <cfRule type="colorScale" priority="615">
      <colorScale>
        <cfvo type="min"/>
        <cfvo type="percentile" val="50"/>
        <cfvo type="max"/>
        <color rgb="FFF8696B"/>
        <color rgb="FFFFEB84"/>
        <color rgb="FF63BE7B"/>
      </colorScale>
    </cfRule>
  </conditionalFormatting>
  <conditionalFormatting sqref="L13">
    <cfRule type="colorScale" priority="616">
      <colorScale>
        <cfvo type="min"/>
        <cfvo type="percentile" val="50"/>
        <cfvo type="max"/>
        <color rgb="FFF8696B"/>
        <color rgb="FFFFEB84"/>
        <color rgb="FF63BE7B"/>
      </colorScale>
    </cfRule>
  </conditionalFormatting>
  <conditionalFormatting sqref="L20">
    <cfRule type="colorScale" priority="603">
      <colorScale>
        <cfvo type="min"/>
        <cfvo type="percentile" val="50"/>
        <cfvo type="max"/>
        <color rgb="FFF8696B"/>
        <color rgb="FFFFEB84"/>
        <color rgb="FF63BE7B"/>
      </colorScale>
    </cfRule>
  </conditionalFormatting>
  <conditionalFormatting sqref="L20">
    <cfRule type="colorScale" priority="604">
      <colorScale>
        <cfvo type="min"/>
        <cfvo type="percentile" val="50"/>
        <cfvo type="max"/>
        <color rgb="FFF8696B"/>
        <color rgb="FFFFEB84"/>
        <color rgb="FF63BE7B"/>
      </colorScale>
    </cfRule>
  </conditionalFormatting>
  <conditionalFormatting sqref="L20">
    <cfRule type="colorScale" priority="605">
      <colorScale>
        <cfvo type="min"/>
        <cfvo type="percentile" val="50"/>
        <cfvo type="max"/>
        <color rgb="FFF8696B"/>
        <color rgb="FFFFEB84"/>
        <color rgb="FF63BE7B"/>
      </colorScale>
    </cfRule>
  </conditionalFormatting>
  <conditionalFormatting sqref="L20">
    <cfRule type="colorScale" priority="606">
      <colorScale>
        <cfvo type="min"/>
        <cfvo type="percentile" val="50"/>
        <cfvo type="max"/>
        <color rgb="FFF8696B"/>
        <color rgb="FFFFEB84"/>
        <color rgb="FF63BE7B"/>
      </colorScale>
    </cfRule>
  </conditionalFormatting>
  <conditionalFormatting sqref="L20">
    <cfRule type="colorScale" priority="607">
      <colorScale>
        <cfvo type="min"/>
        <cfvo type="percentile" val="50"/>
        <cfvo type="max"/>
        <color rgb="FFF8696B"/>
        <color rgb="FFFFEB84"/>
        <color rgb="FF63BE7B"/>
      </colorScale>
    </cfRule>
  </conditionalFormatting>
  <conditionalFormatting sqref="L20">
    <cfRule type="colorScale" priority="608">
      <colorScale>
        <cfvo type="min"/>
        <cfvo type="percentile" val="50"/>
        <cfvo type="max"/>
        <color rgb="FFF8696B"/>
        <color rgb="FFFFEB84"/>
        <color rgb="FF63BE7B"/>
      </colorScale>
    </cfRule>
  </conditionalFormatting>
  <conditionalFormatting sqref="L20">
    <cfRule type="colorScale" priority="609">
      <colorScale>
        <cfvo type="min"/>
        <cfvo type="percentile" val="50"/>
        <cfvo type="max"/>
        <color rgb="FFF8696B"/>
        <color rgb="FFFFEB84"/>
        <color rgb="FF63BE7B"/>
      </colorScale>
    </cfRule>
  </conditionalFormatting>
  <conditionalFormatting sqref="L254">
    <cfRule type="colorScale" priority="594">
      <colorScale>
        <cfvo type="min"/>
        <cfvo type="percentile" val="50"/>
        <cfvo type="max"/>
        <color rgb="FFF8696B"/>
        <color rgb="FFFFEB84"/>
        <color rgb="FF63BE7B"/>
      </colorScale>
    </cfRule>
  </conditionalFormatting>
  <conditionalFormatting sqref="L254">
    <cfRule type="colorScale" priority="595">
      <colorScale>
        <cfvo type="min"/>
        <cfvo type="percentile" val="50"/>
        <cfvo type="max"/>
        <color rgb="FFF8696B"/>
        <color rgb="FFFFEB84"/>
        <color rgb="FF63BE7B"/>
      </colorScale>
    </cfRule>
  </conditionalFormatting>
  <conditionalFormatting sqref="L254">
    <cfRule type="colorScale" priority="596">
      <colorScale>
        <cfvo type="min"/>
        <cfvo type="percentile" val="50"/>
        <cfvo type="max"/>
        <color rgb="FFF8696B"/>
        <color rgb="FFFFEB84"/>
        <color rgb="FF63BE7B"/>
      </colorScale>
    </cfRule>
  </conditionalFormatting>
  <conditionalFormatting sqref="L254">
    <cfRule type="colorScale" priority="597">
      <colorScale>
        <cfvo type="min"/>
        <cfvo type="percentile" val="50"/>
        <cfvo type="max"/>
        <color rgb="FFF8696B"/>
        <color rgb="FFFFEB84"/>
        <color rgb="FF63BE7B"/>
      </colorScale>
    </cfRule>
  </conditionalFormatting>
  <conditionalFormatting sqref="L254">
    <cfRule type="colorScale" priority="598">
      <colorScale>
        <cfvo type="min"/>
        <cfvo type="percentile" val="50"/>
        <cfvo type="max"/>
        <color rgb="FFF8696B"/>
        <color rgb="FFFFEB84"/>
        <color rgb="FF63BE7B"/>
      </colorScale>
    </cfRule>
  </conditionalFormatting>
  <conditionalFormatting sqref="L254">
    <cfRule type="colorScale" priority="599">
      <colorScale>
        <cfvo type="min"/>
        <cfvo type="percentile" val="50"/>
        <cfvo type="max"/>
        <color rgb="FFF8696B"/>
        <color rgb="FFFFEB84"/>
        <color rgb="FF63BE7B"/>
      </colorScale>
    </cfRule>
  </conditionalFormatting>
  <conditionalFormatting sqref="L254">
    <cfRule type="colorScale" priority="600">
      <colorScale>
        <cfvo type="min"/>
        <cfvo type="percentile" val="50"/>
        <cfvo type="max"/>
        <color rgb="FFF8696B"/>
        <color rgb="FFFFEB84"/>
        <color rgb="FF63BE7B"/>
      </colorScale>
    </cfRule>
  </conditionalFormatting>
  <conditionalFormatting sqref="L254">
    <cfRule type="colorScale" priority="601">
      <colorScale>
        <cfvo type="min"/>
        <cfvo type="percentile" val="50"/>
        <cfvo type="max"/>
        <color rgb="FFF8696B"/>
        <color rgb="FFFFEB84"/>
        <color rgb="FF63BE7B"/>
      </colorScale>
    </cfRule>
  </conditionalFormatting>
  <conditionalFormatting sqref="L254">
    <cfRule type="colorScale" priority="602">
      <colorScale>
        <cfvo type="min"/>
        <cfvo type="percentile" val="50"/>
        <cfvo type="max"/>
        <color rgb="FFF8696B"/>
        <color rgb="FFFFEB84"/>
        <color rgb="FF63BE7B"/>
      </colorScale>
    </cfRule>
  </conditionalFormatting>
  <conditionalFormatting sqref="L258">
    <cfRule type="colorScale" priority="585">
      <colorScale>
        <cfvo type="min"/>
        <cfvo type="percentile" val="50"/>
        <cfvo type="max"/>
        <color rgb="FFF8696B"/>
        <color rgb="FFFFEB84"/>
        <color rgb="FF63BE7B"/>
      </colorScale>
    </cfRule>
  </conditionalFormatting>
  <conditionalFormatting sqref="L258">
    <cfRule type="colorScale" priority="586">
      <colorScale>
        <cfvo type="min"/>
        <cfvo type="percentile" val="50"/>
        <cfvo type="max"/>
        <color rgb="FFF8696B"/>
        <color rgb="FFFFEB84"/>
        <color rgb="FF63BE7B"/>
      </colorScale>
    </cfRule>
  </conditionalFormatting>
  <conditionalFormatting sqref="L258">
    <cfRule type="colorScale" priority="587">
      <colorScale>
        <cfvo type="min"/>
        <cfvo type="percentile" val="50"/>
        <cfvo type="max"/>
        <color rgb="FFF8696B"/>
        <color rgb="FFFFEB84"/>
        <color rgb="FF63BE7B"/>
      </colorScale>
    </cfRule>
  </conditionalFormatting>
  <conditionalFormatting sqref="L258">
    <cfRule type="colorScale" priority="588">
      <colorScale>
        <cfvo type="min"/>
        <cfvo type="percentile" val="50"/>
        <cfvo type="max"/>
        <color rgb="FFF8696B"/>
        <color rgb="FFFFEB84"/>
        <color rgb="FF63BE7B"/>
      </colorScale>
    </cfRule>
  </conditionalFormatting>
  <conditionalFormatting sqref="L258">
    <cfRule type="colorScale" priority="589">
      <colorScale>
        <cfvo type="min"/>
        <cfvo type="percentile" val="50"/>
        <cfvo type="max"/>
        <color rgb="FFF8696B"/>
        <color rgb="FFFFEB84"/>
        <color rgb="FF63BE7B"/>
      </colorScale>
    </cfRule>
  </conditionalFormatting>
  <conditionalFormatting sqref="L258">
    <cfRule type="colorScale" priority="590">
      <colorScale>
        <cfvo type="min"/>
        <cfvo type="percentile" val="50"/>
        <cfvo type="max"/>
        <color rgb="FFF8696B"/>
        <color rgb="FFFFEB84"/>
        <color rgb="FF63BE7B"/>
      </colorScale>
    </cfRule>
  </conditionalFormatting>
  <conditionalFormatting sqref="L258">
    <cfRule type="colorScale" priority="591">
      <colorScale>
        <cfvo type="min"/>
        <cfvo type="percentile" val="50"/>
        <cfvo type="max"/>
        <color rgb="FFF8696B"/>
        <color rgb="FFFFEB84"/>
        <color rgb="FF63BE7B"/>
      </colorScale>
    </cfRule>
  </conditionalFormatting>
  <conditionalFormatting sqref="L258">
    <cfRule type="colorScale" priority="592">
      <colorScale>
        <cfvo type="min"/>
        <cfvo type="percentile" val="50"/>
        <cfvo type="max"/>
        <color rgb="FFF8696B"/>
        <color rgb="FFFFEB84"/>
        <color rgb="FF63BE7B"/>
      </colorScale>
    </cfRule>
  </conditionalFormatting>
  <conditionalFormatting sqref="L258">
    <cfRule type="colorScale" priority="593">
      <colorScale>
        <cfvo type="min"/>
        <cfvo type="percentile" val="50"/>
        <cfvo type="max"/>
        <color rgb="FFF8696B"/>
        <color rgb="FFFFEB84"/>
        <color rgb="FF63BE7B"/>
      </colorScale>
    </cfRule>
  </conditionalFormatting>
  <conditionalFormatting sqref="L284">
    <cfRule type="colorScale" priority="576">
      <colorScale>
        <cfvo type="min"/>
        <cfvo type="percentile" val="50"/>
        <cfvo type="max"/>
        <color rgb="FFF8696B"/>
        <color rgb="FFFFEB84"/>
        <color rgb="FF63BE7B"/>
      </colorScale>
    </cfRule>
  </conditionalFormatting>
  <conditionalFormatting sqref="L284">
    <cfRule type="colorScale" priority="577">
      <colorScale>
        <cfvo type="min"/>
        <cfvo type="percentile" val="50"/>
        <cfvo type="max"/>
        <color rgb="FFF8696B"/>
        <color rgb="FFFFEB84"/>
        <color rgb="FF63BE7B"/>
      </colorScale>
    </cfRule>
  </conditionalFormatting>
  <conditionalFormatting sqref="L284">
    <cfRule type="colorScale" priority="578">
      <colorScale>
        <cfvo type="min"/>
        <cfvo type="percentile" val="50"/>
        <cfvo type="max"/>
        <color rgb="FFF8696B"/>
        <color rgb="FFFFEB84"/>
        <color rgb="FF63BE7B"/>
      </colorScale>
    </cfRule>
  </conditionalFormatting>
  <conditionalFormatting sqref="L284">
    <cfRule type="colorScale" priority="579">
      <colorScale>
        <cfvo type="min"/>
        <cfvo type="percentile" val="50"/>
        <cfvo type="max"/>
        <color rgb="FFF8696B"/>
        <color rgb="FFFFEB84"/>
        <color rgb="FF63BE7B"/>
      </colorScale>
    </cfRule>
  </conditionalFormatting>
  <conditionalFormatting sqref="L284">
    <cfRule type="colorScale" priority="580">
      <colorScale>
        <cfvo type="min"/>
        <cfvo type="percentile" val="50"/>
        <cfvo type="max"/>
        <color rgb="FFF8696B"/>
        <color rgb="FFFFEB84"/>
        <color rgb="FF63BE7B"/>
      </colorScale>
    </cfRule>
  </conditionalFormatting>
  <conditionalFormatting sqref="L284">
    <cfRule type="colorScale" priority="581">
      <colorScale>
        <cfvo type="min"/>
        <cfvo type="percentile" val="50"/>
        <cfvo type="max"/>
        <color rgb="FFF8696B"/>
        <color rgb="FFFFEB84"/>
        <color rgb="FF63BE7B"/>
      </colorScale>
    </cfRule>
  </conditionalFormatting>
  <conditionalFormatting sqref="L284">
    <cfRule type="colorScale" priority="582">
      <colorScale>
        <cfvo type="min"/>
        <cfvo type="percentile" val="50"/>
        <cfvo type="max"/>
        <color rgb="FFF8696B"/>
        <color rgb="FFFFEB84"/>
        <color rgb="FF63BE7B"/>
      </colorScale>
    </cfRule>
  </conditionalFormatting>
  <conditionalFormatting sqref="L284">
    <cfRule type="colorScale" priority="583">
      <colorScale>
        <cfvo type="min"/>
        <cfvo type="percentile" val="50"/>
        <cfvo type="max"/>
        <color rgb="FFF8696B"/>
        <color rgb="FFFFEB84"/>
        <color rgb="FF63BE7B"/>
      </colorScale>
    </cfRule>
  </conditionalFormatting>
  <conditionalFormatting sqref="L284">
    <cfRule type="colorScale" priority="584">
      <colorScale>
        <cfvo type="min"/>
        <cfvo type="percentile" val="50"/>
        <cfvo type="max"/>
        <color rgb="FFF8696B"/>
        <color rgb="FFFFEB84"/>
        <color rgb="FF63BE7B"/>
      </colorScale>
    </cfRule>
  </conditionalFormatting>
  <conditionalFormatting sqref="L928">
    <cfRule type="colorScale" priority="564">
      <colorScale>
        <cfvo type="min"/>
        <cfvo type="percentile" val="50"/>
        <cfvo type="max"/>
        <color rgb="FFF8696B"/>
        <color rgb="FFFFEB84"/>
        <color rgb="FF63BE7B"/>
      </colorScale>
    </cfRule>
  </conditionalFormatting>
  <conditionalFormatting sqref="L928">
    <cfRule type="colorScale" priority="565">
      <colorScale>
        <cfvo type="min"/>
        <cfvo type="percentile" val="50"/>
        <cfvo type="max"/>
        <color rgb="FFF8696B"/>
        <color rgb="FFFFEB84"/>
        <color rgb="FF63BE7B"/>
      </colorScale>
    </cfRule>
  </conditionalFormatting>
  <conditionalFormatting sqref="L928">
    <cfRule type="colorScale" priority="566">
      <colorScale>
        <cfvo type="min"/>
        <cfvo type="percentile" val="50"/>
        <cfvo type="max"/>
        <color rgb="FFF8696B"/>
        <color rgb="FFFFEB84"/>
        <color rgb="FF63BE7B"/>
      </colorScale>
    </cfRule>
  </conditionalFormatting>
  <conditionalFormatting sqref="L928">
    <cfRule type="colorScale" priority="567">
      <colorScale>
        <cfvo type="min"/>
        <cfvo type="percentile" val="50"/>
        <cfvo type="max"/>
        <color rgb="FFF8696B"/>
        <color rgb="FFFFEB84"/>
        <color rgb="FF63BE7B"/>
      </colorScale>
    </cfRule>
  </conditionalFormatting>
  <conditionalFormatting sqref="L928">
    <cfRule type="colorScale" priority="568">
      <colorScale>
        <cfvo type="min"/>
        <cfvo type="percentile" val="50"/>
        <cfvo type="max"/>
        <color rgb="FFF8696B"/>
        <color rgb="FFFFEB84"/>
        <color rgb="FF63BE7B"/>
      </colorScale>
    </cfRule>
  </conditionalFormatting>
  <conditionalFormatting sqref="L928">
    <cfRule type="colorScale" priority="569">
      <colorScale>
        <cfvo type="min"/>
        <cfvo type="percentile" val="50"/>
        <cfvo type="max"/>
        <color rgb="FFF8696B"/>
        <color rgb="FFFFEB84"/>
        <color rgb="FF63BE7B"/>
      </colorScale>
    </cfRule>
  </conditionalFormatting>
  <conditionalFormatting sqref="L928">
    <cfRule type="colorScale" priority="570">
      <colorScale>
        <cfvo type="min"/>
        <cfvo type="percentile" val="50"/>
        <cfvo type="max"/>
        <color rgb="FFF8696B"/>
        <color rgb="FFFFEB84"/>
        <color rgb="FF63BE7B"/>
      </colorScale>
    </cfRule>
  </conditionalFormatting>
  <conditionalFormatting sqref="L928">
    <cfRule type="colorScale" priority="571">
      <colorScale>
        <cfvo type="min"/>
        <cfvo type="percentile" val="50"/>
        <cfvo type="max"/>
        <color rgb="FFF8696B"/>
        <color rgb="FFFFEB84"/>
        <color rgb="FF63BE7B"/>
      </colorScale>
    </cfRule>
  </conditionalFormatting>
  <conditionalFormatting sqref="L928">
    <cfRule type="colorScale" priority="572">
      <colorScale>
        <cfvo type="min"/>
        <cfvo type="percentile" val="50"/>
        <cfvo type="max"/>
        <color rgb="FFF8696B"/>
        <color rgb="FFFFEB84"/>
        <color rgb="FF63BE7B"/>
      </colorScale>
    </cfRule>
  </conditionalFormatting>
  <conditionalFormatting sqref="L1260">
    <cfRule type="colorScale" priority="555">
      <colorScale>
        <cfvo type="min"/>
        <cfvo type="percentile" val="50"/>
        <cfvo type="max"/>
        <color rgb="FFF8696B"/>
        <color rgb="FFFFEB84"/>
        <color rgb="FF63BE7B"/>
      </colorScale>
    </cfRule>
  </conditionalFormatting>
  <conditionalFormatting sqref="L1260">
    <cfRule type="colorScale" priority="556">
      <colorScale>
        <cfvo type="min"/>
        <cfvo type="percentile" val="50"/>
        <cfvo type="max"/>
        <color rgb="FFF8696B"/>
        <color rgb="FFFFEB84"/>
        <color rgb="FF63BE7B"/>
      </colorScale>
    </cfRule>
  </conditionalFormatting>
  <conditionalFormatting sqref="L1260">
    <cfRule type="colorScale" priority="557">
      <colorScale>
        <cfvo type="min"/>
        <cfvo type="percentile" val="50"/>
        <cfvo type="max"/>
        <color rgb="FFF8696B"/>
        <color rgb="FFFFEB84"/>
        <color rgb="FF63BE7B"/>
      </colorScale>
    </cfRule>
  </conditionalFormatting>
  <conditionalFormatting sqref="L1260">
    <cfRule type="colorScale" priority="558">
      <colorScale>
        <cfvo type="min"/>
        <cfvo type="percentile" val="50"/>
        <cfvo type="max"/>
        <color rgb="FFF8696B"/>
        <color rgb="FFFFEB84"/>
        <color rgb="FF63BE7B"/>
      </colorScale>
    </cfRule>
  </conditionalFormatting>
  <conditionalFormatting sqref="L1260">
    <cfRule type="colorScale" priority="559">
      <colorScale>
        <cfvo type="min"/>
        <cfvo type="percentile" val="50"/>
        <cfvo type="max"/>
        <color rgb="FFF8696B"/>
        <color rgb="FFFFEB84"/>
        <color rgb="FF63BE7B"/>
      </colorScale>
    </cfRule>
  </conditionalFormatting>
  <conditionalFormatting sqref="L1260">
    <cfRule type="colorScale" priority="560">
      <colorScale>
        <cfvo type="min"/>
        <cfvo type="percentile" val="50"/>
        <cfvo type="max"/>
        <color rgb="FFF8696B"/>
        <color rgb="FFFFEB84"/>
        <color rgb="FF63BE7B"/>
      </colorScale>
    </cfRule>
  </conditionalFormatting>
  <conditionalFormatting sqref="L1260">
    <cfRule type="colorScale" priority="561">
      <colorScale>
        <cfvo type="min"/>
        <cfvo type="percentile" val="50"/>
        <cfvo type="max"/>
        <color rgb="FFF8696B"/>
        <color rgb="FFFFEB84"/>
        <color rgb="FF63BE7B"/>
      </colorScale>
    </cfRule>
  </conditionalFormatting>
  <conditionalFormatting sqref="L1260">
    <cfRule type="colorScale" priority="562">
      <colorScale>
        <cfvo type="min"/>
        <cfvo type="percentile" val="50"/>
        <cfvo type="max"/>
        <color rgb="FFF8696B"/>
        <color rgb="FFFFEB84"/>
        <color rgb="FF63BE7B"/>
      </colorScale>
    </cfRule>
  </conditionalFormatting>
  <conditionalFormatting sqref="L1260">
    <cfRule type="colorScale" priority="563">
      <colorScale>
        <cfvo type="min"/>
        <cfvo type="percentile" val="50"/>
        <cfvo type="max"/>
        <color rgb="FFF8696B"/>
        <color rgb="FFFFEB84"/>
        <color rgb="FF63BE7B"/>
      </colorScale>
    </cfRule>
  </conditionalFormatting>
  <conditionalFormatting sqref="L1236">
    <cfRule type="colorScale" priority="546">
      <colorScale>
        <cfvo type="min"/>
        <cfvo type="percentile" val="50"/>
        <cfvo type="max"/>
        <color rgb="FFF8696B"/>
        <color rgb="FFFFEB84"/>
        <color rgb="FF63BE7B"/>
      </colorScale>
    </cfRule>
  </conditionalFormatting>
  <conditionalFormatting sqref="L1236">
    <cfRule type="colorScale" priority="547">
      <colorScale>
        <cfvo type="min"/>
        <cfvo type="percentile" val="50"/>
        <cfvo type="max"/>
        <color rgb="FFF8696B"/>
        <color rgb="FFFFEB84"/>
        <color rgb="FF63BE7B"/>
      </colorScale>
    </cfRule>
  </conditionalFormatting>
  <conditionalFormatting sqref="L1236">
    <cfRule type="colorScale" priority="548">
      <colorScale>
        <cfvo type="min"/>
        <cfvo type="percentile" val="50"/>
        <cfvo type="max"/>
        <color rgb="FFF8696B"/>
        <color rgb="FFFFEB84"/>
        <color rgb="FF63BE7B"/>
      </colorScale>
    </cfRule>
  </conditionalFormatting>
  <conditionalFormatting sqref="L1236">
    <cfRule type="colorScale" priority="549">
      <colorScale>
        <cfvo type="min"/>
        <cfvo type="percentile" val="50"/>
        <cfvo type="max"/>
        <color rgb="FFF8696B"/>
        <color rgb="FFFFEB84"/>
        <color rgb="FF63BE7B"/>
      </colorScale>
    </cfRule>
  </conditionalFormatting>
  <conditionalFormatting sqref="L1236">
    <cfRule type="colorScale" priority="550">
      <colorScale>
        <cfvo type="min"/>
        <cfvo type="percentile" val="50"/>
        <cfvo type="max"/>
        <color rgb="FFF8696B"/>
        <color rgb="FFFFEB84"/>
        <color rgb="FF63BE7B"/>
      </colorScale>
    </cfRule>
  </conditionalFormatting>
  <conditionalFormatting sqref="L1236">
    <cfRule type="colorScale" priority="551">
      <colorScale>
        <cfvo type="min"/>
        <cfvo type="percentile" val="50"/>
        <cfvo type="max"/>
        <color rgb="FFF8696B"/>
        <color rgb="FFFFEB84"/>
        <color rgb="FF63BE7B"/>
      </colorScale>
    </cfRule>
  </conditionalFormatting>
  <conditionalFormatting sqref="L1236">
    <cfRule type="colorScale" priority="552">
      <colorScale>
        <cfvo type="min"/>
        <cfvo type="percentile" val="50"/>
        <cfvo type="max"/>
        <color rgb="FFF8696B"/>
        <color rgb="FFFFEB84"/>
        <color rgb="FF63BE7B"/>
      </colorScale>
    </cfRule>
  </conditionalFormatting>
  <conditionalFormatting sqref="L1236">
    <cfRule type="colorScale" priority="553">
      <colorScale>
        <cfvo type="min"/>
        <cfvo type="percentile" val="50"/>
        <cfvo type="max"/>
        <color rgb="FFF8696B"/>
        <color rgb="FFFFEB84"/>
        <color rgb="FF63BE7B"/>
      </colorScale>
    </cfRule>
  </conditionalFormatting>
  <conditionalFormatting sqref="L1236">
    <cfRule type="colorScale" priority="554">
      <colorScale>
        <cfvo type="min"/>
        <cfvo type="percentile" val="50"/>
        <cfvo type="max"/>
        <color rgb="FFF8696B"/>
        <color rgb="FFFFEB84"/>
        <color rgb="FF63BE7B"/>
      </colorScale>
    </cfRule>
  </conditionalFormatting>
  <conditionalFormatting sqref="L863">
    <cfRule type="colorScale" priority="537">
      <colorScale>
        <cfvo type="min"/>
        <cfvo type="percentile" val="50"/>
        <cfvo type="max"/>
        <color rgb="FFF8696B"/>
        <color rgb="FFFFEB84"/>
        <color rgb="FF63BE7B"/>
      </colorScale>
    </cfRule>
  </conditionalFormatting>
  <conditionalFormatting sqref="L863">
    <cfRule type="colorScale" priority="538">
      <colorScale>
        <cfvo type="min"/>
        <cfvo type="percentile" val="50"/>
        <cfvo type="max"/>
        <color rgb="FFF8696B"/>
        <color rgb="FFFFEB84"/>
        <color rgb="FF63BE7B"/>
      </colorScale>
    </cfRule>
  </conditionalFormatting>
  <conditionalFormatting sqref="L863">
    <cfRule type="colorScale" priority="539">
      <colorScale>
        <cfvo type="min"/>
        <cfvo type="percentile" val="50"/>
        <cfvo type="max"/>
        <color rgb="FFF8696B"/>
        <color rgb="FFFFEB84"/>
        <color rgb="FF63BE7B"/>
      </colorScale>
    </cfRule>
  </conditionalFormatting>
  <conditionalFormatting sqref="L863">
    <cfRule type="colorScale" priority="540">
      <colorScale>
        <cfvo type="min"/>
        <cfvo type="percentile" val="50"/>
        <cfvo type="max"/>
        <color rgb="FFF8696B"/>
        <color rgb="FFFFEB84"/>
        <color rgb="FF63BE7B"/>
      </colorScale>
    </cfRule>
  </conditionalFormatting>
  <conditionalFormatting sqref="L863">
    <cfRule type="colorScale" priority="541">
      <colorScale>
        <cfvo type="min"/>
        <cfvo type="percentile" val="50"/>
        <cfvo type="max"/>
        <color rgb="FFF8696B"/>
        <color rgb="FFFFEB84"/>
        <color rgb="FF63BE7B"/>
      </colorScale>
    </cfRule>
  </conditionalFormatting>
  <conditionalFormatting sqref="L863">
    <cfRule type="colorScale" priority="542">
      <colorScale>
        <cfvo type="min"/>
        <cfvo type="percentile" val="50"/>
        <cfvo type="max"/>
        <color rgb="FFF8696B"/>
        <color rgb="FFFFEB84"/>
        <color rgb="FF63BE7B"/>
      </colorScale>
    </cfRule>
  </conditionalFormatting>
  <conditionalFormatting sqref="L863">
    <cfRule type="colorScale" priority="543">
      <colorScale>
        <cfvo type="min"/>
        <cfvo type="percentile" val="50"/>
        <cfvo type="max"/>
        <color rgb="FFF8696B"/>
        <color rgb="FFFFEB84"/>
        <color rgb="FF63BE7B"/>
      </colorScale>
    </cfRule>
  </conditionalFormatting>
  <conditionalFormatting sqref="L863">
    <cfRule type="colorScale" priority="544">
      <colorScale>
        <cfvo type="min"/>
        <cfvo type="percentile" val="50"/>
        <cfvo type="max"/>
        <color rgb="FFF8696B"/>
        <color rgb="FFFFEB84"/>
        <color rgb="FF63BE7B"/>
      </colorScale>
    </cfRule>
  </conditionalFormatting>
  <conditionalFormatting sqref="L863">
    <cfRule type="colorScale" priority="545">
      <colorScale>
        <cfvo type="min"/>
        <cfvo type="percentile" val="50"/>
        <cfvo type="max"/>
        <color rgb="FFF8696B"/>
        <color rgb="FFFFEB84"/>
        <color rgb="FF63BE7B"/>
      </colorScale>
    </cfRule>
  </conditionalFormatting>
  <conditionalFormatting sqref="L39">
    <cfRule type="colorScale" priority="529">
      <colorScale>
        <cfvo type="min"/>
        <cfvo type="percentile" val="50"/>
        <cfvo type="max"/>
        <color rgb="FFF8696B"/>
        <color rgb="FFFFEB84"/>
        <color rgb="FF63BE7B"/>
      </colorScale>
    </cfRule>
  </conditionalFormatting>
  <conditionalFormatting sqref="L39">
    <cfRule type="colorScale" priority="530">
      <colorScale>
        <cfvo type="min"/>
        <cfvo type="percentile" val="50"/>
        <cfvo type="max"/>
        <color rgb="FFF8696B"/>
        <color rgb="FFFFEB84"/>
        <color rgb="FF63BE7B"/>
      </colorScale>
    </cfRule>
  </conditionalFormatting>
  <conditionalFormatting sqref="L39">
    <cfRule type="colorScale" priority="531">
      <colorScale>
        <cfvo type="min"/>
        <cfvo type="percentile" val="50"/>
        <cfvo type="max"/>
        <color rgb="FFF8696B"/>
        <color rgb="FFFFEB84"/>
        <color rgb="FF63BE7B"/>
      </colorScale>
    </cfRule>
  </conditionalFormatting>
  <conditionalFormatting sqref="L39">
    <cfRule type="colorScale" priority="532">
      <colorScale>
        <cfvo type="min"/>
        <cfvo type="percentile" val="50"/>
        <cfvo type="max"/>
        <color rgb="FFF8696B"/>
        <color rgb="FFFFEB84"/>
        <color rgb="FF63BE7B"/>
      </colorScale>
    </cfRule>
  </conditionalFormatting>
  <conditionalFormatting sqref="L39">
    <cfRule type="colorScale" priority="533">
      <colorScale>
        <cfvo type="min"/>
        <cfvo type="percentile" val="50"/>
        <cfvo type="max"/>
        <color rgb="FFF8696B"/>
        <color rgb="FFFFEB84"/>
        <color rgb="FF63BE7B"/>
      </colorScale>
    </cfRule>
  </conditionalFormatting>
  <conditionalFormatting sqref="L39">
    <cfRule type="colorScale" priority="534">
      <colorScale>
        <cfvo type="min"/>
        <cfvo type="percentile" val="50"/>
        <cfvo type="max"/>
        <color rgb="FFF8696B"/>
        <color rgb="FFFFEB84"/>
        <color rgb="FF63BE7B"/>
      </colorScale>
    </cfRule>
  </conditionalFormatting>
  <conditionalFormatting sqref="L39">
    <cfRule type="colorScale" priority="535">
      <colorScale>
        <cfvo type="min"/>
        <cfvo type="percentile" val="50"/>
        <cfvo type="max"/>
        <color rgb="FFF8696B"/>
        <color rgb="FFFFEB84"/>
        <color rgb="FF63BE7B"/>
      </colorScale>
    </cfRule>
  </conditionalFormatting>
  <conditionalFormatting sqref="L39">
    <cfRule type="colorScale" priority="528">
      <colorScale>
        <cfvo type="min"/>
        <cfvo type="percentile" val="50"/>
        <cfvo type="max"/>
        <color rgb="FFF8696B"/>
        <color rgb="FFFFEB84"/>
        <color rgb="FF63BE7B"/>
      </colorScale>
    </cfRule>
  </conditionalFormatting>
  <conditionalFormatting sqref="L29">
    <cfRule type="colorScale" priority="521">
      <colorScale>
        <cfvo type="min"/>
        <cfvo type="percentile" val="50"/>
        <cfvo type="max"/>
        <color rgb="FFF8696B"/>
        <color rgb="FFFFEB84"/>
        <color rgb="FF63BE7B"/>
      </colorScale>
    </cfRule>
  </conditionalFormatting>
  <conditionalFormatting sqref="L29">
    <cfRule type="colorScale" priority="522">
      <colorScale>
        <cfvo type="min"/>
        <cfvo type="percentile" val="50"/>
        <cfvo type="max"/>
        <color rgb="FFF8696B"/>
        <color rgb="FFFFEB84"/>
        <color rgb="FF63BE7B"/>
      </colorScale>
    </cfRule>
  </conditionalFormatting>
  <conditionalFormatting sqref="L29">
    <cfRule type="colorScale" priority="523">
      <colorScale>
        <cfvo type="min"/>
        <cfvo type="percentile" val="50"/>
        <cfvo type="max"/>
        <color rgb="FFF8696B"/>
        <color rgb="FFFFEB84"/>
        <color rgb="FF63BE7B"/>
      </colorScale>
    </cfRule>
  </conditionalFormatting>
  <conditionalFormatting sqref="L29">
    <cfRule type="colorScale" priority="524">
      <colorScale>
        <cfvo type="min"/>
        <cfvo type="percentile" val="50"/>
        <cfvo type="max"/>
        <color rgb="FFF8696B"/>
        <color rgb="FFFFEB84"/>
        <color rgb="FF63BE7B"/>
      </colorScale>
    </cfRule>
  </conditionalFormatting>
  <conditionalFormatting sqref="L29">
    <cfRule type="colorScale" priority="525">
      <colorScale>
        <cfvo type="min"/>
        <cfvo type="percentile" val="50"/>
        <cfvo type="max"/>
        <color rgb="FFF8696B"/>
        <color rgb="FFFFEB84"/>
        <color rgb="FF63BE7B"/>
      </colorScale>
    </cfRule>
  </conditionalFormatting>
  <conditionalFormatting sqref="L29">
    <cfRule type="colorScale" priority="526">
      <colorScale>
        <cfvo type="min"/>
        <cfvo type="percentile" val="50"/>
        <cfvo type="max"/>
        <color rgb="FFF8696B"/>
        <color rgb="FFFFEB84"/>
        <color rgb="FF63BE7B"/>
      </colorScale>
    </cfRule>
  </conditionalFormatting>
  <conditionalFormatting sqref="L29">
    <cfRule type="colorScale" priority="527">
      <colorScale>
        <cfvo type="min"/>
        <cfvo type="percentile" val="50"/>
        <cfvo type="max"/>
        <color rgb="FFF8696B"/>
        <color rgb="FFFFEB84"/>
        <color rgb="FF63BE7B"/>
      </colorScale>
    </cfRule>
  </conditionalFormatting>
  <conditionalFormatting sqref="L29">
    <cfRule type="colorScale" priority="520">
      <colorScale>
        <cfvo type="min"/>
        <cfvo type="percentile" val="50"/>
        <cfvo type="max"/>
        <color rgb="FFF8696B"/>
        <color rgb="FFFFEB84"/>
        <color rgb="FF63BE7B"/>
      </colorScale>
    </cfRule>
  </conditionalFormatting>
  <conditionalFormatting sqref="L40">
    <cfRule type="colorScale" priority="513">
      <colorScale>
        <cfvo type="min"/>
        <cfvo type="percentile" val="50"/>
        <cfvo type="max"/>
        <color rgb="FFF8696B"/>
        <color rgb="FFFFEB84"/>
        <color rgb="FF63BE7B"/>
      </colorScale>
    </cfRule>
  </conditionalFormatting>
  <conditionalFormatting sqref="L40">
    <cfRule type="colorScale" priority="514">
      <colorScale>
        <cfvo type="min"/>
        <cfvo type="percentile" val="50"/>
        <cfvo type="max"/>
        <color rgb="FFF8696B"/>
        <color rgb="FFFFEB84"/>
        <color rgb="FF63BE7B"/>
      </colorScale>
    </cfRule>
  </conditionalFormatting>
  <conditionalFormatting sqref="L40">
    <cfRule type="colorScale" priority="515">
      <colorScale>
        <cfvo type="min"/>
        <cfvo type="percentile" val="50"/>
        <cfvo type="max"/>
        <color rgb="FFF8696B"/>
        <color rgb="FFFFEB84"/>
        <color rgb="FF63BE7B"/>
      </colorScale>
    </cfRule>
  </conditionalFormatting>
  <conditionalFormatting sqref="L40">
    <cfRule type="colorScale" priority="516">
      <colorScale>
        <cfvo type="min"/>
        <cfvo type="percentile" val="50"/>
        <cfvo type="max"/>
        <color rgb="FFF8696B"/>
        <color rgb="FFFFEB84"/>
        <color rgb="FF63BE7B"/>
      </colorScale>
    </cfRule>
  </conditionalFormatting>
  <conditionalFormatting sqref="L40">
    <cfRule type="colorScale" priority="517">
      <colorScale>
        <cfvo type="min"/>
        <cfvo type="percentile" val="50"/>
        <cfvo type="max"/>
        <color rgb="FFF8696B"/>
        <color rgb="FFFFEB84"/>
        <color rgb="FF63BE7B"/>
      </colorScale>
    </cfRule>
  </conditionalFormatting>
  <conditionalFormatting sqref="L40">
    <cfRule type="colorScale" priority="518">
      <colorScale>
        <cfvo type="min"/>
        <cfvo type="percentile" val="50"/>
        <cfvo type="max"/>
        <color rgb="FFF8696B"/>
        <color rgb="FFFFEB84"/>
        <color rgb="FF63BE7B"/>
      </colorScale>
    </cfRule>
  </conditionalFormatting>
  <conditionalFormatting sqref="L40">
    <cfRule type="colorScale" priority="519">
      <colorScale>
        <cfvo type="min"/>
        <cfvo type="percentile" val="50"/>
        <cfvo type="max"/>
        <color rgb="FFF8696B"/>
        <color rgb="FFFFEB84"/>
        <color rgb="FF63BE7B"/>
      </colorScale>
    </cfRule>
  </conditionalFormatting>
  <conditionalFormatting sqref="L40">
    <cfRule type="colorScale" priority="512">
      <colorScale>
        <cfvo type="min"/>
        <cfvo type="percentile" val="50"/>
        <cfvo type="max"/>
        <color rgb="FFF8696B"/>
        <color rgb="FFFFEB84"/>
        <color rgb="FF63BE7B"/>
      </colorScale>
    </cfRule>
  </conditionalFormatting>
  <conditionalFormatting sqref="L205">
    <cfRule type="colorScale" priority="493">
      <colorScale>
        <cfvo type="min"/>
        <cfvo type="percentile" val="50"/>
        <cfvo type="max"/>
        <color rgb="FFF8696B"/>
        <color rgb="FFFFEB84"/>
        <color rgb="FF63BE7B"/>
      </colorScale>
    </cfRule>
  </conditionalFormatting>
  <conditionalFormatting sqref="L205">
    <cfRule type="colorScale" priority="494">
      <colorScale>
        <cfvo type="min"/>
        <cfvo type="percentile" val="50"/>
        <cfvo type="max"/>
        <color rgb="FFF8696B"/>
        <color rgb="FFFFEB84"/>
        <color rgb="FF63BE7B"/>
      </colorScale>
    </cfRule>
  </conditionalFormatting>
  <conditionalFormatting sqref="L205">
    <cfRule type="colorScale" priority="495">
      <colorScale>
        <cfvo type="min"/>
        <cfvo type="percentile" val="50"/>
        <cfvo type="max"/>
        <color rgb="FFF8696B"/>
        <color rgb="FFFFEB84"/>
        <color rgb="FF63BE7B"/>
      </colorScale>
    </cfRule>
  </conditionalFormatting>
  <conditionalFormatting sqref="L205">
    <cfRule type="colorScale" priority="496">
      <colorScale>
        <cfvo type="min"/>
        <cfvo type="percentile" val="50"/>
        <cfvo type="max"/>
        <color rgb="FFF8696B"/>
        <color rgb="FFFFEB84"/>
        <color rgb="FF63BE7B"/>
      </colorScale>
    </cfRule>
  </conditionalFormatting>
  <conditionalFormatting sqref="L205">
    <cfRule type="colorScale" priority="497">
      <colorScale>
        <cfvo type="min"/>
        <cfvo type="percentile" val="50"/>
        <cfvo type="max"/>
        <color rgb="FFF8696B"/>
        <color rgb="FFFFEB84"/>
        <color rgb="FF63BE7B"/>
      </colorScale>
    </cfRule>
  </conditionalFormatting>
  <conditionalFormatting sqref="L205">
    <cfRule type="colorScale" priority="498">
      <colorScale>
        <cfvo type="min"/>
        <cfvo type="percentile" val="50"/>
        <cfvo type="max"/>
        <color rgb="FFF8696B"/>
        <color rgb="FFFFEB84"/>
        <color rgb="FF63BE7B"/>
      </colorScale>
    </cfRule>
  </conditionalFormatting>
  <conditionalFormatting sqref="L205">
    <cfRule type="colorScale" priority="499">
      <colorScale>
        <cfvo type="min"/>
        <cfvo type="percentile" val="50"/>
        <cfvo type="max"/>
        <color rgb="FFF8696B"/>
        <color rgb="FFFFEB84"/>
        <color rgb="FF63BE7B"/>
      </colorScale>
    </cfRule>
  </conditionalFormatting>
  <conditionalFormatting sqref="L205">
    <cfRule type="colorScale" priority="500">
      <colorScale>
        <cfvo type="min"/>
        <cfvo type="percentile" val="50"/>
        <cfvo type="max"/>
        <color rgb="FFF8696B"/>
        <color rgb="FFFFEB84"/>
        <color rgb="FF63BE7B"/>
      </colorScale>
    </cfRule>
  </conditionalFormatting>
  <conditionalFormatting sqref="L205">
    <cfRule type="colorScale" priority="501">
      <colorScale>
        <cfvo type="min"/>
        <cfvo type="percentile" val="50"/>
        <cfvo type="max"/>
        <color rgb="FFF8696B"/>
        <color rgb="FFFFEB84"/>
        <color rgb="FF63BE7B"/>
      </colorScale>
    </cfRule>
  </conditionalFormatting>
  <conditionalFormatting sqref="L205">
    <cfRule type="colorScale" priority="492">
      <colorScale>
        <cfvo type="min"/>
        <cfvo type="percentile" val="50"/>
        <cfvo type="max"/>
        <color rgb="FFF8696B"/>
        <color rgb="FFFFEB84"/>
        <color rgb="FF63BE7B"/>
      </colorScale>
    </cfRule>
  </conditionalFormatting>
  <conditionalFormatting sqref="L633">
    <cfRule type="colorScale" priority="449">
      <colorScale>
        <cfvo type="min"/>
        <cfvo type="percentile" val="50"/>
        <cfvo type="max"/>
        <color rgb="FFF8696B"/>
        <color rgb="FFFFEB84"/>
        <color rgb="FF63BE7B"/>
      </colorScale>
    </cfRule>
  </conditionalFormatting>
  <conditionalFormatting sqref="L633">
    <cfRule type="colorScale" priority="450">
      <colorScale>
        <cfvo type="min"/>
        <cfvo type="percentile" val="50"/>
        <cfvo type="max"/>
        <color rgb="FFF8696B"/>
        <color rgb="FFFFEB84"/>
        <color rgb="FF63BE7B"/>
      </colorScale>
    </cfRule>
  </conditionalFormatting>
  <conditionalFormatting sqref="L633">
    <cfRule type="colorScale" priority="451">
      <colorScale>
        <cfvo type="min"/>
        <cfvo type="percentile" val="50"/>
        <cfvo type="max"/>
        <color rgb="FFF8696B"/>
        <color rgb="FFFFEB84"/>
        <color rgb="FF63BE7B"/>
      </colorScale>
    </cfRule>
  </conditionalFormatting>
  <conditionalFormatting sqref="L633">
    <cfRule type="colorScale" priority="452">
      <colorScale>
        <cfvo type="min"/>
        <cfvo type="percentile" val="50"/>
        <cfvo type="max"/>
        <color rgb="FFF8696B"/>
        <color rgb="FFFFEB84"/>
        <color rgb="FF63BE7B"/>
      </colorScale>
    </cfRule>
  </conditionalFormatting>
  <conditionalFormatting sqref="L633">
    <cfRule type="colorScale" priority="453">
      <colorScale>
        <cfvo type="min"/>
        <cfvo type="percentile" val="50"/>
        <cfvo type="max"/>
        <color rgb="FFF8696B"/>
        <color rgb="FFFFEB84"/>
        <color rgb="FF63BE7B"/>
      </colorScale>
    </cfRule>
  </conditionalFormatting>
  <conditionalFormatting sqref="L633">
    <cfRule type="colorScale" priority="454">
      <colorScale>
        <cfvo type="min"/>
        <cfvo type="percentile" val="50"/>
        <cfvo type="max"/>
        <color rgb="FFF8696B"/>
        <color rgb="FFFFEB84"/>
        <color rgb="FF63BE7B"/>
      </colorScale>
    </cfRule>
  </conditionalFormatting>
  <conditionalFormatting sqref="L633">
    <cfRule type="colorScale" priority="455">
      <colorScale>
        <cfvo type="min"/>
        <cfvo type="percentile" val="50"/>
        <cfvo type="max"/>
        <color rgb="FFF8696B"/>
        <color rgb="FFFFEB84"/>
        <color rgb="FF63BE7B"/>
      </colorScale>
    </cfRule>
  </conditionalFormatting>
  <conditionalFormatting sqref="L633">
    <cfRule type="colorScale" priority="456">
      <colorScale>
        <cfvo type="min"/>
        <cfvo type="percentile" val="50"/>
        <cfvo type="max"/>
        <color rgb="FFF8696B"/>
        <color rgb="FFFFEB84"/>
        <color rgb="FF63BE7B"/>
      </colorScale>
    </cfRule>
  </conditionalFormatting>
  <conditionalFormatting sqref="L633">
    <cfRule type="colorScale" priority="457">
      <colorScale>
        <cfvo type="min"/>
        <cfvo type="percentile" val="50"/>
        <cfvo type="max"/>
        <color rgb="FFF8696B"/>
        <color rgb="FFFFEB84"/>
        <color rgb="FF63BE7B"/>
      </colorScale>
    </cfRule>
  </conditionalFormatting>
  <conditionalFormatting sqref="L633">
    <cfRule type="colorScale" priority="458">
      <colorScale>
        <cfvo type="min"/>
        <cfvo type="percentile" val="50"/>
        <cfvo type="max"/>
        <color rgb="FFF8696B"/>
        <color rgb="FFFFEB84"/>
        <color rgb="FF63BE7B"/>
      </colorScale>
    </cfRule>
  </conditionalFormatting>
  <conditionalFormatting sqref="L734">
    <cfRule type="colorScale" priority="439">
      <colorScale>
        <cfvo type="min"/>
        <cfvo type="percentile" val="50"/>
        <cfvo type="max"/>
        <color rgb="FFF8696B"/>
        <color rgb="FFFFEB84"/>
        <color rgb="FF63BE7B"/>
      </colorScale>
    </cfRule>
  </conditionalFormatting>
  <conditionalFormatting sqref="L734">
    <cfRule type="colorScale" priority="440">
      <colorScale>
        <cfvo type="min"/>
        <cfvo type="percentile" val="50"/>
        <cfvo type="max"/>
        <color rgb="FFF8696B"/>
        <color rgb="FFFFEB84"/>
        <color rgb="FF63BE7B"/>
      </colorScale>
    </cfRule>
  </conditionalFormatting>
  <conditionalFormatting sqref="L734">
    <cfRule type="colorScale" priority="441">
      <colorScale>
        <cfvo type="min"/>
        <cfvo type="percentile" val="50"/>
        <cfvo type="max"/>
        <color rgb="FFF8696B"/>
        <color rgb="FFFFEB84"/>
        <color rgb="FF63BE7B"/>
      </colorScale>
    </cfRule>
  </conditionalFormatting>
  <conditionalFormatting sqref="L734">
    <cfRule type="colorScale" priority="442">
      <colorScale>
        <cfvo type="min"/>
        <cfvo type="percentile" val="50"/>
        <cfvo type="max"/>
        <color rgb="FFF8696B"/>
        <color rgb="FFFFEB84"/>
        <color rgb="FF63BE7B"/>
      </colorScale>
    </cfRule>
  </conditionalFormatting>
  <conditionalFormatting sqref="L734">
    <cfRule type="colorScale" priority="443">
      <colorScale>
        <cfvo type="min"/>
        <cfvo type="percentile" val="50"/>
        <cfvo type="max"/>
        <color rgb="FFF8696B"/>
        <color rgb="FFFFEB84"/>
        <color rgb="FF63BE7B"/>
      </colorScale>
    </cfRule>
  </conditionalFormatting>
  <conditionalFormatting sqref="L734">
    <cfRule type="colorScale" priority="444">
      <colorScale>
        <cfvo type="min"/>
        <cfvo type="percentile" val="50"/>
        <cfvo type="max"/>
        <color rgb="FFF8696B"/>
        <color rgb="FFFFEB84"/>
        <color rgb="FF63BE7B"/>
      </colorScale>
    </cfRule>
  </conditionalFormatting>
  <conditionalFormatting sqref="L734">
    <cfRule type="colorScale" priority="445">
      <colorScale>
        <cfvo type="min"/>
        <cfvo type="percentile" val="50"/>
        <cfvo type="max"/>
        <color rgb="FFF8696B"/>
        <color rgb="FFFFEB84"/>
        <color rgb="FF63BE7B"/>
      </colorScale>
    </cfRule>
  </conditionalFormatting>
  <conditionalFormatting sqref="L734">
    <cfRule type="colorScale" priority="446">
      <colorScale>
        <cfvo type="min"/>
        <cfvo type="percentile" val="50"/>
        <cfvo type="max"/>
        <color rgb="FFF8696B"/>
        <color rgb="FFFFEB84"/>
        <color rgb="FF63BE7B"/>
      </colorScale>
    </cfRule>
  </conditionalFormatting>
  <conditionalFormatting sqref="L734">
    <cfRule type="colorScale" priority="447">
      <colorScale>
        <cfvo type="min"/>
        <cfvo type="percentile" val="50"/>
        <cfvo type="max"/>
        <color rgb="FFF8696B"/>
        <color rgb="FFFFEB84"/>
        <color rgb="FF63BE7B"/>
      </colorScale>
    </cfRule>
  </conditionalFormatting>
  <conditionalFormatting sqref="L734">
    <cfRule type="colorScale" priority="448">
      <colorScale>
        <cfvo type="min"/>
        <cfvo type="percentile" val="50"/>
        <cfvo type="max"/>
        <color rgb="FFF8696B"/>
        <color rgb="FFFFEB84"/>
        <color rgb="FF63BE7B"/>
      </colorScale>
    </cfRule>
  </conditionalFormatting>
  <conditionalFormatting sqref="L1038">
    <cfRule type="colorScale" priority="429">
      <colorScale>
        <cfvo type="min"/>
        <cfvo type="percentile" val="50"/>
        <cfvo type="max"/>
        <color rgb="FFF8696B"/>
        <color rgb="FFFFEB84"/>
        <color rgb="FF63BE7B"/>
      </colorScale>
    </cfRule>
  </conditionalFormatting>
  <conditionalFormatting sqref="L1038">
    <cfRule type="colorScale" priority="430">
      <colorScale>
        <cfvo type="min"/>
        <cfvo type="percentile" val="50"/>
        <cfvo type="max"/>
        <color rgb="FFF8696B"/>
        <color rgb="FFFFEB84"/>
        <color rgb="FF63BE7B"/>
      </colorScale>
    </cfRule>
  </conditionalFormatting>
  <conditionalFormatting sqref="L1038">
    <cfRule type="colorScale" priority="431">
      <colorScale>
        <cfvo type="min"/>
        <cfvo type="percentile" val="50"/>
        <cfvo type="max"/>
        <color rgb="FFF8696B"/>
        <color rgb="FFFFEB84"/>
        <color rgb="FF63BE7B"/>
      </colorScale>
    </cfRule>
  </conditionalFormatting>
  <conditionalFormatting sqref="L1038">
    <cfRule type="colorScale" priority="432">
      <colorScale>
        <cfvo type="min"/>
        <cfvo type="percentile" val="50"/>
        <cfvo type="max"/>
        <color rgb="FFF8696B"/>
        <color rgb="FFFFEB84"/>
        <color rgb="FF63BE7B"/>
      </colorScale>
    </cfRule>
  </conditionalFormatting>
  <conditionalFormatting sqref="L1038">
    <cfRule type="colorScale" priority="433">
      <colorScale>
        <cfvo type="min"/>
        <cfvo type="percentile" val="50"/>
        <cfvo type="max"/>
        <color rgb="FFF8696B"/>
        <color rgb="FFFFEB84"/>
        <color rgb="FF63BE7B"/>
      </colorScale>
    </cfRule>
  </conditionalFormatting>
  <conditionalFormatting sqref="L1038">
    <cfRule type="colorScale" priority="434">
      <colorScale>
        <cfvo type="min"/>
        <cfvo type="percentile" val="50"/>
        <cfvo type="max"/>
        <color rgb="FFF8696B"/>
        <color rgb="FFFFEB84"/>
        <color rgb="FF63BE7B"/>
      </colorScale>
    </cfRule>
  </conditionalFormatting>
  <conditionalFormatting sqref="L1038">
    <cfRule type="colorScale" priority="435">
      <colorScale>
        <cfvo type="min"/>
        <cfvo type="percentile" val="50"/>
        <cfvo type="max"/>
        <color rgb="FFF8696B"/>
        <color rgb="FFFFEB84"/>
        <color rgb="FF63BE7B"/>
      </colorScale>
    </cfRule>
  </conditionalFormatting>
  <conditionalFormatting sqref="L1038">
    <cfRule type="colorScale" priority="436">
      <colorScale>
        <cfvo type="min"/>
        <cfvo type="percentile" val="50"/>
        <cfvo type="max"/>
        <color rgb="FFF8696B"/>
        <color rgb="FFFFEB84"/>
        <color rgb="FF63BE7B"/>
      </colorScale>
    </cfRule>
  </conditionalFormatting>
  <conditionalFormatting sqref="L1038">
    <cfRule type="colorScale" priority="437">
      <colorScale>
        <cfvo type="min"/>
        <cfvo type="percentile" val="50"/>
        <cfvo type="max"/>
        <color rgb="FFF8696B"/>
        <color rgb="FFFFEB84"/>
        <color rgb="FF63BE7B"/>
      </colorScale>
    </cfRule>
  </conditionalFormatting>
  <conditionalFormatting sqref="L1038">
    <cfRule type="colorScale" priority="438">
      <colorScale>
        <cfvo type="min"/>
        <cfvo type="percentile" val="50"/>
        <cfvo type="max"/>
        <color rgb="FFF8696B"/>
        <color rgb="FFFFEB84"/>
        <color rgb="FF63BE7B"/>
      </colorScale>
    </cfRule>
  </conditionalFormatting>
  <conditionalFormatting sqref="L670">
    <cfRule type="colorScale" priority="399">
      <colorScale>
        <cfvo type="min"/>
        <cfvo type="percentile" val="50"/>
        <cfvo type="max"/>
        <color rgb="FFF8696B"/>
        <color rgb="FFFFEB84"/>
        <color rgb="FF63BE7B"/>
      </colorScale>
    </cfRule>
  </conditionalFormatting>
  <conditionalFormatting sqref="L670">
    <cfRule type="colorScale" priority="400">
      <colorScale>
        <cfvo type="min"/>
        <cfvo type="percentile" val="50"/>
        <cfvo type="max"/>
        <color rgb="FFF8696B"/>
        <color rgb="FFFFEB84"/>
        <color rgb="FF63BE7B"/>
      </colorScale>
    </cfRule>
  </conditionalFormatting>
  <conditionalFormatting sqref="L670">
    <cfRule type="colorScale" priority="401">
      <colorScale>
        <cfvo type="min"/>
        <cfvo type="percentile" val="50"/>
        <cfvo type="max"/>
        <color rgb="FFF8696B"/>
        <color rgb="FFFFEB84"/>
        <color rgb="FF63BE7B"/>
      </colorScale>
    </cfRule>
  </conditionalFormatting>
  <conditionalFormatting sqref="L670">
    <cfRule type="colorScale" priority="402">
      <colorScale>
        <cfvo type="min"/>
        <cfvo type="percentile" val="50"/>
        <cfvo type="max"/>
        <color rgb="FFF8696B"/>
        <color rgb="FFFFEB84"/>
        <color rgb="FF63BE7B"/>
      </colorScale>
    </cfRule>
  </conditionalFormatting>
  <conditionalFormatting sqref="L670">
    <cfRule type="colorScale" priority="403">
      <colorScale>
        <cfvo type="min"/>
        <cfvo type="percentile" val="50"/>
        <cfvo type="max"/>
        <color rgb="FFF8696B"/>
        <color rgb="FFFFEB84"/>
        <color rgb="FF63BE7B"/>
      </colorScale>
    </cfRule>
  </conditionalFormatting>
  <conditionalFormatting sqref="L670">
    <cfRule type="colorScale" priority="404">
      <colorScale>
        <cfvo type="min"/>
        <cfvo type="percentile" val="50"/>
        <cfvo type="max"/>
        <color rgb="FFF8696B"/>
        <color rgb="FFFFEB84"/>
        <color rgb="FF63BE7B"/>
      </colorScale>
    </cfRule>
  </conditionalFormatting>
  <conditionalFormatting sqref="L670">
    <cfRule type="colorScale" priority="405">
      <colorScale>
        <cfvo type="min"/>
        <cfvo type="percentile" val="50"/>
        <cfvo type="max"/>
        <color rgb="FFF8696B"/>
        <color rgb="FFFFEB84"/>
        <color rgb="FF63BE7B"/>
      </colorScale>
    </cfRule>
  </conditionalFormatting>
  <conditionalFormatting sqref="L670">
    <cfRule type="colorScale" priority="406">
      <colorScale>
        <cfvo type="min"/>
        <cfvo type="percentile" val="50"/>
        <cfvo type="max"/>
        <color rgb="FFF8696B"/>
        <color rgb="FFFFEB84"/>
        <color rgb="FF63BE7B"/>
      </colorScale>
    </cfRule>
  </conditionalFormatting>
  <conditionalFormatting sqref="L670">
    <cfRule type="colorScale" priority="407">
      <colorScale>
        <cfvo type="min"/>
        <cfvo type="percentile" val="50"/>
        <cfvo type="max"/>
        <color rgb="FFF8696B"/>
        <color rgb="FFFFEB84"/>
        <color rgb="FF63BE7B"/>
      </colorScale>
    </cfRule>
  </conditionalFormatting>
  <conditionalFormatting sqref="L670">
    <cfRule type="colorScale" priority="408">
      <colorScale>
        <cfvo type="min"/>
        <cfvo type="percentile" val="50"/>
        <cfvo type="max"/>
        <color rgb="FFF8696B"/>
        <color rgb="FFFFEB84"/>
        <color rgb="FF63BE7B"/>
      </colorScale>
    </cfRule>
  </conditionalFormatting>
  <conditionalFormatting sqref="L49">
    <cfRule type="colorScale" priority="391">
      <colorScale>
        <cfvo type="min"/>
        <cfvo type="percentile" val="50"/>
        <cfvo type="max"/>
        <color rgb="FFF8696B"/>
        <color rgb="FFFFEB84"/>
        <color rgb="FF63BE7B"/>
      </colorScale>
    </cfRule>
  </conditionalFormatting>
  <conditionalFormatting sqref="L49">
    <cfRule type="colorScale" priority="392">
      <colorScale>
        <cfvo type="min"/>
        <cfvo type="percentile" val="50"/>
        <cfvo type="max"/>
        <color rgb="FFF8696B"/>
        <color rgb="FFFFEB84"/>
        <color rgb="FF63BE7B"/>
      </colorScale>
    </cfRule>
  </conditionalFormatting>
  <conditionalFormatting sqref="L49">
    <cfRule type="colorScale" priority="393">
      <colorScale>
        <cfvo type="min"/>
        <cfvo type="percentile" val="50"/>
        <cfvo type="max"/>
        <color rgb="FFF8696B"/>
        <color rgb="FFFFEB84"/>
        <color rgb="FF63BE7B"/>
      </colorScale>
    </cfRule>
  </conditionalFormatting>
  <conditionalFormatting sqref="L49">
    <cfRule type="colorScale" priority="394">
      <colorScale>
        <cfvo type="min"/>
        <cfvo type="percentile" val="50"/>
        <cfvo type="max"/>
        <color rgb="FFF8696B"/>
        <color rgb="FFFFEB84"/>
        <color rgb="FF63BE7B"/>
      </colorScale>
    </cfRule>
  </conditionalFormatting>
  <conditionalFormatting sqref="L49">
    <cfRule type="colorScale" priority="395">
      <colorScale>
        <cfvo type="min"/>
        <cfvo type="percentile" val="50"/>
        <cfvo type="max"/>
        <color rgb="FFF8696B"/>
        <color rgb="FFFFEB84"/>
        <color rgb="FF63BE7B"/>
      </colorScale>
    </cfRule>
  </conditionalFormatting>
  <conditionalFormatting sqref="L49">
    <cfRule type="colorScale" priority="396">
      <colorScale>
        <cfvo type="min"/>
        <cfvo type="percentile" val="50"/>
        <cfvo type="max"/>
        <color rgb="FFF8696B"/>
        <color rgb="FFFFEB84"/>
        <color rgb="FF63BE7B"/>
      </colorScale>
    </cfRule>
  </conditionalFormatting>
  <conditionalFormatting sqref="L49">
    <cfRule type="colorScale" priority="397">
      <colorScale>
        <cfvo type="min"/>
        <cfvo type="percentile" val="50"/>
        <cfvo type="max"/>
        <color rgb="FFF8696B"/>
        <color rgb="FFFFEB84"/>
        <color rgb="FF63BE7B"/>
      </colorScale>
    </cfRule>
  </conditionalFormatting>
  <conditionalFormatting sqref="L49">
    <cfRule type="colorScale" priority="398">
      <colorScale>
        <cfvo type="min"/>
        <cfvo type="percentile" val="50"/>
        <cfvo type="max"/>
        <color rgb="FFF8696B"/>
        <color rgb="FFFFEB84"/>
        <color rgb="FF63BE7B"/>
      </colorScale>
    </cfRule>
  </conditionalFormatting>
  <conditionalFormatting sqref="L720">
    <cfRule type="colorScale" priority="351">
      <colorScale>
        <cfvo type="min"/>
        <cfvo type="percentile" val="50"/>
        <cfvo type="max"/>
        <color rgb="FFF8696B"/>
        <color rgb="FFFFEB84"/>
        <color rgb="FF63BE7B"/>
      </colorScale>
    </cfRule>
  </conditionalFormatting>
  <conditionalFormatting sqref="L720">
    <cfRule type="colorScale" priority="352">
      <colorScale>
        <cfvo type="min"/>
        <cfvo type="percentile" val="50"/>
        <cfvo type="max"/>
        <color rgb="FFF8696B"/>
        <color rgb="FFFFEB84"/>
        <color rgb="FF63BE7B"/>
      </colorScale>
    </cfRule>
  </conditionalFormatting>
  <conditionalFormatting sqref="L720">
    <cfRule type="colorScale" priority="353">
      <colorScale>
        <cfvo type="min"/>
        <cfvo type="percentile" val="50"/>
        <cfvo type="max"/>
        <color rgb="FFF8696B"/>
        <color rgb="FFFFEB84"/>
        <color rgb="FF63BE7B"/>
      </colorScale>
    </cfRule>
  </conditionalFormatting>
  <conditionalFormatting sqref="L720">
    <cfRule type="colorScale" priority="354">
      <colorScale>
        <cfvo type="min"/>
        <cfvo type="percentile" val="50"/>
        <cfvo type="max"/>
        <color rgb="FFF8696B"/>
        <color rgb="FFFFEB84"/>
        <color rgb="FF63BE7B"/>
      </colorScale>
    </cfRule>
  </conditionalFormatting>
  <conditionalFormatting sqref="L720">
    <cfRule type="colorScale" priority="355">
      <colorScale>
        <cfvo type="min"/>
        <cfvo type="percentile" val="50"/>
        <cfvo type="max"/>
        <color rgb="FFF8696B"/>
        <color rgb="FFFFEB84"/>
        <color rgb="FF63BE7B"/>
      </colorScale>
    </cfRule>
  </conditionalFormatting>
  <conditionalFormatting sqref="L720">
    <cfRule type="colorScale" priority="356">
      <colorScale>
        <cfvo type="min"/>
        <cfvo type="percentile" val="50"/>
        <cfvo type="max"/>
        <color rgb="FFF8696B"/>
        <color rgb="FFFFEB84"/>
        <color rgb="FF63BE7B"/>
      </colorScale>
    </cfRule>
  </conditionalFormatting>
  <conditionalFormatting sqref="L720">
    <cfRule type="colorScale" priority="357">
      <colorScale>
        <cfvo type="min"/>
        <cfvo type="percentile" val="50"/>
        <cfvo type="max"/>
        <color rgb="FFF8696B"/>
        <color rgb="FFFFEB84"/>
        <color rgb="FF63BE7B"/>
      </colorScale>
    </cfRule>
  </conditionalFormatting>
  <conditionalFormatting sqref="L720">
    <cfRule type="colorScale" priority="358">
      <colorScale>
        <cfvo type="min"/>
        <cfvo type="percentile" val="50"/>
        <cfvo type="max"/>
        <color rgb="FFF8696B"/>
        <color rgb="FFFFEB84"/>
        <color rgb="FF63BE7B"/>
      </colorScale>
    </cfRule>
  </conditionalFormatting>
  <conditionalFormatting sqref="L720">
    <cfRule type="colorScale" priority="359">
      <colorScale>
        <cfvo type="min"/>
        <cfvo type="percentile" val="50"/>
        <cfvo type="max"/>
        <color rgb="FFF8696B"/>
        <color rgb="FFFFEB84"/>
        <color rgb="FF63BE7B"/>
      </colorScale>
    </cfRule>
  </conditionalFormatting>
  <conditionalFormatting sqref="L720">
    <cfRule type="colorScale" priority="360">
      <colorScale>
        <cfvo type="min"/>
        <cfvo type="percentile" val="50"/>
        <cfvo type="max"/>
        <color rgb="FFF8696B"/>
        <color rgb="FFFFEB84"/>
        <color rgb="FF63BE7B"/>
      </colorScale>
    </cfRule>
  </conditionalFormatting>
  <conditionalFormatting sqref="L261">
    <cfRule type="colorScale" priority="341">
      <colorScale>
        <cfvo type="min"/>
        <cfvo type="percentile" val="50"/>
        <cfvo type="max"/>
        <color rgb="FFF8696B"/>
        <color rgb="FFFFEB84"/>
        <color rgb="FF63BE7B"/>
      </colorScale>
    </cfRule>
  </conditionalFormatting>
  <conditionalFormatting sqref="L261">
    <cfRule type="colorScale" priority="342">
      <colorScale>
        <cfvo type="min"/>
        <cfvo type="percentile" val="50"/>
        <cfvo type="max"/>
        <color rgb="FFF8696B"/>
        <color rgb="FFFFEB84"/>
        <color rgb="FF63BE7B"/>
      </colorScale>
    </cfRule>
  </conditionalFormatting>
  <conditionalFormatting sqref="L261">
    <cfRule type="colorScale" priority="343">
      <colorScale>
        <cfvo type="min"/>
        <cfvo type="percentile" val="50"/>
        <cfvo type="max"/>
        <color rgb="FFF8696B"/>
        <color rgb="FFFFEB84"/>
        <color rgb="FF63BE7B"/>
      </colorScale>
    </cfRule>
  </conditionalFormatting>
  <conditionalFormatting sqref="L261">
    <cfRule type="colorScale" priority="344">
      <colorScale>
        <cfvo type="min"/>
        <cfvo type="percentile" val="50"/>
        <cfvo type="max"/>
        <color rgb="FFF8696B"/>
        <color rgb="FFFFEB84"/>
        <color rgb="FF63BE7B"/>
      </colorScale>
    </cfRule>
  </conditionalFormatting>
  <conditionalFormatting sqref="L261">
    <cfRule type="colorScale" priority="345">
      <colorScale>
        <cfvo type="min"/>
        <cfvo type="percentile" val="50"/>
        <cfvo type="max"/>
        <color rgb="FFF8696B"/>
        <color rgb="FFFFEB84"/>
        <color rgb="FF63BE7B"/>
      </colorScale>
    </cfRule>
  </conditionalFormatting>
  <conditionalFormatting sqref="L261">
    <cfRule type="colorScale" priority="346">
      <colorScale>
        <cfvo type="min"/>
        <cfvo type="percentile" val="50"/>
        <cfvo type="max"/>
        <color rgb="FFF8696B"/>
        <color rgb="FFFFEB84"/>
        <color rgb="FF63BE7B"/>
      </colorScale>
    </cfRule>
  </conditionalFormatting>
  <conditionalFormatting sqref="L261">
    <cfRule type="colorScale" priority="347">
      <colorScale>
        <cfvo type="min"/>
        <cfvo type="percentile" val="50"/>
        <cfvo type="max"/>
        <color rgb="FFF8696B"/>
        <color rgb="FFFFEB84"/>
        <color rgb="FF63BE7B"/>
      </colorScale>
    </cfRule>
  </conditionalFormatting>
  <conditionalFormatting sqref="L261">
    <cfRule type="colorScale" priority="348">
      <colorScale>
        <cfvo type="min"/>
        <cfvo type="percentile" val="50"/>
        <cfvo type="max"/>
        <color rgb="FFF8696B"/>
        <color rgb="FFFFEB84"/>
        <color rgb="FF63BE7B"/>
      </colorScale>
    </cfRule>
  </conditionalFormatting>
  <conditionalFormatting sqref="L261">
    <cfRule type="colorScale" priority="349">
      <colorScale>
        <cfvo type="min"/>
        <cfvo type="percentile" val="50"/>
        <cfvo type="max"/>
        <color rgb="FFF8696B"/>
        <color rgb="FFFFEB84"/>
        <color rgb="FF63BE7B"/>
      </colorScale>
    </cfRule>
  </conditionalFormatting>
  <conditionalFormatting sqref="L261">
    <cfRule type="colorScale" priority="350">
      <colorScale>
        <cfvo type="min"/>
        <cfvo type="percentile" val="50"/>
        <cfvo type="max"/>
        <color rgb="FFF8696B"/>
        <color rgb="FFFFEB84"/>
        <color rgb="FF63BE7B"/>
      </colorScale>
    </cfRule>
  </conditionalFormatting>
  <conditionalFormatting sqref="L535">
    <cfRule type="colorScale" priority="331">
      <colorScale>
        <cfvo type="min"/>
        <cfvo type="percentile" val="50"/>
        <cfvo type="max"/>
        <color rgb="FFF8696B"/>
        <color rgb="FFFFEB84"/>
        <color rgb="FF63BE7B"/>
      </colorScale>
    </cfRule>
  </conditionalFormatting>
  <conditionalFormatting sqref="L535">
    <cfRule type="colorScale" priority="332">
      <colorScale>
        <cfvo type="min"/>
        <cfvo type="percentile" val="50"/>
        <cfvo type="max"/>
        <color rgb="FFF8696B"/>
        <color rgb="FFFFEB84"/>
        <color rgb="FF63BE7B"/>
      </colorScale>
    </cfRule>
  </conditionalFormatting>
  <conditionalFormatting sqref="L535">
    <cfRule type="colorScale" priority="333">
      <colorScale>
        <cfvo type="min"/>
        <cfvo type="percentile" val="50"/>
        <cfvo type="max"/>
        <color rgb="FFF8696B"/>
        <color rgb="FFFFEB84"/>
        <color rgb="FF63BE7B"/>
      </colorScale>
    </cfRule>
  </conditionalFormatting>
  <conditionalFormatting sqref="L535">
    <cfRule type="colorScale" priority="334">
      <colorScale>
        <cfvo type="min"/>
        <cfvo type="percentile" val="50"/>
        <cfvo type="max"/>
        <color rgb="FFF8696B"/>
        <color rgb="FFFFEB84"/>
        <color rgb="FF63BE7B"/>
      </colorScale>
    </cfRule>
  </conditionalFormatting>
  <conditionalFormatting sqref="L535">
    <cfRule type="colorScale" priority="335">
      <colorScale>
        <cfvo type="min"/>
        <cfvo type="percentile" val="50"/>
        <cfvo type="max"/>
        <color rgb="FFF8696B"/>
        <color rgb="FFFFEB84"/>
        <color rgb="FF63BE7B"/>
      </colorScale>
    </cfRule>
  </conditionalFormatting>
  <conditionalFormatting sqref="L535">
    <cfRule type="colorScale" priority="336">
      <colorScale>
        <cfvo type="min"/>
        <cfvo type="percentile" val="50"/>
        <cfvo type="max"/>
        <color rgb="FFF8696B"/>
        <color rgb="FFFFEB84"/>
        <color rgb="FF63BE7B"/>
      </colorScale>
    </cfRule>
  </conditionalFormatting>
  <conditionalFormatting sqref="L535">
    <cfRule type="colorScale" priority="337">
      <colorScale>
        <cfvo type="min"/>
        <cfvo type="percentile" val="50"/>
        <cfvo type="max"/>
        <color rgb="FFF8696B"/>
        <color rgb="FFFFEB84"/>
        <color rgb="FF63BE7B"/>
      </colorScale>
    </cfRule>
  </conditionalFormatting>
  <conditionalFormatting sqref="L535">
    <cfRule type="colorScale" priority="338">
      <colorScale>
        <cfvo type="min"/>
        <cfvo type="percentile" val="50"/>
        <cfvo type="max"/>
        <color rgb="FFF8696B"/>
        <color rgb="FFFFEB84"/>
        <color rgb="FF63BE7B"/>
      </colorScale>
    </cfRule>
  </conditionalFormatting>
  <conditionalFormatting sqref="L535">
    <cfRule type="colorScale" priority="339">
      <colorScale>
        <cfvo type="min"/>
        <cfvo type="percentile" val="50"/>
        <cfvo type="max"/>
        <color rgb="FFF8696B"/>
        <color rgb="FFFFEB84"/>
        <color rgb="FF63BE7B"/>
      </colorScale>
    </cfRule>
  </conditionalFormatting>
  <conditionalFormatting sqref="L535">
    <cfRule type="colorScale" priority="340">
      <colorScale>
        <cfvo type="min"/>
        <cfvo type="percentile" val="50"/>
        <cfvo type="max"/>
        <color rgb="FFF8696B"/>
        <color rgb="FFFFEB84"/>
        <color rgb="FF63BE7B"/>
      </colorScale>
    </cfRule>
  </conditionalFormatting>
  <conditionalFormatting sqref="L538">
    <cfRule type="colorScale" priority="321">
      <colorScale>
        <cfvo type="min"/>
        <cfvo type="percentile" val="50"/>
        <cfvo type="max"/>
        <color rgb="FFF8696B"/>
        <color rgb="FFFFEB84"/>
        <color rgb="FF63BE7B"/>
      </colorScale>
    </cfRule>
  </conditionalFormatting>
  <conditionalFormatting sqref="L538">
    <cfRule type="colorScale" priority="322">
      <colorScale>
        <cfvo type="min"/>
        <cfvo type="percentile" val="50"/>
        <cfvo type="max"/>
        <color rgb="FFF8696B"/>
        <color rgb="FFFFEB84"/>
        <color rgb="FF63BE7B"/>
      </colorScale>
    </cfRule>
  </conditionalFormatting>
  <conditionalFormatting sqref="L538">
    <cfRule type="colorScale" priority="323">
      <colorScale>
        <cfvo type="min"/>
        <cfvo type="percentile" val="50"/>
        <cfvo type="max"/>
        <color rgb="FFF8696B"/>
        <color rgb="FFFFEB84"/>
        <color rgb="FF63BE7B"/>
      </colorScale>
    </cfRule>
  </conditionalFormatting>
  <conditionalFormatting sqref="L538">
    <cfRule type="colorScale" priority="324">
      <colorScale>
        <cfvo type="min"/>
        <cfvo type="percentile" val="50"/>
        <cfvo type="max"/>
        <color rgb="FFF8696B"/>
        <color rgb="FFFFEB84"/>
        <color rgb="FF63BE7B"/>
      </colorScale>
    </cfRule>
  </conditionalFormatting>
  <conditionalFormatting sqref="L538">
    <cfRule type="colorScale" priority="325">
      <colorScale>
        <cfvo type="min"/>
        <cfvo type="percentile" val="50"/>
        <cfvo type="max"/>
        <color rgb="FFF8696B"/>
        <color rgb="FFFFEB84"/>
        <color rgb="FF63BE7B"/>
      </colorScale>
    </cfRule>
  </conditionalFormatting>
  <conditionalFormatting sqref="L538">
    <cfRule type="colorScale" priority="326">
      <colorScale>
        <cfvo type="min"/>
        <cfvo type="percentile" val="50"/>
        <cfvo type="max"/>
        <color rgb="FFF8696B"/>
        <color rgb="FFFFEB84"/>
        <color rgb="FF63BE7B"/>
      </colorScale>
    </cfRule>
  </conditionalFormatting>
  <conditionalFormatting sqref="L538">
    <cfRule type="colorScale" priority="327">
      <colorScale>
        <cfvo type="min"/>
        <cfvo type="percentile" val="50"/>
        <cfvo type="max"/>
        <color rgb="FFF8696B"/>
        <color rgb="FFFFEB84"/>
        <color rgb="FF63BE7B"/>
      </colorScale>
    </cfRule>
  </conditionalFormatting>
  <conditionalFormatting sqref="L538">
    <cfRule type="colorScale" priority="328">
      <colorScale>
        <cfvo type="min"/>
        <cfvo type="percentile" val="50"/>
        <cfvo type="max"/>
        <color rgb="FFF8696B"/>
        <color rgb="FFFFEB84"/>
        <color rgb="FF63BE7B"/>
      </colorScale>
    </cfRule>
  </conditionalFormatting>
  <conditionalFormatting sqref="L538">
    <cfRule type="colorScale" priority="329">
      <colorScale>
        <cfvo type="min"/>
        <cfvo type="percentile" val="50"/>
        <cfvo type="max"/>
        <color rgb="FFF8696B"/>
        <color rgb="FFFFEB84"/>
        <color rgb="FF63BE7B"/>
      </colorScale>
    </cfRule>
  </conditionalFormatting>
  <conditionalFormatting sqref="L538">
    <cfRule type="colorScale" priority="330">
      <colorScale>
        <cfvo type="min"/>
        <cfvo type="percentile" val="50"/>
        <cfvo type="max"/>
        <color rgb="FFF8696B"/>
        <color rgb="FFFFEB84"/>
        <color rgb="FF63BE7B"/>
      </colorScale>
    </cfRule>
  </conditionalFormatting>
  <conditionalFormatting sqref="L539">
    <cfRule type="colorScale" priority="311">
      <colorScale>
        <cfvo type="min"/>
        <cfvo type="percentile" val="50"/>
        <cfvo type="max"/>
        <color rgb="FFF8696B"/>
        <color rgb="FFFFEB84"/>
        <color rgb="FF63BE7B"/>
      </colorScale>
    </cfRule>
  </conditionalFormatting>
  <conditionalFormatting sqref="L539">
    <cfRule type="colorScale" priority="312">
      <colorScale>
        <cfvo type="min"/>
        <cfvo type="percentile" val="50"/>
        <cfvo type="max"/>
        <color rgb="FFF8696B"/>
        <color rgb="FFFFEB84"/>
        <color rgb="FF63BE7B"/>
      </colorScale>
    </cfRule>
  </conditionalFormatting>
  <conditionalFormatting sqref="L539">
    <cfRule type="colorScale" priority="313">
      <colorScale>
        <cfvo type="min"/>
        <cfvo type="percentile" val="50"/>
        <cfvo type="max"/>
        <color rgb="FFF8696B"/>
        <color rgb="FFFFEB84"/>
        <color rgb="FF63BE7B"/>
      </colorScale>
    </cfRule>
  </conditionalFormatting>
  <conditionalFormatting sqref="L539">
    <cfRule type="colorScale" priority="314">
      <colorScale>
        <cfvo type="min"/>
        <cfvo type="percentile" val="50"/>
        <cfvo type="max"/>
        <color rgb="FFF8696B"/>
        <color rgb="FFFFEB84"/>
        <color rgb="FF63BE7B"/>
      </colorScale>
    </cfRule>
  </conditionalFormatting>
  <conditionalFormatting sqref="L539">
    <cfRule type="colorScale" priority="315">
      <colorScale>
        <cfvo type="min"/>
        <cfvo type="percentile" val="50"/>
        <cfvo type="max"/>
        <color rgb="FFF8696B"/>
        <color rgb="FFFFEB84"/>
        <color rgb="FF63BE7B"/>
      </colorScale>
    </cfRule>
  </conditionalFormatting>
  <conditionalFormatting sqref="L539">
    <cfRule type="colorScale" priority="316">
      <colorScale>
        <cfvo type="min"/>
        <cfvo type="percentile" val="50"/>
        <cfvo type="max"/>
        <color rgb="FFF8696B"/>
        <color rgb="FFFFEB84"/>
        <color rgb="FF63BE7B"/>
      </colorScale>
    </cfRule>
  </conditionalFormatting>
  <conditionalFormatting sqref="L539">
    <cfRule type="colorScale" priority="317">
      <colorScale>
        <cfvo type="min"/>
        <cfvo type="percentile" val="50"/>
        <cfvo type="max"/>
        <color rgb="FFF8696B"/>
        <color rgb="FFFFEB84"/>
        <color rgb="FF63BE7B"/>
      </colorScale>
    </cfRule>
  </conditionalFormatting>
  <conditionalFormatting sqref="L539">
    <cfRule type="colorScale" priority="318">
      <colorScale>
        <cfvo type="min"/>
        <cfvo type="percentile" val="50"/>
        <cfvo type="max"/>
        <color rgb="FFF8696B"/>
        <color rgb="FFFFEB84"/>
        <color rgb="FF63BE7B"/>
      </colorScale>
    </cfRule>
  </conditionalFormatting>
  <conditionalFormatting sqref="L539">
    <cfRule type="colorScale" priority="319">
      <colorScale>
        <cfvo type="min"/>
        <cfvo type="percentile" val="50"/>
        <cfvo type="max"/>
        <color rgb="FFF8696B"/>
        <color rgb="FFFFEB84"/>
        <color rgb="FF63BE7B"/>
      </colorScale>
    </cfRule>
  </conditionalFormatting>
  <conditionalFormatting sqref="L539">
    <cfRule type="colorScale" priority="320">
      <colorScale>
        <cfvo type="min"/>
        <cfvo type="percentile" val="50"/>
        <cfvo type="max"/>
        <color rgb="FFF8696B"/>
        <color rgb="FFFFEB84"/>
        <color rgb="FF63BE7B"/>
      </colorScale>
    </cfRule>
  </conditionalFormatting>
  <conditionalFormatting sqref="L160">
    <cfRule type="colorScale" priority="301">
      <colorScale>
        <cfvo type="min"/>
        <cfvo type="percentile" val="50"/>
        <cfvo type="max"/>
        <color rgb="FFF8696B"/>
        <color rgb="FFFFEB84"/>
        <color rgb="FF63BE7B"/>
      </colorScale>
    </cfRule>
  </conditionalFormatting>
  <conditionalFormatting sqref="L160">
    <cfRule type="colorScale" priority="302">
      <colorScale>
        <cfvo type="min"/>
        <cfvo type="percentile" val="50"/>
        <cfvo type="max"/>
        <color rgb="FFF8696B"/>
        <color rgb="FFFFEB84"/>
        <color rgb="FF63BE7B"/>
      </colorScale>
    </cfRule>
  </conditionalFormatting>
  <conditionalFormatting sqref="L160">
    <cfRule type="colorScale" priority="303">
      <colorScale>
        <cfvo type="min"/>
        <cfvo type="percentile" val="50"/>
        <cfvo type="max"/>
        <color rgb="FFF8696B"/>
        <color rgb="FFFFEB84"/>
        <color rgb="FF63BE7B"/>
      </colorScale>
    </cfRule>
  </conditionalFormatting>
  <conditionalFormatting sqref="L160">
    <cfRule type="colorScale" priority="304">
      <colorScale>
        <cfvo type="min"/>
        <cfvo type="percentile" val="50"/>
        <cfvo type="max"/>
        <color rgb="FFF8696B"/>
        <color rgb="FFFFEB84"/>
        <color rgb="FF63BE7B"/>
      </colorScale>
    </cfRule>
  </conditionalFormatting>
  <conditionalFormatting sqref="L160">
    <cfRule type="colorScale" priority="305">
      <colorScale>
        <cfvo type="min"/>
        <cfvo type="percentile" val="50"/>
        <cfvo type="max"/>
        <color rgb="FFF8696B"/>
        <color rgb="FFFFEB84"/>
        <color rgb="FF63BE7B"/>
      </colorScale>
    </cfRule>
  </conditionalFormatting>
  <conditionalFormatting sqref="L160">
    <cfRule type="colorScale" priority="306">
      <colorScale>
        <cfvo type="min"/>
        <cfvo type="percentile" val="50"/>
        <cfvo type="max"/>
        <color rgb="FFF8696B"/>
        <color rgb="FFFFEB84"/>
        <color rgb="FF63BE7B"/>
      </colorScale>
    </cfRule>
  </conditionalFormatting>
  <conditionalFormatting sqref="L160">
    <cfRule type="colorScale" priority="307">
      <colorScale>
        <cfvo type="min"/>
        <cfvo type="percentile" val="50"/>
        <cfvo type="max"/>
        <color rgb="FFF8696B"/>
        <color rgb="FFFFEB84"/>
        <color rgb="FF63BE7B"/>
      </colorScale>
    </cfRule>
  </conditionalFormatting>
  <conditionalFormatting sqref="L160">
    <cfRule type="colorScale" priority="308">
      <colorScale>
        <cfvo type="min"/>
        <cfvo type="percentile" val="50"/>
        <cfvo type="max"/>
        <color rgb="FFF8696B"/>
        <color rgb="FFFFEB84"/>
        <color rgb="FF63BE7B"/>
      </colorScale>
    </cfRule>
  </conditionalFormatting>
  <conditionalFormatting sqref="L160">
    <cfRule type="colorScale" priority="309">
      <colorScale>
        <cfvo type="min"/>
        <cfvo type="percentile" val="50"/>
        <cfvo type="max"/>
        <color rgb="FFF8696B"/>
        <color rgb="FFFFEB84"/>
        <color rgb="FF63BE7B"/>
      </colorScale>
    </cfRule>
  </conditionalFormatting>
  <conditionalFormatting sqref="L160">
    <cfRule type="colorScale" priority="310">
      <colorScale>
        <cfvo type="min"/>
        <cfvo type="percentile" val="50"/>
        <cfvo type="max"/>
        <color rgb="FFF8696B"/>
        <color rgb="FFFFEB84"/>
        <color rgb="FF63BE7B"/>
      </colorScale>
    </cfRule>
  </conditionalFormatting>
  <conditionalFormatting sqref="L880">
    <cfRule type="colorScale" priority="291">
      <colorScale>
        <cfvo type="min"/>
        <cfvo type="percentile" val="50"/>
        <cfvo type="max"/>
        <color rgb="FFF8696B"/>
        <color rgb="FFFFEB84"/>
        <color rgb="FF63BE7B"/>
      </colorScale>
    </cfRule>
  </conditionalFormatting>
  <conditionalFormatting sqref="L880">
    <cfRule type="colorScale" priority="292">
      <colorScale>
        <cfvo type="min"/>
        <cfvo type="percentile" val="50"/>
        <cfvo type="max"/>
        <color rgb="FFF8696B"/>
        <color rgb="FFFFEB84"/>
        <color rgb="FF63BE7B"/>
      </colorScale>
    </cfRule>
  </conditionalFormatting>
  <conditionalFormatting sqref="L880">
    <cfRule type="colorScale" priority="293">
      <colorScale>
        <cfvo type="min"/>
        <cfvo type="percentile" val="50"/>
        <cfvo type="max"/>
        <color rgb="FFF8696B"/>
        <color rgb="FFFFEB84"/>
        <color rgb="FF63BE7B"/>
      </colorScale>
    </cfRule>
  </conditionalFormatting>
  <conditionalFormatting sqref="L880">
    <cfRule type="colorScale" priority="294">
      <colorScale>
        <cfvo type="min"/>
        <cfvo type="percentile" val="50"/>
        <cfvo type="max"/>
        <color rgb="FFF8696B"/>
        <color rgb="FFFFEB84"/>
        <color rgb="FF63BE7B"/>
      </colorScale>
    </cfRule>
  </conditionalFormatting>
  <conditionalFormatting sqref="L880">
    <cfRule type="colorScale" priority="295">
      <colorScale>
        <cfvo type="min"/>
        <cfvo type="percentile" val="50"/>
        <cfvo type="max"/>
        <color rgb="FFF8696B"/>
        <color rgb="FFFFEB84"/>
        <color rgb="FF63BE7B"/>
      </colorScale>
    </cfRule>
  </conditionalFormatting>
  <conditionalFormatting sqref="L880">
    <cfRule type="colorScale" priority="296">
      <colorScale>
        <cfvo type="min"/>
        <cfvo type="percentile" val="50"/>
        <cfvo type="max"/>
        <color rgb="FFF8696B"/>
        <color rgb="FFFFEB84"/>
        <color rgb="FF63BE7B"/>
      </colorScale>
    </cfRule>
  </conditionalFormatting>
  <conditionalFormatting sqref="L880">
    <cfRule type="colorScale" priority="297">
      <colorScale>
        <cfvo type="min"/>
        <cfvo type="percentile" val="50"/>
        <cfvo type="max"/>
        <color rgb="FFF8696B"/>
        <color rgb="FFFFEB84"/>
        <color rgb="FF63BE7B"/>
      </colorScale>
    </cfRule>
  </conditionalFormatting>
  <conditionalFormatting sqref="L880">
    <cfRule type="colorScale" priority="298">
      <colorScale>
        <cfvo type="min"/>
        <cfvo type="percentile" val="50"/>
        <cfvo type="max"/>
        <color rgb="FFF8696B"/>
        <color rgb="FFFFEB84"/>
        <color rgb="FF63BE7B"/>
      </colorScale>
    </cfRule>
  </conditionalFormatting>
  <conditionalFormatting sqref="L880">
    <cfRule type="colorScale" priority="299">
      <colorScale>
        <cfvo type="min"/>
        <cfvo type="percentile" val="50"/>
        <cfvo type="max"/>
        <color rgb="FFF8696B"/>
        <color rgb="FFFFEB84"/>
        <color rgb="FF63BE7B"/>
      </colorScale>
    </cfRule>
  </conditionalFormatting>
  <conditionalFormatting sqref="L880">
    <cfRule type="colorScale" priority="300">
      <colorScale>
        <cfvo type="min"/>
        <cfvo type="percentile" val="50"/>
        <cfvo type="max"/>
        <color rgb="FFF8696B"/>
        <color rgb="FFFFEB84"/>
        <color rgb="FF63BE7B"/>
      </colorScale>
    </cfRule>
  </conditionalFormatting>
  <conditionalFormatting sqref="L142">
    <cfRule type="colorScale" priority="282">
      <colorScale>
        <cfvo type="min"/>
        <cfvo type="percentile" val="50"/>
        <cfvo type="max"/>
        <color rgb="FFF8696B"/>
        <color rgb="FFFFEB84"/>
        <color rgb="FF63BE7B"/>
      </colorScale>
    </cfRule>
  </conditionalFormatting>
  <conditionalFormatting sqref="L142">
    <cfRule type="colorScale" priority="283">
      <colorScale>
        <cfvo type="min"/>
        <cfvo type="percentile" val="50"/>
        <cfvo type="max"/>
        <color rgb="FFF8696B"/>
        <color rgb="FFFFEB84"/>
        <color rgb="FF63BE7B"/>
      </colorScale>
    </cfRule>
  </conditionalFormatting>
  <conditionalFormatting sqref="L142">
    <cfRule type="colorScale" priority="284">
      <colorScale>
        <cfvo type="min"/>
        <cfvo type="percentile" val="50"/>
        <cfvo type="max"/>
        <color rgb="FFF8696B"/>
        <color rgb="FFFFEB84"/>
        <color rgb="FF63BE7B"/>
      </colorScale>
    </cfRule>
  </conditionalFormatting>
  <conditionalFormatting sqref="L142">
    <cfRule type="colorScale" priority="285">
      <colorScale>
        <cfvo type="min"/>
        <cfvo type="percentile" val="50"/>
        <cfvo type="max"/>
        <color rgb="FFF8696B"/>
        <color rgb="FFFFEB84"/>
        <color rgb="FF63BE7B"/>
      </colorScale>
    </cfRule>
  </conditionalFormatting>
  <conditionalFormatting sqref="L142">
    <cfRule type="colorScale" priority="286">
      <colorScale>
        <cfvo type="min"/>
        <cfvo type="percentile" val="50"/>
        <cfvo type="max"/>
        <color rgb="FFF8696B"/>
        <color rgb="FFFFEB84"/>
        <color rgb="FF63BE7B"/>
      </colorScale>
    </cfRule>
  </conditionalFormatting>
  <conditionalFormatting sqref="L142">
    <cfRule type="colorScale" priority="287">
      <colorScale>
        <cfvo type="min"/>
        <cfvo type="percentile" val="50"/>
        <cfvo type="max"/>
        <color rgb="FFF8696B"/>
        <color rgb="FFFFEB84"/>
        <color rgb="FF63BE7B"/>
      </colorScale>
    </cfRule>
  </conditionalFormatting>
  <conditionalFormatting sqref="L142">
    <cfRule type="colorScale" priority="288">
      <colorScale>
        <cfvo type="min"/>
        <cfvo type="percentile" val="50"/>
        <cfvo type="max"/>
        <color rgb="FFF8696B"/>
        <color rgb="FFFFEB84"/>
        <color rgb="FF63BE7B"/>
      </colorScale>
    </cfRule>
  </conditionalFormatting>
  <conditionalFormatting sqref="L142">
    <cfRule type="colorScale" priority="289">
      <colorScale>
        <cfvo type="min"/>
        <cfvo type="percentile" val="50"/>
        <cfvo type="max"/>
        <color rgb="FFF8696B"/>
        <color rgb="FFFFEB84"/>
        <color rgb="FF63BE7B"/>
      </colorScale>
    </cfRule>
  </conditionalFormatting>
  <conditionalFormatting sqref="L142">
    <cfRule type="colorScale" priority="290">
      <colorScale>
        <cfvo type="min"/>
        <cfvo type="percentile" val="50"/>
        <cfvo type="max"/>
        <color rgb="FFF8696B"/>
        <color rgb="FFFFEB84"/>
        <color rgb="FF63BE7B"/>
      </colorScale>
    </cfRule>
  </conditionalFormatting>
  <conditionalFormatting sqref="L127">
    <cfRule type="colorScale" priority="273">
      <colorScale>
        <cfvo type="min"/>
        <cfvo type="percentile" val="50"/>
        <cfvo type="max"/>
        <color rgb="FFF8696B"/>
        <color rgb="FFFFEB84"/>
        <color rgb="FF63BE7B"/>
      </colorScale>
    </cfRule>
  </conditionalFormatting>
  <conditionalFormatting sqref="L127">
    <cfRule type="colorScale" priority="274">
      <colorScale>
        <cfvo type="min"/>
        <cfvo type="percentile" val="50"/>
        <cfvo type="max"/>
        <color rgb="FFF8696B"/>
        <color rgb="FFFFEB84"/>
        <color rgb="FF63BE7B"/>
      </colorScale>
    </cfRule>
  </conditionalFormatting>
  <conditionalFormatting sqref="L127">
    <cfRule type="colorScale" priority="275">
      <colorScale>
        <cfvo type="min"/>
        <cfvo type="percentile" val="50"/>
        <cfvo type="max"/>
        <color rgb="FFF8696B"/>
        <color rgb="FFFFEB84"/>
        <color rgb="FF63BE7B"/>
      </colorScale>
    </cfRule>
  </conditionalFormatting>
  <conditionalFormatting sqref="L127">
    <cfRule type="colorScale" priority="276">
      <colorScale>
        <cfvo type="min"/>
        <cfvo type="percentile" val="50"/>
        <cfvo type="max"/>
        <color rgb="FFF8696B"/>
        <color rgb="FFFFEB84"/>
        <color rgb="FF63BE7B"/>
      </colorScale>
    </cfRule>
  </conditionalFormatting>
  <conditionalFormatting sqref="L127">
    <cfRule type="colorScale" priority="277">
      <colorScale>
        <cfvo type="min"/>
        <cfvo type="percentile" val="50"/>
        <cfvo type="max"/>
        <color rgb="FFF8696B"/>
        <color rgb="FFFFEB84"/>
        <color rgb="FF63BE7B"/>
      </colorScale>
    </cfRule>
  </conditionalFormatting>
  <conditionalFormatting sqref="L127">
    <cfRule type="colorScale" priority="278">
      <colorScale>
        <cfvo type="min"/>
        <cfvo type="percentile" val="50"/>
        <cfvo type="max"/>
        <color rgb="FFF8696B"/>
        <color rgb="FFFFEB84"/>
        <color rgb="FF63BE7B"/>
      </colorScale>
    </cfRule>
  </conditionalFormatting>
  <conditionalFormatting sqref="L127">
    <cfRule type="colorScale" priority="279">
      <colorScale>
        <cfvo type="min"/>
        <cfvo type="percentile" val="50"/>
        <cfvo type="max"/>
        <color rgb="FFF8696B"/>
        <color rgb="FFFFEB84"/>
        <color rgb="FF63BE7B"/>
      </colorScale>
    </cfRule>
  </conditionalFormatting>
  <conditionalFormatting sqref="L127">
    <cfRule type="colorScale" priority="280">
      <colorScale>
        <cfvo type="min"/>
        <cfvo type="percentile" val="50"/>
        <cfvo type="max"/>
        <color rgb="FFF8696B"/>
        <color rgb="FFFFEB84"/>
        <color rgb="FF63BE7B"/>
      </colorScale>
    </cfRule>
  </conditionalFormatting>
  <conditionalFormatting sqref="L127">
    <cfRule type="colorScale" priority="281">
      <colorScale>
        <cfvo type="min"/>
        <cfvo type="percentile" val="50"/>
        <cfvo type="max"/>
        <color rgb="FFF8696B"/>
        <color rgb="FFFFEB84"/>
        <color rgb="FF63BE7B"/>
      </colorScale>
    </cfRule>
  </conditionalFormatting>
  <conditionalFormatting sqref="L128">
    <cfRule type="colorScale" priority="264">
      <colorScale>
        <cfvo type="min"/>
        <cfvo type="percentile" val="50"/>
        <cfvo type="max"/>
        <color rgb="FFF8696B"/>
        <color rgb="FFFFEB84"/>
        <color rgb="FF63BE7B"/>
      </colorScale>
    </cfRule>
  </conditionalFormatting>
  <conditionalFormatting sqref="L128">
    <cfRule type="colorScale" priority="265">
      <colorScale>
        <cfvo type="min"/>
        <cfvo type="percentile" val="50"/>
        <cfvo type="max"/>
        <color rgb="FFF8696B"/>
        <color rgb="FFFFEB84"/>
        <color rgb="FF63BE7B"/>
      </colorScale>
    </cfRule>
  </conditionalFormatting>
  <conditionalFormatting sqref="L128">
    <cfRule type="colorScale" priority="266">
      <colorScale>
        <cfvo type="min"/>
        <cfvo type="percentile" val="50"/>
        <cfvo type="max"/>
        <color rgb="FFF8696B"/>
        <color rgb="FFFFEB84"/>
        <color rgb="FF63BE7B"/>
      </colorScale>
    </cfRule>
  </conditionalFormatting>
  <conditionalFormatting sqref="L128">
    <cfRule type="colorScale" priority="267">
      <colorScale>
        <cfvo type="min"/>
        <cfvo type="percentile" val="50"/>
        <cfvo type="max"/>
        <color rgb="FFF8696B"/>
        <color rgb="FFFFEB84"/>
        <color rgb="FF63BE7B"/>
      </colorScale>
    </cfRule>
  </conditionalFormatting>
  <conditionalFormatting sqref="L128">
    <cfRule type="colorScale" priority="268">
      <colorScale>
        <cfvo type="min"/>
        <cfvo type="percentile" val="50"/>
        <cfvo type="max"/>
        <color rgb="FFF8696B"/>
        <color rgb="FFFFEB84"/>
        <color rgb="FF63BE7B"/>
      </colorScale>
    </cfRule>
  </conditionalFormatting>
  <conditionalFormatting sqref="L128">
    <cfRule type="colorScale" priority="269">
      <colorScale>
        <cfvo type="min"/>
        <cfvo type="percentile" val="50"/>
        <cfvo type="max"/>
        <color rgb="FFF8696B"/>
        <color rgb="FFFFEB84"/>
        <color rgb="FF63BE7B"/>
      </colorScale>
    </cfRule>
  </conditionalFormatting>
  <conditionalFormatting sqref="L128">
    <cfRule type="colorScale" priority="270">
      <colorScale>
        <cfvo type="min"/>
        <cfvo type="percentile" val="50"/>
        <cfvo type="max"/>
        <color rgb="FFF8696B"/>
        <color rgb="FFFFEB84"/>
        <color rgb="FF63BE7B"/>
      </colorScale>
    </cfRule>
  </conditionalFormatting>
  <conditionalFormatting sqref="L128">
    <cfRule type="colorScale" priority="271">
      <colorScale>
        <cfvo type="min"/>
        <cfvo type="percentile" val="50"/>
        <cfvo type="max"/>
        <color rgb="FFF8696B"/>
        <color rgb="FFFFEB84"/>
        <color rgb="FF63BE7B"/>
      </colorScale>
    </cfRule>
  </conditionalFormatting>
  <conditionalFormatting sqref="L128">
    <cfRule type="colorScale" priority="272">
      <colorScale>
        <cfvo type="min"/>
        <cfvo type="percentile" val="50"/>
        <cfvo type="max"/>
        <color rgb="FFF8696B"/>
        <color rgb="FFFFEB84"/>
        <color rgb="FF63BE7B"/>
      </colorScale>
    </cfRule>
  </conditionalFormatting>
  <conditionalFormatting sqref="L913">
    <cfRule type="colorScale" priority="254">
      <colorScale>
        <cfvo type="min"/>
        <cfvo type="percentile" val="50"/>
        <cfvo type="max"/>
        <color rgb="FFF8696B"/>
        <color rgb="FFFFEB84"/>
        <color rgb="FF63BE7B"/>
      </colorScale>
    </cfRule>
  </conditionalFormatting>
  <conditionalFormatting sqref="L913">
    <cfRule type="colorScale" priority="255">
      <colorScale>
        <cfvo type="min"/>
        <cfvo type="percentile" val="50"/>
        <cfvo type="max"/>
        <color rgb="FFF8696B"/>
        <color rgb="FFFFEB84"/>
        <color rgb="FF63BE7B"/>
      </colorScale>
    </cfRule>
  </conditionalFormatting>
  <conditionalFormatting sqref="L913">
    <cfRule type="colorScale" priority="256">
      <colorScale>
        <cfvo type="min"/>
        <cfvo type="percentile" val="50"/>
        <cfvo type="max"/>
        <color rgb="FFF8696B"/>
        <color rgb="FFFFEB84"/>
        <color rgb="FF63BE7B"/>
      </colorScale>
    </cfRule>
  </conditionalFormatting>
  <conditionalFormatting sqref="L913">
    <cfRule type="colorScale" priority="257">
      <colorScale>
        <cfvo type="min"/>
        <cfvo type="percentile" val="50"/>
        <cfvo type="max"/>
        <color rgb="FFF8696B"/>
        <color rgb="FFFFEB84"/>
        <color rgb="FF63BE7B"/>
      </colorScale>
    </cfRule>
  </conditionalFormatting>
  <conditionalFormatting sqref="L913">
    <cfRule type="colorScale" priority="258">
      <colorScale>
        <cfvo type="min"/>
        <cfvo type="percentile" val="50"/>
        <cfvo type="max"/>
        <color rgb="FFF8696B"/>
        <color rgb="FFFFEB84"/>
        <color rgb="FF63BE7B"/>
      </colorScale>
    </cfRule>
  </conditionalFormatting>
  <conditionalFormatting sqref="L913">
    <cfRule type="colorScale" priority="259">
      <colorScale>
        <cfvo type="min"/>
        <cfvo type="percentile" val="50"/>
        <cfvo type="max"/>
        <color rgb="FFF8696B"/>
        <color rgb="FFFFEB84"/>
        <color rgb="FF63BE7B"/>
      </colorScale>
    </cfRule>
  </conditionalFormatting>
  <conditionalFormatting sqref="L913">
    <cfRule type="colorScale" priority="260">
      <colorScale>
        <cfvo type="min"/>
        <cfvo type="percentile" val="50"/>
        <cfvo type="max"/>
        <color rgb="FFF8696B"/>
        <color rgb="FFFFEB84"/>
        <color rgb="FF63BE7B"/>
      </colorScale>
    </cfRule>
  </conditionalFormatting>
  <conditionalFormatting sqref="L913">
    <cfRule type="colorScale" priority="261">
      <colorScale>
        <cfvo type="min"/>
        <cfvo type="percentile" val="50"/>
        <cfvo type="max"/>
        <color rgb="FFF8696B"/>
        <color rgb="FFFFEB84"/>
        <color rgb="FF63BE7B"/>
      </colorScale>
    </cfRule>
  </conditionalFormatting>
  <conditionalFormatting sqref="L913">
    <cfRule type="colorScale" priority="262">
      <colorScale>
        <cfvo type="min"/>
        <cfvo type="percentile" val="50"/>
        <cfvo type="max"/>
        <color rgb="FFF8696B"/>
        <color rgb="FFFFEB84"/>
        <color rgb="FF63BE7B"/>
      </colorScale>
    </cfRule>
  </conditionalFormatting>
  <conditionalFormatting sqref="L913">
    <cfRule type="colorScale" priority="263">
      <colorScale>
        <cfvo type="min"/>
        <cfvo type="percentile" val="50"/>
        <cfvo type="max"/>
        <color rgb="FFF8696B"/>
        <color rgb="FFFFEB84"/>
        <color rgb="FF63BE7B"/>
      </colorScale>
    </cfRule>
  </conditionalFormatting>
  <conditionalFormatting sqref="L912">
    <cfRule type="colorScale" priority="244">
      <colorScale>
        <cfvo type="min"/>
        <cfvo type="percentile" val="50"/>
        <cfvo type="max"/>
        <color rgb="FFF8696B"/>
        <color rgb="FFFFEB84"/>
        <color rgb="FF63BE7B"/>
      </colorScale>
    </cfRule>
  </conditionalFormatting>
  <conditionalFormatting sqref="L912">
    <cfRule type="colorScale" priority="245">
      <colorScale>
        <cfvo type="min"/>
        <cfvo type="percentile" val="50"/>
        <cfvo type="max"/>
        <color rgb="FFF8696B"/>
        <color rgb="FFFFEB84"/>
        <color rgb="FF63BE7B"/>
      </colorScale>
    </cfRule>
  </conditionalFormatting>
  <conditionalFormatting sqref="L912">
    <cfRule type="colorScale" priority="246">
      <colorScale>
        <cfvo type="min"/>
        <cfvo type="percentile" val="50"/>
        <cfvo type="max"/>
        <color rgb="FFF8696B"/>
        <color rgb="FFFFEB84"/>
        <color rgb="FF63BE7B"/>
      </colorScale>
    </cfRule>
  </conditionalFormatting>
  <conditionalFormatting sqref="L912">
    <cfRule type="colorScale" priority="247">
      <colorScale>
        <cfvo type="min"/>
        <cfvo type="percentile" val="50"/>
        <cfvo type="max"/>
        <color rgb="FFF8696B"/>
        <color rgb="FFFFEB84"/>
        <color rgb="FF63BE7B"/>
      </colorScale>
    </cfRule>
  </conditionalFormatting>
  <conditionalFormatting sqref="L912">
    <cfRule type="colorScale" priority="248">
      <colorScale>
        <cfvo type="min"/>
        <cfvo type="percentile" val="50"/>
        <cfvo type="max"/>
        <color rgb="FFF8696B"/>
        <color rgb="FFFFEB84"/>
        <color rgb="FF63BE7B"/>
      </colorScale>
    </cfRule>
  </conditionalFormatting>
  <conditionalFormatting sqref="L912">
    <cfRule type="colorScale" priority="249">
      <colorScale>
        <cfvo type="min"/>
        <cfvo type="percentile" val="50"/>
        <cfvo type="max"/>
        <color rgb="FFF8696B"/>
        <color rgb="FFFFEB84"/>
        <color rgb="FF63BE7B"/>
      </colorScale>
    </cfRule>
  </conditionalFormatting>
  <conditionalFormatting sqref="L912">
    <cfRule type="colorScale" priority="250">
      <colorScale>
        <cfvo type="min"/>
        <cfvo type="percentile" val="50"/>
        <cfvo type="max"/>
        <color rgb="FFF8696B"/>
        <color rgb="FFFFEB84"/>
        <color rgb="FF63BE7B"/>
      </colorScale>
    </cfRule>
  </conditionalFormatting>
  <conditionalFormatting sqref="L912">
    <cfRule type="colorScale" priority="251">
      <colorScale>
        <cfvo type="min"/>
        <cfvo type="percentile" val="50"/>
        <cfvo type="max"/>
        <color rgb="FFF8696B"/>
        <color rgb="FFFFEB84"/>
        <color rgb="FF63BE7B"/>
      </colorScale>
    </cfRule>
  </conditionalFormatting>
  <conditionalFormatting sqref="L912">
    <cfRule type="colorScale" priority="252">
      <colorScale>
        <cfvo type="min"/>
        <cfvo type="percentile" val="50"/>
        <cfvo type="max"/>
        <color rgb="FFF8696B"/>
        <color rgb="FFFFEB84"/>
        <color rgb="FF63BE7B"/>
      </colorScale>
    </cfRule>
  </conditionalFormatting>
  <conditionalFormatting sqref="L912">
    <cfRule type="colorScale" priority="253">
      <colorScale>
        <cfvo type="min"/>
        <cfvo type="percentile" val="50"/>
        <cfvo type="max"/>
        <color rgb="FFF8696B"/>
        <color rgb="FFFFEB84"/>
        <color rgb="FF63BE7B"/>
      </colorScale>
    </cfRule>
  </conditionalFormatting>
  <conditionalFormatting sqref="L909">
    <cfRule type="colorScale" priority="234">
      <colorScale>
        <cfvo type="min"/>
        <cfvo type="percentile" val="50"/>
        <cfvo type="max"/>
        <color rgb="FFF8696B"/>
        <color rgb="FFFFEB84"/>
        <color rgb="FF63BE7B"/>
      </colorScale>
    </cfRule>
  </conditionalFormatting>
  <conditionalFormatting sqref="L909">
    <cfRule type="colorScale" priority="235">
      <colorScale>
        <cfvo type="min"/>
        <cfvo type="percentile" val="50"/>
        <cfvo type="max"/>
        <color rgb="FFF8696B"/>
        <color rgb="FFFFEB84"/>
        <color rgb="FF63BE7B"/>
      </colorScale>
    </cfRule>
  </conditionalFormatting>
  <conditionalFormatting sqref="L909">
    <cfRule type="colorScale" priority="236">
      <colorScale>
        <cfvo type="min"/>
        <cfvo type="percentile" val="50"/>
        <cfvo type="max"/>
        <color rgb="FFF8696B"/>
        <color rgb="FFFFEB84"/>
        <color rgb="FF63BE7B"/>
      </colorScale>
    </cfRule>
  </conditionalFormatting>
  <conditionalFormatting sqref="L909">
    <cfRule type="colorScale" priority="237">
      <colorScale>
        <cfvo type="min"/>
        <cfvo type="percentile" val="50"/>
        <cfvo type="max"/>
        <color rgb="FFF8696B"/>
        <color rgb="FFFFEB84"/>
        <color rgb="FF63BE7B"/>
      </colorScale>
    </cfRule>
  </conditionalFormatting>
  <conditionalFormatting sqref="L909">
    <cfRule type="colorScale" priority="238">
      <colorScale>
        <cfvo type="min"/>
        <cfvo type="percentile" val="50"/>
        <cfvo type="max"/>
        <color rgb="FFF8696B"/>
        <color rgb="FFFFEB84"/>
        <color rgb="FF63BE7B"/>
      </colorScale>
    </cfRule>
  </conditionalFormatting>
  <conditionalFormatting sqref="L909">
    <cfRule type="colorScale" priority="239">
      <colorScale>
        <cfvo type="min"/>
        <cfvo type="percentile" val="50"/>
        <cfvo type="max"/>
        <color rgb="FFF8696B"/>
        <color rgb="FFFFEB84"/>
        <color rgb="FF63BE7B"/>
      </colorScale>
    </cfRule>
  </conditionalFormatting>
  <conditionalFormatting sqref="L909">
    <cfRule type="colorScale" priority="240">
      <colorScale>
        <cfvo type="min"/>
        <cfvo type="percentile" val="50"/>
        <cfvo type="max"/>
        <color rgb="FFF8696B"/>
        <color rgb="FFFFEB84"/>
        <color rgb="FF63BE7B"/>
      </colorScale>
    </cfRule>
  </conditionalFormatting>
  <conditionalFormatting sqref="L909">
    <cfRule type="colorScale" priority="241">
      <colorScale>
        <cfvo type="min"/>
        <cfvo type="percentile" val="50"/>
        <cfvo type="max"/>
        <color rgb="FFF8696B"/>
        <color rgb="FFFFEB84"/>
        <color rgb="FF63BE7B"/>
      </colorScale>
    </cfRule>
  </conditionalFormatting>
  <conditionalFormatting sqref="L909">
    <cfRule type="colorScale" priority="242">
      <colorScale>
        <cfvo type="min"/>
        <cfvo type="percentile" val="50"/>
        <cfvo type="max"/>
        <color rgb="FFF8696B"/>
        <color rgb="FFFFEB84"/>
        <color rgb="FF63BE7B"/>
      </colorScale>
    </cfRule>
  </conditionalFormatting>
  <conditionalFormatting sqref="L909">
    <cfRule type="colorScale" priority="243">
      <colorScale>
        <cfvo type="min"/>
        <cfvo type="percentile" val="50"/>
        <cfvo type="max"/>
        <color rgb="FFF8696B"/>
        <color rgb="FFFFEB84"/>
        <color rgb="FF63BE7B"/>
      </colorScale>
    </cfRule>
  </conditionalFormatting>
  <conditionalFormatting sqref="L260">
    <cfRule type="colorScale" priority="224">
      <colorScale>
        <cfvo type="min"/>
        <cfvo type="percentile" val="50"/>
        <cfvo type="max"/>
        <color rgb="FFF8696B"/>
        <color rgb="FFFFEB84"/>
        <color rgb="FF63BE7B"/>
      </colorScale>
    </cfRule>
  </conditionalFormatting>
  <conditionalFormatting sqref="L260">
    <cfRule type="colorScale" priority="225">
      <colorScale>
        <cfvo type="min"/>
        <cfvo type="percentile" val="50"/>
        <cfvo type="max"/>
        <color rgb="FFF8696B"/>
        <color rgb="FFFFEB84"/>
        <color rgb="FF63BE7B"/>
      </colorScale>
    </cfRule>
  </conditionalFormatting>
  <conditionalFormatting sqref="L260">
    <cfRule type="colorScale" priority="226">
      <colorScale>
        <cfvo type="min"/>
        <cfvo type="percentile" val="50"/>
        <cfvo type="max"/>
        <color rgb="FFF8696B"/>
        <color rgb="FFFFEB84"/>
        <color rgb="FF63BE7B"/>
      </colorScale>
    </cfRule>
  </conditionalFormatting>
  <conditionalFormatting sqref="L260">
    <cfRule type="colorScale" priority="227">
      <colorScale>
        <cfvo type="min"/>
        <cfvo type="percentile" val="50"/>
        <cfvo type="max"/>
        <color rgb="FFF8696B"/>
        <color rgb="FFFFEB84"/>
        <color rgb="FF63BE7B"/>
      </colorScale>
    </cfRule>
  </conditionalFormatting>
  <conditionalFormatting sqref="L260">
    <cfRule type="colorScale" priority="228">
      <colorScale>
        <cfvo type="min"/>
        <cfvo type="percentile" val="50"/>
        <cfvo type="max"/>
        <color rgb="FFF8696B"/>
        <color rgb="FFFFEB84"/>
        <color rgb="FF63BE7B"/>
      </colorScale>
    </cfRule>
  </conditionalFormatting>
  <conditionalFormatting sqref="L260">
    <cfRule type="colorScale" priority="229">
      <colorScale>
        <cfvo type="min"/>
        <cfvo type="percentile" val="50"/>
        <cfvo type="max"/>
        <color rgb="FFF8696B"/>
        <color rgb="FFFFEB84"/>
        <color rgb="FF63BE7B"/>
      </colorScale>
    </cfRule>
  </conditionalFormatting>
  <conditionalFormatting sqref="L260">
    <cfRule type="colorScale" priority="230">
      <colorScale>
        <cfvo type="min"/>
        <cfvo type="percentile" val="50"/>
        <cfvo type="max"/>
        <color rgb="FFF8696B"/>
        <color rgb="FFFFEB84"/>
        <color rgb="FF63BE7B"/>
      </colorScale>
    </cfRule>
  </conditionalFormatting>
  <conditionalFormatting sqref="L260">
    <cfRule type="colorScale" priority="231">
      <colorScale>
        <cfvo type="min"/>
        <cfvo type="percentile" val="50"/>
        <cfvo type="max"/>
        <color rgb="FFF8696B"/>
        <color rgb="FFFFEB84"/>
        <color rgb="FF63BE7B"/>
      </colorScale>
    </cfRule>
  </conditionalFormatting>
  <conditionalFormatting sqref="L260">
    <cfRule type="colorScale" priority="232">
      <colorScale>
        <cfvo type="min"/>
        <cfvo type="percentile" val="50"/>
        <cfvo type="max"/>
        <color rgb="FFF8696B"/>
        <color rgb="FFFFEB84"/>
        <color rgb="FF63BE7B"/>
      </colorScale>
    </cfRule>
  </conditionalFormatting>
  <conditionalFormatting sqref="L260">
    <cfRule type="colorScale" priority="233">
      <colorScale>
        <cfvo type="min"/>
        <cfvo type="percentile" val="50"/>
        <cfvo type="max"/>
        <color rgb="FFF8696B"/>
        <color rgb="FFFFEB84"/>
        <color rgb="FF63BE7B"/>
      </colorScale>
    </cfRule>
  </conditionalFormatting>
  <conditionalFormatting sqref="L291">
    <cfRule type="colorScale" priority="204">
      <colorScale>
        <cfvo type="min"/>
        <cfvo type="percentile" val="50"/>
        <cfvo type="max"/>
        <color rgb="FFF8696B"/>
        <color rgb="FFFFEB84"/>
        <color rgb="FF63BE7B"/>
      </colorScale>
    </cfRule>
  </conditionalFormatting>
  <conditionalFormatting sqref="L291">
    <cfRule type="colorScale" priority="205">
      <colorScale>
        <cfvo type="min"/>
        <cfvo type="percentile" val="50"/>
        <cfvo type="max"/>
        <color rgb="FFF8696B"/>
        <color rgb="FFFFEB84"/>
        <color rgb="FF63BE7B"/>
      </colorScale>
    </cfRule>
  </conditionalFormatting>
  <conditionalFormatting sqref="L291">
    <cfRule type="colorScale" priority="206">
      <colorScale>
        <cfvo type="min"/>
        <cfvo type="percentile" val="50"/>
        <cfvo type="max"/>
        <color rgb="FFF8696B"/>
        <color rgb="FFFFEB84"/>
        <color rgb="FF63BE7B"/>
      </colorScale>
    </cfRule>
  </conditionalFormatting>
  <conditionalFormatting sqref="L291">
    <cfRule type="colorScale" priority="207">
      <colorScale>
        <cfvo type="min"/>
        <cfvo type="percentile" val="50"/>
        <cfvo type="max"/>
        <color rgb="FFF8696B"/>
        <color rgb="FFFFEB84"/>
        <color rgb="FF63BE7B"/>
      </colorScale>
    </cfRule>
  </conditionalFormatting>
  <conditionalFormatting sqref="L291">
    <cfRule type="colorScale" priority="208">
      <colorScale>
        <cfvo type="min"/>
        <cfvo type="percentile" val="50"/>
        <cfvo type="max"/>
        <color rgb="FFF8696B"/>
        <color rgb="FFFFEB84"/>
        <color rgb="FF63BE7B"/>
      </colorScale>
    </cfRule>
  </conditionalFormatting>
  <conditionalFormatting sqref="L291">
    <cfRule type="colorScale" priority="209">
      <colorScale>
        <cfvo type="min"/>
        <cfvo type="percentile" val="50"/>
        <cfvo type="max"/>
        <color rgb="FFF8696B"/>
        <color rgb="FFFFEB84"/>
        <color rgb="FF63BE7B"/>
      </colorScale>
    </cfRule>
  </conditionalFormatting>
  <conditionalFormatting sqref="L291">
    <cfRule type="colorScale" priority="210">
      <colorScale>
        <cfvo type="min"/>
        <cfvo type="percentile" val="50"/>
        <cfvo type="max"/>
        <color rgb="FFF8696B"/>
        <color rgb="FFFFEB84"/>
        <color rgb="FF63BE7B"/>
      </colorScale>
    </cfRule>
  </conditionalFormatting>
  <conditionalFormatting sqref="L291">
    <cfRule type="colorScale" priority="211">
      <colorScale>
        <cfvo type="min"/>
        <cfvo type="percentile" val="50"/>
        <cfvo type="max"/>
        <color rgb="FFF8696B"/>
        <color rgb="FFFFEB84"/>
        <color rgb="FF63BE7B"/>
      </colorScale>
    </cfRule>
  </conditionalFormatting>
  <conditionalFormatting sqref="L291">
    <cfRule type="colorScale" priority="212">
      <colorScale>
        <cfvo type="min"/>
        <cfvo type="percentile" val="50"/>
        <cfvo type="max"/>
        <color rgb="FFF8696B"/>
        <color rgb="FFFFEB84"/>
        <color rgb="FF63BE7B"/>
      </colorScale>
    </cfRule>
  </conditionalFormatting>
  <conditionalFormatting sqref="L291">
    <cfRule type="colorScale" priority="213">
      <colorScale>
        <cfvo type="min"/>
        <cfvo type="percentile" val="50"/>
        <cfvo type="max"/>
        <color rgb="FFF8696B"/>
        <color rgb="FFFFEB84"/>
        <color rgb="FF63BE7B"/>
      </colorScale>
    </cfRule>
  </conditionalFormatting>
  <conditionalFormatting sqref="L292">
    <cfRule type="colorScale" priority="194">
      <colorScale>
        <cfvo type="min"/>
        <cfvo type="percentile" val="50"/>
        <cfvo type="max"/>
        <color rgb="FFF8696B"/>
        <color rgb="FFFFEB84"/>
        <color rgb="FF63BE7B"/>
      </colorScale>
    </cfRule>
  </conditionalFormatting>
  <conditionalFormatting sqref="L292">
    <cfRule type="colorScale" priority="195">
      <colorScale>
        <cfvo type="min"/>
        <cfvo type="percentile" val="50"/>
        <cfvo type="max"/>
        <color rgb="FFF8696B"/>
        <color rgb="FFFFEB84"/>
        <color rgb="FF63BE7B"/>
      </colorScale>
    </cfRule>
  </conditionalFormatting>
  <conditionalFormatting sqref="L292">
    <cfRule type="colorScale" priority="196">
      <colorScale>
        <cfvo type="min"/>
        <cfvo type="percentile" val="50"/>
        <cfvo type="max"/>
        <color rgb="FFF8696B"/>
        <color rgb="FFFFEB84"/>
        <color rgb="FF63BE7B"/>
      </colorScale>
    </cfRule>
  </conditionalFormatting>
  <conditionalFormatting sqref="L292">
    <cfRule type="colorScale" priority="197">
      <colorScale>
        <cfvo type="min"/>
        <cfvo type="percentile" val="50"/>
        <cfvo type="max"/>
        <color rgb="FFF8696B"/>
        <color rgb="FFFFEB84"/>
        <color rgb="FF63BE7B"/>
      </colorScale>
    </cfRule>
  </conditionalFormatting>
  <conditionalFormatting sqref="L292">
    <cfRule type="colorScale" priority="198">
      <colorScale>
        <cfvo type="min"/>
        <cfvo type="percentile" val="50"/>
        <cfvo type="max"/>
        <color rgb="FFF8696B"/>
        <color rgb="FFFFEB84"/>
        <color rgb="FF63BE7B"/>
      </colorScale>
    </cfRule>
  </conditionalFormatting>
  <conditionalFormatting sqref="L292">
    <cfRule type="colorScale" priority="199">
      <colorScale>
        <cfvo type="min"/>
        <cfvo type="percentile" val="50"/>
        <cfvo type="max"/>
        <color rgb="FFF8696B"/>
        <color rgb="FFFFEB84"/>
        <color rgb="FF63BE7B"/>
      </colorScale>
    </cfRule>
  </conditionalFormatting>
  <conditionalFormatting sqref="L292">
    <cfRule type="colorScale" priority="200">
      <colorScale>
        <cfvo type="min"/>
        <cfvo type="percentile" val="50"/>
        <cfvo type="max"/>
        <color rgb="FFF8696B"/>
        <color rgb="FFFFEB84"/>
        <color rgb="FF63BE7B"/>
      </colorScale>
    </cfRule>
  </conditionalFormatting>
  <conditionalFormatting sqref="L292">
    <cfRule type="colorScale" priority="201">
      <colorScale>
        <cfvo type="min"/>
        <cfvo type="percentile" val="50"/>
        <cfvo type="max"/>
        <color rgb="FFF8696B"/>
        <color rgb="FFFFEB84"/>
        <color rgb="FF63BE7B"/>
      </colorScale>
    </cfRule>
  </conditionalFormatting>
  <conditionalFormatting sqref="L292">
    <cfRule type="colorScale" priority="202">
      <colorScale>
        <cfvo type="min"/>
        <cfvo type="percentile" val="50"/>
        <cfvo type="max"/>
        <color rgb="FFF8696B"/>
        <color rgb="FFFFEB84"/>
        <color rgb="FF63BE7B"/>
      </colorScale>
    </cfRule>
  </conditionalFormatting>
  <conditionalFormatting sqref="L292">
    <cfRule type="colorScale" priority="203">
      <colorScale>
        <cfvo type="min"/>
        <cfvo type="percentile" val="50"/>
        <cfvo type="max"/>
        <color rgb="FFF8696B"/>
        <color rgb="FFFFEB84"/>
        <color rgb="FF63BE7B"/>
      </colorScale>
    </cfRule>
  </conditionalFormatting>
  <conditionalFormatting sqref="L399">
    <cfRule type="colorScale" priority="184">
      <colorScale>
        <cfvo type="min"/>
        <cfvo type="percentile" val="50"/>
        <cfvo type="max"/>
        <color rgb="FFF8696B"/>
        <color rgb="FFFFEB84"/>
        <color rgb="FF63BE7B"/>
      </colorScale>
    </cfRule>
  </conditionalFormatting>
  <conditionalFormatting sqref="L399">
    <cfRule type="colorScale" priority="185">
      <colorScale>
        <cfvo type="min"/>
        <cfvo type="percentile" val="50"/>
        <cfvo type="max"/>
        <color rgb="FFF8696B"/>
        <color rgb="FFFFEB84"/>
        <color rgb="FF63BE7B"/>
      </colorScale>
    </cfRule>
  </conditionalFormatting>
  <conditionalFormatting sqref="L399">
    <cfRule type="colorScale" priority="186">
      <colorScale>
        <cfvo type="min"/>
        <cfvo type="percentile" val="50"/>
        <cfvo type="max"/>
        <color rgb="FFF8696B"/>
        <color rgb="FFFFEB84"/>
        <color rgb="FF63BE7B"/>
      </colorScale>
    </cfRule>
  </conditionalFormatting>
  <conditionalFormatting sqref="L399">
    <cfRule type="colorScale" priority="187">
      <colorScale>
        <cfvo type="min"/>
        <cfvo type="percentile" val="50"/>
        <cfvo type="max"/>
        <color rgb="FFF8696B"/>
        <color rgb="FFFFEB84"/>
        <color rgb="FF63BE7B"/>
      </colorScale>
    </cfRule>
  </conditionalFormatting>
  <conditionalFormatting sqref="L399">
    <cfRule type="colorScale" priority="188">
      <colorScale>
        <cfvo type="min"/>
        <cfvo type="percentile" val="50"/>
        <cfvo type="max"/>
        <color rgb="FFF8696B"/>
        <color rgb="FFFFEB84"/>
        <color rgb="FF63BE7B"/>
      </colorScale>
    </cfRule>
  </conditionalFormatting>
  <conditionalFormatting sqref="L399">
    <cfRule type="colorScale" priority="189">
      <colorScale>
        <cfvo type="min"/>
        <cfvo type="percentile" val="50"/>
        <cfvo type="max"/>
        <color rgb="FFF8696B"/>
        <color rgb="FFFFEB84"/>
        <color rgb="FF63BE7B"/>
      </colorScale>
    </cfRule>
  </conditionalFormatting>
  <conditionalFormatting sqref="L399">
    <cfRule type="colorScale" priority="190">
      <colorScale>
        <cfvo type="min"/>
        <cfvo type="percentile" val="50"/>
        <cfvo type="max"/>
        <color rgb="FFF8696B"/>
        <color rgb="FFFFEB84"/>
        <color rgb="FF63BE7B"/>
      </colorScale>
    </cfRule>
  </conditionalFormatting>
  <conditionalFormatting sqref="L399">
    <cfRule type="colorScale" priority="191">
      <colorScale>
        <cfvo type="min"/>
        <cfvo type="percentile" val="50"/>
        <cfvo type="max"/>
        <color rgb="FFF8696B"/>
        <color rgb="FFFFEB84"/>
        <color rgb="FF63BE7B"/>
      </colorScale>
    </cfRule>
  </conditionalFormatting>
  <conditionalFormatting sqref="L399">
    <cfRule type="colorScale" priority="192">
      <colorScale>
        <cfvo type="min"/>
        <cfvo type="percentile" val="50"/>
        <cfvo type="max"/>
        <color rgb="FFF8696B"/>
        <color rgb="FFFFEB84"/>
        <color rgb="FF63BE7B"/>
      </colorScale>
    </cfRule>
  </conditionalFormatting>
  <conditionalFormatting sqref="L399">
    <cfRule type="colorScale" priority="193">
      <colorScale>
        <cfvo type="min"/>
        <cfvo type="percentile" val="50"/>
        <cfvo type="max"/>
        <color rgb="FFF8696B"/>
        <color rgb="FFFFEB84"/>
        <color rgb="FF63BE7B"/>
      </colorScale>
    </cfRule>
  </conditionalFormatting>
  <conditionalFormatting sqref="L664">
    <cfRule type="colorScale" priority="160">
      <colorScale>
        <cfvo type="min"/>
        <cfvo type="percentile" val="50"/>
        <cfvo type="max"/>
        <color rgb="FFF8696B"/>
        <color rgb="FFFFEB84"/>
        <color rgb="FF63BE7B"/>
      </colorScale>
    </cfRule>
  </conditionalFormatting>
  <conditionalFormatting sqref="L664">
    <cfRule type="colorScale" priority="161">
      <colorScale>
        <cfvo type="min"/>
        <cfvo type="percentile" val="50"/>
        <cfvo type="max"/>
        <color rgb="FFF8696B"/>
        <color rgb="FFFFEB84"/>
        <color rgb="FF63BE7B"/>
      </colorScale>
    </cfRule>
  </conditionalFormatting>
  <conditionalFormatting sqref="L664">
    <cfRule type="colorScale" priority="162">
      <colorScale>
        <cfvo type="min"/>
        <cfvo type="percentile" val="50"/>
        <cfvo type="max"/>
        <color rgb="FFF8696B"/>
        <color rgb="FFFFEB84"/>
        <color rgb="FF63BE7B"/>
      </colorScale>
    </cfRule>
  </conditionalFormatting>
  <conditionalFormatting sqref="L664">
    <cfRule type="colorScale" priority="163">
      <colorScale>
        <cfvo type="min"/>
        <cfvo type="percentile" val="50"/>
        <cfvo type="max"/>
        <color rgb="FFF8696B"/>
        <color rgb="FFFFEB84"/>
        <color rgb="FF63BE7B"/>
      </colorScale>
    </cfRule>
  </conditionalFormatting>
  <conditionalFormatting sqref="L664">
    <cfRule type="colorScale" priority="164">
      <colorScale>
        <cfvo type="min"/>
        <cfvo type="percentile" val="50"/>
        <cfvo type="max"/>
        <color rgb="FFF8696B"/>
        <color rgb="FFFFEB84"/>
        <color rgb="FF63BE7B"/>
      </colorScale>
    </cfRule>
  </conditionalFormatting>
  <conditionalFormatting sqref="L664">
    <cfRule type="colorScale" priority="165">
      <colorScale>
        <cfvo type="min"/>
        <cfvo type="percentile" val="50"/>
        <cfvo type="max"/>
        <color rgb="FFF8696B"/>
        <color rgb="FFFFEB84"/>
        <color rgb="FF63BE7B"/>
      </colorScale>
    </cfRule>
  </conditionalFormatting>
  <conditionalFormatting sqref="L664">
    <cfRule type="colorScale" priority="166">
      <colorScale>
        <cfvo type="min"/>
        <cfvo type="percentile" val="50"/>
        <cfvo type="max"/>
        <color rgb="FFF8696B"/>
        <color rgb="FFFFEB84"/>
        <color rgb="FF63BE7B"/>
      </colorScale>
    </cfRule>
  </conditionalFormatting>
  <conditionalFormatting sqref="L664">
    <cfRule type="colorScale" priority="167">
      <colorScale>
        <cfvo type="min"/>
        <cfvo type="percentile" val="50"/>
        <cfvo type="max"/>
        <color rgb="FFF8696B"/>
        <color rgb="FFFFEB84"/>
        <color rgb="FF63BE7B"/>
      </colorScale>
    </cfRule>
  </conditionalFormatting>
  <conditionalFormatting sqref="L664">
    <cfRule type="colorScale" priority="168">
      <colorScale>
        <cfvo type="min"/>
        <cfvo type="percentile" val="50"/>
        <cfvo type="max"/>
        <color rgb="FFF8696B"/>
        <color rgb="FFFFEB84"/>
        <color rgb="FF63BE7B"/>
      </colorScale>
    </cfRule>
  </conditionalFormatting>
  <conditionalFormatting sqref="L664">
    <cfRule type="colorScale" priority="169">
      <colorScale>
        <cfvo type="min"/>
        <cfvo type="percentile" val="50"/>
        <cfvo type="max"/>
        <color rgb="FFF8696B"/>
        <color rgb="FFFFEB84"/>
        <color rgb="FF63BE7B"/>
      </colorScale>
    </cfRule>
  </conditionalFormatting>
  <conditionalFormatting sqref="L665">
    <cfRule type="colorScale" priority="150">
      <colorScale>
        <cfvo type="min"/>
        <cfvo type="percentile" val="50"/>
        <cfvo type="max"/>
        <color rgb="FFF8696B"/>
        <color rgb="FFFFEB84"/>
        <color rgb="FF63BE7B"/>
      </colorScale>
    </cfRule>
  </conditionalFormatting>
  <conditionalFormatting sqref="L665">
    <cfRule type="colorScale" priority="151">
      <colorScale>
        <cfvo type="min"/>
        <cfvo type="percentile" val="50"/>
        <cfvo type="max"/>
        <color rgb="FFF8696B"/>
        <color rgb="FFFFEB84"/>
        <color rgb="FF63BE7B"/>
      </colorScale>
    </cfRule>
  </conditionalFormatting>
  <conditionalFormatting sqref="L665">
    <cfRule type="colorScale" priority="152">
      <colorScale>
        <cfvo type="min"/>
        <cfvo type="percentile" val="50"/>
        <cfvo type="max"/>
        <color rgb="FFF8696B"/>
        <color rgb="FFFFEB84"/>
        <color rgb="FF63BE7B"/>
      </colorScale>
    </cfRule>
  </conditionalFormatting>
  <conditionalFormatting sqref="L665">
    <cfRule type="colorScale" priority="153">
      <colorScale>
        <cfvo type="min"/>
        <cfvo type="percentile" val="50"/>
        <cfvo type="max"/>
        <color rgb="FFF8696B"/>
        <color rgb="FFFFEB84"/>
        <color rgb="FF63BE7B"/>
      </colorScale>
    </cfRule>
  </conditionalFormatting>
  <conditionalFormatting sqref="L665">
    <cfRule type="colorScale" priority="154">
      <colorScale>
        <cfvo type="min"/>
        <cfvo type="percentile" val="50"/>
        <cfvo type="max"/>
        <color rgb="FFF8696B"/>
        <color rgb="FFFFEB84"/>
        <color rgb="FF63BE7B"/>
      </colorScale>
    </cfRule>
  </conditionalFormatting>
  <conditionalFormatting sqref="L665">
    <cfRule type="colorScale" priority="155">
      <colorScale>
        <cfvo type="min"/>
        <cfvo type="percentile" val="50"/>
        <cfvo type="max"/>
        <color rgb="FFF8696B"/>
        <color rgb="FFFFEB84"/>
        <color rgb="FF63BE7B"/>
      </colorScale>
    </cfRule>
  </conditionalFormatting>
  <conditionalFormatting sqref="L665">
    <cfRule type="colorScale" priority="156">
      <colorScale>
        <cfvo type="min"/>
        <cfvo type="percentile" val="50"/>
        <cfvo type="max"/>
        <color rgb="FFF8696B"/>
        <color rgb="FFFFEB84"/>
        <color rgb="FF63BE7B"/>
      </colorScale>
    </cfRule>
  </conditionalFormatting>
  <conditionalFormatting sqref="L665">
    <cfRule type="colorScale" priority="157">
      <colorScale>
        <cfvo type="min"/>
        <cfvo type="percentile" val="50"/>
        <cfvo type="max"/>
        <color rgb="FFF8696B"/>
        <color rgb="FFFFEB84"/>
        <color rgb="FF63BE7B"/>
      </colorScale>
    </cfRule>
  </conditionalFormatting>
  <conditionalFormatting sqref="L665">
    <cfRule type="colorScale" priority="158">
      <colorScale>
        <cfvo type="min"/>
        <cfvo type="percentile" val="50"/>
        <cfvo type="max"/>
        <color rgb="FFF8696B"/>
        <color rgb="FFFFEB84"/>
        <color rgb="FF63BE7B"/>
      </colorScale>
    </cfRule>
  </conditionalFormatting>
  <conditionalFormatting sqref="L665">
    <cfRule type="colorScale" priority="159">
      <colorScale>
        <cfvo type="min"/>
        <cfvo type="percentile" val="50"/>
        <cfvo type="max"/>
        <color rgb="FFF8696B"/>
        <color rgb="FFFFEB84"/>
        <color rgb="FF63BE7B"/>
      </colorScale>
    </cfRule>
  </conditionalFormatting>
  <conditionalFormatting sqref="L729">
    <cfRule type="colorScale" priority="140">
      <colorScale>
        <cfvo type="min"/>
        <cfvo type="percentile" val="50"/>
        <cfvo type="max"/>
        <color rgb="FFF8696B"/>
        <color rgb="FFFFEB84"/>
        <color rgb="FF63BE7B"/>
      </colorScale>
    </cfRule>
  </conditionalFormatting>
  <conditionalFormatting sqref="L729">
    <cfRule type="colorScale" priority="141">
      <colorScale>
        <cfvo type="min"/>
        <cfvo type="percentile" val="50"/>
        <cfvo type="max"/>
        <color rgb="FFF8696B"/>
        <color rgb="FFFFEB84"/>
        <color rgb="FF63BE7B"/>
      </colorScale>
    </cfRule>
  </conditionalFormatting>
  <conditionalFormatting sqref="L729">
    <cfRule type="colorScale" priority="142">
      <colorScale>
        <cfvo type="min"/>
        <cfvo type="percentile" val="50"/>
        <cfvo type="max"/>
        <color rgb="FFF8696B"/>
        <color rgb="FFFFEB84"/>
        <color rgb="FF63BE7B"/>
      </colorScale>
    </cfRule>
  </conditionalFormatting>
  <conditionalFormatting sqref="L729">
    <cfRule type="colorScale" priority="143">
      <colorScale>
        <cfvo type="min"/>
        <cfvo type="percentile" val="50"/>
        <cfvo type="max"/>
        <color rgb="FFF8696B"/>
        <color rgb="FFFFEB84"/>
        <color rgb="FF63BE7B"/>
      </colorScale>
    </cfRule>
  </conditionalFormatting>
  <conditionalFormatting sqref="L729">
    <cfRule type="colorScale" priority="144">
      <colorScale>
        <cfvo type="min"/>
        <cfvo type="percentile" val="50"/>
        <cfvo type="max"/>
        <color rgb="FFF8696B"/>
        <color rgb="FFFFEB84"/>
        <color rgb="FF63BE7B"/>
      </colorScale>
    </cfRule>
  </conditionalFormatting>
  <conditionalFormatting sqref="L729">
    <cfRule type="colorScale" priority="145">
      <colorScale>
        <cfvo type="min"/>
        <cfvo type="percentile" val="50"/>
        <cfvo type="max"/>
        <color rgb="FFF8696B"/>
        <color rgb="FFFFEB84"/>
        <color rgb="FF63BE7B"/>
      </colorScale>
    </cfRule>
  </conditionalFormatting>
  <conditionalFormatting sqref="L729">
    <cfRule type="colorScale" priority="146">
      <colorScale>
        <cfvo type="min"/>
        <cfvo type="percentile" val="50"/>
        <cfvo type="max"/>
        <color rgb="FFF8696B"/>
        <color rgb="FFFFEB84"/>
        <color rgb="FF63BE7B"/>
      </colorScale>
    </cfRule>
  </conditionalFormatting>
  <conditionalFormatting sqref="L729">
    <cfRule type="colorScale" priority="147">
      <colorScale>
        <cfvo type="min"/>
        <cfvo type="percentile" val="50"/>
        <cfvo type="max"/>
        <color rgb="FFF8696B"/>
        <color rgb="FFFFEB84"/>
        <color rgb="FF63BE7B"/>
      </colorScale>
    </cfRule>
  </conditionalFormatting>
  <conditionalFormatting sqref="L729">
    <cfRule type="colorScale" priority="148">
      <colorScale>
        <cfvo type="min"/>
        <cfvo type="percentile" val="50"/>
        <cfvo type="max"/>
        <color rgb="FFF8696B"/>
        <color rgb="FFFFEB84"/>
        <color rgb="FF63BE7B"/>
      </colorScale>
    </cfRule>
  </conditionalFormatting>
  <conditionalFormatting sqref="L729">
    <cfRule type="colorScale" priority="149">
      <colorScale>
        <cfvo type="min"/>
        <cfvo type="percentile" val="50"/>
        <cfvo type="max"/>
        <color rgb="FFF8696B"/>
        <color rgb="FFFFEB84"/>
        <color rgb="FF63BE7B"/>
      </colorScale>
    </cfRule>
  </conditionalFormatting>
  <conditionalFormatting sqref="L965">
    <cfRule type="colorScale" priority="130">
      <colorScale>
        <cfvo type="min"/>
        <cfvo type="percentile" val="50"/>
        <cfvo type="max"/>
        <color rgb="FFF8696B"/>
        <color rgb="FFFFEB84"/>
        <color rgb="FF63BE7B"/>
      </colorScale>
    </cfRule>
  </conditionalFormatting>
  <conditionalFormatting sqref="L965">
    <cfRule type="colorScale" priority="131">
      <colorScale>
        <cfvo type="min"/>
        <cfvo type="percentile" val="50"/>
        <cfvo type="max"/>
        <color rgb="FFF8696B"/>
        <color rgb="FFFFEB84"/>
        <color rgb="FF63BE7B"/>
      </colorScale>
    </cfRule>
  </conditionalFormatting>
  <conditionalFormatting sqref="L965">
    <cfRule type="colorScale" priority="132">
      <colorScale>
        <cfvo type="min"/>
        <cfvo type="percentile" val="50"/>
        <cfvo type="max"/>
        <color rgb="FFF8696B"/>
        <color rgb="FFFFEB84"/>
        <color rgb="FF63BE7B"/>
      </colorScale>
    </cfRule>
  </conditionalFormatting>
  <conditionalFormatting sqref="L965">
    <cfRule type="colorScale" priority="133">
      <colorScale>
        <cfvo type="min"/>
        <cfvo type="percentile" val="50"/>
        <cfvo type="max"/>
        <color rgb="FFF8696B"/>
        <color rgb="FFFFEB84"/>
        <color rgb="FF63BE7B"/>
      </colorScale>
    </cfRule>
  </conditionalFormatting>
  <conditionalFormatting sqref="L965">
    <cfRule type="colorScale" priority="134">
      <colorScale>
        <cfvo type="min"/>
        <cfvo type="percentile" val="50"/>
        <cfvo type="max"/>
        <color rgb="FFF8696B"/>
        <color rgb="FFFFEB84"/>
        <color rgb="FF63BE7B"/>
      </colorScale>
    </cfRule>
  </conditionalFormatting>
  <conditionalFormatting sqref="L965">
    <cfRule type="colorScale" priority="135">
      <colorScale>
        <cfvo type="min"/>
        <cfvo type="percentile" val="50"/>
        <cfvo type="max"/>
        <color rgb="FFF8696B"/>
        <color rgb="FFFFEB84"/>
        <color rgb="FF63BE7B"/>
      </colorScale>
    </cfRule>
  </conditionalFormatting>
  <conditionalFormatting sqref="L965">
    <cfRule type="colorScale" priority="136">
      <colorScale>
        <cfvo type="min"/>
        <cfvo type="percentile" val="50"/>
        <cfvo type="max"/>
        <color rgb="FFF8696B"/>
        <color rgb="FFFFEB84"/>
        <color rgb="FF63BE7B"/>
      </colorScale>
    </cfRule>
  </conditionalFormatting>
  <conditionalFormatting sqref="L965">
    <cfRule type="colorScale" priority="137">
      <colorScale>
        <cfvo type="min"/>
        <cfvo type="percentile" val="50"/>
        <cfvo type="max"/>
        <color rgb="FFF8696B"/>
        <color rgb="FFFFEB84"/>
        <color rgb="FF63BE7B"/>
      </colorScale>
    </cfRule>
  </conditionalFormatting>
  <conditionalFormatting sqref="L965">
    <cfRule type="colorScale" priority="138">
      <colorScale>
        <cfvo type="min"/>
        <cfvo type="percentile" val="50"/>
        <cfvo type="max"/>
        <color rgb="FFF8696B"/>
        <color rgb="FFFFEB84"/>
        <color rgb="FF63BE7B"/>
      </colorScale>
    </cfRule>
  </conditionalFormatting>
  <conditionalFormatting sqref="L965">
    <cfRule type="colorScale" priority="139">
      <colorScale>
        <cfvo type="min"/>
        <cfvo type="percentile" val="50"/>
        <cfvo type="max"/>
        <color rgb="FFF8696B"/>
        <color rgb="FFFFEB84"/>
        <color rgb="FF63BE7B"/>
      </colorScale>
    </cfRule>
  </conditionalFormatting>
  <conditionalFormatting sqref="L964">
    <cfRule type="colorScale" priority="120">
      <colorScale>
        <cfvo type="min"/>
        <cfvo type="percentile" val="50"/>
        <cfvo type="max"/>
        <color rgb="FFF8696B"/>
        <color rgb="FFFFEB84"/>
        <color rgb="FF63BE7B"/>
      </colorScale>
    </cfRule>
  </conditionalFormatting>
  <conditionalFormatting sqref="L964">
    <cfRule type="colorScale" priority="121">
      <colorScale>
        <cfvo type="min"/>
        <cfvo type="percentile" val="50"/>
        <cfvo type="max"/>
        <color rgb="FFF8696B"/>
        <color rgb="FFFFEB84"/>
        <color rgb="FF63BE7B"/>
      </colorScale>
    </cfRule>
  </conditionalFormatting>
  <conditionalFormatting sqref="L964">
    <cfRule type="colorScale" priority="122">
      <colorScale>
        <cfvo type="min"/>
        <cfvo type="percentile" val="50"/>
        <cfvo type="max"/>
        <color rgb="FFF8696B"/>
        <color rgb="FFFFEB84"/>
        <color rgb="FF63BE7B"/>
      </colorScale>
    </cfRule>
  </conditionalFormatting>
  <conditionalFormatting sqref="L964">
    <cfRule type="colorScale" priority="123">
      <colorScale>
        <cfvo type="min"/>
        <cfvo type="percentile" val="50"/>
        <cfvo type="max"/>
        <color rgb="FFF8696B"/>
        <color rgb="FFFFEB84"/>
        <color rgb="FF63BE7B"/>
      </colorScale>
    </cfRule>
  </conditionalFormatting>
  <conditionalFormatting sqref="L964">
    <cfRule type="colorScale" priority="124">
      <colorScale>
        <cfvo type="min"/>
        <cfvo type="percentile" val="50"/>
        <cfvo type="max"/>
        <color rgb="FFF8696B"/>
        <color rgb="FFFFEB84"/>
        <color rgb="FF63BE7B"/>
      </colorScale>
    </cfRule>
  </conditionalFormatting>
  <conditionalFormatting sqref="L964">
    <cfRule type="colorScale" priority="125">
      <colorScale>
        <cfvo type="min"/>
        <cfvo type="percentile" val="50"/>
        <cfvo type="max"/>
        <color rgb="FFF8696B"/>
        <color rgb="FFFFEB84"/>
        <color rgb="FF63BE7B"/>
      </colorScale>
    </cfRule>
  </conditionalFormatting>
  <conditionalFormatting sqref="L964">
    <cfRule type="colorScale" priority="126">
      <colorScale>
        <cfvo type="min"/>
        <cfvo type="percentile" val="50"/>
        <cfvo type="max"/>
        <color rgb="FFF8696B"/>
        <color rgb="FFFFEB84"/>
        <color rgb="FF63BE7B"/>
      </colorScale>
    </cfRule>
  </conditionalFormatting>
  <conditionalFormatting sqref="L964">
    <cfRule type="colorScale" priority="127">
      <colorScale>
        <cfvo type="min"/>
        <cfvo type="percentile" val="50"/>
        <cfvo type="max"/>
        <color rgb="FFF8696B"/>
        <color rgb="FFFFEB84"/>
        <color rgb="FF63BE7B"/>
      </colorScale>
    </cfRule>
  </conditionalFormatting>
  <conditionalFormatting sqref="L964">
    <cfRule type="colorScale" priority="128">
      <colorScale>
        <cfvo type="min"/>
        <cfvo type="percentile" val="50"/>
        <cfvo type="max"/>
        <color rgb="FFF8696B"/>
        <color rgb="FFFFEB84"/>
        <color rgb="FF63BE7B"/>
      </colorScale>
    </cfRule>
  </conditionalFormatting>
  <conditionalFormatting sqref="L964">
    <cfRule type="colorScale" priority="129">
      <colorScale>
        <cfvo type="min"/>
        <cfvo type="percentile" val="50"/>
        <cfvo type="max"/>
        <color rgb="FFF8696B"/>
        <color rgb="FFFFEB84"/>
        <color rgb="FF63BE7B"/>
      </colorScale>
    </cfRule>
  </conditionalFormatting>
  <conditionalFormatting sqref="L294">
    <cfRule type="colorScale" priority="110">
      <colorScale>
        <cfvo type="min"/>
        <cfvo type="percentile" val="50"/>
        <cfvo type="max"/>
        <color rgb="FFF8696B"/>
        <color rgb="FFFFEB84"/>
        <color rgb="FF63BE7B"/>
      </colorScale>
    </cfRule>
  </conditionalFormatting>
  <conditionalFormatting sqref="L294">
    <cfRule type="colorScale" priority="111">
      <colorScale>
        <cfvo type="min"/>
        <cfvo type="percentile" val="50"/>
        <cfvo type="max"/>
        <color rgb="FFF8696B"/>
        <color rgb="FFFFEB84"/>
        <color rgb="FF63BE7B"/>
      </colorScale>
    </cfRule>
  </conditionalFormatting>
  <conditionalFormatting sqref="L294">
    <cfRule type="colorScale" priority="112">
      <colorScale>
        <cfvo type="min"/>
        <cfvo type="percentile" val="50"/>
        <cfvo type="max"/>
        <color rgb="FFF8696B"/>
        <color rgb="FFFFEB84"/>
        <color rgb="FF63BE7B"/>
      </colorScale>
    </cfRule>
  </conditionalFormatting>
  <conditionalFormatting sqref="L294">
    <cfRule type="colorScale" priority="113">
      <colorScale>
        <cfvo type="min"/>
        <cfvo type="percentile" val="50"/>
        <cfvo type="max"/>
        <color rgb="FFF8696B"/>
        <color rgb="FFFFEB84"/>
        <color rgb="FF63BE7B"/>
      </colorScale>
    </cfRule>
  </conditionalFormatting>
  <conditionalFormatting sqref="L294">
    <cfRule type="colorScale" priority="114">
      <colorScale>
        <cfvo type="min"/>
        <cfvo type="percentile" val="50"/>
        <cfvo type="max"/>
        <color rgb="FFF8696B"/>
        <color rgb="FFFFEB84"/>
        <color rgb="FF63BE7B"/>
      </colorScale>
    </cfRule>
  </conditionalFormatting>
  <conditionalFormatting sqref="L294">
    <cfRule type="colorScale" priority="115">
      <colorScale>
        <cfvo type="min"/>
        <cfvo type="percentile" val="50"/>
        <cfvo type="max"/>
        <color rgb="FFF8696B"/>
        <color rgb="FFFFEB84"/>
        <color rgb="FF63BE7B"/>
      </colorScale>
    </cfRule>
  </conditionalFormatting>
  <conditionalFormatting sqref="L294">
    <cfRule type="colorScale" priority="116">
      <colorScale>
        <cfvo type="min"/>
        <cfvo type="percentile" val="50"/>
        <cfvo type="max"/>
        <color rgb="FFF8696B"/>
        <color rgb="FFFFEB84"/>
        <color rgb="FF63BE7B"/>
      </colorScale>
    </cfRule>
  </conditionalFormatting>
  <conditionalFormatting sqref="L294">
    <cfRule type="colorScale" priority="117">
      <colorScale>
        <cfvo type="min"/>
        <cfvo type="percentile" val="50"/>
        <cfvo type="max"/>
        <color rgb="FFF8696B"/>
        <color rgb="FFFFEB84"/>
        <color rgb="FF63BE7B"/>
      </colorScale>
    </cfRule>
  </conditionalFormatting>
  <conditionalFormatting sqref="L294">
    <cfRule type="colorScale" priority="118">
      <colorScale>
        <cfvo type="min"/>
        <cfvo type="percentile" val="50"/>
        <cfvo type="max"/>
        <color rgb="FFF8696B"/>
        <color rgb="FFFFEB84"/>
        <color rgb="FF63BE7B"/>
      </colorScale>
    </cfRule>
  </conditionalFormatting>
  <conditionalFormatting sqref="L294">
    <cfRule type="colorScale" priority="119">
      <colorScale>
        <cfvo type="min"/>
        <cfvo type="percentile" val="50"/>
        <cfvo type="max"/>
        <color rgb="FFF8696B"/>
        <color rgb="FFFFEB84"/>
        <color rgb="FF63BE7B"/>
      </colorScale>
    </cfRule>
  </conditionalFormatting>
  <conditionalFormatting sqref="L307">
    <cfRule type="colorScale" priority="100">
      <colorScale>
        <cfvo type="min"/>
        <cfvo type="percentile" val="50"/>
        <cfvo type="max"/>
        <color rgb="FFF8696B"/>
        <color rgb="FFFFEB84"/>
        <color rgb="FF63BE7B"/>
      </colorScale>
    </cfRule>
  </conditionalFormatting>
  <conditionalFormatting sqref="L307">
    <cfRule type="colorScale" priority="101">
      <colorScale>
        <cfvo type="min"/>
        <cfvo type="percentile" val="50"/>
        <cfvo type="max"/>
        <color rgb="FFF8696B"/>
        <color rgb="FFFFEB84"/>
        <color rgb="FF63BE7B"/>
      </colorScale>
    </cfRule>
  </conditionalFormatting>
  <conditionalFormatting sqref="L307">
    <cfRule type="colorScale" priority="102">
      <colorScale>
        <cfvo type="min"/>
        <cfvo type="percentile" val="50"/>
        <cfvo type="max"/>
        <color rgb="FFF8696B"/>
        <color rgb="FFFFEB84"/>
        <color rgb="FF63BE7B"/>
      </colorScale>
    </cfRule>
  </conditionalFormatting>
  <conditionalFormatting sqref="L307">
    <cfRule type="colorScale" priority="103">
      <colorScale>
        <cfvo type="min"/>
        <cfvo type="percentile" val="50"/>
        <cfvo type="max"/>
        <color rgb="FFF8696B"/>
        <color rgb="FFFFEB84"/>
        <color rgb="FF63BE7B"/>
      </colorScale>
    </cfRule>
  </conditionalFormatting>
  <conditionalFormatting sqref="L307">
    <cfRule type="colorScale" priority="104">
      <colorScale>
        <cfvo type="min"/>
        <cfvo type="percentile" val="50"/>
        <cfvo type="max"/>
        <color rgb="FFF8696B"/>
        <color rgb="FFFFEB84"/>
        <color rgb="FF63BE7B"/>
      </colorScale>
    </cfRule>
  </conditionalFormatting>
  <conditionalFormatting sqref="L307">
    <cfRule type="colorScale" priority="105">
      <colorScale>
        <cfvo type="min"/>
        <cfvo type="percentile" val="50"/>
        <cfvo type="max"/>
        <color rgb="FFF8696B"/>
        <color rgb="FFFFEB84"/>
        <color rgb="FF63BE7B"/>
      </colorScale>
    </cfRule>
  </conditionalFormatting>
  <conditionalFormatting sqref="L307">
    <cfRule type="colorScale" priority="106">
      <colorScale>
        <cfvo type="min"/>
        <cfvo type="percentile" val="50"/>
        <cfvo type="max"/>
        <color rgb="FFF8696B"/>
        <color rgb="FFFFEB84"/>
        <color rgb="FF63BE7B"/>
      </colorScale>
    </cfRule>
  </conditionalFormatting>
  <conditionalFormatting sqref="L307">
    <cfRule type="colorScale" priority="107">
      <colorScale>
        <cfvo type="min"/>
        <cfvo type="percentile" val="50"/>
        <cfvo type="max"/>
        <color rgb="FFF8696B"/>
        <color rgb="FFFFEB84"/>
        <color rgb="FF63BE7B"/>
      </colorScale>
    </cfRule>
  </conditionalFormatting>
  <conditionalFormatting sqref="L307">
    <cfRule type="colorScale" priority="108">
      <colorScale>
        <cfvo type="min"/>
        <cfvo type="percentile" val="50"/>
        <cfvo type="max"/>
        <color rgb="FFF8696B"/>
        <color rgb="FFFFEB84"/>
        <color rgb="FF63BE7B"/>
      </colorScale>
    </cfRule>
  </conditionalFormatting>
  <conditionalFormatting sqref="L307">
    <cfRule type="colorScale" priority="109">
      <colorScale>
        <cfvo type="min"/>
        <cfvo type="percentile" val="50"/>
        <cfvo type="max"/>
        <color rgb="FFF8696B"/>
        <color rgb="FFFFEB84"/>
        <color rgb="FF63BE7B"/>
      </colorScale>
    </cfRule>
  </conditionalFormatting>
  <conditionalFormatting sqref="L314">
    <cfRule type="colorScale" priority="90">
      <colorScale>
        <cfvo type="min"/>
        <cfvo type="percentile" val="50"/>
        <cfvo type="max"/>
        <color rgb="FFF8696B"/>
        <color rgb="FFFFEB84"/>
        <color rgb="FF63BE7B"/>
      </colorScale>
    </cfRule>
  </conditionalFormatting>
  <conditionalFormatting sqref="L314">
    <cfRule type="colorScale" priority="91">
      <colorScale>
        <cfvo type="min"/>
        <cfvo type="percentile" val="50"/>
        <cfvo type="max"/>
        <color rgb="FFF8696B"/>
        <color rgb="FFFFEB84"/>
        <color rgb="FF63BE7B"/>
      </colorScale>
    </cfRule>
  </conditionalFormatting>
  <conditionalFormatting sqref="L314">
    <cfRule type="colorScale" priority="92">
      <colorScale>
        <cfvo type="min"/>
        <cfvo type="percentile" val="50"/>
        <cfvo type="max"/>
        <color rgb="FFF8696B"/>
        <color rgb="FFFFEB84"/>
        <color rgb="FF63BE7B"/>
      </colorScale>
    </cfRule>
  </conditionalFormatting>
  <conditionalFormatting sqref="L314">
    <cfRule type="colorScale" priority="93">
      <colorScale>
        <cfvo type="min"/>
        <cfvo type="percentile" val="50"/>
        <cfvo type="max"/>
        <color rgb="FFF8696B"/>
        <color rgb="FFFFEB84"/>
        <color rgb="FF63BE7B"/>
      </colorScale>
    </cfRule>
  </conditionalFormatting>
  <conditionalFormatting sqref="L314">
    <cfRule type="colorScale" priority="94">
      <colorScale>
        <cfvo type="min"/>
        <cfvo type="percentile" val="50"/>
        <cfvo type="max"/>
        <color rgb="FFF8696B"/>
        <color rgb="FFFFEB84"/>
        <color rgb="FF63BE7B"/>
      </colorScale>
    </cfRule>
  </conditionalFormatting>
  <conditionalFormatting sqref="L314">
    <cfRule type="colorScale" priority="95">
      <colorScale>
        <cfvo type="min"/>
        <cfvo type="percentile" val="50"/>
        <cfvo type="max"/>
        <color rgb="FFF8696B"/>
        <color rgb="FFFFEB84"/>
        <color rgb="FF63BE7B"/>
      </colorScale>
    </cfRule>
  </conditionalFormatting>
  <conditionalFormatting sqref="L314">
    <cfRule type="colorScale" priority="96">
      <colorScale>
        <cfvo type="min"/>
        <cfvo type="percentile" val="50"/>
        <cfvo type="max"/>
        <color rgb="FFF8696B"/>
        <color rgb="FFFFEB84"/>
        <color rgb="FF63BE7B"/>
      </colorScale>
    </cfRule>
  </conditionalFormatting>
  <conditionalFormatting sqref="L314">
    <cfRule type="colorScale" priority="97">
      <colorScale>
        <cfvo type="min"/>
        <cfvo type="percentile" val="50"/>
        <cfvo type="max"/>
        <color rgb="FFF8696B"/>
        <color rgb="FFFFEB84"/>
        <color rgb="FF63BE7B"/>
      </colorScale>
    </cfRule>
  </conditionalFormatting>
  <conditionalFormatting sqref="L314">
    <cfRule type="colorScale" priority="98">
      <colorScale>
        <cfvo type="min"/>
        <cfvo type="percentile" val="50"/>
        <cfvo type="max"/>
        <color rgb="FFF8696B"/>
        <color rgb="FFFFEB84"/>
        <color rgb="FF63BE7B"/>
      </colorScale>
    </cfRule>
  </conditionalFormatting>
  <conditionalFormatting sqref="L314">
    <cfRule type="colorScale" priority="99">
      <colorScale>
        <cfvo type="min"/>
        <cfvo type="percentile" val="50"/>
        <cfvo type="max"/>
        <color rgb="FFF8696B"/>
        <color rgb="FFFFEB84"/>
        <color rgb="FF63BE7B"/>
      </colorScale>
    </cfRule>
  </conditionalFormatting>
  <conditionalFormatting sqref="L315">
    <cfRule type="colorScale" priority="80">
      <colorScale>
        <cfvo type="min"/>
        <cfvo type="percentile" val="50"/>
        <cfvo type="max"/>
        <color rgb="FFF8696B"/>
        <color rgb="FFFFEB84"/>
        <color rgb="FF63BE7B"/>
      </colorScale>
    </cfRule>
  </conditionalFormatting>
  <conditionalFormatting sqref="L315">
    <cfRule type="colorScale" priority="81">
      <colorScale>
        <cfvo type="min"/>
        <cfvo type="percentile" val="50"/>
        <cfvo type="max"/>
        <color rgb="FFF8696B"/>
        <color rgb="FFFFEB84"/>
        <color rgb="FF63BE7B"/>
      </colorScale>
    </cfRule>
  </conditionalFormatting>
  <conditionalFormatting sqref="L315">
    <cfRule type="colorScale" priority="82">
      <colorScale>
        <cfvo type="min"/>
        <cfvo type="percentile" val="50"/>
        <cfvo type="max"/>
        <color rgb="FFF8696B"/>
        <color rgb="FFFFEB84"/>
        <color rgb="FF63BE7B"/>
      </colorScale>
    </cfRule>
  </conditionalFormatting>
  <conditionalFormatting sqref="L315">
    <cfRule type="colorScale" priority="83">
      <colorScale>
        <cfvo type="min"/>
        <cfvo type="percentile" val="50"/>
        <cfvo type="max"/>
        <color rgb="FFF8696B"/>
        <color rgb="FFFFEB84"/>
        <color rgb="FF63BE7B"/>
      </colorScale>
    </cfRule>
  </conditionalFormatting>
  <conditionalFormatting sqref="L315">
    <cfRule type="colorScale" priority="84">
      <colorScale>
        <cfvo type="min"/>
        <cfvo type="percentile" val="50"/>
        <cfvo type="max"/>
        <color rgb="FFF8696B"/>
        <color rgb="FFFFEB84"/>
        <color rgb="FF63BE7B"/>
      </colorScale>
    </cfRule>
  </conditionalFormatting>
  <conditionalFormatting sqref="L315">
    <cfRule type="colorScale" priority="85">
      <colorScale>
        <cfvo type="min"/>
        <cfvo type="percentile" val="50"/>
        <cfvo type="max"/>
        <color rgb="FFF8696B"/>
        <color rgb="FFFFEB84"/>
        <color rgb="FF63BE7B"/>
      </colorScale>
    </cfRule>
  </conditionalFormatting>
  <conditionalFormatting sqref="L315">
    <cfRule type="colorScale" priority="86">
      <colorScale>
        <cfvo type="min"/>
        <cfvo type="percentile" val="50"/>
        <cfvo type="max"/>
        <color rgb="FFF8696B"/>
        <color rgb="FFFFEB84"/>
        <color rgb="FF63BE7B"/>
      </colorScale>
    </cfRule>
  </conditionalFormatting>
  <conditionalFormatting sqref="L315">
    <cfRule type="colorScale" priority="87">
      <colorScale>
        <cfvo type="min"/>
        <cfvo type="percentile" val="50"/>
        <cfvo type="max"/>
        <color rgb="FFF8696B"/>
        <color rgb="FFFFEB84"/>
        <color rgb="FF63BE7B"/>
      </colorScale>
    </cfRule>
  </conditionalFormatting>
  <conditionalFormatting sqref="L315">
    <cfRule type="colorScale" priority="88">
      <colorScale>
        <cfvo type="min"/>
        <cfvo type="percentile" val="50"/>
        <cfvo type="max"/>
        <color rgb="FFF8696B"/>
        <color rgb="FFFFEB84"/>
        <color rgb="FF63BE7B"/>
      </colorScale>
    </cfRule>
  </conditionalFormatting>
  <conditionalFormatting sqref="L315">
    <cfRule type="colorScale" priority="89">
      <colorScale>
        <cfvo type="min"/>
        <cfvo type="percentile" val="50"/>
        <cfvo type="max"/>
        <color rgb="FFF8696B"/>
        <color rgb="FFFFEB84"/>
        <color rgb="FF63BE7B"/>
      </colorScale>
    </cfRule>
  </conditionalFormatting>
  <conditionalFormatting sqref="L396">
    <cfRule type="colorScale" priority="70">
      <colorScale>
        <cfvo type="min"/>
        <cfvo type="percentile" val="50"/>
        <cfvo type="max"/>
        <color rgb="FFF8696B"/>
        <color rgb="FFFFEB84"/>
        <color rgb="FF63BE7B"/>
      </colorScale>
    </cfRule>
  </conditionalFormatting>
  <conditionalFormatting sqref="L396">
    <cfRule type="colorScale" priority="71">
      <colorScale>
        <cfvo type="min"/>
        <cfvo type="percentile" val="50"/>
        <cfvo type="max"/>
        <color rgb="FFF8696B"/>
        <color rgb="FFFFEB84"/>
        <color rgb="FF63BE7B"/>
      </colorScale>
    </cfRule>
  </conditionalFormatting>
  <conditionalFormatting sqref="L396">
    <cfRule type="colorScale" priority="72">
      <colorScale>
        <cfvo type="min"/>
        <cfvo type="percentile" val="50"/>
        <cfvo type="max"/>
        <color rgb="FFF8696B"/>
        <color rgb="FFFFEB84"/>
        <color rgb="FF63BE7B"/>
      </colorScale>
    </cfRule>
  </conditionalFormatting>
  <conditionalFormatting sqref="L396">
    <cfRule type="colorScale" priority="73">
      <colorScale>
        <cfvo type="min"/>
        <cfvo type="percentile" val="50"/>
        <cfvo type="max"/>
        <color rgb="FFF8696B"/>
        <color rgb="FFFFEB84"/>
        <color rgb="FF63BE7B"/>
      </colorScale>
    </cfRule>
  </conditionalFormatting>
  <conditionalFormatting sqref="L396">
    <cfRule type="colorScale" priority="74">
      <colorScale>
        <cfvo type="min"/>
        <cfvo type="percentile" val="50"/>
        <cfvo type="max"/>
        <color rgb="FFF8696B"/>
        <color rgb="FFFFEB84"/>
        <color rgb="FF63BE7B"/>
      </colorScale>
    </cfRule>
  </conditionalFormatting>
  <conditionalFormatting sqref="L396">
    <cfRule type="colorScale" priority="75">
      <colorScale>
        <cfvo type="min"/>
        <cfvo type="percentile" val="50"/>
        <cfvo type="max"/>
        <color rgb="FFF8696B"/>
        <color rgb="FFFFEB84"/>
        <color rgb="FF63BE7B"/>
      </colorScale>
    </cfRule>
  </conditionalFormatting>
  <conditionalFormatting sqref="L396">
    <cfRule type="colorScale" priority="76">
      <colorScale>
        <cfvo type="min"/>
        <cfvo type="percentile" val="50"/>
        <cfvo type="max"/>
        <color rgb="FFF8696B"/>
        <color rgb="FFFFEB84"/>
        <color rgb="FF63BE7B"/>
      </colorScale>
    </cfRule>
  </conditionalFormatting>
  <conditionalFormatting sqref="L396">
    <cfRule type="colorScale" priority="77">
      <colorScale>
        <cfvo type="min"/>
        <cfvo type="percentile" val="50"/>
        <cfvo type="max"/>
        <color rgb="FFF8696B"/>
        <color rgb="FFFFEB84"/>
        <color rgb="FF63BE7B"/>
      </colorScale>
    </cfRule>
  </conditionalFormatting>
  <conditionalFormatting sqref="L396">
    <cfRule type="colorScale" priority="78">
      <colorScale>
        <cfvo type="min"/>
        <cfvo type="percentile" val="50"/>
        <cfvo type="max"/>
        <color rgb="FFF8696B"/>
        <color rgb="FFFFEB84"/>
        <color rgb="FF63BE7B"/>
      </colorScale>
    </cfRule>
  </conditionalFormatting>
  <conditionalFormatting sqref="L396">
    <cfRule type="colorScale" priority="79">
      <colorScale>
        <cfvo type="min"/>
        <cfvo type="percentile" val="50"/>
        <cfvo type="max"/>
        <color rgb="FFF8696B"/>
        <color rgb="FFFFEB84"/>
        <color rgb="FF63BE7B"/>
      </colorScale>
    </cfRule>
  </conditionalFormatting>
  <conditionalFormatting sqref="L461">
    <cfRule type="colorScale" priority="60">
      <colorScale>
        <cfvo type="min"/>
        <cfvo type="percentile" val="50"/>
        <cfvo type="max"/>
        <color rgb="FFF8696B"/>
        <color rgb="FFFFEB84"/>
        <color rgb="FF63BE7B"/>
      </colorScale>
    </cfRule>
  </conditionalFormatting>
  <conditionalFormatting sqref="L461">
    <cfRule type="colorScale" priority="61">
      <colorScale>
        <cfvo type="min"/>
        <cfvo type="percentile" val="50"/>
        <cfvo type="max"/>
        <color rgb="FFF8696B"/>
        <color rgb="FFFFEB84"/>
        <color rgb="FF63BE7B"/>
      </colorScale>
    </cfRule>
  </conditionalFormatting>
  <conditionalFormatting sqref="L461">
    <cfRule type="colorScale" priority="62">
      <colorScale>
        <cfvo type="min"/>
        <cfvo type="percentile" val="50"/>
        <cfvo type="max"/>
        <color rgb="FFF8696B"/>
        <color rgb="FFFFEB84"/>
        <color rgb="FF63BE7B"/>
      </colorScale>
    </cfRule>
  </conditionalFormatting>
  <conditionalFormatting sqref="L461">
    <cfRule type="colorScale" priority="63">
      <colorScale>
        <cfvo type="min"/>
        <cfvo type="percentile" val="50"/>
        <cfvo type="max"/>
        <color rgb="FFF8696B"/>
        <color rgb="FFFFEB84"/>
        <color rgb="FF63BE7B"/>
      </colorScale>
    </cfRule>
  </conditionalFormatting>
  <conditionalFormatting sqref="L461">
    <cfRule type="colorScale" priority="64">
      <colorScale>
        <cfvo type="min"/>
        <cfvo type="percentile" val="50"/>
        <cfvo type="max"/>
        <color rgb="FFF8696B"/>
        <color rgb="FFFFEB84"/>
        <color rgb="FF63BE7B"/>
      </colorScale>
    </cfRule>
  </conditionalFormatting>
  <conditionalFormatting sqref="L461">
    <cfRule type="colorScale" priority="65">
      <colorScale>
        <cfvo type="min"/>
        <cfvo type="percentile" val="50"/>
        <cfvo type="max"/>
        <color rgb="FFF8696B"/>
        <color rgb="FFFFEB84"/>
        <color rgb="FF63BE7B"/>
      </colorScale>
    </cfRule>
  </conditionalFormatting>
  <conditionalFormatting sqref="L461">
    <cfRule type="colorScale" priority="66">
      <colorScale>
        <cfvo type="min"/>
        <cfvo type="percentile" val="50"/>
        <cfvo type="max"/>
        <color rgb="FFF8696B"/>
        <color rgb="FFFFEB84"/>
        <color rgb="FF63BE7B"/>
      </colorScale>
    </cfRule>
  </conditionalFormatting>
  <conditionalFormatting sqref="L461">
    <cfRule type="colorScale" priority="67">
      <colorScale>
        <cfvo type="min"/>
        <cfvo type="percentile" val="50"/>
        <cfvo type="max"/>
        <color rgb="FFF8696B"/>
        <color rgb="FFFFEB84"/>
        <color rgb="FF63BE7B"/>
      </colorScale>
    </cfRule>
  </conditionalFormatting>
  <conditionalFormatting sqref="L461">
    <cfRule type="colorScale" priority="68">
      <colorScale>
        <cfvo type="min"/>
        <cfvo type="percentile" val="50"/>
        <cfvo type="max"/>
        <color rgb="FFF8696B"/>
        <color rgb="FFFFEB84"/>
        <color rgb="FF63BE7B"/>
      </colorScale>
    </cfRule>
  </conditionalFormatting>
  <conditionalFormatting sqref="L461">
    <cfRule type="colorScale" priority="69">
      <colorScale>
        <cfvo type="min"/>
        <cfvo type="percentile" val="50"/>
        <cfvo type="max"/>
        <color rgb="FFF8696B"/>
        <color rgb="FFFFEB84"/>
        <color rgb="FF63BE7B"/>
      </colorScale>
    </cfRule>
  </conditionalFormatting>
  <conditionalFormatting sqref="L1242">
    <cfRule type="colorScale" priority="2">
      <colorScale>
        <cfvo type="min"/>
        <cfvo type="percentile" val="50"/>
        <cfvo type="max"/>
        <color rgb="FFF8696B"/>
        <color rgb="FFFFEB84"/>
        <color rgb="FF63BE7B"/>
      </colorScale>
    </cfRule>
  </conditionalFormatting>
  <conditionalFormatting sqref="L1242">
    <cfRule type="colorScale" priority="3">
      <colorScale>
        <cfvo type="min"/>
        <cfvo type="percentile" val="50"/>
        <cfvo type="max"/>
        <color rgb="FFF8696B"/>
        <color rgb="FFFFEB84"/>
        <color rgb="FF63BE7B"/>
      </colorScale>
    </cfRule>
  </conditionalFormatting>
  <conditionalFormatting sqref="L1242">
    <cfRule type="colorScale" priority="4">
      <colorScale>
        <cfvo type="min"/>
        <cfvo type="percentile" val="50"/>
        <cfvo type="max"/>
        <color rgb="FFF8696B"/>
        <color rgb="FFFFEB84"/>
        <color rgb="FF63BE7B"/>
      </colorScale>
    </cfRule>
  </conditionalFormatting>
  <conditionalFormatting sqref="L1242">
    <cfRule type="colorScale" priority="5">
      <colorScale>
        <cfvo type="min"/>
        <cfvo type="percentile" val="50"/>
        <cfvo type="max"/>
        <color rgb="FFF8696B"/>
        <color rgb="FFFFEB84"/>
        <color rgb="FF63BE7B"/>
      </colorScale>
    </cfRule>
  </conditionalFormatting>
  <conditionalFormatting sqref="L1242">
    <cfRule type="colorScale" priority="6">
      <colorScale>
        <cfvo type="min"/>
        <cfvo type="percentile" val="50"/>
        <cfvo type="max"/>
        <color rgb="FFF8696B"/>
        <color rgb="FFFFEB84"/>
        <color rgb="FF63BE7B"/>
      </colorScale>
    </cfRule>
  </conditionalFormatting>
  <conditionalFormatting sqref="L1242">
    <cfRule type="colorScale" priority="7">
      <colorScale>
        <cfvo type="min"/>
        <cfvo type="percentile" val="50"/>
        <cfvo type="max"/>
        <color rgb="FFF8696B"/>
        <color rgb="FFFFEB84"/>
        <color rgb="FF63BE7B"/>
      </colorScale>
    </cfRule>
  </conditionalFormatting>
  <conditionalFormatting sqref="L1242">
    <cfRule type="colorScale" priority="8">
      <colorScale>
        <cfvo type="min"/>
        <cfvo type="percentile" val="50"/>
        <cfvo type="max"/>
        <color rgb="FFF8696B"/>
        <color rgb="FFFFEB84"/>
        <color rgb="FF63BE7B"/>
      </colorScale>
    </cfRule>
  </conditionalFormatting>
  <conditionalFormatting sqref="L1242">
    <cfRule type="colorScale" priority="9">
      <colorScale>
        <cfvo type="min"/>
        <cfvo type="percentile" val="50"/>
        <cfvo type="max"/>
        <color rgb="FFF8696B"/>
        <color rgb="FFFFEB84"/>
        <color rgb="FF63BE7B"/>
      </colorScale>
    </cfRule>
  </conditionalFormatting>
  <conditionalFormatting sqref="L1242">
    <cfRule type="colorScale" priority="10">
      <colorScale>
        <cfvo type="min"/>
        <cfvo type="percentile" val="50"/>
        <cfvo type="max"/>
        <color rgb="FFF8696B"/>
        <color rgb="FFFFEB84"/>
        <color rgb="FF63BE7B"/>
      </colorScale>
    </cfRule>
  </conditionalFormatting>
  <conditionalFormatting sqref="L1242">
    <cfRule type="colorScale" priority="11">
      <colorScale>
        <cfvo type="min"/>
        <cfvo type="percentile" val="50"/>
        <cfvo type="max"/>
        <color rgb="FFF8696B"/>
        <color rgb="FFFFEB84"/>
        <color rgb="FF63BE7B"/>
      </colorScale>
    </cfRule>
  </conditionalFormatting>
  <conditionalFormatting sqref="L1:L10 L509:L534 L12 L14:L19 L21:L28 L255:L257 L259 L285:L290 L929:L963 L1237:L1241 L864:L879 L41:L48 L30:L38 L206:L253 L634:L663 L735:L862 L1039:L1235 L671:L719 L50:L126 L721:L728 L536:L537 L540:L632 L161:L204 L881:L908 L143:L159 L129:L141 L914:L927 L910:L911 L262:L283 L293 L400:L460 L666:L669 L730:L733 L966:L1037 L295:L306 L308:L313 L316:L395 L397:L398 L462:L507 L1243:L1259 L1261:L1048576">
    <cfRule type="colorScale" priority="51300">
      <colorScale>
        <cfvo type="min"/>
        <cfvo type="percentile" val="50"/>
        <cfvo type="max"/>
        <color rgb="FFF8696B"/>
        <color rgb="FFFFEB84"/>
        <color rgb="FF63BE7B"/>
      </colorScale>
    </cfRule>
  </conditionalFormatting>
  <conditionalFormatting sqref="L2:L10 L509:L534 L12 L14:L19 L21:L28 L255:L257 L259 L285:L290 L929:L963 L1237:L1241 L864:L879 L41:L48 L30:L38 L206:L253 L634:L663 L735:L862 L1039:L1235 L671:L719 L50:L126 L721:L728 L536:L537 L540:L632 L161:L204 L881:L908 L143:L159 L129:L141 L914:L927 L910:L911 L262:L283 L293 L400:L460 L666:L669 L730:L733 L966:L1037 L295:L306 L308:L313 L316:L395 L397:L398 L462:L507 L1243:L1259 L1261:L2205">
    <cfRule type="colorScale" priority="51343">
      <colorScale>
        <cfvo type="min"/>
        <cfvo type="percentile" val="50"/>
        <cfvo type="max"/>
        <color rgb="FFF8696B"/>
        <color rgb="FFFFEB84"/>
        <color rgb="FF63BE7B"/>
      </colorScale>
    </cfRule>
  </conditionalFormatting>
  <conditionalFormatting sqref="L2:L10 L509:L534 L12 L14:L19 L21:L28 L255:L257 L259 L285:L290 L929:L963 L1237:L1241 L864:L879 L41:L48 L30:L38 L206:L253 L634:L663 L735:L862 L1039:L1235 L671:L719 L50:L126 L721:L728 L536:L537 L540:L632 L161:L204 L881:L908 L143:L159 L129:L141 L914:L927 L910:L911 L262:L283 L293 L400:L460 L666:L669 L730:L733 L966:L1037 L295:L306 L308:L313 L316:L395 L397:L398 L462:L507 L1243:L1259 L1261:L2205">
    <cfRule type="colorScale" priority="51384">
      <colorScale>
        <cfvo type="min"/>
        <cfvo type="percentile" val="50"/>
        <cfvo type="max"/>
        <color rgb="FFF8696B"/>
        <color rgb="FFFFEB84"/>
        <color rgb="FF63BE7B"/>
      </colorScale>
    </cfRule>
  </conditionalFormatting>
  <conditionalFormatting sqref="L366:L373 L64 L66:L70 L90:L96 L73 L75 L77:L78 L81:L88 L100:L108 L110:L126 L403:L432 L987:L1037 L1081:L1085 L1087:L1235 L1285:L1286 L57:L62 L55 L353:L364 L375:L395 L2:L7 L434:L460 L139:L141 L9:L10 L22 L24:L25 L27:L28 L509:L534 L12 L14:L19 L255:L257 L259 L285:L290 L929:L963 L1261:L1282 L1237:L1241 L864:L879 L41:L48 L30:L38 L206:L253 L634:L663 L735:L862 L1039:L1078 L671:L719 L50:L53 L721:L728 L536:L537 L540:L632 L161:L204 L881:L908 L143:L159 L129:L136 L914:L927 L910:L911 L262:L283 L293 L400:L401 L666:L669 L730:L733 L966:L985 L295:L306 L308:L313 L316:L351 L397:L398 L462:L507 L1243:L1259 L1291:L2205">
    <cfRule type="colorScale" priority="51425">
      <colorScale>
        <cfvo type="min"/>
        <cfvo type="percentile" val="50"/>
        <cfvo type="max"/>
        <color rgb="FFF8696B"/>
        <color rgb="FFFFEB84"/>
        <color rgb="FF63BE7B"/>
      </colorScale>
    </cfRule>
  </conditionalFormatting>
  <conditionalFormatting sqref="L509:L534 L159 L255:L257 L259 L285:L290 L929:L963 L1237:L1241 L864:L879 L206:L253 L634:L663 L735:L862 L1039:L1235 L671:L719 L721:L728 L536:L537 L540:L632 L161:L204 L881:L908 L914:L927 L910:L911 L262:L283 L293 L400:L460 L666:L669 L730:L733 L966:L1037 L295:L306 L308:L313 L316:L395 L397:L398 L462:L507 L1243:L1259 L1261:L2205">
    <cfRule type="colorScale" priority="51491">
      <colorScale>
        <cfvo type="min"/>
        <cfvo type="percentile" val="50"/>
        <cfvo type="max"/>
        <color rgb="FFF8696B"/>
        <color rgb="FFFFEB84"/>
        <color rgb="FF63BE7B"/>
      </colorScale>
    </cfRule>
  </conditionalFormatting>
  <conditionalFormatting sqref="L4:L10 L509:L534 L12 L14:L19 L21:L28 L255:L257 L259 L285:L290 L929:L963 L1237:L1241 L864:L879 L41:L48 L30:L38 L206:L253 L634:L663 L735:L862 L1039:L1235 L671:L719 L50:L126 L721:L728 L536:L537 L540:L632 L161:L204 L881:L908 L143:L159 L129:L141 L914:L927 L910:L911 L262:L283 L293 L400:L460 L666:L669 L730:L733 L966:L1037 L295:L306 L308:L313 L316:L395 L397:L398 L462:L507 L1243:L1259 L1261:L2205">
    <cfRule type="colorScale" priority="51524">
      <colorScale>
        <cfvo type="min"/>
        <cfvo type="percentile" val="50"/>
        <cfvo type="max"/>
        <color rgb="FFF8696B"/>
        <color rgb="FFFFEB84"/>
        <color rgb="FF63BE7B"/>
      </colorScale>
    </cfRule>
  </conditionalFormatting>
  <conditionalFormatting sqref="L56:L126 L509:L534 L255:L257 L259 L285:L290 L929:L963 L1237:L1241 L864:L879 L206:L253 L634:L663 L735:L862 L1039:L1235 L671:L719 L721:L728 L536:L537 L540:L632 L161:L204 L881:L908 L143:L159 L129:L141 L914:L927 L910:L911 L262:L283 L293 L400:L460 L666:L669 L730:L733 L966:L1037 L295:L306 L308:L313 L316:L395 L397:L398 L462:L507 L1243:L1259 L1261:L2205">
    <cfRule type="colorScale" priority="51565">
      <colorScale>
        <cfvo type="min"/>
        <cfvo type="percentile" val="50"/>
        <cfvo type="max"/>
        <color rgb="FFF8696B"/>
        <color rgb="FFFFEB84"/>
        <color rgb="FF63BE7B"/>
      </colorScale>
    </cfRule>
  </conditionalFormatting>
  <conditionalFormatting sqref="L2:L10 L509:L534 L12 L14:L19 L21:L28 L255:L257 L259 L285:L290 L929:L963 L1237:L1241 L864:L879 L41:L48 L30:L38 L206:L253 L634:L663 L735:L862 L1039:L1235 L671:L719 L50:L126 L721:L728 L536:L537 L540:L632 L161:L204 L881:L908 L143:L159 L129:L141 L914:L927 L910:L911 L262:L283 L293 L400:L460 L666:L669 L730:L733 L966:L1037 L295:L306 L308:L313 L316:L395 L397:L398 L462:L507 L1243:L1259 L1261:L2205">
    <cfRule type="colorScale" priority="51600">
      <colorScale>
        <cfvo type="min"/>
        <cfvo type="percentile" val="50"/>
        <cfvo type="max"/>
        <color rgb="FFF8696B"/>
        <color rgb="FFFFEB84"/>
        <color rgb="FF63BE7B"/>
      </colorScale>
    </cfRule>
  </conditionalFormatting>
  <conditionalFormatting sqref="L2:L10 L509:L534 L12 L14:L19 L21:L28 L255:L257 L259 L285:L290 L929:L963 L1237:L1241 L864:L879 L41:L48 L30:L38 L206:L253 L634:L663 L735:L862 L1039:L1235 L671:L719 L50:L126 L721:L728 L536:L537 L540:L632 L161:L204 L881:L908 L143:L159 L129:L141 L914:L927 L910:L911 L262:L283 L293 L400:L460 L666:L669 L730:L733 L966:L1037 L295:L306 L308:L313 L316:L395 L397:L398 L462:L507 L1243:L1259 L1261:L2205">
    <cfRule type="colorScale" priority="51641">
      <colorScale>
        <cfvo type="min"/>
        <cfvo type="percentile" val="50"/>
        <cfvo type="max"/>
        <color rgb="FFF8696B"/>
        <color rgb="FFFFEB84"/>
        <color rgb="FF63BE7B"/>
      </colorScale>
    </cfRule>
  </conditionalFormatting>
  <conditionalFormatting sqref="L2:L28 L41:L48 L30:L38 L206:L259 L634:L663 L735:L879 L1039:L1241 L671:L719 L50:L126 L721:L728 L536:L537 L540:L632 L161:L204 L881:L908 L143:L159 L129:L141 L914:L963 L910:L911 L262:L290 L293 L400:L460 L666:L669 L730:L733 L966:L1037 L295:L306 L308:L313 L316:L395 L397:L398 L462:L534 L1243:L2205">
    <cfRule type="colorScale" priority="51682">
      <colorScale>
        <cfvo type="min"/>
        <cfvo type="percentile" val="50"/>
        <cfvo type="max"/>
        <color rgb="FFF8696B"/>
        <color rgb="FFFFEB84"/>
        <color rgb="FF63BE7B"/>
      </colorScale>
    </cfRule>
  </conditionalFormatting>
  <conditionalFormatting sqref="L2:L220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tint="4.9989318521683403E-2"/>
  </sheetPr>
  <dimension ref="B1:I18"/>
  <sheetViews>
    <sheetView zoomScaleNormal="100" workbookViewId="0">
      <selection activeCell="C19" sqref="C19"/>
    </sheetView>
  </sheetViews>
  <sheetFormatPr defaultRowHeight="15.75" x14ac:dyDescent="0.25"/>
  <cols>
    <col min="1" max="1" width="4" customWidth="1"/>
    <col min="2" max="2" width="1.75" customWidth="1"/>
    <col min="3" max="3" width="5.75" customWidth="1"/>
    <col min="4" max="4" width="37.625" customWidth="1"/>
    <col min="5" max="9" width="5.75" customWidth="1"/>
  </cols>
  <sheetData>
    <row r="1" spans="2:9" ht="16.5" thickBot="1" x14ac:dyDescent="0.3"/>
    <row r="2" spans="2:9" x14ac:dyDescent="0.25">
      <c r="B2" s="24"/>
      <c r="C2" s="25" t="s">
        <v>818</v>
      </c>
      <c r="D2" s="26"/>
      <c r="I2" s="12"/>
    </row>
    <row r="3" spans="2:9" x14ac:dyDescent="0.25">
      <c r="B3" s="27"/>
      <c r="C3" s="22">
        <v>1</v>
      </c>
      <c r="D3" s="101"/>
    </row>
    <row r="4" spans="2:9" x14ac:dyDescent="0.25">
      <c r="B4" s="27"/>
      <c r="C4" s="22">
        <v>2</v>
      </c>
      <c r="D4" s="101"/>
    </row>
    <row r="5" spans="2:9" x14ac:dyDescent="0.25">
      <c r="B5" s="27"/>
      <c r="C5" s="22">
        <v>3</v>
      </c>
      <c r="D5" s="101"/>
    </row>
    <row r="6" spans="2:9" x14ac:dyDescent="0.25">
      <c r="B6" s="27"/>
      <c r="C6" s="22">
        <v>4</v>
      </c>
      <c r="D6" s="101" t="s">
        <v>819</v>
      </c>
    </row>
    <row r="7" spans="2:9" x14ac:dyDescent="0.25">
      <c r="B7" s="27"/>
      <c r="C7" s="22">
        <v>5</v>
      </c>
      <c r="D7" s="28" t="s">
        <v>820</v>
      </c>
    </row>
    <row r="8" spans="2:9" x14ac:dyDescent="0.25">
      <c r="B8" s="27"/>
      <c r="C8" s="22">
        <v>6</v>
      </c>
      <c r="D8" s="28" t="s">
        <v>1036</v>
      </c>
    </row>
    <row r="9" spans="2:9" x14ac:dyDescent="0.25">
      <c r="B9" s="27"/>
      <c r="C9" s="22">
        <v>7</v>
      </c>
      <c r="D9" s="28"/>
    </row>
    <row r="10" spans="2:9" x14ac:dyDescent="0.25">
      <c r="B10" s="27"/>
      <c r="C10" s="22">
        <v>8</v>
      </c>
      <c r="D10" s="101" t="s">
        <v>794</v>
      </c>
    </row>
    <row r="11" spans="2:9" x14ac:dyDescent="0.25">
      <c r="B11" s="27"/>
      <c r="C11" s="22">
        <v>9</v>
      </c>
      <c r="D11" s="28"/>
    </row>
    <row r="12" spans="2:9" x14ac:dyDescent="0.25">
      <c r="B12" s="27"/>
      <c r="C12" s="22">
        <v>10</v>
      </c>
      <c r="D12" s="28"/>
    </row>
    <row r="13" spans="2:9" x14ac:dyDescent="0.25">
      <c r="B13" s="27"/>
      <c r="C13" s="22">
        <v>11</v>
      </c>
      <c r="D13" s="28"/>
    </row>
    <row r="14" spans="2:9" x14ac:dyDescent="0.25">
      <c r="B14" s="27"/>
      <c r="C14" s="79">
        <v>12</v>
      </c>
      <c r="D14" s="28"/>
    </row>
    <row r="15" spans="2:9" x14ac:dyDescent="0.25">
      <c r="B15" s="27"/>
      <c r="C15" s="79">
        <v>13</v>
      </c>
      <c r="D15" s="28"/>
    </row>
    <row r="16" spans="2:9" x14ac:dyDescent="0.25">
      <c r="B16" s="27"/>
      <c r="C16" s="22">
        <v>14</v>
      </c>
      <c r="D16" s="28"/>
    </row>
    <row r="17" spans="2:4" ht="16.5" thickBot="1" x14ac:dyDescent="0.3">
      <c r="B17" s="29"/>
      <c r="C17" s="30">
        <v>15</v>
      </c>
      <c r="D17" s="31" t="s">
        <v>1037</v>
      </c>
    </row>
    <row r="18" spans="2:4" x14ac:dyDescent="0.25">
      <c r="C18" s="79">
        <v>16</v>
      </c>
      <c r="D18" t="s">
        <v>1038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249977111117893"/>
  </sheetPr>
  <dimension ref="B1:CF18"/>
  <sheetViews>
    <sheetView zoomScaleNormal="100" workbookViewId="0">
      <selection activeCell="A14" sqref="A14"/>
    </sheetView>
  </sheetViews>
  <sheetFormatPr defaultRowHeight="15.75" x14ac:dyDescent="0.25"/>
  <cols>
    <col min="1" max="1" width="1.5" style="22" customWidth="1"/>
    <col min="2" max="2" width="5.25" style="22" customWidth="1"/>
    <col min="3" max="3" width="7.75" style="22" customWidth="1"/>
    <col min="4" max="4" width="3.25" style="22" customWidth="1"/>
    <col min="5" max="5" width="43.25" style="22" customWidth="1"/>
    <col min="6" max="6" width="5.375" style="51" customWidth="1"/>
    <col min="7" max="83" width="5" style="51" customWidth="1"/>
    <col min="84" max="16384" width="9" style="22"/>
  </cols>
  <sheetData>
    <row r="1" spans="2:84" ht="8.25" customHeight="1" thickBot="1" x14ac:dyDescent="0.3"/>
    <row r="2" spans="2:84" ht="36" customHeight="1" x14ac:dyDescent="0.25">
      <c r="B2" s="228" t="s">
        <v>600</v>
      </c>
      <c r="C2" s="222" t="e">
        <f>SUM(C5:C16)/COUNT(C5:C16)</f>
        <v>#DIV/0!</v>
      </c>
      <c r="D2" s="223"/>
      <c r="E2" s="85" t="s">
        <v>569</v>
      </c>
    </row>
    <row r="3" spans="2:84" ht="16.5" thickBot="1" x14ac:dyDescent="0.3">
      <c r="B3" s="229"/>
      <c r="C3" s="224"/>
      <c r="D3" s="225"/>
      <c r="E3" s="86">
        <f>COUNT(G5:CE16)</f>
        <v>0</v>
      </c>
    </row>
    <row r="4" spans="2:84" ht="16.5" thickBot="1" x14ac:dyDescent="0.3">
      <c r="B4" s="230"/>
      <c r="C4" s="226"/>
      <c r="D4" s="227"/>
      <c r="E4" s="70"/>
      <c r="F4" s="54" t="s">
        <v>602</v>
      </c>
      <c r="G4" s="52" t="s">
        <v>516</v>
      </c>
      <c r="H4" s="53" t="s">
        <v>587</v>
      </c>
      <c r="I4" s="53" t="s">
        <v>588</v>
      </c>
      <c r="J4" s="53" t="s">
        <v>589</v>
      </c>
      <c r="K4" s="53" t="s">
        <v>590</v>
      </c>
      <c r="L4" s="53" t="s">
        <v>591</v>
      </c>
      <c r="M4" s="53" t="s">
        <v>592</v>
      </c>
      <c r="N4" s="53" t="s">
        <v>593</v>
      </c>
      <c r="O4" s="54" t="s">
        <v>594</v>
      </c>
      <c r="P4" s="52" t="s">
        <v>517</v>
      </c>
      <c r="Q4" s="53" t="s">
        <v>580</v>
      </c>
      <c r="R4" s="53" t="s">
        <v>581</v>
      </c>
      <c r="S4" s="53" t="s">
        <v>582</v>
      </c>
      <c r="T4" s="53" t="s">
        <v>583</v>
      </c>
      <c r="U4" s="53" t="s">
        <v>584</v>
      </c>
      <c r="V4" s="53" t="s">
        <v>585</v>
      </c>
      <c r="W4" s="54" t="s">
        <v>586</v>
      </c>
      <c r="X4" s="55" t="s">
        <v>518</v>
      </c>
      <c r="Y4" s="56" t="s">
        <v>570</v>
      </c>
      <c r="Z4" s="56" t="s">
        <v>571</v>
      </c>
      <c r="AA4" s="56" t="s">
        <v>572</v>
      </c>
      <c r="AB4" s="56" t="s">
        <v>573</v>
      </c>
      <c r="AC4" s="56" t="s">
        <v>574</v>
      </c>
      <c r="AD4" s="56" t="s">
        <v>575</v>
      </c>
      <c r="AE4" s="56" t="s">
        <v>576</v>
      </c>
      <c r="AF4" s="56" t="s">
        <v>577</v>
      </c>
      <c r="AG4" s="56" t="s">
        <v>578</v>
      </c>
      <c r="AH4" s="57" t="s">
        <v>579</v>
      </c>
      <c r="AI4" s="55" t="s">
        <v>519</v>
      </c>
      <c r="AJ4" s="56" t="s">
        <v>559</v>
      </c>
      <c r="AK4" s="56" t="s">
        <v>560</v>
      </c>
      <c r="AL4" s="56" t="s">
        <v>561</v>
      </c>
      <c r="AM4" s="56" t="s">
        <v>562</v>
      </c>
      <c r="AN4" s="56" t="s">
        <v>563</v>
      </c>
      <c r="AO4" s="56" t="s">
        <v>564</v>
      </c>
      <c r="AP4" s="56" t="s">
        <v>565</v>
      </c>
      <c r="AQ4" s="56" t="s">
        <v>566</v>
      </c>
      <c r="AR4" s="57" t="s">
        <v>567</v>
      </c>
      <c r="AS4" s="55" t="s">
        <v>525</v>
      </c>
      <c r="AT4" s="56" t="s">
        <v>549</v>
      </c>
      <c r="AU4" s="56" t="s">
        <v>550</v>
      </c>
      <c r="AV4" s="56" t="s">
        <v>551</v>
      </c>
      <c r="AW4" s="56" t="s">
        <v>552</v>
      </c>
      <c r="AX4" s="56" t="s">
        <v>553</v>
      </c>
      <c r="AY4" s="56" t="s">
        <v>554</v>
      </c>
      <c r="AZ4" s="56" t="s">
        <v>555</v>
      </c>
      <c r="BA4" s="56" t="s">
        <v>556</v>
      </c>
      <c r="BB4" s="56" t="s">
        <v>557</v>
      </c>
      <c r="BC4" s="57" t="s">
        <v>558</v>
      </c>
      <c r="BD4" s="56" t="s">
        <v>520</v>
      </c>
      <c r="BE4" s="56" t="s">
        <v>541</v>
      </c>
      <c r="BF4" s="56" t="s">
        <v>542</v>
      </c>
      <c r="BG4" s="56" t="s">
        <v>543</v>
      </c>
      <c r="BH4" s="56" t="s">
        <v>544</v>
      </c>
      <c r="BI4" s="56" t="s">
        <v>545</v>
      </c>
      <c r="BJ4" s="56" t="s">
        <v>546</v>
      </c>
      <c r="BK4" s="56" t="s">
        <v>547</v>
      </c>
      <c r="BL4" s="57" t="s">
        <v>548</v>
      </c>
      <c r="BM4" s="55" t="s">
        <v>521</v>
      </c>
      <c r="BN4" s="57" t="s">
        <v>540</v>
      </c>
      <c r="BO4" s="55" t="s">
        <v>522</v>
      </c>
      <c r="BP4" s="56" t="s">
        <v>535</v>
      </c>
      <c r="BQ4" s="56" t="s">
        <v>536</v>
      </c>
      <c r="BR4" s="56" t="s">
        <v>537</v>
      </c>
      <c r="BS4" s="56" t="s">
        <v>538</v>
      </c>
      <c r="BT4" s="57" t="s">
        <v>539</v>
      </c>
      <c r="BU4" s="55" t="s">
        <v>523</v>
      </c>
      <c r="BV4" s="56" t="s">
        <v>532</v>
      </c>
      <c r="BW4" s="56" t="s">
        <v>533</v>
      </c>
      <c r="BX4" s="57" t="s">
        <v>534</v>
      </c>
      <c r="BY4" s="55" t="s">
        <v>524</v>
      </c>
      <c r="BZ4" s="56" t="s">
        <v>526</v>
      </c>
      <c r="CA4" s="56" t="s">
        <v>527</v>
      </c>
      <c r="CB4" s="56" t="s">
        <v>528</v>
      </c>
      <c r="CC4" s="56" t="s">
        <v>529</v>
      </c>
      <c r="CD4" s="56" t="s">
        <v>530</v>
      </c>
      <c r="CE4" s="57" t="s">
        <v>531</v>
      </c>
    </row>
    <row r="5" spans="2:84" ht="34.5" customHeight="1" thickBot="1" x14ac:dyDescent="0.3">
      <c r="B5" s="219" t="s">
        <v>821</v>
      </c>
      <c r="C5" s="87" t="e">
        <f>SUM(G5:CE5)/COUNT(G5:CE5)</f>
        <v>#DIV/0!</v>
      </c>
      <c r="D5" s="88">
        <v>1</v>
      </c>
      <c r="E5" s="89" t="s">
        <v>126</v>
      </c>
      <c r="F5" s="83">
        <f t="shared" ref="F5:F15" si="0">COUNT(G5:CE5)</f>
        <v>0</v>
      </c>
      <c r="G5" s="58" t="str">
        <f>IF(SUMIFS(Descriptions!$L:$L,Descriptions!J:J,"1.1",Descriptions!B:B,"pci")=0,"",SUMIFS(Descriptions!$L:$L,Descriptions!J:J,"1.1",Descriptions!B:B,"pci")/COUNTIFS(Descriptions!J:J,"1.1",Descriptions!B:B,"pci",Descriptions!$L:$L,"&gt;0")/100)</f>
        <v/>
      </c>
      <c r="H5" s="59" t="str">
        <f>IF(SUMIFS(Descriptions!$L:$L,Descriptions!J:J,"1.1.1",Descriptions!B:B,"pci")=0,"",SUMIFS(Descriptions!$L:$L,Descriptions!J:J,"1.1.1",Descriptions!B:B,"pci")/COUNTIFS(Descriptions!J:J,"1.1.1",Descriptions!B:B,"pci",Descriptions!$L:$L,"&gt;0")/100)</f>
        <v/>
      </c>
      <c r="I5" s="59" t="str">
        <f>IF(SUMIFS(Descriptions!$L:$L,Descriptions!J:J,"1.1.2",Descriptions!B:B,"pci")=0,"",SUMIFS(Descriptions!$L:$L,Descriptions!J:J,"1.1.2",Descriptions!B:B,"pci")/COUNTIFS(Descriptions!J:J,"1.1.2",Descriptions!B:B,"pci",Descriptions!$L:$L,"&gt;0")/100)</f>
        <v/>
      </c>
      <c r="J5" s="59" t="str">
        <f>IF(SUMIFS(Descriptions!$L:$L,Descriptions!J:J,"1.1.3",Descriptions!B:B,"pci")=0,"",SUMIFS(Descriptions!$L:$L,Descriptions!J:J,"1.1.3",Descriptions!B:B,"pci")/COUNTIFS(Descriptions!J:J,"1.1.3",Descriptions!B:B,"pci",Descriptions!$L:$L,"&gt;0")/100)</f>
        <v/>
      </c>
      <c r="K5" s="59" t="str">
        <f>IF(SUMIFS(Descriptions!$L:$L,Descriptions!J:J,"1.1.4",Descriptions!B:B,"pci")=0,"",SUMIFS(Descriptions!$L:$L,Descriptions!J:J,"1.1.4",Descriptions!B:B,"pci")/COUNTIFS(Descriptions!J:J,"1.1.4",Descriptions!B:B,"pci",Descriptions!$L:$L,"&gt;0")/100)</f>
        <v/>
      </c>
      <c r="L5" s="59" t="str">
        <f>IF(SUMIFS(Descriptions!$L:$L,Descriptions!J:J,"1.1.5",Descriptions!B:B,"pci")=0,"",SUMIFS(Descriptions!$L:$L,Descriptions!J:J,"1.1.5",Descriptions!B:B,"pci")/COUNTIFS(Descriptions!J:J,"1.1.5",Descriptions!B:B,"pci",Descriptions!$L:$L,"&gt;0")/100)</f>
        <v/>
      </c>
      <c r="M5" s="59" t="str">
        <f>IF(SUMIFS(Descriptions!$L:$L,Descriptions!J:J,"1.1.6",Descriptions!B:B,"pci")=0,"",SUMIFS(Descriptions!$L:$L,Descriptions!J:J,"1.1.6",Descriptions!B:B,"pci")/COUNTIFS(Descriptions!J:J,"1.1.6",Descriptions!B:B,"pci",Descriptions!$L:$L,"&gt;0")/100)</f>
        <v/>
      </c>
      <c r="N5" s="59" t="str">
        <f>IF(SUMIFS(Descriptions!$L:$L,Descriptions!J:J,"1.1.7",Descriptions!B:B,"pci")=0,"",SUMIFS(Descriptions!$L:$L,Descriptions!J:J,"1.1.7",Descriptions!B:B,"pci")/COUNTIFS(Descriptions!J:J,"1.1.7",Descriptions!B:B,"pci",Descriptions!$L:$L,"&gt;0")/100)</f>
        <v/>
      </c>
      <c r="O5" s="60"/>
      <c r="P5" s="58" t="str">
        <f>IF(SUMIFS(Descriptions!$L:$L,Descriptions!J:J,"1.2",Descriptions!B:B,"pci")=0,"",SUMIFS(Descriptions!$L:$L,Descriptions!J:J,"1.2",Descriptions!B:B,"pci")/COUNTIFS(Descriptions!J:J,"1.2",Descriptions!B:B,"pci",Descriptions!$L:$L,"&gt;0")/100)</f>
        <v/>
      </c>
      <c r="Q5" s="59" t="str">
        <f>IF(SUMIFS(Descriptions!$L:$L,Descriptions!J:J,"1.2.1",Descriptions!B:B,"pci")=0,"",SUMIFS(Descriptions!$L:$L,Descriptions!J:J,"1.2.1",Descriptions!B:B,"pci")/COUNTIFS(Descriptions!J:J,"1.2.1",Descriptions!B:B,"pci",Descriptions!$L:$L,"&gt;0")/100)</f>
        <v/>
      </c>
      <c r="R5" s="59" t="str">
        <f>IF(SUMIFS(Descriptions!$L:$L,Descriptions!J:J,"1.2.2",Descriptions!B:B,"pci")=0,"",SUMIFS(Descriptions!$L:$L,Descriptions!J:J,"1.2.2",Descriptions!B:B,"pci")/COUNTIFS(Descriptions!J:J,"1.2.2",Descriptions!B:B,"pci",Descriptions!$L:$L,"&gt;0")/100)</f>
        <v/>
      </c>
      <c r="S5" s="59" t="str">
        <f>IF(SUMIFS(Descriptions!$L:$L,Descriptions!J:J,"1.2.3",Descriptions!B:B,"pci")=0,"",SUMIFS(Descriptions!$L:$L,Descriptions!J:J,"1.2.3",Descriptions!B:B,"pci")/COUNTIFS(Descriptions!J:J,"1.2.3",Descriptions!B:B,"pci",Descriptions!$L:$L,"&gt;0")/100)</f>
        <v/>
      </c>
      <c r="T5" s="59"/>
      <c r="U5" s="59"/>
      <c r="V5" s="59"/>
      <c r="W5" s="60"/>
      <c r="X5" s="58" t="str">
        <f>IF(SUMIFS(Descriptions!$L:$L,Descriptions!J:J,"1.3",Descriptions!B:B,"pci")=0,"",SUMIFS(Descriptions!$L:$L,Descriptions!J:J,"1.3",Descriptions!B:B,"pci")/COUNTIFS(Descriptions!J:J,"1.3",Descriptions!B:B,"pci",Descriptions!$L:$L,"&gt;0")/100)</f>
        <v/>
      </c>
      <c r="Y5" s="59" t="str">
        <f>IF(SUMIFS(Descriptions!$L:$L,Descriptions!J:J,"1.3.1",Descriptions!B:B,"pci")=0,"",SUMIFS(Descriptions!$L:$L,Descriptions!J:J,"1.3.1",Descriptions!B:B,"pci")/COUNTIFS(Descriptions!J:J,"1.3.1",Descriptions!B:B,"pci",Descriptions!$L:$L,"&gt;0")/100)</f>
        <v/>
      </c>
      <c r="Z5" s="59" t="str">
        <f>IF(SUMIFS(Descriptions!$L:$L,Descriptions!J:J,"1.3.2",Descriptions!B:B,"pci")=0,"",SUMIFS(Descriptions!$L:$L,Descriptions!J:J,"1.3.2",Descriptions!B:B,"pci")/COUNTIFS(Descriptions!J:J,"1.3.2",Descriptions!B:B,"pci",Descriptions!$L:$L,"&gt;0")/100)</f>
        <v/>
      </c>
      <c r="AA5" s="59" t="str">
        <f>IF(SUMIFS(Descriptions!$L:$L,Descriptions!J:J,"1.3.3",Descriptions!B:B,"pci")=0,"",SUMIFS(Descriptions!$L:$L,Descriptions!J:J,"1.3.3",Descriptions!B:B,"pci")/COUNTIFS(Descriptions!J:J,"1.3.3",Descriptions!B:B,"pci",Descriptions!$L:$L,"&gt;0")/100)</f>
        <v/>
      </c>
      <c r="AB5" s="59" t="str">
        <f>IF(SUMIFS(Descriptions!$L:$L,Descriptions!J:J,"1.3.4",Descriptions!B:B,"pci")=0,"",SUMIFS(Descriptions!$L:$L,Descriptions!J:J,"1.3.4",Descriptions!B:B,"pci")/COUNTIFS(Descriptions!J:J,"1.3.4",Descriptions!B:B,"pci",Descriptions!$L:$L,"&gt;0")/100)</f>
        <v/>
      </c>
      <c r="AC5" s="59" t="str">
        <f>IF(SUMIFS(Descriptions!$L:$L,Descriptions!J:J,"1.3.5",Descriptions!B:B,"pci")=0,"",SUMIFS(Descriptions!$L:$L,Descriptions!J:J,"1.3.5",Descriptions!B:B,"pci")/COUNTIFS(Descriptions!J:J,"1.3.5",Descriptions!B:B,"pci",Descriptions!$L:$L,"&gt;0")/100)</f>
        <v/>
      </c>
      <c r="AD5" s="59" t="str">
        <f>IF(SUMIFS(Descriptions!$L:$L,Descriptions!J:J,"1.3.6",Descriptions!B:B,"pci")=0,"",SUMIFS(Descriptions!$L:$L,Descriptions!J:J,"1.3.6",Descriptions!B:B,"pci")/COUNTIFS(Descriptions!J:J,"1.3.6",Descriptions!B:B,"pci",Descriptions!$L:$L,"&gt;0")/100)</f>
        <v/>
      </c>
      <c r="AE5" s="59" t="str">
        <f>IF(SUMIFS(Descriptions!$L:$L,Descriptions!J:J,"1.3.7",Descriptions!B:B,"pci")=0,"",SUMIFS(Descriptions!$L:$L,Descriptions!J:J,"1.3.7",Descriptions!B:B,"pci")/COUNTIFS(Descriptions!J:J,"1.3.7",Descriptions!B:B,"pci",Descriptions!$L:$L,"&gt;0")/100)</f>
        <v/>
      </c>
      <c r="AF5" s="59" t="str">
        <f>IF(SUMIFS(Descriptions!$L:$L,Descriptions!J:J,"1.3.8",Descriptions!B:B,"pci")=0,"",SUMIFS(Descriptions!$L:$L,Descriptions!J:J,"1.3.8",Descriptions!B:B,"pci")/COUNTIFS(Descriptions!J:J,"1.3.8",Descriptions!B:B,"pci",Descriptions!$L:$L,"&gt;0")/100)</f>
        <v/>
      </c>
      <c r="AG5" s="59"/>
      <c r="AH5" s="60"/>
      <c r="AI5" s="58" t="str">
        <f>IF(SUMIFS(Descriptions!$L:$L,Descriptions!J:J,"1.4",Descriptions!B:B,"pci")=0,"",SUMIFS(Descriptions!$L:$L,Descriptions!J:J,"1.4",Descriptions!B:B,"pci")/COUNTIFS(Descriptions!J:J,"1.4",Descriptions!B:B,"pci",Descriptions!$L:$L,"&gt;0")/100)</f>
        <v/>
      </c>
      <c r="AJ5" s="59"/>
      <c r="AK5" s="59"/>
      <c r="AL5" s="59"/>
      <c r="AM5" s="59"/>
      <c r="AN5" s="59"/>
      <c r="AO5" s="59"/>
      <c r="AP5" s="59"/>
      <c r="AQ5" s="59"/>
      <c r="AR5" s="60"/>
      <c r="AS5" s="58" t="str">
        <f>IF(SUMIFS(Descriptions!$L:$L,Descriptions!J:J,"1.5",Descriptions!B:B,"pci")=0,"",SUMIFS(Descriptions!$L:$L,Descriptions!J:J,"1.5",Descriptions!B:B,"pci")/COUNTIFS(Descriptions!J:J,"1.5",Descriptions!B:B,"pci",Descriptions!$L:$L,"&gt;0")/100)</f>
        <v/>
      </c>
      <c r="AT5" s="59"/>
      <c r="AU5" s="59"/>
      <c r="AV5" s="59"/>
      <c r="AW5" s="59"/>
      <c r="AX5" s="59"/>
      <c r="AY5" s="59"/>
      <c r="AZ5" s="59"/>
      <c r="BA5" s="59"/>
      <c r="BB5" s="59"/>
      <c r="BC5" s="60"/>
      <c r="BD5" s="59" t="str">
        <f>IF(SUMIFS(Descriptions!$L:$L,Descriptions!J:J,"1.6",Descriptions!B:B,"pci")=0,"",SUMIFS(Descriptions!$L:$L,Descriptions!J:J,"1.6",Descriptions!B:B,"pci")/COUNTIFS(Descriptions!J:J,"1.6",Descriptions!B:B,"pci",Descriptions!$L:$L,"&gt;0")/100)</f>
        <v/>
      </c>
      <c r="BE5" s="59"/>
      <c r="BF5" s="59"/>
      <c r="BG5" s="59"/>
      <c r="BH5" s="59"/>
      <c r="BI5" s="59"/>
      <c r="BJ5" s="59"/>
      <c r="BK5" s="59"/>
      <c r="BL5" s="60"/>
      <c r="BM5" s="58"/>
      <c r="BN5" s="60"/>
      <c r="BO5" s="58"/>
      <c r="BP5" s="59"/>
      <c r="BQ5" s="59"/>
      <c r="BR5" s="59"/>
      <c r="BS5" s="59"/>
      <c r="BT5" s="60"/>
      <c r="BU5" s="58"/>
      <c r="BV5" s="59"/>
      <c r="BW5" s="59"/>
      <c r="BX5" s="60"/>
      <c r="BY5" s="58"/>
      <c r="BZ5" s="59"/>
      <c r="CA5" s="59"/>
      <c r="CB5" s="61"/>
      <c r="CE5" s="62"/>
    </row>
    <row r="6" spans="2:84" ht="34.5" customHeight="1" thickBot="1" x14ac:dyDescent="0.3">
      <c r="B6" s="220"/>
      <c r="C6" s="90" t="e">
        <f t="shared" ref="C6:C14" si="1">SUM(G6:CE6)/COUNT(G6:CE6)</f>
        <v>#DIV/0!</v>
      </c>
      <c r="D6" s="78">
        <v>2</v>
      </c>
      <c r="E6" s="91" t="s">
        <v>127</v>
      </c>
      <c r="F6" s="83">
        <f t="shared" si="0"/>
        <v>0</v>
      </c>
      <c r="G6" s="58" t="str">
        <f>IF(SUMIFS(Descriptions!$L:$L,Descriptions!J:J,"2.1",Descriptions!B:B,"pci")=0,"",SUMIFS(Descriptions!$L:$L,Descriptions!J:J,"2.1",Descriptions!B:B,"pci")/COUNTIFS(Descriptions!J:J,"2.1",Descriptions!B:B,"pci",Descriptions!$L:$L,"&gt;0")/100)</f>
        <v/>
      </c>
      <c r="H6" s="59" t="str">
        <f>IF(SUMIFS(Descriptions!$L:$L,Descriptions!J:J,"2.1.1",Descriptions!B:B,"pci")=0,"",SUMIFS(Descriptions!$L:$L,Descriptions!J:J,"2.1.1",Descriptions!B:B,"pci")/COUNTIFS(Descriptions!J:J,"2.1.1",Descriptions!B:B,"pci",Descriptions!$L:$L,"&gt;0")/100)</f>
        <v/>
      </c>
      <c r="I6" s="59"/>
      <c r="J6" s="59"/>
      <c r="K6" s="59"/>
      <c r="L6" s="59"/>
      <c r="M6" s="59"/>
      <c r="N6" s="59"/>
      <c r="O6" s="60"/>
      <c r="P6" s="58" t="str">
        <f>IF(SUMIFS(Descriptions!$L:$L,Descriptions!J:J,"2.2",Descriptions!B:B,"pci")=0,"",SUMIFS(Descriptions!$L:$L,Descriptions!J:J,"2.2",Descriptions!B:B,"pci")/COUNTIFS(Descriptions!J:J,"2.2",Descriptions!B:B,"pci",Descriptions!$L:$L,"&gt;0")/100)</f>
        <v/>
      </c>
      <c r="Q6" s="59" t="str">
        <f>IF(SUMIFS(Descriptions!$L:$L,Descriptions!J:J,"2.2.1",Descriptions!B:B,"pci")=0,"",SUMIFS(Descriptions!$L:$L,Descriptions!J:J,"2.2.1",Descriptions!B:B,"pci")/COUNTIFS(Descriptions!J:J,"2.2.1",Descriptions!B:B,"pci",Descriptions!$L:$L,"&gt;0")/100)</f>
        <v/>
      </c>
      <c r="R6" s="59" t="str">
        <f>IF(SUMIFS(Descriptions!$L:$L,Descriptions!J:J,"2.2.2",Descriptions!B:B,"pci")=0,"",SUMIFS(Descriptions!$L:$L,Descriptions!J:J,"2.2.2",Descriptions!B:B,"pci")/COUNTIFS(Descriptions!J:J,"2.2.2",Descriptions!B:B,"pci",Descriptions!$L:$L,"&gt;0")/100)</f>
        <v/>
      </c>
      <c r="S6" s="59" t="str">
        <f>IF(SUMIFS(Descriptions!$L:$L,Descriptions!J:J,"2.2.3",Descriptions!B:B,"pci")=0,"",SUMIFS(Descriptions!$L:$L,Descriptions!J:J,"2.2.3",Descriptions!B:B,"pci")/COUNTIFS(Descriptions!J:J,"2.2.3",Descriptions!B:B,"pci",Descriptions!$L:$L,"&gt;0")/100)</f>
        <v/>
      </c>
      <c r="T6" s="59" t="str">
        <f>IF(SUMIFS(Descriptions!$L:$L,Descriptions!J:J,"2.2.4",Descriptions!B:B,"pci")=0,"",SUMIFS(Descriptions!$L:$L,Descriptions!J:J,"2.2.4",Descriptions!B:B,"pci")/COUNTIFS(Descriptions!J:J,"2.2.4",Descriptions!B:B,"pci",Descriptions!$L:$L,"&gt;0")/100)</f>
        <v/>
      </c>
      <c r="U6" s="59" t="str">
        <f>IF(SUMIFS(Descriptions!$L:$L,Descriptions!J:J,"2.2.5",Descriptions!B:B,"pci")=0,"",SUMIFS(Descriptions!$L:$L,Descriptions!J:J,"2.2.5",Descriptions!B:B,"pci")/COUNTIFS(Descriptions!J:J,"2.2.5",Descriptions!B:B,"pci",Descriptions!$L:$L,"&gt;0")/100)</f>
        <v/>
      </c>
      <c r="V6" s="59"/>
      <c r="W6" s="60"/>
      <c r="X6" s="58" t="str">
        <f>IF(SUMIFS(Descriptions!$L:$L,Descriptions!J:J,"2.3",Descriptions!B:B,"pci")=0,"",SUMIFS(Descriptions!$L:$L,Descriptions!J:J,"2.3",Descriptions!B:B,"pci")/COUNTIFS(Descriptions!J:J,"2.3",Descriptions!B:B,"pci",Descriptions!$L:$L,"&gt;0")/100)</f>
        <v/>
      </c>
      <c r="Y6" s="59"/>
      <c r="Z6" s="59"/>
      <c r="AA6" s="59"/>
      <c r="AB6" s="59"/>
      <c r="AC6" s="59"/>
      <c r="AD6" s="59"/>
      <c r="AE6" s="59"/>
      <c r="AF6" s="59"/>
      <c r="AG6" s="59"/>
      <c r="AH6" s="60"/>
      <c r="AI6" s="58" t="str">
        <f>IF(SUMIFS(Descriptions!$L:$L,Descriptions!J:J,"2.4",Descriptions!B:B,"pci")=0,"",SUMIFS(Descriptions!$L:$L,Descriptions!J:J,"2.4",Descriptions!B:B,"pci")/COUNTIFS(Descriptions!J:J,"2.4",Descriptions!B:B,"pci",Descriptions!$L:$L,"&gt;0")/100)</f>
        <v/>
      </c>
      <c r="AJ6" s="59"/>
      <c r="AK6" s="59"/>
      <c r="AL6" s="59"/>
      <c r="AM6" s="59"/>
      <c r="AN6" s="59"/>
      <c r="AO6" s="59"/>
      <c r="AP6" s="59"/>
      <c r="AQ6" s="59"/>
      <c r="AR6" s="60"/>
      <c r="AS6" s="58" t="str">
        <f>IF(SUMIFS(Descriptions!$L:$L,Descriptions!J:J,"2.5",Descriptions!B:B,"pci")=0,"",SUMIFS(Descriptions!$L:$L,Descriptions!J:J,"2.5",Descriptions!B:B,"pci")/COUNTIFS(Descriptions!J:J,"2.5",Descriptions!B:B,"pci",Descriptions!$L:$L,"&gt;0")/100)</f>
        <v/>
      </c>
      <c r="AT6" s="59"/>
      <c r="AU6" s="59"/>
      <c r="AV6" s="59"/>
      <c r="AW6" s="59"/>
      <c r="AX6" s="59"/>
      <c r="AY6" s="59"/>
      <c r="AZ6" s="59"/>
      <c r="BA6" s="59"/>
      <c r="BB6" s="59"/>
      <c r="BC6" s="60"/>
      <c r="BD6" s="59" t="str">
        <f>IF(SUMIFS(Descriptions!$L:$L,Descriptions!J:J,"2.6",Descriptions!B:B,"pci")=0,"",SUMIFS(Descriptions!$L:$L,Descriptions!J:J,"2.6",Descriptions!B:B,"pci")/COUNTIFS(Descriptions!J:J,"2.6",Descriptions!B:B,"pci",Descriptions!$L:$L,"&gt;0")/100)</f>
        <v/>
      </c>
      <c r="BE6" s="59"/>
      <c r="BF6" s="59"/>
      <c r="BG6" s="59"/>
      <c r="BH6" s="59"/>
      <c r="BI6" s="59"/>
      <c r="BJ6" s="59"/>
      <c r="BK6" s="59"/>
      <c r="BL6" s="60"/>
      <c r="BM6" s="58" t="str">
        <f>IF(SUMIFS(Descriptions!$L:$L,Descriptions!J:J,"2.7",Descriptions!B:B,"pci")=0,"",SUMIFS(Descriptions!$L:$L,Descriptions!J:J,"2.7",Descriptions!B:B,"pci")/COUNTIFS(Descriptions!J:J,"2.7",Descriptions!B:B,"pci",Descriptions!$L:$L,"&gt;0")/100)</f>
        <v/>
      </c>
      <c r="BN6" s="60"/>
      <c r="BO6" s="58"/>
      <c r="BP6" s="59"/>
      <c r="BQ6" s="59"/>
      <c r="BR6" s="59"/>
      <c r="BS6" s="59"/>
      <c r="BT6" s="60"/>
      <c r="BU6" s="58"/>
      <c r="BV6" s="59"/>
      <c r="BW6" s="59"/>
      <c r="BX6" s="60"/>
      <c r="BY6" s="58"/>
      <c r="BZ6" s="59"/>
      <c r="CA6" s="59"/>
      <c r="CB6" s="61"/>
      <c r="CE6" s="62"/>
    </row>
    <row r="7" spans="2:84" ht="34.5" customHeight="1" thickBot="1" x14ac:dyDescent="0.3">
      <c r="B7" s="220"/>
      <c r="C7" s="90" t="e">
        <f t="shared" si="1"/>
        <v>#DIV/0!</v>
      </c>
      <c r="D7" s="78">
        <v>3</v>
      </c>
      <c r="E7" s="91" t="s">
        <v>128</v>
      </c>
      <c r="F7" s="83">
        <f t="shared" si="0"/>
        <v>0</v>
      </c>
      <c r="G7" s="58" t="str">
        <f>IF(SUMIFS(Descriptions!$L:$L,Descriptions!J:J,"3.1",Descriptions!B:B,"pci")=0,"",SUMIFS(Descriptions!$L:$L,Descriptions!J:J,"3.1",Descriptions!B:B,"pci")/COUNTIFS(Descriptions!J:J,"3.1",Descriptions!B:B,"pci",Descriptions!$L:$L,"&gt;0")/100)</f>
        <v/>
      </c>
      <c r="H7" s="59"/>
      <c r="I7" s="59"/>
      <c r="J7" s="59"/>
      <c r="K7" s="59"/>
      <c r="L7" s="59"/>
      <c r="M7" s="59"/>
      <c r="N7" s="59"/>
      <c r="O7" s="60"/>
      <c r="P7" s="58" t="str">
        <f>IF(SUMIFS(Descriptions!$L:$L,Descriptions!J:J,"3.2",Descriptions!B:B,"pci")=0,"",SUMIFS(Descriptions!$L:$L,Descriptions!J:J,"3.2",Descriptions!B:B,"pci")/COUNTIFS(Descriptions!J:J,"3.2",Descriptions!B:B,"pci",Descriptions!$L:$L,"&gt;0")/100)</f>
        <v/>
      </c>
      <c r="Q7" s="59" t="str">
        <f>IF(SUMIFS(Descriptions!$L:$L,Descriptions!J:J,"3.2.1",Descriptions!B:B,"pci")=0,"",SUMIFS(Descriptions!$L:$L,Descriptions!J:J,"3.2.1",Descriptions!B:B,"pci")/COUNTIFS(Descriptions!J:J,"3.2.1",Descriptions!B:B,"pci",Descriptions!$L:$L,"&gt;0")/100)</f>
        <v/>
      </c>
      <c r="R7" s="59" t="str">
        <f>IF(SUMIFS(Descriptions!$L:$L,Descriptions!J:J,"3.2.2",Descriptions!B:B,"pci")=0,"",SUMIFS(Descriptions!$L:$L,Descriptions!J:J,"3.2.2",Descriptions!B:B,"pci")/COUNTIFS(Descriptions!J:J,"3.2.2",Descriptions!B:B,"pci",Descriptions!$L:$L,"&gt;0")/100)</f>
        <v/>
      </c>
      <c r="S7" s="59" t="str">
        <f>IF(SUMIFS(Descriptions!$L:$L,Descriptions!J:J,"3.2.3",Descriptions!B:B,"pci")=0,"",SUMIFS(Descriptions!$L:$L,Descriptions!J:J,"3.2.3",Descriptions!B:B,"pci")/COUNTIFS(Descriptions!J:J,"3.2.3",Descriptions!B:B,"pci",Descriptions!$L:$L,"&gt;0")/100)</f>
        <v/>
      </c>
      <c r="T7" s="59"/>
      <c r="U7" s="59"/>
      <c r="V7" s="59"/>
      <c r="W7" s="60"/>
      <c r="X7" s="58" t="str">
        <f>IF(SUMIFS(Descriptions!$L:$L,Descriptions!J:J,"3.3",Descriptions!B:B,"pci")=0,"",SUMIFS(Descriptions!$L:$L,Descriptions!J:J,"3.3",Descriptions!B:B,"pci")/COUNTIFS(Descriptions!J:J,"3.3",Descriptions!B:B,"pci",Descriptions!$L:$L,"&gt;0")/100)</f>
        <v/>
      </c>
      <c r="Y7" s="59"/>
      <c r="Z7" s="59"/>
      <c r="AA7" s="59"/>
      <c r="AB7" s="59"/>
      <c r="AC7" s="59"/>
      <c r="AD7" s="59"/>
      <c r="AE7" s="59"/>
      <c r="AF7" s="59"/>
      <c r="AG7" s="59"/>
      <c r="AH7" s="60"/>
      <c r="AI7" s="58" t="str">
        <f>IF(SUMIFS(Descriptions!$L:$L,Descriptions!J:J,"3.4",Descriptions!B:B,"pci")=0,"",SUMIFS(Descriptions!$L:$L,Descriptions!J:J,"3.4",Descriptions!B:B,"pci")/COUNTIFS(Descriptions!J:J,"3.4",Descriptions!B:B,"pci",Descriptions!$L:$L,"&gt;0")/100)</f>
        <v/>
      </c>
      <c r="AJ7" s="59" t="str">
        <f>IF(SUMIFS(Descriptions!$L:$L,Descriptions!J:J,"3.4.1",Descriptions!B:B,"pci")=0,"",SUMIFS(Descriptions!$L:$L,Descriptions!J:J,"3.4.1",Descriptions!B:B,"pci")/COUNTIFS(Descriptions!J:J,"3.4.1",Descriptions!B:B,"pci",Descriptions!$L:$L,"&gt;0")/100)</f>
        <v/>
      </c>
      <c r="AK7" s="59"/>
      <c r="AL7" s="59"/>
      <c r="AM7" s="59"/>
      <c r="AN7" s="59"/>
      <c r="AO7" s="59"/>
      <c r="AP7" s="59"/>
      <c r="AQ7" s="59"/>
      <c r="AR7" s="60"/>
      <c r="AS7" s="58" t="str">
        <f>IF(SUMIFS(Descriptions!$L:$L,Descriptions!J:J,"3.5",Descriptions!B:B,"pci")=0,"",SUMIFS(Descriptions!$L:$L,Descriptions!J:J,"3.5",Descriptions!B:B,"pci")/COUNTIFS(Descriptions!J:J,"3.5",Descriptions!B:B,"pci",Descriptions!$L:$L,"&gt;0")/100)</f>
        <v/>
      </c>
      <c r="AT7" s="59" t="str">
        <f>IF(SUMIFS(Descriptions!$L:$L,Descriptions!J:J,"3.5.1",Descriptions!B:B,"pci")=0,"",SUMIFS(Descriptions!$L:$L,Descriptions!J:J,"3.5.1",Descriptions!B:B,"pci")/COUNTIFS(Descriptions!J:J,"3.5.1",Descriptions!B:B,"pci",Descriptions!$L:$L,"&gt;0")/100)</f>
        <v/>
      </c>
      <c r="AU7" s="59" t="str">
        <f>IF(SUMIFS(Descriptions!$L:$L,Descriptions!J:J,"3.5.2",Descriptions!B:B,"pci")=0,"",SUMIFS(Descriptions!$L:$L,Descriptions!J:J,"3.5.2",Descriptions!B:B,"pci")/COUNTIFS(Descriptions!J:J,"3.5.2",Descriptions!B:B,"pci",Descriptions!$L:$L,"&gt;0")/100)</f>
        <v/>
      </c>
      <c r="AV7" s="59" t="str">
        <f>IF(SUMIFS(Descriptions!$L:$L,Descriptions!J:J,"3.5.3",Descriptions!B:B,"pci")=0,"",SUMIFS(Descriptions!$L:$L,Descriptions!J:J,"3.5.3",Descriptions!B:B,"pci")/COUNTIFS(Descriptions!J:J,"3.5.3",Descriptions!B:B,"pci",Descriptions!$L:$L,"&gt;0")/100)</f>
        <v/>
      </c>
      <c r="AW7" s="59"/>
      <c r="AX7" s="59"/>
      <c r="AY7" s="59"/>
      <c r="AZ7" s="59"/>
      <c r="BA7" s="59"/>
      <c r="BB7" s="59"/>
      <c r="BC7" s="60"/>
      <c r="BD7" s="59" t="str">
        <f>IF(SUMIFS(Descriptions!$L:$L,Descriptions!J:J,"3.6",Descriptions!B:B,"pci")=0,"",SUMIFS(Descriptions!$L:$L,Descriptions!J:J,"3.6",Descriptions!B:B,"pci")/COUNTIFS(Descriptions!J:J,"3.6",Descriptions!B:B,"pci",Descriptions!$L:$L,"&gt;0")/100)</f>
        <v/>
      </c>
      <c r="BE7" s="59" t="str">
        <f>IF(SUMIFS(Descriptions!$L:$L,Descriptions!J:J,"3.6.1",Descriptions!B:B,"pci")=0,"",SUMIFS(Descriptions!$L:$L,Descriptions!J:J,"3.6.1",Descriptions!B:B,"pci")/COUNTIFS(Descriptions!J:J,"3.6.1",Descriptions!B:B,"pci",Descriptions!$L:$L,"&gt;0")/100)</f>
        <v/>
      </c>
      <c r="BF7" s="59" t="str">
        <f>IF(SUMIFS(Descriptions!$L:$L,Descriptions!J:J,"3.6.2",Descriptions!B:B,"pci")=0,"",SUMIFS(Descriptions!$L:$L,Descriptions!J:J,"3.6.2",Descriptions!B:B,"pci")/COUNTIFS(Descriptions!J:J,"3.6.2",Descriptions!B:B,"pci",Descriptions!$L:$L,"&gt;0")/100)</f>
        <v/>
      </c>
      <c r="BG7" s="59" t="str">
        <f>IF(SUMIFS(Descriptions!$L:$L,Descriptions!J:J,"3.6.3",Descriptions!B:B,"pci")=0,"",SUMIFS(Descriptions!$L:$L,Descriptions!J:J,"3.6.3",Descriptions!B:B,"pci")/COUNTIFS(Descriptions!J:J,"3.6.3",Descriptions!B:B,"pci",Descriptions!$L:$L,"&gt;0")/100)</f>
        <v/>
      </c>
      <c r="BH7" s="59" t="str">
        <f>IF(SUMIFS(Descriptions!$L:$L,Descriptions!J:J,"3.6.4",Descriptions!B:B,"pci")=0,"",SUMIFS(Descriptions!$L:$L,Descriptions!J:J,"3.6.4",Descriptions!B:B,"pci")/COUNTIFS(Descriptions!J:J,"3.6.4",Descriptions!B:B,"pci",Descriptions!$L:$L,"&gt;0")/100)</f>
        <v/>
      </c>
      <c r="BI7" s="59" t="str">
        <f>IF(SUMIFS(Descriptions!$L:$L,Descriptions!J:J,"3.6.5",Descriptions!B:B,"pci")=0,"",SUMIFS(Descriptions!$L:$L,Descriptions!J:J,"3.6.5",Descriptions!B:B,"pci")/COUNTIFS(Descriptions!J:J,"3.6.5",Descriptions!B:B,"pci",Descriptions!$L:$L,"&gt;0")/100)</f>
        <v/>
      </c>
      <c r="BJ7" s="59" t="str">
        <f>IF(SUMIFS(Descriptions!$L:$L,Descriptions!J:J,"3.6.6",Descriptions!B:B,"pci")=0,"",SUMIFS(Descriptions!$L:$L,Descriptions!J:J,"3.6.6",Descriptions!B:B,"pci")/COUNTIFS(Descriptions!J:J,"3.6.6",Descriptions!B:B,"pci",Descriptions!$L:$L,"&gt;0")/100)</f>
        <v/>
      </c>
      <c r="BK7" s="59" t="str">
        <f>IF(SUMIFS(Descriptions!$L:$L,Descriptions!J:J,"3.6.7",Descriptions!B:B,"pci")=0,"",SUMIFS(Descriptions!$L:$L,Descriptions!J:J,"3.6.7",Descriptions!B:B,"pci")/COUNTIFS(Descriptions!J:J,"3.6.7",Descriptions!B:B,"pci",Descriptions!$L:$L,"&gt;0")/100)</f>
        <v/>
      </c>
      <c r="BL7" s="60" t="str">
        <f>IF(SUMIFS(Descriptions!$L:$L,Descriptions!J:J,"3.6.8",Descriptions!B:B,"pci")=0,"",SUMIFS(Descriptions!$L:$L,Descriptions!J:J,"3.6.8",Descriptions!B:B,"pci")/COUNTIFS(Descriptions!J:J,"3.6.8",Descriptions!B:B,"pci",Descriptions!$L:$L,"&gt;0")/100)</f>
        <v/>
      </c>
      <c r="BM7" s="58" t="str">
        <f>IF(SUMIFS(Descriptions!$L:$L,Descriptions!J:J,"3.7",Descriptions!B:B,"pci")=0,"",SUMIFS(Descriptions!$L:$L,Descriptions!J:J,"3.7",Descriptions!B:B,"pci")/COUNTIFS(Descriptions!J:J,"3.7",Descriptions!B:B,"pci",Descriptions!$L:$L,"&gt;0")/100)</f>
        <v/>
      </c>
      <c r="BN7" s="60"/>
      <c r="BO7" s="58" t="str">
        <f>IF(SUMIFS(Descriptions!$L:$L,Descriptions!J:J,"3.8",Descriptions!B:B,"pci")=0,"",SUMIFS(Descriptions!$L:$L,Descriptions!J:J,"3.8",Descriptions!B:B,"pci")/COUNTIFS(Descriptions!J:J,"3.8",Descriptions!B:B,"pci",Descriptions!$L:$L,"&gt;0")/100)</f>
        <v/>
      </c>
      <c r="BP7" s="59"/>
      <c r="BQ7" s="59"/>
      <c r="BR7" s="59"/>
      <c r="BS7" s="59"/>
      <c r="BT7" s="60"/>
      <c r="BU7" s="58"/>
      <c r="BV7" s="59"/>
      <c r="BW7" s="59"/>
      <c r="BX7" s="60"/>
      <c r="BY7" s="58"/>
      <c r="BZ7" s="59"/>
      <c r="CA7" s="59"/>
      <c r="CB7" s="61"/>
      <c r="CE7" s="62"/>
    </row>
    <row r="8" spans="2:84" ht="34.5" customHeight="1" thickBot="1" x14ac:dyDescent="0.3">
      <c r="B8" s="220"/>
      <c r="C8" s="90" t="e">
        <f t="shared" si="1"/>
        <v>#DIV/0!</v>
      </c>
      <c r="D8" s="78">
        <v>4</v>
      </c>
      <c r="E8" s="91" t="s">
        <v>141</v>
      </c>
      <c r="F8" s="83">
        <f t="shared" si="0"/>
        <v>0</v>
      </c>
      <c r="G8" s="58" t="str">
        <f>IF(SUMIFS(Descriptions!$L:$L,Descriptions!J:J,"4.1",Descriptions!B:B,"pci")=0,"",SUMIFS(Descriptions!$L:$L,Descriptions!J:J,"4.1",Descriptions!B:B,"pci")/COUNTIFS(Descriptions!J:J,"4.1",Descriptions!B:B,"pci",Descriptions!$L:$L,"&gt;0")/100)</f>
        <v/>
      </c>
      <c r="H8" s="59" t="str">
        <f>IF(SUMIFS(Descriptions!$L:$L,Descriptions!J:J,"4.1.1",Descriptions!B:B,"pci")=0,"",SUMIFS(Descriptions!$L:$L,Descriptions!J:J,"4.1.1",Descriptions!B:B,"pci")/COUNTIFS(Descriptions!J:J,"4.1.1",Descriptions!B:B,"pci",Descriptions!$L:$L,"&gt;0")/100)</f>
        <v/>
      </c>
      <c r="I8" s="59"/>
      <c r="J8" s="59"/>
      <c r="K8" s="59"/>
      <c r="L8" s="59"/>
      <c r="M8" s="59"/>
      <c r="N8" s="59"/>
      <c r="O8" s="60"/>
      <c r="P8" s="58" t="str">
        <f>IF(SUMIFS(Descriptions!$L:$L,Descriptions!J:J,"4.2",Descriptions!B:B,"pci")=0,"",SUMIFS(Descriptions!$L:$L,Descriptions!J:J,"4.2",Descriptions!B:B,"pci")/COUNTIFS(Descriptions!J:J,"4.2",Descriptions!B:B,"pci",Descriptions!$L:$L,"&gt;0")/100)</f>
        <v/>
      </c>
      <c r="Q8" s="59"/>
      <c r="R8" s="59"/>
      <c r="S8" s="59"/>
      <c r="T8" s="59"/>
      <c r="U8" s="59"/>
      <c r="V8" s="59"/>
      <c r="W8" s="60"/>
      <c r="X8" s="58" t="str">
        <f>IF(SUMIFS(Descriptions!$L:$L,Descriptions!J:J,"4.3",Descriptions!B:B,"pci")=0,"",SUMIFS(Descriptions!$L:$L,Descriptions!J:J,"4.3",Descriptions!B:B,"pci")/COUNTIFS(Descriptions!J:J,"4.3",Descriptions!B:B,"pci",Descriptions!$L:$L,"&gt;0")/100)</f>
        <v/>
      </c>
      <c r="Y8" s="59"/>
      <c r="Z8" s="59"/>
      <c r="AA8" s="59"/>
      <c r="AB8" s="59"/>
      <c r="AC8" s="59"/>
      <c r="AD8" s="59"/>
      <c r="AE8" s="59"/>
      <c r="AF8" s="59"/>
      <c r="AG8" s="59"/>
      <c r="AH8" s="60"/>
      <c r="AI8" s="58" t="str">
        <f>IF(SUMIFS(Descriptions!$L:$L,Descriptions!J:J,"4.4",Descriptions!B:B,"pci")=0,"",SUMIFS(Descriptions!$L:$L,Descriptions!J:J,"4.4",Descriptions!B:B,"pci")/COUNTIFS(Descriptions!J:J,"4.4",Descriptions!B:B,"pci",Descriptions!$L:$L,"&gt;0")/100)</f>
        <v/>
      </c>
      <c r="AJ8" s="59"/>
      <c r="AK8" s="59"/>
      <c r="AL8" s="59"/>
      <c r="AM8" s="59"/>
      <c r="AN8" s="59"/>
      <c r="AO8" s="59"/>
      <c r="AP8" s="59"/>
      <c r="AQ8" s="59"/>
      <c r="AR8" s="60"/>
      <c r="AS8" s="58"/>
      <c r="AT8" s="59"/>
      <c r="AU8" s="59"/>
      <c r="AV8" s="59"/>
      <c r="AW8" s="59"/>
      <c r="AX8" s="59"/>
      <c r="AY8" s="59"/>
      <c r="AZ8" s="59"/>
      <c r="BA8" s="59"/>
      <c r="BB8" s="59"/>
      <c r="BC8" s="60"/>
      <c r="BD8" s="59"/>
      <c r="BE8" s="59"/>
      <c r="BF8" s="59"/>
      <c r="BG8" s="59"/>
      <c r="BH8" s="59"/>
      <c r="BI8" s="59"/>
      <c r="BJ8" s="59"/>
      <c r="BK8" s="59"/>
      <c r="BL8" s="60"/>
      <c r="BM8" s="58"/>
      <c r="BN8" s="60"/>
      <c r="BO8" s="58"/>
      <c r="BP8" s="59"/>
      <c r="BQ8" s="59"/>
      <c r="BR8" s="59"/>
      <c r="BS8" s="59"/>
      <c r="BT8" s="60"/>
      <c r="BU8" s="58"/>
      <c r="BV8" s="59"/>
      <c r="BW8" s="59"/>
      <c r="BX8" s="60"/>
      <c r="BY8" s="58"/>
      <c r="BZ8" s="59"/>
      <c r="CA8" s="59"/>
      <c r="CB8" s="61"/>
      <c r="CE8" s="62"/>
      <c r="CF8" s="79"/>
    </row>
    <row r="9" spans="2:84" ht="34.5" customHeight="1" thickBot="1" x14ac:dyDescent="0.3">
      <c r="B9" s="220"/>
      <c r="C9" s="90" t="e">
        <f t="shared" si="1"/>
        <v>#DIV/0!</v>
      </c>
      <c r="D9" s="78">
        <v>5</v>
      </c>
      <c r="E9" s="91" t="s">
        <v>142</v>
      </c>
      <c r="F9" s="83">
        <f t="shared" si="0"/>
        <v>0</v>
      </c>
      <c r="G9" s="58" t="str">
        <f>IF(SUMIFS(Descriptions!$L:$L,Descriptions!J:J,"5.1",Descriptions!B:B,"pci")=0,"",SUMIFS(Descriptions!$L:$L,Descriptions!J:J,"5.1",Descriptions!B:B,"pci")/COUNTIFS(Descriptions!J:J,"5.1",Descriptions!B:B,"pci",Descriptions!$L:$L,"&gt;0")/100)</f>
        <v/>
      </c>
      <c r="H9" s="59" t="str">
        <f>IF(SUMIFS(Descriptions!$L:$L,Descriptions!J:J,"5.1.1",Descriptions!B:B,"pci")=0,"",SUMIFS(Descriptions!$L:$L,Descriptions!J:J,"5.1.1",Descriptions!B:B,"pci")/COUNTIFS(Descriptions!J:J,"5.1.1",Descriptions!B:B,"pci",Descriptions!$L:$L,"&gt;0")/100)</f>
        <v/>
      </c>
      <c r="I9" s="59" t="str">
        <f>IF(SUMIFS(Descriptions!$L:$L,Descriptions!J:J,"5.1.2",Descriptions!B:B,"pci")=0,"",SUMIFS(Descriptions!$L:$L,Descriptions!J:J,"5.1.2",Descriptions!B:B,"pci")/COUNTIFS(Descriptions!J:J,"5.1.2",Descriptions!B:B,"pci",Descriptions!$L:$L,"&gt;0")/100)</f>
        <v/>
      </c>
      <c r="J9" s="59"/>
      <c r="K9" s="59"/>
      <c r="L9" s="59"/>
      <c r="M9" s="59"/>
      <c r="N9" s="59"/>
      <c r="O9" s="60"/>
      <c r="P9" s="58" t="str">
        <f>IF(SUMIFS(Descriptions!$L:$L,Descriptions!J:J,"5.2",Descriptions!B:B,"pci")=0,"",SUMIFS(Descriptions!$L:$L,Descriptions!J:J,"5.2",Descriptions!B:B,"pci")/COUNTIFS(Descriptions!J:J,"5.2",Descriptions!B:B,"pci",Descriptions!$L:$L,"&gt;0")/100)</f>
        <v/>
      </c>
      <c r="Q9" s="59"/>
      <c r="R9" s="59"/>
      <c r="S9" s="59"/>
      <c r="T9" s="59"/>
      <c r="U9" s="59"/>
      <c r="V9" s="59"/>
      <c r="W9" s="60"/>
      <c r="X9" s="58" t="str">
        <f>IF(SUMIFS(Descriptions!$L:$L,Descriptions!J:J,"5.3",Descriptions!B:B,"pci")=0,"",SUMIFS(Descriptions!$L:$L,Descriptions!J:J,"5.3",Descriptions!B:B,"pci")/COUNTIFS(Descriptions!J:J,"5.3",Descriptions!B:B,"pci",Descriptions!$L:$L,"&gt;0")/100)</f>
        <v/>
      </c>
      <c r="Y9" s="59"/>
      <c r="Z9" s="59"/>
      <c r="AA9" s="59"/>
      <c r="AB9" s="59"/>
      <c r="AC9" s="59"/>
      <c r="AD9" s="59"/>
      <c r="AE9" s="59"/>
      <c r="AF9" s="59"/>
      <c r="AG9" s="59"/>
      <c r="AH9" s="60"/>
      <c r="AI9" s="58" t="str">
        <f>IF(SUMIFS(Descriptions!$L:$L,Descriptions!J:J,"5.4",Descriptions!B:B,"pci")=0,"",SUMIFS(Descriptions!$L:$L,Descriptions!J:J,"5.4",Descriptions!B:B,"pci")/COUNTIFS(Descriptions!J:J,"5.4",Descriptions!B:B,"pci",Descriptions!$L:$L,"&gt;0")/100)</f>
        <v/>
      </c>
      <c r="AJ9" s="59"/>
      <c r="AK9" s="59"/>
      <c r="AL9" s="59"/>
      <c r="AM9" s="59"/>
      <c r="AN9" s="59"/>
      <c r="AO9" s="59"/>
      <c r="AP9" s="59"/>
      <c r="AQ9" s="59"/>
      <c r="AR9" s="60"/>
      <c r="AS9" s="58" t="str">
        <f>IF(SUMIFS(Descriptions!$L:$L,Descriptions!J:J,"5.5",Descriptions!B:B,"pci")=0,"",SUMIFS(Descriptions!$L:$L,Descriptions!J:J,"5.5",Descriptions!B:B,"pci")/COUNTIFS(Descriptions!J:J,"5.5",Descriptions!B:B,"pci",Descriptions!$L:$L,"&gt;0")/100)</f>
        <v/>
      </c>
      <c r="AT9" s="59"/>
      <c r="AU9" s="59"/>
      <c r="AV9" s="59"/>
      <c r="AW9" s="59"/>
      <c r="AX9" s="59"/>
      <c r="AY9" s="59"/>
      <c r="AZ9" s="59"/>
      <c r="BA9" s="59"/>
      <c r="BB9" s="59"/>
      <c r="BC9" s="60"/>
      <c r="BD9" s="59"/>
      <c r="BE9" s="59"/>
      <c r="BF9" s="59"/>
      <c r="BG9" s="59"/>
      <c r="BH9" s="59"/>
      <c r="BI9" s="59"/>
      <c r="BJ9" s="59"/>
      <c r="BK9" s="59"/>
      <c r="BL9" s="60"/>
      <c r="BM9" s="58"/>
      <c r="BN9" s="60"/>
      <c r="BO9" s="58"/>
      <c r="BP9" s="59"/>
      <c r="BQ9" s="59"/>
      <c r="BR9" s="59"/>
      <c r="BS9" s="59"/>
      <c r="BT9" s="60"/>
      <c r="BU9" s="58"/>
      <c r="BV9" s="59"/>
      <c r="BW9" s="59"/>
      <c r="BX9" s="60"/>
      <c r="BY9" s="58"/>
      <c r="BZ9" s="59"/>
      <c r="CA9" s="59"/>
      <c r="CB9" s="61"/>
      <c r="CE9" s="62"/>
      <c r="CF9" s="79"/>
    </row>
    <row r="10" spans="2:84" ht="34.5" customHeight="1" thickBot="1" x14ac:dyDescent="0.3">
      <c r="B10" s="220"/>
      <c r="C10" s="90" t="e">
        <f t="shared" si="1"/>
        <v>#DIV/0!</v>
      </c>
      <c r="D10" s="78">
        <v>6</v>
      </c>
      <c r="E10" s="91" t="s">
        <v>143</v>
      </c>
      <c r="F10" s="83">
        <f t="shared" si="0"/>
        <v>0</v>
      </c>
      <c r="G10" s="58" t="str">
        <f>IF(SUMIFS(Descriptions!$L:$L,Descriptions!J:J,"6.1",Descriptions!B:B,"pci")=0,"",SUMIFS(Descriptions!$L:$L,Descriptions!J:J,"6.1",Descriptions!B:B,"pci")/COUNTIFS(Descriptions!J:J,"6.1",Descriptions!B:B,"pci",Descriptions!$L:$L,"&gt;0")/100)</f>
        <v/>
      </c>
      <c r="H10" s="59"/>
      <c r="I10" s="59"/>
      <c r="J10" s="59"/>
      <c r="K10" s="59"/>
      <c r="L10" s="59"/>
      <c r="M10" s="59"/>
      <c r="N10" s="59"/>
      <c r="O10" s="60"/>
      <c r="P10" s="58" t="str">
        <f>IF(SUMIFS(Descriptions!$L:$L,Descriptions!J:J,"6.2",Descriptions!B:B,"pci")=0,"",SUMIFS(Descriptions!$L:$L,Descriptions!J:J,"6.2",Descriptions!B:B,"pci")/COUNTIFS(Descriptions!J:J,"6.2",Descriptions!B:B,"pci",Descriptions!$L:$L,"&gt;0")/100)</f>
        <v/>
      </c>
      <c r="Q10" s="59"/>
      <c r="R10" s="59"/>
      <c r="S10" s="59"/>
      <c r="T10" s="59"/>
      <c r="U10" s="59"/>
      <c r="V10" s="59"/>
      <c r="W10" s="60"/>
      <c r="X10" s="58" t="str">
        <f>IF(SUMIFS(Descriptions!$L:$L,Descriptions!J:J,"6.3",Descriptions!B:B,"pci")=0,"",SUMIFS(Descriptions!$L:$L,Descriptions!J:J,"6.3",Descriptions!B:B,"pci")/COUNTIFS(Descriptions!J:J,"6.3",Descriptions!B:B,"pci",Descriptions!$L:$L,"&gt;0")/100)</f>
        <v/>
      </c>
      <c r="Y10" s="59" t="str">
        <f>IF(SUMIFS(Descriptions!$L:$L,Descriptions!J:J,"6.3.1",Descriptions!B:B,"pci")=0,"",SUMIFS(Descriptions!$L:$L,Descriptions!J:J,"6.3.1",Descriptions!B:B,"pci")/COUNTIFS(Descriptions!J:J,"6.3.1",Descriptions!B:B,"pci",Descriptions!$L:$L,"&gt;0")/100)</f>
        <v/>
      </c>
      <c r="Z10" s="59" t="str">
        <f>IF(SUMIFS(Descriptions!$L:$L,Descriptions!J:J,"6.3.2",Descriptions!B:B,"pci")=0,"",SUMIFS(Descriptions!$L:$L,Descriptions!J:J,"6.3.2",Descriptions!B:B,"pci")/COUNTIFS(Descriptions!J:J,"6.3.2",Descriptions!B:B,"pci",Descriptions!$L:$L,"&gt;0")/100)</f>
        <v/>
      </c>
      <c r="AA10" s="59"/>
      <c r="AB10" s="59"/>
      <c r="AC10" s="59"/>
      <c r="AD10" s="59"/>
      <c r="AE10" s="59"/>
      <c r="AF10" s="59"/>
      <c r="AG10" s="59"/>
      <c r="AH10" s="60"/>
      <c r="AI10" s="58" t="str">
        <f>IF(SUMIFS(Descriptions!$L:$L,Descriptions!J:J,"6.4",Descriptions!B:B,"pci")=0,"",SUMIFS(Descriptions!$L:$L,Descriptions!J:J,"6.4",Descriptions!B:B,"pci")/COUNTIFS(Descriptions!J:J,"6.4",Descriptions!B:B,"pci",Descriptions!$L:$L,"&gt;0")/100)</f>
        <v/>
      </c>
      <c r="AJ10" s="59" t="str">
        <f>IF(SUMIFS(Descriptions!$L:$L,Descriptions!J:J,"6.4.1",Descriptions!B:B,"pci")=0,"",SUMIFS(Descriptions!$L:$L,Descriptions!J:J,"6.4.1",Descriptions!B:B,"pci")/COUNTIFS(Descriptions!J:J,"6.4.1",Descriptions!B:B,"pci",Descriptions!$L:$L,"&gt;0")/100)</f>
        <v/>
      </c>
      <c r="AK10" s="59" t="str">
        <f>IF(SUMIFS(Descriptions!$L:$L,Descriptions!J:J,"6.4.2",Descriptions!B:B,"pci")=0,"",SUMIFS(Descriptions!$L:$L,Descriptions!J:J,"6.4.2",Descriptions!B:B,"pci")/COUNTIFS(Descriptions!J:J,"6.4.2",Descriptions!B:B,"pci",Descriptions!$L:$L,"&gt;0")/100)</f>
        <v/>
      </c>
      <c r="AL10" s="59" t="str">
        <f>IF(SUMIFS(Descriptions!$L:$L,Descriptions!J:J,"6.4.3",Descriptions!B:B,"pci")=0,"",SUMIFS(Descriptions!$L:$L,Descriptions!J:J,"6.4.3",Descriptions!B:B,"pci")/COUNTIFS(Descriptions!J:J,"6.4.3",Descriptions!B:B,"pci",Descriptions!$L:$L,"&gt;0")/100)</f>
        <v/>
      </c>
      <c r="AM10" s="59" t="str">
        <f>IF(SUMIFS(Descriptions!$L:$L,Descriptions!J:J,"6.4.4",Descriptions!B:B,"pci")=0,"",SUMIFS(Descriptions!$L:$L,Descriptions!J:J,"6.4.4",Descriptions!B:B,"pci")/COUNTIFS(Descriptions!J:J,"6.4.4",Descriptions!B:B,"pci",Descriptions!$L:$L,"&gt;0")/100)</f>
        <v/>
      </c>
      <c r="AN10" s="59" t="str">
        <f>IF(SUMIFS(Descriptions!$L:$L,Descriptions!J:J,"6.4.5",Descriptions!B:B,"pci")=0,"",SUMIFS(Descriptions!$L:$L,Descriptions!J:J,"6.4.5",Descriptions!B:B,"pci")/COUNTIFS(Descriptions!J:J,"6.4.5",Descriptions!B:B,"pci",Descriptions!$L:$L,"&gt;0")/100)</f>
        <v/>
      </c>
      <c r="AO10" s="59" t="str">
        <f>IF(SUMIFS(Descriptions!$L:$L,Descriptions!J:J,"6.4.5.1",Descriptions!B:B,"pci")=0,"",SUMIFS(Descriptions!$L:$L,Descriptions!J:J,"6.4.5.1",Descriptions!B:B,"pci")/COUNTIFS(Descriptions!J:J,"6.4.5.1",Descriptions!B:B,"pci",Descriptions!$L:$L,"&gt;0")/100)</f>
        <v/>
      </c>
      <c r="AP10" s="59" t="str">
        <f>IF(SUMIFS(Descriptions!$L:$L,Descriptions!J:J,"6.4.5.2",Descriptions!B:B,"pci")=0,"",SUMIFS(Descriptions!$L:$L,Descriptions!J:J,"6.4.5.2",Descriptions!B:B,"pci")/COUNTIFS(Descriptions!J:J,"6.4.5.2",Descriptions!B:B,"pci",Descriptions!$L:$L,"&gt;0")/100)</f>
        <v/>
      </c>
      <c r="AQ10" s="59" t="str">
        <f>IF(SUMIFS(Descriptions!$L:$L,Descriptions!J:J,"6.4.5.3",Descriptions!B:B,"pci")=0,"",SUMIFS(Descriptions!$L:$L,Descriptions!J:J,"6.4.5.3",Descriptions!B:B,"pci")/COUNTIFS(Descriptions!J:J,"6.4.5.3",Descriptions!B:B,"pci",Descriptions!$L:$L,"&gt;0")/100)</f>
        <v/>
      </c>
      <c r="AR10" s="59" t="str">
        <f>IF(SUMIFS(Descriptions!$L:$L,Descriptions!J:J,"6.4.5.4",Descriptions!B:B,"pci")=0,"",SUMIFS(Descriptions!$L:$L,Descriptions!J:J,"6.4.5.1",Descriptions!B:B,"pci")/COUNTIFS(Descriptions!J:J,"6.4.5.4",Descriptions!B:B,"pci",Descriptions!$L:$L,"&gt;0")/100)</f>
        <v/>
      </c>
      <c r="AS10" s="58" t="str">
        <f>IF(SUMIFS(Descriptions!$L:$L,Descriptions!J:J,"6.5",Descriptions!B:B,"pci")=0,"",SUMIFS(Descriptions!$L:$L,Descriptions!J:J,"6.5",Descriptions!B:B,"pci")/COUNTIFS(Descriptions!J:J,"6.5",Descriptions!B:B,"pci",Descriptions!$L:$L,"&gt;0")/100)</f>
        <v/>
      </c>
      <c r="AT10" s="59" t="str">
        <f>IF(SUMIFS(Descriptions!$L:$L,Descriptions!J:J,"6.5.1",Descriptions!B:B,"pci")=0,"",SUMIFS(Descriptions!$L:$L,Descriptions!J:J,"6.5.1",Descriptions!B:B,"pci")/COUNTIFS(Descriptions!J:J,"6.5.1",Descriptions!B:B,"pci",Descriptions!$L:$L,"&gt;0")/100)</f>
        <v/>
      </c>
      <c r="AU10" s="59" t="str">
        <f>IF(SUMIFS(Descriptions!$L:$L,Descriptions!J:J,"6.5.2",Descriptions!B:B,"pci")=0,"",SUMIFS(Descriptions!$L:$L,Descriptions!J:J,"6.5.2",Descriptions!B:B,"pci")/COUNTIFS(Descriptions!J:J,"6.5.2",Descriptions!B:B,"pci",Descriptions!$L:$L,"&gt;0")/100)</f>
        <v/>
      </c>
      <c r="AV10" s="59" t="str">
        <f>IF(SUMIFS(Descriptions!$L:$L,Descriptions!J:J,"6.5.3",Descriptions!B:B,"pci")=0,"",SUMIFS(Descriptions!$L:$L,Descriptions!J:J,"6.5.3",Descriptions!B:B,"pci")/COUNTIFS(Descriptions!J:J,"6.5.3",Descriptions!B:B,"pci",Descriptions!$L:$L,"&gt;0")/100)</f>
        <v/>
      </c>
      <c r="AW10" s="59" t="str">
        <f>IF(SUMIFS(Descriptions!$L:$L,Descriptions!J:J,"6.5.4",Descriptions!B:B,"pci")=0,"",SUMIFS(Descriptions!$L:$L,Descriptions!J:J,"6.5.4",Descriptions!B:B,"pci")/COUNTIFS(Descriptions!J:J,"6.5.4",Descriptions!B:B,"pci",Descriptions!$L:$L,"&gt;0")/100)</f>
        <v/>
      </c>
      <c r="AX10" s="59" t="str">
        <f>IF(SUMIFS(Descriptions!$L:$L,Descriptions!J:J,"6.5.5",Descriptions!B:B,"pci")=0,"",SUMIFS(Descriptions!$L:$L,Descriptions!J:J,"6.5.5",Descriptions!B:B,"pci")/COUNTIFS(Descriptions!J:J,"6.5.5",Descriptions!B:B,"pci",Descriptions!$L:$L,"&gt;0")/100)</f>
        <v/>
      </c>
      <c r="AY10" s="59" t="str">
        <f>IF(SUMIFS(Descriptions!$L:$L,Descriptions!J:J,"6.5.6",Descriptions!B:B,"pci")=0,"",SUMIFS(Descriptions!$L:$L,Descriptions!J:J,"6.5.6",Descriptions!B:B,"pci")/COUNTIFS(Descriptions!J:J,"6.5.6",Descriptions!B:B,"pci",Descriptions!$L:$L,"&gt;0")/100)</f>
        <v/>
      </c>
      <c r="AZ10" s="59" t="str">
        <f>IF(SUMIFS(Descriptions!$L:$L,Descriptions!J:J,"6.5.7",Descriptions!B:B,"pci")=0,"",SUMIFS(Descriptions!$L:$L,Descriptions!J:J,"6.5.7",Descriptions!B:B,"pci")/COUNTIFS(Descriptions!J:J,"6.5.7",Descriptions!B:B,"pci",Descriptions!$L:$L,"&gt;0")/100)</f>
        <v/>
      </c>
      <c r="BA10" s="59" t="str">
        <f>IF(SUMIFS(Descriptions!$L:$L,Descriptions!J:J,"6.5.8",Descriptions!B:B,"pci")=0,"",SUMIFS(Descriptions!$L:$L,Descriptions!J:J,"6.5.8",Descriptions!B:B,"pci")/COUNTIFS(Descriptions!J:J,"6.5.8",Descriptions!B:B,"pci",Descriptions!$L:$L,"&gt;0")/100)</f>
        <v/>
      </c>
      <c r="BB10" s="59" t="str">
        <f>IF(SUMIFS(Descriptions!$L:$L,Descriptions!J:J,"6.5.9",Descriptions!B:B,"pci")=0,"",SUMIFS(Descriptions!$L:$L,Descriptions!J:J,"6.5.9",Descriptions!B:B,"pci")/COUNTIFS(Descriptions!J:J,"6.5.9",Descriptions!B:B,"pci",Descriptions!$L:$L,"&gt;0")/100)</f>
        <v/>
      </c>
      <c r="BC10" s="60" t="str">
        <f>IF(SUMIFS(Descriptions!$L:$L,Descriptions!J:J,"6.5.9",Descriptions!B:B,"pci")=0,"",SUMIFS(Descriptions!$L:$L,Descriptions!J:J,"6.5.9",Descriptions!B:B,"pci")/COUNTIFS(Descriptions!J:J,"6.5.9",Descriptions!B:B,"pci",Descriptions!$L:$L,"&gt;0")/100)</f>
        <v/>
      </c>
      <c r="BD10" s="59" t="str">
        <f>IF(SUMIFS(Descriptions!$L:$L,Descriptions!J:J,"6.6",Descriptions!B:B,"pci")=0,"",SUMIFS(Descriptions!$L:$L,Descriptions!J:J,"6.6",Descriptions!B:B,"pci")/COUNTIFS(Descriptions!J:J,"6.6",Descriptions!B:B,"pci",Descriptions!$L:$L,"&gt;0")/100)</f>
        <v/>
      </c>
      <c r="BE10" s="59"/>
      <c r="BF10" s="59"/>
      <c r="BG10" s="59"/>
      <c r="BH10" s="59"/>
      <c r="BI10" s="59"/>
      <c r="BJ10" s="59"/>
      <c r="BK10" s="59"/>
      <c r="BL10" s="60"/>
      <c r="BM10" s="58" t="str">
        <f>IF(SUMIFS(Descriptions!$L:$L,Descriptions!J:J,"6.7",Descriptions!B:B,"pci")=0,"",SUMIFS(Descriptions!$L:$L,Descriptions!J:J,"6.7",Descriptions!B:B,"pci")/COUNTIFS(Descriptions!J:J,"6.7",Descriptions!B:B,"pci",Descriptions!$L:$L,"&gt;0")/100)</f>
        <v/>
      </c>
      <c r="BN10" s="60"/>
      <c r="BO10" s="58" t="str">
        <f>IF(SUMIFS(Descriptions!$L:$L,Descriptions!J:J,"6.8",Descriptions!B:B,"pci")=0,"",SUMIFS(Descriptions!$L:$L,Descriptions!J:J,"6.8",Descriptions!B:B,"pci")/COUNTIFS(Descriptions!J:J,"6.8",Descriptions!B:B,"pci",Descriptions!$L:$L,"&gt;0")/100)</f>
        <v/>
      </c>
      <c r="BP10" s="59"/>
      <c r="BQ10" s="59"/>
      <c r="BR10" s="59"/>
      <c r="BS10" s="59"/>
      <c r="BT10" s="60"/>
      <c r="BU10" s="58"/>
      <c r="BV10" s="59"/>
      <c r="BW10" s="59"/>
      <c r="BX10" s="60"/>
      <c r="BY10" s="58"/>
      <c r="BZ10" s="59"/>
      <c r="CA10" s="59"/>
      <c r="CB10" s="61"/>
      <c r="CE10" s="62"/>
      <c r="CF10" s="79"/>
    </row>
    <row r="11" spans="2:84" ht="34.5" customHeight="1" thickBot="1" x14ac:dyDescent="0.3">
      <c r="B11" s="220"/>
      <c r="C11" s="90" t="e">
        <f t="shared" si="1"/>
        <v>#DIV/0!</v>
      </c>
      <c r="D11" s="78">
        <v>7</v>
      </c>
      <c r="E11" s="91" t="s">
        <v>160</v>
      </c>
      <c r="F11" s="83">
        <f t="shared" si="0"/>
        <v>0</v>
      </c>
      <c r="G11" s="58" t="str">
        <f>IF(SUMIFS(Descriptions!$L:$L,Descriptions!J:J,"7.1",Descriptions!B:B,"pci")=0,"",SUMIFS(Descriptions!$L:$L,Descriptions!J:J,"7.1",Descriptions!B:B,"pci")/COUNTIFS(Descriptions!J:J,"7.1",Descriptions!B:B,"pci",Descriptions!$L:$L,"&gt;0")/100)</f>
        <v/>
      </c>
      <c r="H11" s="59" t="str">
        <f>IF(SUMIFS(Descriptions!$L:$L,Descriptions!J:J,"7.1.1",Descriptions!B:B,"pci")=0,"",SUMIFS(Descriptions!$L:$L,Descriptions!J:J,"7.1.1",Descriptions!B:B,"pci")/COUNTIFS(Descriptions!J:J,"7.1.1",Descriptions!B:B,"pci",Descriptions!$L:$L,"&gt;0")/100)</f>
        <v/>
      </c>
      <c r="I11" s="59" t="str">
        <f>IF(SUMIFS(Descriptions!$L:$L,Descriptions!J:J,"7.1.2",Descriptions!B:B,"pci")=0,"",SUMIFS(Descriptions!$L:$L,Descriptions!J:J,"7.1.2",Descriptions!B:B,"pci")/COUNTIFS(Descriptions!J:J,"7.1.2",Descriptions!B:B,"pci",Descriptions!$L:$L,"&gt;0")/100)</f>
        <v/>
      </c>
      <c r="J11" s="59" t="str">
        <f>IF(SUMIFS(Descriptions!$L:$L,Descriptions!J:J,"7.1.3",Descriptions!B:B,"pci")=0,"",SUMIFS(Descriptions!$L:$L,Descriptions!J:J,"7.1.3",Descriptions!B:B,"pci")/COUNTIFS(Descriptions!J:J,"7.1.3",Descriptions!B:B,"pci",Descriptions!$L:$L,"&gt;0")/100)</f>
        <v/>
      </c>
      <c r="K11" s="59" t="str">
        <f>IF(SUMIFS(Descriptions!$L:$L,Descriptions!J:J,"7.1.4",Descriptions!B:B,"pci")=0,"",SUMIFS(Descriptions!$L:$L,Descriptions!J:J,"7.1.4",Descriptions!B:B,"pci")/COUNTIFS(Descriptions!J:J,"7.1.4",Descriptions!B:B,"pci",Descriptions!$L:$L,"&gt;0")/100)</f>
        <v/>
      </c>
      <c r="L11" s="59"/>
      <c r="M11" s="59"/>
      <c r="N11" s="59"/>
      <c r="O11" s="60"/>
      <c r="P11" s="58" t="str">
        <f>IF(SUMIFS(Descriptions!$L:$L,Descriptions!J:J,"7.2",Descriptions!B:B,"pci")=0,"",SUMIFS(Descriptions!$L:$L,Descriptions!J:J,"7.2",Descriptions!B:B,"pci")/COUNTIFS(Descriptions!J:J,"7.2",Descriptions!B:B,"pci",Descriptions!$L:$L,"&gt;0")/100)</f>
        <v/>
      </c>
      <c r="Q11" s="59" t="str">
        <f>IF(SUMIFS(Descriptions!$L:$L,Descriptions!J:J,"7.2.1",Descriptions!B:B,"pci")=0,"",SUMIFS(Descriptions!$L:$L,Descriptions!J:J,"7.2.1",Descriptions!B:B,"pci")/COUNTIFS(Descriptions!J:J,"7.2.1",Descriptions!B:B,"pci",Descriptions!$L:$L,"&gt;0")/100)</f>
        <v/>
      </c>
      <c r="R11" s="59" t="str">
        <f>IF(SUMIFS(Descriptions!$L:$L,Descriptions!J:J,"7.2.2",Descriptions!B:B,"pci")=0,"",SUMIFS(Descriptions!$L:$L,Descriptions!J:J,"7.2.2",Descriptions!B:B,"pci")/COUNTIFS(Descriptions!J:J,"7.2.2",Descriptions!B:B,"pci",Descriptions!$L:$L,"&gt;0")/100)</f>
        <v/>
      </c>
      <c r="S11" s="59" t="str">
        <f>IF(SUMIFS(Descriptions!$L:$L,Descriptions!J:J,"7.2.3",Descriptions!B:B,"pci")=0,"",SUMIFS(Descriptions!$L:$L,Descriptions!J:J,"7.2.3",Descriptions!B:B,"pci")/COUNTIFS(Descriptions!J:J,"7.2.3",Descriptions!B:B,"pci",Descriptions!$L:$L,"&gt;0")/100)</f>
        <v/>
      </c>
      <c r="T11" s="59"/>
      <c r="U11" s="59"/>
      <c r="V11" s="59"/>
      <c r="W11" s="60"/>
      <c r="X11" s="58" t="str">
        <f>IF(SUMIFS(Descriptions!$L:$L,Descriptions!J:J,"7.3",Descriptions!B:B,"pci")=0,"",SUMIFS(Descriptions!$L:$L,Descriptions!J:J,"7.3",Descriptions!B:B,"pci")/COUNTIFS(Descriptions!J:J,"7.3",Descriptions!B:B,"pci",Descriptions!$L:$L,"&gt;0")/100)</f>
        <v/>
      </c>
      <c r="Y11" s="59"/>
      <c r="Z11" s="59"/>
      <c r="AA11" s="59"/>
      <c r="AB11" s="59"/>
      <c r="AC11" s="59"/>
      <c r="AD11" s="59"/>
      <c r="AE11" s="59"/>
      <c r="AF11" s="59"/>
      <c r="AG11" s="59"/>
      <c r="AH11" s="60"/>
      <c r="AI11" s="58" t="str">
        <f>IF(SUMIFS(Descriptions!$L:$L,Descriptions!J:J,"7.4",Descriptions!B:B,"pci")=0,"",SUMIFS(Descriptions!$L:$L,Descriptions!J:J,"7.4",Descriptions!B:B,"pci")/COUNTIFS(Descriptions!J:J,"7.4",Descriptions!B:B,"pci",Descriptions!$L:$L,"&gt;0")/100)</f>
        <v/>
      </c>
      <c r="AJ11" s="59"/>
      <c r="AK11" s="59"/>
      <c r="AL11" s="59"/>
      <c r="AM11" s="59"/>
      <c r="AN11" s="59"/>
      <c r="AO11" s="59"/>
      <c r="AP11" s="59"/>
      <c r="AQ11" s="59"/>
      <c r="AR11" s="60"/>
      <c r="AS11" s="58"/>
      <c r="AT11" s="59"/>
      <c r="AU11" s="59"/>
      <c r="AV11" s="59"/>
      <c r="AW11" s="59"/>
      <c r="AX11" s="59"/>
      <c r="AY11" s="59"/>
      <c r="AZ11" s="59"/>
      <c r="BA11" s="59"/>
      <c r="BB11" s="59"/>
      <c r="BC11" s="60"/>
      <c r="BD11" s="59"/>
      <c r="BE11" s="59"/>
      <c r="BF11" s="59"/>
      <c r="BG11" s="59"/>
      <c r="BH11" s="59"/>
      <c r="BI11" s="59"/>
      <c r="BJ11" s="59"/>
      <c r="BK11" s="59"/>
      <c r="BL11" s="60"/>
      <c r="BM11" s="58"/>
      <c r="BN11" s="60"/>
      <c r="BO11" s="58"/>
      <c r="BP11" s="59"/>
      <c r="BQ11" s="59"/>
      <c r="BR11" s="59"/>
      <c r="BS11" s="59"/>
      <c r="BT11" s="60"/>
      <c r="BU11" s="58"/>
      <c r="BV11" s="59"/>
      <c r="BW11" s="59"/>
      <c r="BX11" s="60"/>
      <c r="BY11" s="58"/>
      <c r="BZ11" s="59"/>
      <c r="CA11" s="59"/>
      <c r="CB11" s="61"/>
      <c r="CE11" s="62"/>
      <c r="CF11" s="79"/>
    </row>
    <row r="12" spans="2:84" ht="34.5" customHeight="1" thickBot="1" x14ac:dyDescent="0.3">
      <c r="B12" s="220"/>
      <c r="C12" s="90" t="e">
        <f t="shared" si="1"/>
        <v>#DIV/0!</v>
      </c>
      <c r="D12" s="78">
        <v>8</v>
      </c>
      <c r="E12" s="91" t="s">
        <v>166</v>
      </c>
      <c r="F12" s="83">
        <f t="shared" si="0"/>
        <v>0</v>
      </c>
      <c r="G12" s="58" t="str">
        <f>IF(SUMIFS(Descriptions!$L:$L,Descriptions!J:J,"8.1",Descriptions!B:B,"pci")=0,"",SUMIFS(Descriptions!$L:$L,Descriptions!J:J,"8.1",Descriptions!B:B,"pci")/COUNTIFS(Descriptions!J:J,"8.1",Descriptions!B:B,"pci",Descriptions!$L:$L,"&gt;0")/100)</f>
        <v/>
      </c>
      <c r="H12" s="59" t="str">
        <f>IF(SUMIFS(Descriptions!$L:$L,Descriptions!J:J,"8.1.1",Descriptions!B:B,"pci")=0,"",SUMIFS(Descriptions!$L:$L,Descriptions!J:J,"8.1.1",Descriptions!B:B,"pci")/COUNTIFS(Descriptions!J:J,"8.1.1",Descriptions!B:B,"pci",Descriptions!$L:$L,"&gt;0")/100)</f>
        <v/>
      </c>
      <c r="I12" s="59" t="str">
        <f>IF(SUMIFS(Descriptions!$L:$L,Descriptions!J:J,"8.1.2",Descriptions!B:B,"pci")=0,"",SUMIFS(Descriptions!$L:$L,Descriptions!J:J,"8.1.2",Descriptions!B:B,"pci")/COUNTIFS(Descriptions!J:J,"8.1.2",Descriptions!B:B,"pci",Descriptions!$L:$L,"&gt;0")/100)</f>
        <v/>
      </c>
      <c r="J12" s="59" t="str">
        <f>IF(SUMIFS(Descriptions!$L:$L,Descriptions!J:J,"8.1.3",Descriptions!B:B,"pci")=0,"",SUMIFS(Descriptions!$L:$L,Descriptions!J:J,"8.1.3",Descriptions!B:B,"pci")/COUNTIFS(Descriptions!J:J,"8.1.3",Descriptions!B:B,"pci",Descriptions!$L:$L,"&gt;0")/100)</f>
        <v/>
      </c>
      <c r="K12" s="59" t="str">
        <f>IF(SUMIFS(Descriptions!$L:$L,Descriptions!J:J,"8.1.4",Descriptions!B:B,"pci")=0,"",SUMIFS(Descriptions!$L:$L,Descriptions!J:J,"8.1.4",Descriptions!B:B,"pci")/COUNTIFS(Descriptions!J:J,"8.1.4",Descriptions!B:B,"pci",Descriptions!$L:$L,"&gt;0")/100)</f>
        <v/>
      </c>
      <c r="L12" s="59" t="str">
        <f>IF(SUMIFS(Descriptions!$L:$L,Descriptions!J:J,"8.1.5",Descriptions!B:B,"pci")=0,"",SUMIFS(Descriptions!$L:$L,Descriptions!J:J,"8.1.5",Descriptions!B:B,"pci")/COUNTIFS(Descriptions!J:J,"8.1.5",Descriptions!B:B,"pci",Descriptions!$L:$L,"&gt;0")/100)</f>
        <v/>
      </c>
      <c r="M12" s="59" t="str">
        <f>IF(SUMIFS(Descriptions!$L:$L,Descriptions!J:J,"8.1.6",Descriptions!B:B,"pci")=0,"",SUMIFS(Descriptions!$L:$L,Descriptions!J:J,"8.1.6",Descriptions!B:B,"pci")/COUNTIFS(Descriptions!J:J,"8.1.6",Descriptions!B:B,"pci",Descriptions!$L:$L,"&gt;0")/100)</f>
        <v/>
      </c>
      <c r="N12" s="59" t="str">
        <f>IF(SUMIFS(Descriptions!$L:$L,Descriptions!J:J,"8.1.7",Descriptions!B:B,"pci")=0,"",SUMIFS(Descriptions!$L:$L,Descriptions!J:J,"8.1.7",Descriptions!B:B,"pci")/COUNTIFS(Descriptions!J:J,"8.1.7",Descriptions!B:B,"pci",Descriptions!$L:$L,"&gt;0")/100)</f>
        <v/>
      </c>
      <c r="O12" s="60" t="str">
        <f>IF(SUMIFS(Descriptions!$L:$L,Descriptions!J:J,"8.1.8",Descriptions!B:B,"pci")=0,"",SUMIFS(Descriptions!$L:$L,Descriptions!J:J,"8.1.8",Descriptions!B:B,"pci")/COUNTIFS(Descriptions!J:J,"8.1.8",Descriptions!B:B,"pci",Descriptions!$L:$L,"&gt;0")/100)</f>
        <v/>
      </c>
      <c r="P12" s="58" t="str">
        <f>IF(SUMIFS(Descriptions!$L:$L,Descriptions!J:J,"8.2",Descriptions!B:B,"pci")=0,"",SUMIFS(Descriptions!$L:$L,Descriptions!J:J,"8.2",Descriptions!B:B,"pci")/COUNTIFS(Descriptions!J:J,"8.2",Descriptions!B:B,"pci",Descriptions!$L:$L,"&gt;0")/100)</f>
        <v/>
      </c>
      <c r="Q12" s="59" t="str">
        <f>IF(SUMIFS(Descriptions!$L:$L,Descriptions!J:J,"8.2.1",Descriptions!B:B,"pci")=0,"",SUMIFS(Descriptions!$L:$L,Descriptions!J:J,"8.2.1",Descriptions!B:B,"pci")/COUNTIFS(Descriptions!J:J,"8.2.1",Descriptions!B:B,"pci",Descriptions!$L:$L,"&gt;0")/100)</f>
        <v/>
      </c>
      <c r="R12" s="59" t="str">
        <f>IF(SUMIFS(Descriptions!$L:$L,Descriptions!J:J,"8.2.2",Descriptions!B:B,"pci")=0,"",SUMIFS(Descriptions!$L:$L,Descriptions!J:J,"8.2.2",Descriptions!B:B,"pci")/COUNTIFS(Descriptions!J:J,"8.2.2",Descriptions!B:B,"pci",Descriptions!$L:$L,"&gt;0")/100)</f>
        <v/>
      </c>
      <c r="S12" s="59" t="str">
        <f>IF(SUMIFS(Descriptions!$L:$L,Descriptions!J:J,"8.2.3",Descriptions!B:B,"pci")=0,"",SUMIFS(Descriptions!$L:$L,Descriptions!J:J,"8.2.3",Descriptions!B:B,"pci")/COUNTIFS(Descriptions!J:J,"8.2.3",Descriptions!B:B,"pci",Descriptions!$L:$L,"&gt;0")/100)</f>
        <v/>
      </c>
      <c r="T12" s="59" t="str">
        <f>IF(SUMIFS(Descriptions!$L:$L,Descriptions!J:J,"8.2.4",Descriptions!B:B,"pci")=0,"",SUMIFS(Descriptions!$L:$L,Descriptions!J:J,"8.2.4",Descriptions!B:B,"pci")/COUNTIFS(Descriptions!J:J,"8.2.4",Descriptions!B:B,"pci",Descriptions!$L:$L,"&gt;0")/100)</f>
        <v/>
      </c>
      <c r="U12" s="59" t="str">
        <f>IF(SUMIFS(Descriptions!$L:$L,Descriptions!J:J,"8.2.5",Descriptions!B:B,"pci")=0,"",SUMIFS(Descriptions!$L:$L,Descriptions!J:J,"8.2.5",Descriptions!B:B,"pci")/COUNTIFS(Descriptions!J:J,"8.2.5",Descriptions!B:B,"pci",Descriptions!$L:$L,"&gt;0")/100)</f>
        <v/>
      </c>
      <c r="V12" s="59" t="str">
        <f>IF(SUMIFS(Descriptions!$L:$L,Descriptions!J:J,"8.2.6",Descriptions!B:B,"pci")=0,"",SUMIFS(Descriptions!$L:$L,Descriptions!J:J,"8.2.6",Descriptions!B:B,"pci")/COUNTIFS(Descriptions!J:J,"8.2.6",Descriptions!B:B,"pci",Descriptions!$L:$L,"&gt;0")/100)</f>
        <v/>
      </c>
      <c r="W12" s="60"/>
      <c r="X12" s="58" t="str">
        <f>IF(SUMIFS(Descriptions!$L:$L,Descriptions!J:J,"8.3",Descriptions!B:B,"pci")=0,"",SUMIFS(Descriptions!$L:$L,Descriptions!J:J,"8.3",Descriptions!B:B,"pci")/COUNTIFS(Descriptions!J:J,"8.3",Descriptions!B:B,"pci",Descriptions!$L:$L,"&gt;0")/100)</f>
        <v/>
      </c>
      <c r="Y12" s="59"/>
      <c r="Z12" s="59"/>
      <c r="AA12" s="59"/>
      <c r="AB12" s="59"/>
      <c r="AC12" s="59"/>
      <c r="AD12" s="59"/>
      <c r="AE12" s="59"/>
      <c r="AF12" s="59"/>
      <c r="AG12" s="59"/>
      <c r="AH12" s="60"/>
      <c r="AI12" s="58" t="str">
        <f>IF(SUMIFS(Descriptions!$L:$L,Descriptions!J:J,"8.4",Descriptions!B:B,"pci")=0,"",SUMIFS(Descriptions!$L:$L,Descriptions!J:J,"8.4",Descriptions!B:B,"pci")/COUNTIFS(Descriptions!J:J,"8.4",Descriptions!B:B,"pci",Descriptions!$L:$L,"&gt;0")/100)</f>
        <v/>
      </c>
      <c r="AJ12" s="59"/>
      <c r="AK12" s="59"/>
      <c r="AL12" s="59"/>
      <c r="AM12" s="59"/>
      <c r="AN12" s="59"/>
      <c r="AO12" s="59"/>
      <c r="AP12" s="59"/>
      <c r="AQ12" s="59"/>
      <c r="AR12" s="60"/>
      <c r="AS12" s="58" t="str">
        <f>IF(SUMIFS(Descriptions!$L:$L,Descriptions!J:J,"8.5",Descriptions!B:B,"pci")=0,"",SUMIFS(Descriptions!$L:$L,Descriptions!J:J,"8.5",Descriptions!B:B,"pci")/COUNTIFS(Descriptions!J:J,"8.5",Descriptions!B:B,"pci",Descriptions!$L:$L,"&gt;0")/100)</f>
        <v/>
      </c>
      <c r="AT12" s="59" t="str">
        <f>IF(SUMIFS(Descriptions!$L:$L,Descriptions!J:J,"8.5.1",Descriptions!B:B,"pci")=0,"",SUMIFS(Descriptions!$L:$L,Descriptions!J:J,"8.5.1",Descriptions!B:B,"pci")/COUNTIFS(Descriptions!J:J,"8.5.1",Descriptions!B:B,"pci",Descriptions!$L:$L,"&gt;0")/100)</f>
        <v/>
      </c>
      <c r="AU12" s="59"/>
      <c r="AV12" s="59"/>
      <c r="AW12" s="59"/>
      <c r="AX12" s="59"/>
      <c r="AY12" s="59"/>
      <c r="AZ12" s="59"/>
      <c r="BA12" s="59"/>
      <c r="BB12" s="59"/>
      <c r="BC12" s="60"/>
      <c r="BD12" s="59" t="str">
        <f>IF(SUMIFS(Descriptions!$L:$L,Descriptions!J:J,"8.6",Descriptions!B:B,"pci")=0,"",SUMIFS(Descriptions!$L:$L,Descriptions!J:J,"8.6",Descriptions!B:B,"pci")/COUNTIFS(Descriptions!J:J,"8.6",Descriptions!B:B,"pci",Descriptions!$L:$L,"&gt;0")/100)</f>
        <v/>
      </c>
      <c r="BE12" s="59"/>
      <c r="BF12" s="59"/>
      <c r="BG12" s="59"/>
      <c r="BH12" s="59"/>
      <c r="BI12" s="59"/>
      <c r="BJ12" s="59"/>
      <c r="BK12" s="59"/>
      <c r="BL12" s="60"/>
      <c r="BM12" s="58" t="str">
        <f>IF(SUMIFS(Descriptions!$L:$L,Descriptions!J:J,"8.7",Descriptions!B:B,"pci")=0,"",SUMIFS(Descriptions!$L:$L,Descriptions!J:J,"8.7",Descriptions!B:B,"pci")/COUNTIFS(Descriptions!J:J,"8.7",Descriptions!B:B,"pci",Descriptions!$L:$L,"&gt;0")/100)</f>
        <v/>
      </c>
      <c r="BN12" s="60"/>
      <c r="BO12" s="58" t="str">
        <f>IF(SUMIFS(Descriptions!$L:$L,Descriptions!J:J,"8.8",Descriptions!B:B,"pci")=0,"",SUMIFS(Descriptions!$L:$L,Descriptions!J:J,"8.8",Descriptions!B:B,"pci")/COUNTIFS(Descriptions!J:J,"8.8",Descriptions!B:B,"pci",Descriptions!$L:$L,"&gt;0")/100)</f>
        <v/>
      </c>
      <c r="BP12" s="59"/>
      <c r="BQ12" s="59"/>
      <c r="BR12" s="59"/>
      <c r="BS12" s="59"/>
      <c r="BT12" s="60"/>
      <c r="BU12" s="58" t="str">
        <f>IF(SUMIFS(Descriptions!$L:$L,Descriptions!J:J,"8.9",Descriptions!B:B,"pci")=0,"",SUMIFS(Descriptions!$L:$L,Descriptions!J:J,"8.9",Descriptions!B:B,"pci")/COUNTIFS(Descriptions!J:J,"8.9",Descriptions!B:B,"pci",Descriptions!$L:$L,"&gt;0")/100)</f>
        <v/>
      </c>
      <c r="BV12" s="59"/>
      <c r="BW12" s="59"/>
      <c r="BX12" s="60"/>
      <c r="BY12" s="58"/>
      <c r="BZ12" s="59"/>
      <c r="CA12" s="59"/>
      <c r="CB12" s="61"/>
      <c r="CE12" s="62"/>
      <c r="CF12" s="79"/>
    </row>
    <row r="13" spans="2:84" ht="34.5" customHeight="1" thickBot="1" x14ac:dyDescent="0.3">
      <c r="B13" s="220"/>
      <c r="C13" s="90" t="e">
        <f t="shared" si="1"/>
        <v>#DIV/0!</v>
      </c>
      <c r="D13" s="78">
        <v>9</v>
      </c>
      <c r="E13" s="91" t="s">
        <v>177</v>
      </c>
      <c r="F13" s="83">
        <f t="shared" si="0"/>
        <v>0</v>
      </c>
      <c r="G13" s="58" t="str">
        <f>IF(SUMIFS(Descriptions!$L:$L,Descriptions!J:J,"9.1",Descriptions!B:B,"pci")=0,"",SUMIFS(Descriptions!$L:$L,Descriptions!J:J,"9.1",Descriptions!B:B,"pci")/COUNTIFS(Descriptions!J:J,"9.1",Descriptions!B:B,"pci",Descriptions!$L:$L,"&gt;0")/100)</f>
        <v/>
      </c>
      <c r="H13" s="59" t="str">
        <f>IF(SUMIFS(Descriptions!$L:$L,Descriptions!J:J,"9.1.1",Descriptions!B:B,"pci")=0,"",SUMIFS(Descriptions!$L:$L,Descriptions!J:J,"9.1.1",Descriptions!B:B,"pci")/COUNTIFS(Descriptions!J:J,"9.1.1",Descriptions!B:B,"pci",Descriptions!$L:$L,"&gt;0")/100)</f>
        <v/>
      </c>
      <c r="I13" s="59" t="str">
        <f>IF(SUMIFS(Descriptions!$L:$L,Descriptions!J:J,"9.1.2",Descriptions!B:B,"pci")=0,"",SUMIFS(Descriptions!$L:$L,Descriptions!J:J,"9.1.2",Descriptions!B:B,"pci")/COUNTIFS(Descriptions!J:J,"9.1.2",Descriptions!B:B,"pci",Descriptions!$L:$L,"&gt;0")/100)</f>
        <v/>
      </c>
      <c r="J13" s="59" t="str">
        <f>IF(SUMIFS(Descriptions!$L:$L,Descriptions!J:J,"9.1.3",Descriptions!B:B,"pci")=0,"",SUMIFS(Descriptions!$L:$L,Descriptions!J:J,"9.1.3",Descriptions!B:B,"pci")/COUNTIFS(Descriptions!J:J,"9.1.3",Descriptions!B:B,"pci",Descriptions!$L:$L,"&gt;0")/100)</f>
        <v/>
      </c>
      <c r="K13" s="59"/>
      <c r="L13" s="59"/>
      <c r="M13" s="59"/>
      <c r="N13" s="59"/>
      <c r="O13" s="60"/>
      <c r="P13" s="58" t="str">
        <f>IF(SUMIFS(Descriptions!$L:$L,Descriptions!J:J,"9.2",Descriptions!B:B,"pci")=0,"",SUMIFS(Descriptions!$L:$L,Descriptions!J:J,"9.2",Descriptions!B:B,"pci")/COUNTIFS(Descriptions!J:J,"9.2",Descriptions!B:B,"pci",Descriptions!$L:$L,"&gt;0")/100)</f>
        <v/>
      </c>
      <c r="Q13" s="59"/>
      <c r="R13" s="59"/>
      <c r="S13" s="59"/>
      <c r="T13" s="59"/>
      <c r="U13" s="59"/>
      <c r="V13" s="59"/>
      <c r="W13" s="60"/>
      <c r="X13" s="58" t="str">
        <f>IF(SUMIFS(Descriptions!$L:$L,Descriptions!J:J,"9.3",Descriptions!B:B,"pci")=0,"",SUMIFS(Descriptions!$L:$L,Descriptions!J:J,"9.3",Descriptions!B:B,"pci")/COUNTIFS(Descriptions!J:J,"9.3",Descriptions!B:B,"pci",Descriptions!$L:$L,"&gt;0")/100)</f>
        <v/>
      </c>
      <c r="Y13" s="59"/>
      <c r="Z13" s="59"/>
      <c r="AA13" s="59"/>
      <c r="AB13" s="59"/>
      <c r="AC13" s="59"/>
      <c r="AD13" s="59"/>
      <c r="AE13" s="59"/>
      <c r="AF13" s="59"/>
      <c r="AG13" s="59"/>
      <c r="AH13" s="60"/>
      <c r="AI13" s="58" t="str">
        <f>IF(SUMIFS(Descriptions!$L:$L,Descriptions!J:J,"9.4",Descriptions!B:B,"pci")=0,"",SUMIFS(Descriptions!$L:$L,Descriptions!J:J,"9.4",Descriptions!B:B,"pci")/COUNTIFS(Descriptions!J:J,"9.4",Descriptions!B:B,"pci",Descriptions!$L:$L,"&gt;0")/100)</f>
        <v/>
      </c>
      <c r="AJ13" s="59" t="str">
        <f>IF(SUMIFS(Descriptions!$L:$L,Descriptions!J:J,"9.4.1",Descriptions!B:B,"pci")=0,"",SUMIFS(Descriptions!$L:$L,Descriptions!J:J,"9.4.1",Descriptions!B:B,"pci")/COUNTIFS(Descriptions!J:J,"9.4.1",Descriptions!B:B,"pci",Descriptions!$L:$L,"&gt;0")/100)</f>
        <v/>
      </c>
      <c r="AK13" s="59" t="str">
        <f>IF(SUMIFS(Descriptions!$L:$L,Descriptions!J:J,"9.4.2",Descriptions!B:B,"pci")=0,"",SUMIFS(Descriptions!$L:$L,Descriptions!J:J,"9.4.2",Descriptions!B:B,"pci")/COUNTIFS(Descriptions!J:J,"9.4.2",Descriptions!B:B,"pci",Descriptions!$L:$L,"&gt;0")/100)</f>
        <v/>
      </c>
      <c r="AL13" s="59" t="str">
        <f>IF(SUMIFS(Descriptions!$L:$L,Descriptions!J:J,"9.4.3",Descriptions!B:B,"pci")=0,"",SUMIFS(Descriptions!$L:$L,Descriptions!J:J,"9.4.3",Descriptions!B:B,"pci")/COUNTIFS(Descriptions!J:J,"9.4.3",Descriptions!B:B,"pci",Descriptions!$L:$L,"&gt;0")/100)</f>
        <v/>
      </c>
      <c r="AM13" s="59" t="str">
        <f>IF(SUMIFS(Descriptions!$L:$L,Descriptions!J:J,"9.4.4",Descriptions!B:B,"pci")=0,"",SUMIFS(Descriptions!$L:$L,Descriptions!J:J,"9.4.4",Descriptions!B:B,"pci")/COUNTIFS(Descriptions!J:J,"9.4.4",Descriptions!B:B,"pci",Descriptions!$L:$L,"&gt;0")/100)</f>
        <v/>
      </c>
      <c r="AN13" s="59"/>
      <c r="AO13" s="59"/>
      <c r="AP13" s="59"/>
      <c r="AQ13" s="59"/>
      <c r="AR13" s="60"/>
      <c r="AS13" s="58" t="str">
        <f>IF(SUMIFS(Descriptions!$L:$L,Descriptions!J:J,"9.5",Descriptions!B:B,"pci")=0,"",SUMIFS(Descriptions!$L:$L,Descriptions!J:J,"9.5",Descriptions!B:B,"pci")/COUNTIFS(Descriptions!J:J,"9.5",Descriptions!B:B,"pci",Descriptions!$L:$L,"&gt;0")/100)</f>
        <v/>
      </c>
      <c r="AT13" s="59" t="str">
        <f>IF(SUMIFS(Descriptions!$L:$L,Descriptions!J:J,"9.5.1",Descriptions!B:B,"pci")=0,"",SUMIFS(Descriptions!$L:$L,Descriptions!J:J,"9.5.1",Descriptions!B:B,"pci")/COUNTIFS(Descriptions!J:J,"9.5.1",Descriptions!B:B,"pci",Descriptions!$L:$L,"&gt;0")/100)</f>
        <v/>
      </c>
      <c r="AU13" s="59"/>
      <c r="AV13" s="59"/>
      <c r="AW13" s="59"/>
      <c r="AX13" s="59"/>
      <c r="AY13" s="59"/>
      <c r="AZ13" s="59"/>
      <c r="BA13" s="59"/>
      <c r="BB13" s="59"/>
      <c r="BC13" s="60"/>
      <c r="BD13" s="59" t="str">
        <f>IF(SUMIFS(Descriptions!$L:$L,Descriptions!J:J,"9.6",Descriptions!B:B,"pci")=0,"",SUMIFS(Descriptions!$L:$L,Descriptions!J:J,"9.6",Descriptions!B:B,"pci")/COUNTIFS(Descriptions!J:J,"9.6",Descriptions!B:B,"pci",Descriptions!$L:$L,"&gt;0")/100)</f>
        <v/>
      </c>
      <c r="BE13" s="59" t="str">
        <f>IF(SUMIFS(Descriptions!$L:$L,Descriptions!J:J,"9.6.1",Descriptions!B:B,"pci")=0,"",SUMIFS(Descriptions!$L:$L,Descriptions!J:J,"9.6.1",Descriptions!B:B,"pci")/COUNTIFS(Descriptions!J:J,"9.6.1",Descriptions!B:B,"pci",Descriptions!$L:$L,"&gt;0")/100)</f>
        <v/>
      </c>
      <c r="BF13" s="59" t="str">
        <f>IF(SUMIFS(Descriptions!$L:$L,Descriptions!J:J,"9.6.2",Descriptions!B:B,"pci")=0,"",SUMIFS(Descriptions!$L:$L,Descriptions!J:J,"9.6.2",Descriptions!B:B,"pci")/COUNTIFS(Descriptions!J:J,"9.6.2",Descriptions!B:B,"pci",Descriptions!$L:$L,"&gt;0")/100)</f>
        <v/>
      </c>
      <c r="BG13" s="59" t="str">
        <f>IF(SUMIFS(Descriptions!$L:$L,Descriptions!J:J,"9.6.3",Descriptions!B:B,"pci")=0,"",SUMIFS(Descriptions!$L:$L,Descriptions!J:J,"9.6.3",Descriptions!B:B,"pci")/COUNTIFS(Descriptions!J:J,"9.6.3",Descriptions!B:B,"pci",Descriptions!$L:$L,"&gt;0")/100)</f>
        <v/>
      </c>
      <c r="BH13" s="59"/>
      <c r="BI13" s="59"/>
      <c r="BJ13" s="59"/>
      <c r="BK13" s="59"/>
      <c r="BL13" s="60"/>
      <c r="BM13" s="58" t="str">
        <f>IF(SUMIFS(Descriptions!$L:$L,Descriptions!J:J,"9.7",Descriptions!B:B,"pci")=0,"",SUMIFS(Descriptions!$L:$L,Descriptions!J:J,"9.7",Descriptions!B:B,"pci")/COUNTIFS(Descriptions!J:J,"9.7",Descriptions!B:B,"pci",Descriptions!$L:$L,"&gt;0")/100)</f>
        <v/>
      </c>
      <c r="BN13" s="60" t="str">
        <f>IF(SUMIFS(Descriptions!$L:$L,Descriptions!J:J,"9.7.1",Descriptions!B:B,"pci")=0,"",SUMIFS(Descriptions!$L:$L,Descriptions!J:J,"9.7.1",Descriptions!B:B,"pci")/COUNTIFS(Descriptions!J:J,"9.7.1",Descriptions!B:B,"pci",Descriptions!$L:$L,"&gt;0")/100)</f>
        <v/>
      </c>
      <c r="BO13" s="58" t="str">
        <f>IF(SUMIFS(Descriptions!$L:$L,Descriptions!J:J,"9.8",Descriptions!B:B,"pci")=0,"",SUMIFS(Descriptions!$L:$L,Descriptions!J:J,"9.8",Descriptions!B:B,"pci")/COUNTIFS(Descriptions!J:J,"9.8",Descriptions!B:B,"pci",Descriptions!$L:$L,"&gt;0")/100)</f>
        <v/>
      </c>
      <c r="BP13" s="59" t="str">
        <f>IF(SUMIFS(Descriptions!$L:$L,Descriptions!J:J,"9.8.1",Descriptions!B:B,"pci")=0,"",SUMIFS(Descriptions!$L:$L,Descriptions!J:J,"9.8.1",Descriptions!B:B,"pci")/COUNTIFS(Descriptions!J:J,"9.8.1",Descriptions!B:B,"pci",Descriptions!$L:$L,"&gt;0")/100)</f>
        <v/>
      </c>
      <c r="BQ13" s="59" t="str">
        <f>IF(SUMIFS(Descriptions!$L:$L,Descriptions!J:J,"9.8.2",Descriptions!B:B,"pci")=0,"",SUMIFS(Descriptions!$L:$L,Descriptions!J:J,"9.8.2",Descriptions!B:B,"pci")/COUNTIFS(Descriptions!J:J,"9.8.2",Descriptions!B:B,"pci",Descriptions!$L:$L,"&gt;0")/100)</f>
        <v/>
      </c>
      <c r="BR13" s="59"/>
      <c r="BS13" s="59"/>
      <c r="BT13" s="60"/>
      <c r="BU13" s="58" t="str">
        <f>IF(SUMIFS(Descriptions!$L:$L,Descriptions!J:J,"9.9",Descriptions!B:B,"pci")=0,"",SUMIFS(Descriptions!$L:$L,Descriptions!J:J,"9.9",Descriptions!B:B,"pci")/COUNTIFS(Descriptions!J:J,"9.9",Descriptions!B:B,"pci",Descriptions!$L:$L,"&gt;0")/100)</f>
        <v/>
      </c>
      <c r="BV13" s="59" t="str">
        <f>IF(SUMIFS(Descriptions!$L:$L,Descriptions!J:J,"9.9.1",Descriptions!B:B,"pci")=0,"",SUMIFS(Descriptions!$L:$L,Descriptions!J:J,"9.9.1",Descriptions!B:B,"pci")/COUNTIFS(Descriptions!J:J,"9.9.1",Descriptions!B:B,"pci",Descriptions!$L:$L,"&gt;0")/100)</f>
        <v/>
      </c>
      <c r="BW13" s="59" t="str">
        <f>IF(SUMIFS(Descriptions!$L:$L,Descriptions!J:J,"9.9.2",Descriptions!B:B,"pci")=0,"",SUMIFS(Descriptions!$L:$L,Descriptions!J:J,"9.9.2",Descriptions!B:B,"pci")/COUNTIFS(Descriptions!J:J,"9.9.2",Descriptions!B:B,"pci",Descriptions!$L:$L,"&gt;0")/100)</f>
        <v/>
      </c>
      <c r="BX13" s="60" t="str">
        <f>IF(SUMIFS(Descriptions!$L:$L,Descriptions!J:J,"9.9.3",Descriptions!B:B,"pci")=0,"",SUMIFS(Descriptions!$L:$L,Descriptions!J:J,"9.9.3",Descriptions!B:B,"pci")/COUNTIFS(Descriptions!J:J,"9.9.3",Descriptions!B:B,"pci",Descriptions!$L:$L,"&gt;0")/100)</f>
        <v/>
      </c>
      <c r="BY13" s="58" t="str">
        <f>IF(SUMIFS(Descriptions!$L:$L,Descriptions!J:J,"9.10-",Descriptions!B:B,"pci")=0,"",SUMIFS(Descriptions!$L:$L,Descriptions!J:J,"9.10-",Descriptions!B:B,"pci")/COUNTIFS(Descriptions!J:J,"9.10-",Descriptions!B:B,"pci",Descriptions!$L:$L,"&gt;0")/100)</f>
        <v/>
      </c>
      <c r="BZ13" s="59" t="str">
        <f>IF(SUMIFS(Descriptions!$L:$L,Descriptions!J:J,"9.11",Descriptions!B:B,"pci")=0,"",SUMIFS(Descriptions!$L:$L,Descriptions!J:J,"9.11",Descriptions!B:B,"pci")/COUNTIFS(Descriptions!J:J,"9.11",Descriptions!B:B,"pci",Descriptions!$L:$L,"&gt;0")/100)</f>
        <v/>
      </c>
      <c r="CA13" s="59"/>
      <c r="CB13" s="61"/>
      <c r="CE13" s="62"/>
      <c r="CF13" s="79"/>
    </row>
    <row r="14" spans="2:84" ht="34.5" customHeight="1" thickBot="1" x14ac:dyDescent="0.3">
      <c r="B14" s="220"/>
      <c r="C14" s="90" t="e">
        <f t="shared" si="1"/>
        <v>#DIV/0!</v>
      </c>
      <c r="D14" s="78">
        <v>10</v>
      </c>
      <c r="E14" s="91" t="s">
        <v>219</v>
      </c>
      <c r="F14" s="83">
        <f t="shared" si="0"/>
        <v>0</v>
      </c>
      <c r="G14" s="58" t="str">
        <f>IF(SUMIFS(Descriptions!$L:$L,Descriptions!J:J,"10.1",Descriptions!B:B,"pci")=0,"",SUMIFS(Descriptions!$L:$L,Descriptions!J:J,"10.1",Descriptions!B:B,"pci")/COUNTIFS(Descriptions!J:J,"10.1",Descriptions!B:B,"pci",Descriptions!$L:$L,"&gt;0")/100)</f>
        <v/>
      </c>
      <c r="H14" s="59"/>
      <c r="I14" s="59"/>
      <c r="J14" s="59"/>
      <c r="K14" s="59"/>
      <c r="L14" s="59"/>
      <c r="M14" s="59"/>
      <c r="N14" s="59"/>
      <c r="O14" s="60"/>
      <c r="P14" s="58" t="str">
        <f>IF(SUMIFS(Descriptions!$L:$L,Descriptions!J:J,"10.2",Descriptions!B:B,"pci")=0,"",SUMIFS(Descriptions!$L:$L,Descriptions!J:J,"10.2",Descriptions!B:B,"pci")/COUNTIFS(Descriptions!J:J,"10.2",Descriptions!B:B,"pci",Descriptions!$L:$L,"&gt;0")/100)</f>
        <v/>
      </c>
      <c r="Q14" s="59" t="str">
        <f>IF(SUMIFS(Descriptions!$L:$L,Descriptions!J:J,"10.2.1",Descriptions!B:B,"pci")=0,"",SUMIFS(Descriptions!$L:$L,Descriptions!J:J,"10.2.1",Descriptions!B:B,"pci")/COUNTIFS(Descriptions!J:J,"10.2.1",Descriptions!B:B,"pci",Descriptions!$L:$L,"&gt;0")/100)</f>
        <v/>
      </c>
      <c r="R14" s="59" t="str">
        <f>IF(SUMIFS(Descriptions!$L:$L,Descriptions!J:J,"10.2.1",Descriptions!B:B,"pci")=0,"",SUMIFS(Descriptions!$L:$L,Descriptions!J:J,"10.2.1",Descriptions!B:B,"pci")/COUNTIFS(Descriptions!J:J,"10.2.1",Descriptions!B:B,"pci",Descriptions!$L:$L,"&gt;0")/100)</f>
        <v/>
      </c>
      <c r="S14" s="59" t="str">
        <f>IF(SUMIFS(Descriptions!$L:$L,Descriptions!J:J,"10.2.3",Descriptions!B:B,"pci")=0,"",SUMIFS(Descriptions!$L:$L,Descriptions!J:J,"10.2.3",Descriptions!B:B,"pci")/COUNTIFS(Descriptions!J:J,"10.2.3",Descriptions!B:B,"pci",Descriptions!$L:$L,"&gt;0")/100)</f>
        <v/>
      </c>
      <c r="T14" s="59" t="str">
        <f>IF(SUMIFS(Descriptions!$L:$L,Descriptions!J:J,"10.2.4",Descriptions!B:B,"pci")=0,"",SUMIFS(Descriptions!$L:$L,Descriptions!J:J,"10.2.4",Descriptions!B:B,"pci")/COUNTIFS(Descriptions!J:J,"10.2.4",Descriptions!B:B,"pci",Descriptions!$L:$L,"&gt;0")/100)</f>
        <v/>
      </c>
      <c r="U14" s="59" t="str">
        <f>IF(SUMIFS(Descriptions!$L:$L,Descriptions!J:J,"10.2.5",Descriptions!B:B,"pci")=0,"",SUMIFS(Descriptions!$L:$L,Descriptions!J:J,"10.2.5",Descriptions!B:B,"pci")/COUNTIFS(Descriptions!J:J,"10.2.5",Descriptions!B:B,"pci",Descriptions!$L:$L,"&gt;0")/100)</f>
        <v/>
      </c>
      <c r="V14" s="59" t="str">
        <f>IF(SUMIFS(Descriptions!$L:$L,Descriptions!J:J,"10.2.6",Descriptions!B:B,"pci")=0,"",SUMIFS(Descriptions!$L:$L,Descriptions!J:J,"10.2.6",Descriptions!B:B,"pci")/COUNTIFS(Descriptions!J:J,"10.2.6",Descriptions!B:B,"pci",Descriptions!$L:$L,"&gt;0")/100)</f>
        <v/>
      </c>
      <c r="W14" s="60" t="str">
        <f>IF(SUMIFS(Descriptions!$L:$L,Descriptions!J:J,"10.2.6",Descriptions!B:B,"pci")=0,"",SUMIFS(Descriptions!$L:$L,Descriptions!J:J,"10.2.6",Descriptions!B:B,"pci")/COUNTIFS(Descriptions!J:J,"10.2.6",Descriptions!B:B,"pci",Descriptions!$L:$L,"&gt;0")/100)</f>
        <v/>
      </c>
      <c r="X14" s="58" t="str">
        <f>IF(SUMIFS(Descriptions!$L:$L,Descriptions!J:J,"10.3",Descriptions!B:B,"pci")=0,"",SUMIFS(Descriptions!$L:$L,Descriptions!J:J,"10.3",Descriptions!B:B,"pci")/COUNTIFS(Descriptions!J:J,"10.3",Descriptions!B:B,"pci",Descriptions!$L:$L,"&gt;0")/100)</f>
        <v/>
      </c>
      <c r="Y14" s="59" t="str">
        <f>IF(SUMIFS(Descriptions!$L:$L,Descriptions!J:J,"10.3.1",Descriptions!B:B,"pci")=0,"",SUMIFS(Descriptions!$L:$L,Descriptions!J:J,"10.3.1",Descriptions!B:B,"pci")/COUNTIFS(Descriptions!J:J,"10.3.1",Descriptions!B:B,"pci",Descriptions!$L:$L,"&gt;0")/100)</f>
        <v/>
      </c>
      <c r="Z14" s="59" t="str">
        <f>IF(SUMIFS(Descriptions!$L:$L,Descriptions!J:J,"10.3.2",Descriptions!B:B,"pci")=0,"",SUMIFS(Descriptions!$L:$L,Descriptions!J:J,"10.3.2",Descriptions!B:B,"pci")/COUNTIFS(Descriptions!J:J,"10.3.2",Descriptions!B:B,"pci",Descriptions!$L:$L,"&gt;0")/100)</f>
        <v/>
      </c>
      <c r="AA14" s="59" t="str">
        <f>IF(SUMIFS(Descriptions!$L:$L,Descriptions!J:J,"10.3.3",Descriptions!B:B,"pci")=0,"",SUMIFS(Descriptions!$L:$L,Descriptions!J:J,"10.3.3",Descriptions!B:B,"pci")/COUNTIFS(Descriptions!J:J,"10.3.3",Descriptions!B:B,"pci",Descriptions!$L:$L,"&gt;0")/100)</f>
        <v/>
      </c>
      <c r="AB14" s="59" t="str">
        <f>IF(SUMIFS(Descriptions!$L:$L,Descriptions!J:J,"10.3.4",Descriptions!B:B,"pci")=0,"",SUMIFS(Descriptions!$L:$L,Descriptions!J:J,"10.3.4",Descriptions!B:B,"pci")/COUNTIFS(Descriptions!J:J,"10.3.4",Descriptions!B:B,"pci",Descriptions!$L:$L,"&gt;0")/100)</f>
        <v/>
      </c>
      <c r="AC14" s="59" t="str">
        <f>IF(SUMIFS(Descriptions!$L:$L,Descriptions!J:J,"10.3.5",Descriptions!B:B,"pci")=0,"",SUMIFS(Descriptions!$L:$L,Descriptions!J:J,"10.3.5",Descriptions!B:B,"pci")/COUNTIFS(Descriptions!J:J,"10.3.5",Descriptions!B:B,"pci",Descriptions!$L:$L,"&gt;0")/100)</f>
        <v/>
      </c>
      <c r="AD14" s="59" t="str">
        <f>IF(SUMIFS(Descriptions!$L:$L,Descriptions!J:J,"10.3.6",Descriptions!B:B,"pci")=0,"",SUMIFS(Descriptions!$L:$L,Descriptions!J:J,"10.3.6",Descriptions!B:B,"pci")/COUNTIFS(Descriptions!J:J,"10.3.6",Descriptions!B:B,"pci",Descriptions!$L:$L,"&gt;0")/100)</f>
        <v/>
      </c>
      <c r="AE14" s="59"/>
      <c r="AF14" s="59"/>
      <c r="AG14" s="59"/>
      <c r="AH14" s="60"/>
      <c r="AI14" s="58" t="str">
        <f>IF(SUMIFS(Descriptions!$L:$L,Descriptions!J:J,"10.4",Descriptions!B:B,"pci")=0,"",SUMIFS(Descriptions!$L:$L,Descriptions!J:J,"10.4",Descriptions!B:B,"pci")/COUNTIFS(Descriptions!J:J,"10.4",Descriptions!B:B,"pci",Descriptions!$L:$L,"&gt;0")/100)</f>
        <v/>
      </c>
      <c r="AJ14" s="59" t="str">
        <f>IF(SUMIFS(Descriptions!$L:$L,Descriptions!J:J,"10.4.1",Descriptions!B:B,"pci")=0,"",SUMIFS(Descriptions!$L:$L,Descriptions!J:J,"10.4.1",Descriptions!B:B,"pci")/COUNTIFS(Descriptions!J:J,"10.4.1",Descriptions!B:B,"pci",Descriptions!$L:$L,"&gt;0")/100)</f>
        <v/>
      </c>
      <c r="AK14" s="59" t="str">
        <f>IF(SUMIFS(Descriptions!$L:$L,Descriptions!J:J,"10.4.2",Descriptions!B:B,"pci")=0,"",SUMIFS(Descriptions!$L:$L,Descriptions!J:J,"10.4.2",Descriptions!B:B,"pci")/COUNTIFS(Descriptions!J:J,"10.4.2",Descriptions!B:B,"pci",Descriptions!$L:$L,"&gt;0")/100)</f>
        <v/>
      </c>
      <c r="AL14" s="59" t="str">
        <f>IF(SUMIFS(Descriptions!$L:$L,Descriptions!J:J,"10.4.3",Descriptions!B:B,"pci")=0,"",SUMIFS(Descriptions!$L:$L,Descriptions!J:J,"10.4.3",Descriptions!B:B,"pci")/COUNTIFS(Descriptions!J:J,"10.4.3",Descriptions!B:B,"pci",Descriptions!$L:$L,"&gt;0")/100)</f>
        <v/>
      </c>
      <c r="AM14" s="59"/>
      <c r="AN14" s="59"/>
      <c r="AO14" s="59"/>
      <c r="AP14" s="59"/>
      <c r="AQ14" s="59"/>
      <c r="AR14" s="60"/>
      <c r="AS14" s="58" t="str">
        <f>IF(SUMIFS(Descriptions!$L:$L,Descriptions!J:J,"10.5",Descriptions!B:B,"pci")=0,"",SUMIFS(Descriptions!$L:$L,Descriptions!J:J,"10.5",Descriptions!B:B,"pci")/COUNTIFS(Descriptions!J:J,"10.5",Descriptions!B:B,"pci",Descriptions!$L:$L,"&gt;0")/100)</f>
        <v/>
      </c>
      <c r="AT14" s="59" t="str">
        <f>IF(SUMIFS(Descriptions!$L:$L,Descriptions!J:J,"10.5.1",Descriptions!B:B,"pci")=0,"",SUMIFS(Descriptions!$L:$L,Descriptions!J:J,"10.5.1",Descriptions!B:B,"pci")/COUNTIFS(Descriptions!J:J,"10.5.1",Descriptions!B:B,"pci",Descriptions!$L:$L,"&gt;0")/100)</f>
        <v/>
      </c>
      <c r="AU14" s="59" t="str">
        <f>IF(SUMIFS(Descriptions!$L:$L,Descriptions!J:J,"10.5.2",Descriptions!B:B,"pci")=0,"",SUMIFS(Descriptions!$L:$L,Descriptions!J:J,"10.5.2",Descriptions!B:B,"pci")/COUNTIFS(Descriptions!J:J,"10.5.2",Descriptions!B:B,"pci",Descriptions!$L:$L,"&gt;0")/100)</f>
        <v/>
      </c>
      <c r="AV14" s="59" t="str">
        <f>IF(SUMIFS(Descriptions!$L:$L,Descriptions!J:J,"10.5.3",Descriptions!B:B,"pci")=0,"",SUMIFS(Descriptions!$L:$L,Descriptions!J:J,"10.5.3",Descriptions!B:B,"pci")/COUNTIFS(Descriptions!J:J,"10.5.3",Descriptions!B:B,"pci",Descriptions!$L:$L,"&gt;0")/100)</f>
        <v/>
      </c>
      <c r="AW14" s="59" t="str">
        <f>IF(SUMIFS(Descriptions!$L:$L,Descriptions!J:J,"10.5.4",Descriptions!B:B,"pci")=0,"",SUMIFS(Descriptions!$L:$L,Descriptions!J:J,"10.5.4",Descriptions!B:B,"pci")/COUNTIFS(Descriptions!J:J,"10.5.4",Descriptions!B:B,"pci",Descriptions!$L:$L,"&gt;0")/100)</f>
        <v/>
      </c>
      <c r="AX14" s="59" t="str">
        <f>IF(SUMIFS(Descriptions!$L:$L,Descriptions!J:J,"10.5.5",Descriptions!B:B,"pci")=0,"",SUMIFS(Descriptions!$L:$L,Descriptions!J:J,"10.5.5",Descriptions!B:B,"pci")/COUNTIFS(Descriptions!J:J,"10.5.5",Descriptions!B:B,"pci",Descriptions!$L:$L,"&gt;0")/100)</f>
        <v/>
      </c>
      <c r="AY14" s="59"/>
      <c r="AZ14" s="59"/>
      <c r="BA14" s="59"/>
      <c r="BB14" s="59"/>
      <c r="BC14" s="60"/>
      <c r="BD14" s="59" t="str">
        <f>IF(SUMIFS(Descriptions!$L:$L,Descriptions!J:J,"10.6",Descriptions!B:B,"pci")=0,"",SUMIFS(Descriptions!$L:$L,Descriptions!J:J,"10.6",Descriptions!B:B,"pci")/COUNTIFS(Descriptions!J:J,"10.6",Descriptions!B:B,"pci",Descriptions!$L:$L,"&gt;0")/100)</f>
        <v/>
      </c>
      <c r="BE14" s="59" t="str">
        <f>IF(SUMIFS(Descriptions!$L:$L,Descriptions!J:J,"10.6.1",Descriptions!B:B,"pci")=0,"",SUMIFS(Descriptions!$L:$L,Descriptions!J:J,"10.6.1",Descriptions!B:B,"pci")/COUNTIFS(Descriptions!J:J,"10.6.1",Descriptions!B:B,"pci",Descriptions!$L:$L,"&gt;0")/100)</f>
        <v/>
      </c>
      <c r="BF14" s="59" t="str">
        <f>IF(SUMIFS(Descriptions!$L:$L,Descriptions!J:J,"10.6.2",Descriptions!B:B,"pci")=0,"",SUMIFS(Descriptions!$L:$L,Descriptions!J:J,"10.6.2",Descriptions!B:B,"pci")/COUNTIFS(Descriptions!J:J,"10.6.2",Descriptions!B:B,"pci",Descriptions!$L:$L,"&gt;0")/100)</f>
        <v/>
      </c>
      <c r="BG14" s="59" t="str">
        <f>IF(SUMIFS(Descriptions!$L:$L,Descriptions!J:J,"10.6.3",Descriptions!B:B,"pci")=0,"",SUMIFS(Descriptions!$L:$L,Descriptions!J:J,"10.6.3",Descriptions!B:B,"pci")/COUNTIFS(Descriptions!J:J,"10.6.3",Descriptions!B:B,"pci",Descriptions!$L:$L,"&gt;0")/100)</f>
        <v/>
      </c>
      <c r="BH14" s="59"/>
      <c r="BI14" s="59"/>
      <c r="BJ14" s="59"/>
      <c r="BK14" s="59"/>
      <c r="BL14" s="60"/>
      <c r="BM14" s="58" t="str">
        <f>IF(SUMIFS(Descriptions!$L:$L,Descriptions!J:J,"10.7",Descriptions!B:B,"pci")=0,"",SUMIFS(Descriptions!$L:$L,Descriptions!J:J,"10.7",Descriptions!B:B,"pci")/COUNTIFS(Descriptions!J:J,"10.7",Descriptions!B:B,"pci",Descriptions!$L:$L,"&gt;0")/100)</f>
        <v/>
      </c>
      <c r="BN14" s="60"/>
      <c r="BO14" s="58" t="str">
        <f>IF(SUMIFS(Descriptions!$L:$L,Descriptions!J:J,"10.8",Descriptions!B:B,"pci")=0,"",SUMIFS(Descriptions!$L:$L,Descriptions!J:J,"10.8",Descriptions!B:B,"pci")/COUNTIFS(Descriptions!J:J,"10.8",Descriptions!B:B,"pci",Descriptions!$L:$L,"&gt;0")/100)</f>
        <v/>
      </c>
      <c r="BP14" s="59"/>
      <c r="BQ14" s="59"/>
      <c r="BR14" s="59"/>
      <c r="BS14" s="59"/>
      <c r="BT14" s="60"/>
      <c r="BU14" s="58" t="str">
        <f>IF(SUMIFS(Descriptions!$L:$L,Descriptions!J:J,"10.9",Descriptions!B:B,"pci")=0,"",SUMIFS(Descriptions!$L:$L,Descriptions!J:J,"10.9",Descriptions!B:B,"pci")/COUNTIFS(Descriptions!J:J,"10.9",Descriptions!B:B,"pci",Descriptions!$L:$L,"&gt;0")/100)</f>
        <v/>
      </c>
      <c r="BV14" s="59"/>
      <c r="BW14" s="59"/>
      <c r="BX14" s="60"/>
      <c r="BY14" s="58"/>
      <c r="BZ14" s="59"/>
      <c r="CA14" s="59"/>
      <c r="CB14" s="61"/>
      <c r="CE14" s="62"/>
      <c r="CF14" s="79"/>
    </row>
    <row r="15" spans="2:84" ht="34.5" customHeight="1" thickBot="1" x14ac:dyDescent="0.3">
      <c r="B15" s="220"/>
      <c r="C15" s="90" t="e">
        <f>SUM(G15:CE15)/COUNT(G15:CE15)</f>
        <v>#DIV/0!</v>
      </c>
      <c r="D15" s="78">
        <v>11</v>
      </c>
      <c r="E15" s="91" t="s">
        <v>220</v>
      </c>
      <c r="F15" s="83">
        <f t="shared" si="0"/>
        <v>0</v>
      </c>
      <c r="G15" s="58" t="str">
        <f>IF(SUMIFS(Descriptions!$L:$L,Descriptions!J:J,"11.1",Descriptions!B:B,"pci")=0,"",SUMIFS(Descriptions!$L:$L,Descriptions!J:J,"11.1",Descriptions!B:B,"pci")/COUNTIFS(Descriptions!J:J,"11.1",Descriptions!B:B,"pci",Descriptions!$L:$L,"&gt;0")/100)</f>
        <v/>
      </c>
      <c r="H15" s="59" t="str">
        <f>IF(SUMIFS(Descriptions!$L:$L,Descriptions!J:J,"11.1.1",Descriptions!B:B,"pci")=0,"",SUMIFS(Descriptions!$L:$L,Descriptions!J:J,"11.1.1",Descriptions!B:B,"pci")/COUNTIFS(Descriptions!J:J,"11.1.1",Descriptions!B:B,"pci",Descriptions!$L:$L,"&gt;0")/100)</f>
        <v/>
      </c>
      <c r="I15" s="59"/>
      <c r="J15" s="59"/>
      <c r="K15" s="59"/>
      <c r="L15" s="59"/>
      <c r="M15" s="59"/>
      <c r="N15" s="59"/>
      <c r="O15" s="60"/>
      <c r="P15" s="58" t="str">
        <f>IF(SUMIFS(Descriptions!$L:$L,Descriptions!J:J,"11.2",Descriptions!B:B,"pci")=0,"",SUMIFS(Descriptions!$L:$L,Descriptions!J:J,"11.2",Descriptions!B:B,"pci")/COUNTIFS(Descriptions!J:J,"11.2",Descriptions!B:B,"pci",Descriptions!$L:$L,"&gt;0")/100)</f>
        <v/>
      </c>
      <c r="Q15" s="59" t="str">
        <f>IF(SUMIFS(Descriptions!$L:$L,Descriptions!J:J,"11.2.1",Descriptions!B:B,"pci")=0,"",SUMIFS(Descriptions!$L:$L,Descriptions!J:J,"11.2.1",Descriptions!B:B,"pci")/COUNTIFS(Descriptions!J:J,"11.2.1",Descriptions!B:B,"pci",Descriptions!$L:$L,"&gt;0")/100)</f>
        <v/>
      </c>
      <c r="R15" s="59" t="str">
        <f>IF(SUMIFS(Descriptions!$L:$L,Descriptions!J:J,"11.2.2",Descriptions!B:B,"pci")=0,"",SUMIFS(Descriptions!$L:$L,Descriptions!J:J,"11.2.2",Descriptions!B:B,"pci")/COUNTIFS(Descriptions!J:J,"11.2.2",Descriptions!B:B,"pci",Descriptions!$L:$L,"&gt;0")/100)</f>
        <v/>
      </c>
      <c r="S15" s="59" t="str">
        <f>IF(SUMIFS(Descriptions!$L:$L,Descriptions!J:J,"11.2.3",Descriptions!B:B,"pci")=0,"",SUMIFS(Descriptions!$L:$L,Descriptions!J:J,"11.2.3",Descriptions!B:B,"pci")/COUNTIFS(Descriptions!J:J,"11.2.3",Descriptions!B:B,"pci",Descriptions!$L:$L,"&gt;0")/100)</f>
        <v/>
      </c>
      <c r="T15" s="59"/>
      <c r="U15" s="59"/>
      <c r="V15" s="59"/>
      <c r="W15" s="60"/>
      <c r="X15" s="58" t="str">
        <f>IF(SUMIFS(Descriptions!$L:$L,Descriptions!J:J,"11.3",Descriptions!B:B,"pci")=0,"",SUMIFS(Descriptions!$L:$L,Descriptions!J:J,"11.3",Descriptions!B:B,"pci")/COUNTIFS(Descriptions!J:J,"11.3",Descriptions!B:B,"pci",Descriptions!$L:$L,"&gt;0")/100)</f>
        <v/>
      </c>
      <c r="Y15" s="59" t="str">
        <f>IF(SUMIFS(Descriptions!$L:$L,Descriptions!J:J,"11.3.1",Descriptions!B:B,"pci")=0,"",SUMIFS(Descriptions!$L:$L,Descriptions!J:J,"11.3.1",Descriptions!B:B,"pci")/COUNTIFS(Descriptions!J:J,"11.3.1",Descriptions!B:B,"pci",Descriptions!$L:$L,"&gt;0")/100)</f>
        <v/>
      </c>
      <c r="Z15" s="59" t="str">
        <f>IF(SUMIFS(Descriptions!$L:$L,Descriptions!J:J,"11.3.2",Descriptions!B:B,"pci")=0,"",SUMIFS(Descriptions!$L:$L,Descriptions!J:J,"11.3.2",Descriptions!B:B,"pci")/COUNTIFS(Descriptions!J:J,"11.3.2",Descriptions!B:B,"pci",Descriptions!$L:$L,"&gt;0")/100)</f>
        <v/>
      </c>
      <c r="AA15" s="59" t="str">
        <f>IF(SUMIFS(Descriptions!$L:$L,Descriptions!J:J,"11.3.3",Descriptions!B:B,"pci")=0,"",SUMIFS(Descriptions!$L:$L,Descriptions!J:J,"11.3.3",Descriptions!B:B,"pci")/COUNTIFS(Descriptions!J:J,"11.3.3",Descriptions!B:B,"pci",Descriptions!$L:$L,"&gt;0")/100)</f>
        <v/>
      </c>
      <c r="AB15" s="59" t="str">
        <f>IF(SUMIFS(Descriptions!$L:$L,Descriptions!J:J,"11.3.4",Descriptions!B:B,"pci")=0,"",SUMIFS(Descriptions!$L:$L,Descriptions!J:J,"11.3.4",Descriptions!B:B,"pci")/COUNTIFS(Descriptions!J:J,"11.3.4",Descriptions!B:B,"pci",Descriptions!$L:$L,"&gt;0")/100)</f>
        <v/>
      </c>
      <c r="AC15" s="59"/>
      <c r="AD15" s="59"/>
      <c r="AE15" s="59"/>
      <c r="AF15" s="59"/>
      <c r="AG15" s="59"/>
      <c r="AH15" s="60"/>
      <c r="AI15" s="58" t="str">
        <f>IF(SUMIFS(Descriptions!$L:$L,Descriptions!J:J,"11.4",Descriptions!B:B,"pci")=0,"",SUMIFS(Descriptions!$L:$L,Descriptions!J:J,"11.4",Descriptions!B:B,"pci")/COUNTIFS(Descriptions!J:J,"11.4",Descriptions!B:B,"pci",Descriptions!$L:$L,"&gt;0")/100)</f>
        <v/>
      </c>
      <c r="AJ15" s="59"/>
      <c r="AK15" s="59"/>
      <c r="AL15" s="59"/>
      <c r="AM15" s="59"/>
      <c r="AN15" s="59"/>
      <c r="AO15" s="59"/>
      <c r="AP15" s="59"/>
      <c r="AQ15" s="59"/>
      <c r="AR15" s="60"/>
      <c r="AS15" s="58" t="str">
        <f>IF(SUMIFS(Descriptions!$L:$L,Descriptions!J:J,"11.5",Descriptions!B:B,"pci")=0,"",SUMIFS(Descriptions!$L:$L,Descriptions!J:J,"11.5",Descriptions!B:B,"pci")/COUNTIFS(Descriptions!J:J,"11.5",Descriptions!B:B,"pci",Descriptions!$L:$L,"&gt;0")/100)</f>
        <v/>
      </c>
      <c r="AT15" s="59" t="str">
        <f>IF(SUMIFS(Descriptions!$L:$L,Descriptions!J:J,"11.5.1",Descriptions!B:B,"pci")=0,"",SUMIFS(Descriptions!$L:$L,Descriptions!J:J,"11.5.1",Descriptions!B:B,"pci")/COUNTIFS(Descriptions!J:J,"11.5.1",Descriptions!B:B,"pci",Descriptions!$L:$L,"&gt;0")/100)</f>
        <v/>
      </c>
      <c r="AU15" s="59"/>
      <c r="AV15" s="59"/>
      <c r="AW15" s="59"/>
      <c r="AX15" s="59"/>
      <c r="AY15" s="59"/>
      <c r="AZ15" s="59"/>
      <c r="BA15" s="59"/>
      <c r="BB15" s="59"/>
      <c r="BC15" s="60"/>
      <c r="BD15" s="59" t="str">
        <f>IF(SUMIFS(Descriptions!$L:$L,Descriptions!J:J,"11.6",Descriptions!B:B,"pci")=0,"",SUMIFS(Descriptions!$L:$L,Descriptions!J:J,"11.6",Descriptions!B:B,"pci")/COUNTIFS(Descriptions!J:J,"11.6",Descriptions!B:B,"pci",Descriptions!$L:$L,"&gt;0")/100)</f>
        <v/>
      </c>
      <c r="BE15" s="59"/>
      <c r="BF15" s="59"/>
      <c r="BG15" s="59"/>
      <c r="BH15" s="59"/>
      <c r="BI15" s="59"/>
      <c r="BJ15" s="59"/>
      <c r="BK15" s="59"/>
      <c r="BL15" s="60"/>
      <c r="BM15" s="58" t="str">
        <f>IF(SUMIFS(Descriptions!$L:$L,Descriptions!J:J,"11.7",Descriptions!B:B,"pci")=0,"",SUMIFS(Descriptions!$L:$L,Descriptions!J:J,"11.7",Descriptions!B:B,"pci")/COUNTIFS(Descriptions!J:J,"11.7",Descriptions!B:B,"pci",Descriptions!$L:$L,"&gt;0")/100)</f>
        <v/>
      </c>
      <c r="BN15" s="60"/>
      <c r="BO15" s="58"/>
      <c r="BP15" s="59"/>
      <c r="BQ15" s="59"/>
      <c r="BR15" s="59"/>
      <c r="BS15" s="59"/>
      <c r="BT15" s="60"/>
      <c r="BU15" s="58"/>
      <c r="BV15" s="59"/>
      <c r="BW15" s="59"/>
      <c r="BX15" s="60"/>
      <c r="BY15" s="58"/>
      <c r="BZ15" s="59"/>
      <c r="CA15" s="59"/>
      <c r="CB15" s="61"/>
      <c r="CE15" s="62"/>
      <c r="CF15" s="79"/>
    </row>
    <row r="16" spans="2:84" ht="34.5" customHeight="1" thickBot="1" x14ac:dyDescent="0.3">
      <c r="B16" s="221"/>
      <c r="C16" s="92" t="e">
        <f>SUM(G16:CE16)/COUNT(G16:CE16)</f>
        <v>#DIV/0!</v>
      </c>
      <c r="D16" s="93">
        <v>12</v>
      </c>
      <c r="E16" s="94" t="s">
        <v>222</v>
      </c>
      <c r="F16" s="83">
        <f>COUNT(G16:CE16)</f>
        <v>0</v>
      </c>
      <c r="G16" s="63" t="str">
        <f>IF(SUMIFS(Descriptions!$L:$L,Descriptions!J:J,"12.1",Descriptions!B:B,"pci")=0,"",SUMIFS(Descriptions!$L:$L,Descriptions!J:J,"12.1",Descriptions!B:B,"pci")/COUNTIFS(Descriptions!J:J,"12.1",Descriptions!B:B,"pci",Descriptions!$L:$L,"&gt;0")/100)</f>
        <v/>
      </c>
      <c r="H16" s="64" t="str">
        <f>IF(SUMIFS(Descriptions!$L:$L,Descriptions!J:J,"12.1.1",Descriptions!B:B,"pci")=0,"",SUMIFS(Descriptions!$L:$L,Descriptions!J:J,"12.1.1",Descriptions!B:B,"pci")/COUNTIFS(Descriptions!J:J,"12.1.1",Descriptions!B:B,"pci",Descriptions!$L:$L,"&gt;0")/100)</f>
        <v/>
      </c>
      <c r="I16" s="64"/>
      <c r="J16" s="64"/>
      <c r="K16" s="64"/>
      <c r="L16" s="64"/>
      <c r="M16" s="64"/>
      <c r="N16" s="64"/>
      <c r="O16" s="65"/>
      <c r="P16" s="63" t="str">
        <f>IF(SUMIFS(Descriptions!$L:$L,Descriptions!J:J,"12.2",Descriptions!B:B,"pci")=0,"",SUMIFS(Descriptions!$L:$L,Descriptions!J:J,"12.2",Descriptions!B:B,"pci")/COUNTIFS(Descriptions!J:J,"12.2",Descriptions!B:B,"pci",Descriptions!$L:$L,"&gt;0")/100)</f>
        <v/>
      </c>
      <c r="Q16" s="64"/>
      <c r="R16" s="64"/>
      <c r="S16" s="64"/>
      <c r="T16" s="64"/>
      <c r="U16" s="64"/>
      <c r="V16" s="64"/>
      <c r="W16" s="65"/>
      <c r="X16" s="63" t="str">
        <f>IF(SUMIFS(Descriptions!$L:$L,Descriptions!J:J,"12.3",Descriptions!B:B,"pci")=0,"",SUMIFS(Descriptions!$L:$L,Descriptions!J:J,"12.3",Descriptions!B:B,"pci")/COUNTIFS(Descriptions!J:J,"12.3",Descriptions!B:B,"pci",Descriptions!$L:$L,"&gt;0")/100)</f>
        <v/>
      </c>
      <c r="Y16" s="64" t="str">
        <f>IF(SUMIFS(Descriptions!$L:$L,Descriptions!J:J,"12.3.1",Descriptions!B:B,"pci")=0,"",SUMIFS(Descriptions!$L:$L,Descriptions!J:J,"12.3.1",Descriptions!B:B,"pci")/COUNTIFS(Descriptions!J:J,"12.3.1",Descriptions!B:B,"pci",Descriptions!$L:$L,"&gt;0")/100)</f>
        <v/>
      </c>
      <c r="Z16" s="64" t="str">
        <f>IF(SUMIFS(Descriptions!$L:$L,Descriptions!J:J,"12.3.2",Descriptions!B:B,"pci")=0,"",SUMIFS(Descriptions!$L:$L,Descriptions!J:J,"12.3.2",Descriptions!B:B,"pci")/COUNTIFS(Descriptions!J:J,"12.3.2",Descriptions!B:B,"pci",Descriptions!$L:$L,"&gt;0")/100)</f>
        <v/>
      </c>
      <c r="AA16" s="64" t="str">
        <f>IF(SUMIFS(Descriptions!$L:$L,Descriptions!J:J,"12.3.3",Descriptions!B:B,"pci")=0,"",SUMIFS(Descriptions!$L:$L,Descriptions!J:J,"12.3.3",Descriptions!B:B,"pci")/COUNTIFS(Descriptions!J:J,"12.3.3",Descriptions!B:B,"pci",Descriptions!$L:$L,"&gt;0")/100)</f>
        <v/>
      </c>
      <c r="AB16" s="64" t="str">
        <f>IF(SUMIFS(Descriptions!$L:$L,Descriptions!J:J,"12.3.4",Descriptions!B:B,"pci")=0,"",SUMIFS(Descriptions!$L:$L,Descriptions!J:J,"12.3.4",Descriptions!B:B,"pci")/COUNTIFS(Descriptions!J:J,"12.3.4",Descriptions!B:B,"pci",Descriptions!$L:$L,"&gt;0")/100)</f>
        <v/>
      </c>
      <c r="AC16" s="64" t="str">
        <f>IF(SUMIFS(Descriptions!$L:$L,Descriptions!J:J,"12.3.5",Descriptions!B:B,"pci")=0,"",SUMIFS(Descriptions!$L:$L,Descriptions!J:J,"12.3.5",Descriptions!B:B,"pci")/COUNTIFS(Descriptions!J:J,"12.3.5",Descriptions!B:B,"pci",Descriptions!$L:$L,"&gt;0")/100)</f>
        <v/>
      </c>
      <c r="AD16" s="64" t="str">
        <f>IF(SUMIFS(Descriptions!$L:$L,Descriptions!J:J,"12.3.6",Descriptions!B:B,"pci")=0,"",SUMIFS(Descriptions!$L:$L,Descriptions!J:J,"12.3.6",Descriptions!B:B,"pci")/COUNTIFS(Descriptions!J:J,"12.3.6",Descriptions!B:B,"pci",Descriptions!$L:$L,"&gt;0")/100)</f>
        <v/>
      </c>
      <c r="AE16" s="64" t="str">
        <f>IF(SUMIFS(Descriptions!$L:$L,Descriptions!J:J,"12.3.7",Descriptions!B:B,"pci")=0,"",SUMIFS(Descriptions!$L:$L,Descriptions!J:J,"12.3.7",Descriptions!B:B,"pci")/COUNTIFS(Descriptions!J:J,"12.3.7",Descriptions!B:B,"pci",Descriptions!$L:$L,"&gt;0")/100)</f>
        <v/>
      </c>
      <c r="AF16" s="64" t="str">
        <f>IF(SUMIFS(Descriptions!$L:$L,Descriptions!J:J,"12.3.8",Descriptions!B:B,"pci")=0,"",SUMIFS(Descriptions!$L:$L,Descriptions!J:J,"12.3.8",Descriptions!B:B,"pci")/COUNTIFS(Descriptions!J:J,"12.3.8",Descriptions!B:B,"pci",Descriptions!$L:$L,"&gt;0")/100)</f>
        <v/>
      </c>
      <c r="AG16" s="64" t="str">
        <f>IF(SUMIFS(Descriptions!$L:$L,Descriptions!J:J,"12.3.9",Descriptions!B:B,"pci")=0,"",SUMIFS(Descriptions!$L:$L,Descriptions!J:J,"12.3.9",Descriptions!B:B,"pci")/COUNTIFS(Descriptions!J:J,"12.3.9",Descriptions!B:B,"pci",Descriptions!$L:$L,"&gt;0")/100)</f>
        <v/>
      </c>
      <c r="AH16" s="65" t="str">
        <f>IF(SUMIFS(Descriptions!$L:$L,Descriptions!J:J,"12.3.10",Descriptions!B:B,"pci")=0,"",SUMIFS(Descriptions!$L:$L,Descriptions!J:J,"12.3.10",Descriptions!B:B,"pci")/COUNTIFS(Descriptions!J:J,"12.3.10",Descriptions!B:B,"pci",Descriptions!$L:$L,"&gt;0")/100)</f>
        <v/>
      </c>
      <c r="AI16" s="63" t="str">
        <f>IF(SUMIFS(Descriptions!$L:$L,Descriptions!J:J,"12.4",Descriptions!B:B,"pci")=0,"",SUMIFS(Descriptions!$L:$L,Descriptions!J:J,"12.4",Descriptions!B:B,"pci")/COUNTIFS(Descriptions!J:J,"12.4",Descriptions!B:B,"pci",Descriptions!$L:$L,"&gt;0")/100)</f>
        <v/>
      </c>
      <c r="AJ16" s="64"/>
      <c r="AK16" s="64"/>
      <c r="AL16" s="64"/>
      <c r="AM16" s="64"/>
      <c r="AN16" s="64"/>
      <c r="AO16" s="64"/>
      <c r="AP16" s="64"/>
      <c r="AQ16" s="64"/>
      <c r="AR16" s="65"/>
      <c r="AS16" s="63" t="str">
        <f>IF(SUMIFS(Descriptions!$L:$L,Descriptions!J:J,"12.5",Descriptions!B:B,"pci")=0,"",SUMIFS(Descriptions!$L:$L,Descriptions!J:J,"12.5",Descriptions!B:B,"pci")/COUNTIFS(Descriptions!J:J,"12.5",Descriptions!B:B,"pci",Descriptions!$L:$L,"&gt;0")/100)</f>
        <v/>
      </c>
      <c r="AT16" s="64" t="str">
        <f>IF(SUMIFS(Descriptions!$L:$L,Descriptions!J:J,"12.5.1",Descriptions!B:B,"pci")=0,"",SUMIFS(Descriptions!$L:$L,Descriptions!J:J,"12.5.1",Descriptions!B:B,"pci")/COUNTIFS(Descriptions!J:J,"12.5.1",Descriptions!B:B,"pci",Descriptions!$L:$L,"&gt;0")/100)</f>
        <v/>
      </c>
      <c r="AU16" s="64" t="str">
        <f>IF(SUMIFS(Descriptions!$L:$L,Descriptions!J:J,"12.5.2",Descriptions!B:B,"pci")=0,"",SUMIFS(Descriptions!$L:$L,Descriptions!J:J,"12.5.2",Descriptions!B:B,"pci")/COUNTIFS(Descriptions!J:J,"12.5.2",Descriptions!B:B,"pci",Descriptions!$L:$L,"&gt;0")/100)</f>
        <v/>
      </c>
      <c r="AV16" s="64" t="str">
        <f>IF(SUMIFS(Descriptions!$L:$L,Descriptions!J:J,"12.5.3",Descriptions!B:B,"pci")=0,"",SUMIFS(Descriptions!$L:$L,Descriptions!J:J,"12.5.3",Descriptions!B:B,"pci")/COUNTIFS(Descriptions!J:J,"12.5.3",Descriptions!B:B,"pci",Descriptions!$L:$L,"&gt;0")/100)</f>
        <v/>
      </c>
      <c r="AW16" s="64" t="str">
        <f>IF(SUMIFS(Descriptions!$L:$L,Descriptions!J:J,"12.5.4",Descriptions!B:B,"pci")=0,"",SUMIFS(Descriptions!$L:$L,Descriptions!J:J,"12.5.4",Descriptions!B:B,"pci")/COUNTIFS(Descriptions!J:J,"12.5.4",Descriptions!B:B,"pci",Descriptions!$L:$L,"&gt;0")/100)</f>
        <v/>
      </c>
      <c r="AX16" s="64" t="str">
        <f>IF(SUMIFS(Descriptions!$L:$L,Descriptions!J:J,"12.5.5",Descriptions!B:B,"pci")=0,"",SUMIFS(Descriptions!$L:$L,Descriptions!J:J,"12.5.5",Descriptions!B:B,"pci")/COUNTIFS(Descriptions!J:J,"12.5.5",Descriptions!B:B,"pci",Descriptions!$L:$L,"&gt;0")/100)</f>
        <v/>
      </c>
      <c r="AY16" s="64"/>
      <c r="AZ16" s="64"/>
      <c r="BA16" s="64"/>
      <c r="BB16" s="64"/>
      <c r="BC16" s="65"/>
      <c r="BD16" s="64" t="str">
        <f>IF(SUMIFS(Descriptions!$L:$L,Descriptions!J:J,"12.6",Descriptions!B:B,"pci")=0,"",SUMIFS(Descriptions!$L:$L,Descriptions!J:J,"12.6",Descriptions!B:B,"pci")/COUNTIFS(Descriptions!J:J,"12.6",Descriptions!B:B,"pci",Descriptions!$L:$L,"&gt;0")/100)</f>
        <v/>
      </c>
      <c r="BE16" s="64" t="str">
        <f>IF(SUMIFS(Descriptions!$L:$L,Descriptions!J:J,"12.6.1",Descriptions!B:B,"pci")=0,"",SUMIFS(Descriptions!$L:$L,Descriptions!J:J,"12.6.1",Descriptions!B:B,"pci")/COUNTIFS(Descriptions!J:J,"12.6.1",Descriptions!B:B,"pci",Descriptions!$L:$L,"&gt;0")/100)</f>
        <v/>
      </c>
      <c r="BF16" s="64" t="str">
        <f>IF(SUMIFS(Descriptions!$L:$L,Descriptions!J:J,"12.6.2",Descriptions!B:B,"pci")=0,"",SUMIFS(Descriptions!$L:$L,Descriptions!J:J,"12.6.2",Descriptions!B:B,"pci")/COUNTIFS(Descriptions!J:J,"12.6.2",Descriptions!B:B,"pci",Descriptions!$L:$L,"&gt;0")/100)</f>
        <v/>
      </c>
      <c r="BG16" s="64"/>
      <c r="BH16" s="64"/>
      <c r="BI16" s="64"/>
      <c r="BJ16" s="64"/>
      <c r="BK16" s="64"/>
      <c r="BL16" s="65"/>
      <c r="BM16" s="63" t="str">
        <f>IF(SUMIFS(Descriptions!$L:$L,Descriptions!J:J,"12.7",Descriptions!B:B,"pci")=0,"",SUMIFS(Descriptions!$L:$L,Descriptions!J:J,"12.7",Descriptions!B:B,"pci")/COUNTIFS(Descriptions!J:J,"12.7",Descriptions!B:B,"pci",Descriptions!$L:$L,"&gt;0")/100)</f>
        <v/>
      </c>
      <c r="BN16" s="65"/>
      <c r="BO16" s="63" t="str">
        <f>IF(SUMIFS(Descriptions!$L:$L,Descriptions!J:J,"12.8",Descriptions!B:B,"pci")=0,"",SUMIFS(Descriptions!$L:$L,Descriptions!J:J,"12.8",Descriptions!B:B,"pci")/COUNTIFS(Descriptions!J:J,"12.8",Descriptions!B:B,"pci",Descriptions!$L:$L,"&gt;0")/100)</f>
        <v/>
      </c>
      <c r="BP16" s="64" t="str">
        <f>IF(SUMIFS(Descriptions!$L:$L,Descriptions!J:J,"12.8.1",Descriptions!B:B,"pci")=0,"",SUMIFS(Descriptions!$L:$L,Descriptions!J:J,"12.8.1",Descriptions!B:B,"pci")/COUNTIFS(Descriptions!J:J,"12.8.1",Descriptions!B:B,"pci",Descriptions!$L:$L,"&gt;0")/100)</f>
        <v/>
      </c>
      <c r="BQ16" s="64" t="str">
        <f>IF(SUMIFS(Descriptions!$L:$L,Descriptions!J:J,"12.8.2",Descriptions!B:B,"pci")=0,"",SUMIFS(Descriptions!$L:$L,Descriptions!J:J,"12.8.2",Descriptions!B:B,"pci")/COUNTIFS(Descriptions!J:J,"12.8.2",Descriptions!B:B,"pci",Descriptions!$L:$L,"&gt;0")/100)</f>
        <v/>
      </c>
      <c r="BR16" s="64" t="str">
        <f>IF(SUMIFS(Descriptions!$L:$L,Descriptions!J:J,"12.8.3",Descriptions!B:B,"pci")=0,"",SUMIFS(Descriptions!$L:$L,Descriptions!J:J,"12.8.3",Descriptions!B:B,"pci")/COUNTIFS(Descriptions!J:J,"12.8.3",Descriptions!B:B,"pci",Descriptions!$L:$L,"&gt;0")/100)</f>
        <v/>
      </c>
      <c r="BS16" s="64" t="str">
        <f>IF(SUMIFS(Descriptions!$L:$L,Descriptions!J:J,"12.8.4",Descriptions!B:B,"pci")=0,"",SUMIFS(Descriptions!$L:$L,Descriptions!J:J,"12.8.4",Descriptions!B:B,"pci")/COUNTIFS(Descriptions!J:J,"12.8.4",Descriptions!B:B,"pci",Descriptions!$L:$L,"&gt;0")/100)</f>
        <v/>
      </c>
      <c r="BT16" s="65" t="str">
        <f>IF(SUMIFS(Descriptions!$L:$L,Descriptions!J:J,"12.8.5",Descriptions!B:B,"pci")=0,"",SUMIFS(Descriptions!$L:$L,Descriptions!J:J,"12.8.5",Descriptions!B:B,"pci")/COUNTIFS(Descriptions!J:J,"12.8.5",Descriptions!B:B,"pci",Descriptions!$L:$L,"&gt;0")/100)</f>
        <v/>
      </c>
      <c r="BU16" s="63" t="str">
        <f>IF(SUMIFS(Descriptions!$L:$L,Descriptions!J:J,"12.9",Descriptions!B:B,"pci")=0,"",SUMIFS(Descriptions!$L:$L,Descriptions!J:J,"12.9",Descriptions!B:B,"pci")/COUNTIFS(Descriptions!J:J,"12.9",Descriptions!B:B,"pci",Descriptions!$L:$L,"&gt;0")/100)</f>
        <v/>
      </c>
      <c r="BV16" s="64"/>
      <c r="BW16" s="64"/>
      <c r="BX16" s="65"/>
      <c r="BY16" s="63" t="str">
        <f>IF(SUMIFS(Descriptions!$L:$L,Descriptions!J:J,"12.10-",Descriptions!B:B,"pci")=0,"",SUMIFS(Descriptions!$L:$L,Descriptions!J:J,"12.10-",Descriptions!B:B,"pci")/COUNTIFS(Descriptions!J:J,"12.10-",Descriptions!B:B,"pci",Descriptions!$L:$L,"&gt;0")/100)</f>
        <v/>
      </c>
      <c r="BZ16" s="64" t="str">
        <f>IF(SUMIFS(Descriptions!$L:$L,Descriptions!J:J,"12.10.1",Descriptions!B:B,"pci")=0,"",SUMIFS(Descriptions!$L:$L,Descriptions!J:J,"12.10.1",Descriptions!B:B,"pci")/COUNTIFS(Descriptions!J:J,"12.10.1",Descriptions!B:B,"pci",Descriptions!$L:$L,"&gt;0")/100)</f>
        <v/>
      </c>
      <c r="CA16" s="64" t="str">
        <f>IF(SUMIFS(Descriptions!$L:$L,Descriptions!J:J,"12.10.2",Descriptions!B:B,"pci")=0,"",SUMIFS(Descriptions!$L:$L,Descriptions!J:J,"12.10.2",Descriptions!B:B,"pci")/COUNTIFS(Descriptions!J:J,"12.10.2",Descriptions!B:B,"pci",Descriptions!$L:$L,"&gt;0")/100)</f>
        <v/>
      </c>
      <c r="CB16" s="64" t="str">
        <f>IF(SUMIFS(Descriptions!$L:$L,Descriptions!J:J,"12.10.3",Descriptions!B:B,"pci")=0,"",SUMIFS(Descriptions!$L:$L,Descriptions!J:J,"12.10.3",Descriptions!B:B,"pci")/COUNTIFS(Descriptions!J:J,"12.10.3",Descriptions!B:B,"pci",Descriptions!$L:$L,"&gt;0")/100)</f>
        <v/>
      </c>
      <c r="CC16" s="64" t="str">
        <f>IF(SUMIFS(Descriptions!$L:$L,Descriptions!J:J,"12.10.4",Descriptions!B:B,"pci")=0,"",SUMIFS(Descriptions!$L:$L,Descriptions!J:J,"12.10.4",Descriptions!B:B,"pci")/COUNTIFS(Descriptions!J:J,"12.10.4",Descriptions!B:B,"pci",Descriptions!$L:$L,"&gt;0")/100)</f>
        <v/>
      </c>
      <c r="CD16" s="64" t="str">
        <f>IF(SUMIFS(Descriptions!$L:$L,Descriptions!J:J,"12.10.5",Descriptions!B:B,"pci")=0,"",SUMIFS(Descriptions!$L:$L,Descriptions!J:J,"12.10.5",Descriptions!B:B,"pci")/COUNTIFS(Descriptions!J:J,"12.10.5",Descriptions!B:B,"pci",Descriptions!$L:$L,"&gt;0")/100)</f>
        <v/>
      </c>
      <c r="CE16" s="65" t="str">
        <f>IF(SUMIFS(Descriptions!$L:$L,Descriptions!J:J,"12.10.6",Descriptions!B:B,"pci")=0,"",SUMIFS(Descriptions!$L:$L,Descriptions!J:J,"12.10.6",Descriptions!B:B,"pci")/COUNTIFS(Descriptions!J:J,"12.10.6",Descriptions!B:B,"pci",Descriptions!$L:$L,"&gt;0")/100)</f>
        <v/>
      </c>
      <c r="CF16" s="79"/>
    </row>
    <row r="17" spans="6:7" x14ac:dyDescent="0.25">
      <c r="F17" s="84"/>
    </row>
    <row r="18" spans="6:7" x14ac:dyDescent="0.25">
      <c r="G18" s="51" t="s">
        <v>601</v>
      </c>
    </row>
  </sheetData>
  <mergeCells count="3">
    <mergeCell ref="B5:B16"/>
    <mergeCell ref="C2:D4"/>
    <mergeCell ref="B2:B4"/>
  </mergeCells>
  <conditionalFormatting sqref="G16:CE16 G5:CA15">
    <cfRule type="colorScale" priority="5">
      <colorScale>
        <cfvo type="min"/>
        <cfvo type="percentile" val="50"/>
        <cfvo type="max"/>
        <color rgb="FFF8696B"/>
        <color rgb="FFFFEB84"/>
        <color rgb="FF63BE7B"/>
      </colorScale>
    </cfRule>
  </conditionalFormatting>
  <conditionalFormatting sqref="C5:C1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FF00"/>
  </sheetPr>
  <dimension ref="A2:L29"/>
  <sheetViews>
    <sheetView topLeftCell="A4" zoomScale="90" zoomScaleNormal="90" workbookViewId="0">
      <selection activeCell="K40" sqref="K40"/>
    </sheetView>
  </sheetViews>
  <sheetFormatPr defaultRowHeight="15.75" x14ac:dyDescent="0.25"/>
  <cols>
    <col min="1" max="1" width="4.5" customWidth="1"/>
  </cols>
  <sheetData>
    <row r="2" spans="2:12" ht="18" customHeight="1" x14ac:dyDescent="0.25">
      <c r="C2" s="9"/>
      <c r="D2" s="9"/>
    </row>
    <row r="3" spans="2:12" x14ac:dyDescent="0.25">
      <c r="C3" s="6"/>
      <c r="D3" s="6"/>
      <c r="E3" s="6"/>
    </row>
    <row r="4" spans="2:12" ht="15.75" customHeight="1" x14ac:dyDescent="0.25">
      <c r="C4" s="10"/>
      <c r="D4" s="10"/>
    </row>
    <row r="5" spans="2:12" ht="15.75" customHeight="1" x14ac:dyDescent="0.25">
      <c r="D5" s="20"/>
    </row>
    <row r="6" spans="2:12" ht="16.5" customHeight="1" thickBot="1" x14ac:dyDescent="0.3">
      <c r="C6" s="10"/>
      <c r="D6" s="10"/>
      <c r="J6" s="234" t="s">
        <v>247</v>
      </c>
      <c r="K6" s="234"/>
      <c r="L6" s="234"/>
    </row>
    <row r="7" spans="2:12" ht="15.75" customHeight="1" thickBot="1" x14ac:dyDescent="0.3">
      <c r="B7" s="260" t="s">
        <v>252</v>
      </c>
      <c r="C7" s="261"/>
      <c r="D7" s="262"/>
      <c r="E7" s="68"/>
      <c r="F7" s="231">
        <v>0.6</v>
      </c>
      <c r="J7" s="235"/>
      <c r="K7" s="235"/>
      <c r="L7" s="235"/>
    </row>
    <row r="8" spans="2:12" ht="16.5" customHeight="1" x14ac:dyDescent="0.25">
      <c r="B8" s="263"/>
      <c r="C8" s="264"/>
      <c r="D8" s="265"/>
      <c r="E8" s="69"/>
      <c r="F8" s="232"/>
      <c r="J8" s="251">
        <f>IF(K16&gt;B25,1,K16/B25)</f>
        <v>0.91</v>
      </c>
      <c r="K8" s="252"/>
      <c r="L8" s="253"/>
    </row>
    <row r="9" spans="2:12" ht="16.5" thickBot="1" x14ac:dyDescent="0.3">
      <c r="B9" s="266"/>
      <c r="C9" s="267"/>
      <c r="D9" s="268"/>
      <c r="E9" s="70"/>
      <c r="F9" s="233"/>
      <c r="J9" s="254"/>
      <c r="K9" s="255"/>
      <c r="L9" s="256"/>
    </row>
    <row r="10" spans="2:12" ht="15.75" customHeight="1" thickBot="1" x14ac:dyDescent="0.3">
      <c r="B10" s="7"/>
      <c r="J10" s="257"/>
      <c r="K10" s="258"/>
      <c r="L10" s="259"/>
    </row>
    <row r="11" spans="2:12" ht="15.75" customHeight="1" thickBot="1" x14ac:dyDescent="0.3">
      <c r="B11" s="7"/>
      <c r="K11" s="32"/>
      <c r="L11" s="32"/>
    </row>
    <row r="12" spans="2:12" ht="15.75" customHeight="1" x14ac:dyDescent="0.25">
      <c r="C12" s="239" t="s">
        <v>253</v>
      </c>
      <c r="D12" s="240"/>
      <c r="E12" s="241"/>
      <c r="F12" s="68"/>
      <c r="G12" s="231">
        <v>0.75</v>
      </c>
    </row>
    <row r="13" spans="2:12" ht="15.75" customHeight="1" x14ac:dyDescent="0.25">
      <c r="C13" s="242"/>
      <c r="D13" s="243"/>
      <c r="E13" s="244"/>
      <c r="F13" s="69"/>
      <c r="G13" s="232"/>
    </row>
    <row r="14" spans="2:12" ht="15.75" customHeight="1" thickBot="1" x14ac:dyDescent="0.3">
      <c r="C14" s="245"/>
      <c r="D14" s="246"/>
      <c r="E14" s="247"/>
      <c r="F14" s="70"/>
      <c r="G14" s="233"/>
    </row>
    <row r="15" spans="2:12" ht="15.75" customHeight="1" thickBot="1" x14ac:dyDescent="0.3">
      <c r="K15" s="21" t="s">
        <v>767</v>
      </c>
    </row>
    <row r="16" spans="2:12" ht="16.5" thickBot="1" x14ac:dyDescent="0.3">
      <c r="K16" s="248">
        <f>SUM(F7,G12,H17,I22,J27)/COUNT(F7,G12,H17,I22,J27)</f>
        <v>0.72800000000000009</v>
      </c>
    </row>
    <row r="17" spans="1:11" x14ac:dyDescent="0.25">
      <c r="D17" s="269" t="s">
        <v>254</v>
      </c>
      <c r="E17" s="270"/>
      <c r="F17" s="271"/>
      <c r="G17" s="68"/>
      <c r="H17" s="231">
        <v>0.8</v>
      </c>
      <c r="K17" s="249"/>
    </row>
    <row r="18" spans="1:11" ht="16.5" thickBot="1" x14ac:dyDescent="0.3">
      <c r="D18" s="272"/>
      <c r="E18" s="273"/>
      <c r="F18" s="274"/>
      <c r="G18" s="69"/>
      <c r="H18" s="232"/>
      <c r="K18" s="250"/>
    </row>
    <row r="19" spans="1:11" ht="16.5" thickBot="1" x14ac:dyDescent="0.3">
      <c r="D19" s="275"/>
      <c r="E19" s="276"/>
      <c r="F19" s="277"/>
      <c r="G19" s="70"/>
      <c r="H19" s="233"/>
    </row>
    <row r="21" spans="1:11" ht="16.5" thickBot="1" x14ac:dyDescent="0.3"/>
    <row r="22" spans="1:11" x14ac:dyDescent="0.25">
      <c r="E22" s="278" t="s">
        <v>255</v>
      </c>
      <c r="F22" s="279"/>
      <c r="G22" s="280"/>
      <c r="H22" s="68"/>
      <c r="I22" s="231">
        <v>0.99</v>
      </c>
    </row>
    <row r="23" spans="1:11" x14ac:dyDescent="0.25">
      <c r="B23" s="18" t="s">
        <v>811</v>
      </c>
      <c r="E23" s="281"/>
      <c r="F23" s="282"/>
      <c r="G23" s="283"/>
      <c r="H23" s="69"/>
      <c r="I23" s="232"/>
    </row>
    <row r="24" spans="1:11" ht="16.5" thickBot="1" x14ac:dyDescent="0.3">
      <c r="B24" s="95" t="s">
        <v>603</v>
      </c>
      <c r="D24" s="23"/>
      <c r="E24" s="284"/>
      <c r="F24" s="285"/>
      <c r="G24" s="286"/>
      <c r="H24" s="70"/>
      <c r="I24" s="233"/>
    </row>
    <row r="25" spans="1:11" x14ac:dyDescent="0.25">
      <c r="B25" s="236">
        <v>0.8</v>
      </c>
      <c r="D25" s="23"/>
    </row>
    <row r="26" spans="1:11" ht="16.5" thickBot="1" x14ac:dyDescent="0.3">
      <c r="B26" s="237"/>
      <c r="D26" s="23"/>
    </row>
    <row r="27" spans="1:11" ht="16.5" thickBot="1" x14ac:dyDescent="0.3">
      <c r="B27" s="238"/>
      <c r="F27" s="287" t="s">
        <v>256</v>
      </c>
      <c r="G27" s="288"/>
      <c r="H27" s="289"/>
      <c r="I27" s="68"/>
      <c r="J27" s="231">
        <v>0.5</v>
      </c>
    </row>
    <row r="28" spans="1:11" x14ac:dyDescent="0.25">
      <c r="A28" s="19"/>
      <c r="B28" s="145"/>
      <c r="F28" s="290"/>
      <c r="G28" s="291"/>
      <c r="H28" s="292"/>
      <c r="I28" s="69"/>
      <c r="J28" s="232"/>
    </row>
    <row r="29" spans="1:11" ht="16.5" thickBot="1" x14ac:dyDescent="0.3">
      <c r="F29" s="293"/>
      <c r="G29" s="294"/>
      <c r="H29" s="295"/>
      <c r="I29" s="70"/>
      <c r="J29" s="233"/>
    </row>
  </sheetData>
  <sheetProtection selectLockedCells="1" selectUnlockedCells="1"/>
  <mergeCells count="14">
    <mergeCell ref="I22:I24"/>
    <mergeCell ref="J27:J29"/>
    <mergeCell ref="J6:L7"/>
    <mergeCell ref="H17:H19"/>
    <mergeCell ref="B25:B27"/>
    <mergeCell ref="C12:E14"/>
    <mergeCell ref="G12:G14"/>
    <mergeCell ref="K16:K18"/>
    <mergeCell ref="J8:L10"/>
    <mergeCell ref="B7:D9"/>
    <mergeCell ref="D17:F19"/>
    <mergeCell ref="E22:G24"/>
    <mergeCell ref="F27:H29"/>
    <mergeCell ref="F7:F9"/>
  </mergeCells>
  <conditionalFormatting sqref="C2:D2">
    <cfRule type="colorScale" priority="6">
      <colorScale>
        <cfvo type="min"/>
        <cfvo type="percentile" val="50"/>
        <cfvo type="max"/>
        <color rgb="FFF8696B"/>
        <color rgb="FFFFEB84"/>
        <color rgb="FF63BE7B"/>
      </colorScale>
    </cfRule>
  </conditionalFormatting>
  <conditionalFormatting sqref="C4:D4">
    <cfRule type="top10" dxfId="0" priority="5" percent="1" rank="10"/>
  </conditionalFormatting>
  <conditionalFormatting sqref="J27:J29 I22:I24 H17:H19">
    <cfRule type="colorScale" priority="4">
      <colorScale>
        <cfvo type="min"/>
        <cfvo type="percentile" val="50"/>
        <cfvo type="max"/>
        <color rgb="FFF8696B"/>
        <color rgb="FFFFEB84"/>
        <color rgb="FF63BE7B"/>
      </colorScale>
    </cfRule>
  </conditionalFormatting>
  <conditionalFormatting sqref="H17:H19">
    <cfRule type="colorScale" priority="3">
      <colorScale>
        <cfvo type="min"/>
        <cfvo type="percentile" val="50"/>
        <cfvo type="max"/>
        <color rgb="FFF8696B"/>
        <color rgb="FFFFEB84"/>
        <color rgb="FF63BE7B"/>
      </colorScale>
    </cfRule>
  </conditionalFormatting>
  <conditionalFormatting sqref="J27:J29 J8 I22:I24 H17:H19 G12 F7:F9">
    <cfRule type="colorScale" priority="2">
      <colorScale>
        <cfvo type="min"/>
        <cfvo type="percentile" val="50"/>
        <cfvo type="max"/>
        <color rgb="FFF8696B"/>
        <color rgb="FFFFEB84"/>
        <color rgb="FF63BE7B"/>
      </colorScale>
    </cfRule>
  </conditionalFormatting>
  <conditionalFormatting sqref="B25:B27 J8:L10">
    <cfRule type="colorScale" priority="1">
      <colorScale>
        <cfvo type="min"/>
        <cfvo type="percentile" val="50"/>
        <cfvo type="max"/>
        <color rgb="FFF8696B"/>
        <color rgb="FFFFEB84"/>
        <color rgb="FF63BE7B"/>
      </colorScale>
    </cfRule>
  </conditionalFormatting>
  <pageMargins left="0.7" right="0.7" top="0.75" bottom="0.75" header="0.3" footer="0.3"/>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A20" sqref="A20"/>
    </sheetView>
  </sheetViews>
  <sheetFormatPr defaultRowHeight="15.75" x14ac:dyDescent="0.25"/>
  <cols>
    <col min="1" max="1" width="54.625" style="159" customWidth="1"/>
    <col min="2" max="2" width="63.375" style="159" customWidth="1"/>
    <col min="3" max="3" width="16.875" bestFit="1" customWidth="1"/>
  </cols>
  <sheetData>
    <row r="1" spans="1:2" x14ac:dyDescent="0.25">
      <c r="A1" s="159" t="s">
        <v>1273</v>
      </c>
    </row>
    <row r="2" spans="1:2" x14ac:dyDescent="0.25">
      <c r="A2" s="159" t="s">
        <v>1282</v>
      </c>
    </row>
    <row r="3" spans="1:2" x14ac:dyDescent="0.25">
      <c r="A3" s="159" t="s">
        <v>812</v>
      </c>
    </row>
    <row r="4" spans="1:2" x14ac:dyDescent="0.25">
      <c r="A4" s="159" t="s">
        <v>1035</v>
      </c>
    </row>
    <row r="5" spans="1:2" ht="16.5" customHeight="1" x14ac:dyDescent="0.25"/>
    <row r="6" spans="1:2" ht="28.5" customHeight="1" x14ac:dyDescent="0.25">
      <c r="A6"/>
      <c r="B6" s="176" t="s">
        <v>1264</v>
      </c>
    </row>
    <row r="7" spans="1:2" ht="63" x14ac:dyDescent="0.25">
      <c r="A7" s="159" t="s">
        <v>1274</v>
      </c>
      <c r="B7" s="159" t="s">
        <v>1271</v>
      </c>
    </row>
    <row r="8" spans="1:2" x14ac:dyDescent="0.25">
      <c r="A8" s="159" t="s">
        <v>1269</v>
      </c>
      <c r="B8" s="176" t="s">
        <v>1267</v>
      </c>
    </row>
    <row r="9" spans="1:2" x14ac:dyDescent="0.25">
      <c r="A9" s="159" t="s">
        <v>1270</v>
      </c>
      <c r="B9" s="176" t="s">
        <v>1268</v>
      </c>
    </row>
    <row r="11" spans="1:2" x14ac:dyDescent="0.25">
      <c r="A11" s="159" t="s">
        <v>1225</v>
      </c>
      <c r="B11" s="176" t="s">
        <v>1227</v>
      </c>
    </row>
    <row r="12" spans="1:2" ht="31.5" x14ac:dyDescent="0.25">
      <c r="A12" s="159" t="s">
        <v>1226</v>
      </c>
      <c r="B12" s="176" t="s">
        <v>1265</v>
      </c>
    </row>
    <row r="13" spans="1:2" x14ac:dyDescent="0.25">
      <c r="A13" s="159" t="s">
        <v>601</v>
      </c>
    </row>
    <row r="14" spans="1:2" ht="63" x14ac:dyDescent="0.25">
      <c r="A14" s="159" t="s">
        <v>1272</v>
      </c>
    </row>
    <row r="15" spans="1:2" x14ac:dyDescent="0.25">
      <c r="B15" s="176" t="s">
        <v>1266</v>
      </c>
    </row>
    <row r="18" spans="1:3" ht="21" x14ac:dyDescent="0.35">
      <c r="A18" s="174" t="s">
        <v>1275</v>
      </c>
      <c r="B18" s="174" t="s">
        <v>1213</v>
      </c>
      <c r="C18" s="175" t="s">
        <v>1277</v>
      </c>
    </row>
    <row r="19" spans="1:3" ht="31.5" x14ac:dyDescent="0.25">
      <c r="A19" s="159" t="s">
        <v>1276</v>
      </c>
      <c r="B19" s="159" t="s">
        <v>1280</v>
      </c>
      <c r="C19" s="173">
        <v>42955</v>
      </c>
    </row>
    <row r="20" spans="1:3" x14ac:dyDescent="0.25">
      <c r="A20" s="159" t="s">
        <v>1276</v>
      </c>
      <c r="B20" s="159" t="s">
        <v>1278</v>
      </c>
      <c r="C20" s="173">
        <v>42916</v>
      </c>
    </row>
    <row r="21" spans="1:3" x14ac:dyDescent="0.25">
      <c r="A21" s="159" t="s">
        <v>1276</v>
      </c>
      <c r="B21" s="159" t="s">
        <v>1279</v>
      </c>
      <c r="C21" s="173">
        <v>41777</v>
      </c>
    </row>
    <row r="22" spans="1:3" ht="31.5" x14ac:dyDescent="0.25">
      <c r="A22" s="159" t="s">
        <v>1276</v>
      </c>
      <c r="B22" s="159" t="s">
        <v>1281</v>
      </c>
      <c r="C22" s="173">
        <v>41504</v>
      </c>
    </row>
  </sheetData>
  <sheetProtection algorithmName="SHA-512" hashValue="Dvl3CsY9twheliOGWH/jZfx7sycuD6wKSQSG7JPEqbGMd3Lyjzce0IwMbfuu9zfJjJ6j36Is7f6Mxe1VzbmZjA==" saltValue="fr6hZIxSGsC1T5m/G3Go4A==" spinCount="100000" sheet="1" objects="1" scenarios="1"/>
  <hyperlinks>
    <hyperlink ref="B11" r:id="rId1"/>
    <hyperlink ref="B15" r:id="rId2"/>
    <hyperlink ref="B8" r:id="rId3"/>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A18" sqref="A18"/>
    </sheetView>
  </sheetViews>
  <sheetFormatPr defaultRowHeight="15.75" x14ac:dyDescent="0.25"/>
  <cols>
    <col min="2" max="2" width="18.5" customWidth="1"/>
  </cols>
  <sheetData>
    <row r="1" spans="1:7" x14ac:dyDescent="0.25">
      <c r="A1" t="s">
        <v>1212</v>
      </c>
      <c r="B1" t="s">
        <v>1213</v>
      </c>
    </row>
    <row r="2" spans="1:7" x14ac:dyDescent="0.25">
      <c r="A2" s="158">
        <v>1</v>
      </c>
      <c r="B2" t="s">
        <v>1214</v>
      </c>
    </row>
    <row r="3" spans="1:7" x14ac:dyDescent="0.25">
      <c r="A3" s="158">
        <v>1.1000000000000001</v>
      </c>
      <c r="B3" t="s">
        <v>1215</v>
      </c>
    </row>
    <row r="4" spans="1:7" x14ac:dyDescent="0.25">
      <c r="A4" s="158">
        <v>1.2</v>
      </c>
      <c r="B4" t="s">
        <v>1216</v>
      </c>
    </row>
    <row r="5" spans="1:7" x14ac:dyDescent="0.25">
      <c r="A5" s="158">
        <v>2</v>
      </c>
      <c r="B5" t="s">
        <v>1217</v>
      </c>
    </row>
    <row r="6" spans="1:7" x14ac:dyDescent="0.25">
      <c r="A6" s="158">
        <v>2.1</v>
      </c>
      <c r="B6" t="s">
        <v>1218</v>
      </c>
    </row>
    <row r="7" spans="1:7" x14ac:dyDescent="0.25">
      <c r="A7" s="158">
        <v>3</v>
      </c>
      <c r="B7" t="s">
        <v>1219</v>
      </c>
    </row>
    <row r="8" spans="1:7" x14ac:dyDescent="0.25">
      <c r="A8" s="158">
        <v>4</v>
      </c>
      <c r="B8" t="s">
        <v>1220</v>
      </c>
    </row>
    <row r="9" spans="1:7" x14ac:dyDescent="0.25">
      <c r="A9" s="158">
        <v>5</v>
      </c>
      <c r="B9" t="s">
        <v>1221</v>
      </c>
    </row>
    <row r="10" spans="1:7" x14ac:dyDescent="0.25">
      <c r="A10" s="158">
        <v>5.0999999999999996</v>
      </c>
      <c r="B10" t="s">
        <v>1222</v>
      </c>
    </row>
    <row r="11" spans="1:7" x14ac:dyDescent="0.25">
      <c r="A11" s="158">
        <v>5.2</v>
      </c>
      <c r="B11" t="s">
        <v>1223</v>
      </c>
    </row>
    <row r="12" spans="1:7" x14ac:dyDescent="0.25">
      <c r="A12" s="158">
        <v>5.3</v>
      </c>
      <c r="B12" t="s">
        <v>1224</v>
      </c>
    </row>
    <row r="13" spans="1:7" x14ac:dyDescent="0.25">
      <c r="B13" t="s">
        <v>1228</v>
      </c>
    </row>
    <row r="16" spans="1:7" x14ac:dyDescent="0.25">
      <c r="C16" t="s">
        <v>1254</v>
      </c>
      <c r="E16" s="172" t="s">
        <v>1255</v>
      </c>
      <c r="G16" s="158" t="s">
        <v>1256</v>
      </c>
    </row>
    <row r="17" spans="1:8" x14ac:dyDescent="0.25">
      <c r="A17" t="s">
        <v>1253</v>
      </c>
      <c r="C17">
        <v>1</v>
      </c>
      <c r="D17">
        <v>2</v>
      </c>
      <c r="E17">
        <v>3</v>
      </c>
      <c r="F17">
        <v>4</v>
      </c>
      <c r="G17">
        <v>5</v>
      </c>
    </row>
    <row r="18" spans="1:8" x14ac:dyDescent="0.25">
      <c r="A18">
        <v>1</v>
      </c>
      <c r="B18" t="s">
        <v>1258</v>
      </c>
      <c r="E18" t="s">
        <v>1263</v>
      </c>
    </row>
    <row r="19" spans="1:8" x14ac:dyDescent="0.25">
      <c r="A19">
        <v>2</v>
      </c>
      <c r="B19" t="s">
        <v>1259</v>
      </c>
      <c r="F19" t="s">
        <v>1263</v>
      </c>
    </row>
    <row r="20" spans="1:8" x14ac:dyDescent="0.25">
      <c r="A20">
        <v>3</v>
      </c>
      <c r="B20" t="s">
        <v>1260</v>
      </c>
      <c r="F20" t="s">
        <v>1263</v>
      </c>
    </row>
    <row r="21" spans="1:8" x14ac:dyDescent="0.25">
      <c r="A21">
        <v>4</v>
      </c>
      <c r="B21" t="s">
        <v>1261</v>
      </c>
      <c r="E21" t="s">
        <v>1263</v>
      </c>
    </row>
    <row r="22" spans="1:8" x14ac:dyDescent="0.25">
      <c r="A22">
        <v>5</v>
      </c>
      <c r="B22" t="s">
        <v>1262</v>
      </c>
      <c r="E22" t="s">
        <v>1263</v>
      </c>
    </row>
    <row r="23" spans="1:8" x14ac:dyDescent="0.25">
      <c r="B23" t="s">
        <v>1257</v>
      </c>
      <c r="C23">
        <f>(COUNTA(C18:C22)*20%)</f>
        <v>0</v>
      </c>
      <c r="D23">
        <f>(COUNTA(D18:D22)*20%)</f>
        <v>0</v>
      </c>
      <c r="E23">
        <f>(COUNTA(E18:E22)*20%)</f>
        <v>0.60000000000000009</v>
      </c>
      <c r="F23">
        <f>(COUNTA(F18:F22)*20%)</f>
        <v>0.4</v>
      </c>
      <c r="G23">
        <f>(COUNTA(G18:G22)*20%)</f>
        <v>0</v>
      </c>
      <c r="H23">
        <f>SUM(C23:G23)</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Descriptions</vt:lpstr>
      <vt:lpstr>Key</vt:lpstr>
      <vt:lpstr>PCI Score</vt:lpstr>
      <vt:lpstr>Quick</vt:lpstr>
      <vt:lpstr>License</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Security Standards Informative Reference</dc:title>
  <dc:creator>Pankratz, Kent E</dc:creator>
  <cp:keywords>CFS; NIST; COBIT; ISO; CSA; PCI; Secrurity Controls; Security Standards</cp:keywords>
  <cp:lastModifiedBy>Kent Pankratz</cp:lastModifiedBy>
  <cp:revision>3</cp:revision>
  <cp:lastPrinted>2016-06-03T21:20:38Z</cp:lastPrinted>
  <dcterms:created xsi:type="dcterms:W3CDTF">2014-02-05T12:49:08Z</dcterms:created>
  <dcterms:modified xsi:type="dcterms:W3CDTF">2017-12-19T07:09:37Z</dcterms:modified>
  <cp:version>0</cp:version>
</cp:coreProperties>
</file>