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Д26 Департамент оценки регулирующего воздействия\Шаблоны для ОРВ\личный кабинет разработчика\"/>
    </mc:Choice>
  </mc:AlternateContent>
  <bookViews>
    <workbookView xWindow="0" yWindow="0" windowWidth="28800" windowHeight="10200" tabRatio="836" activeTab="1"/>
  </bookViews>
  <sheets>
    <sheet name="Оглавление" sheetId="17" r:id="rId1"/>
    <sheet name="Шаг 1. Основные исходные данные" sheetId="33" r:id="rId2"/>
    <sheet name="Шаг 2. Информационные" sheetId="54" r:id="rId3"/>
    <sheet name="Шаг 3. Содержательные" sheetId="55" r:id="rId4"/>
    <sheet name="Шаг 4. Издержки простоя, НП" sheetId="56" r:id="rId5"/>
    <sheet name="Шаг 5. Альтернативные" sheetId="37" r:id="rId6"/>
    <sheet name="Dict" sheetId="13" state="hidden" r:id="rId7"/>
    <sheet name="Приложение № 1 к св. отчету" sheetId="57" r:id="rId8"/>
    <sheet name="Дополнительные расчеты" sheetId="38" r:id="rId9"/>
    <sheet name="Сводные результаты оценки" sheetId="32" r:id="rId10"/>
    <sheet name="Выгрузка в сводный отчет" sheetId="53" state="hidden" r:id="rId11"/>
    <sheet name="DEPR Выгрузка в сводный отчет" sheetId="39" state="hidden" r:id="rId12"/>
    <sheet name="С0.Справочник типовых оценок" sheetId="40" state="hidden" r:id="rId13"/>
    <sheet name="С1.Типовые операции" sheetId="41" state="hidden" r:id="rId14"/>
    <sheet name="С2.Средняя стоимость часа" sheetId="42" state="hidden" r:id="rId15"/>
    <sheet name="С3.Оборудование - норматив срок" sheetId="43" state="hidden" r:id="rId16"/>
    <sheet name="С4.Оборудование - цены" sheetId="44" state="hidden" r:id="rId17"/>
    <sheet name="С5.Оборудование - обслуживание" sheetId="45" state="hidden" r:id="rId18"/>
    <sheet name="С6.Работы - цена" sheetId="46" state="hidden" r:id="rId19"/>
    <sheet name="С7.Объекты - кол-во всего" sheetId="47" state="hidden" r:id="rId20"/>
    <sheet name="В1.Группы действий" sheetId="48" state="hidden" r:id="rId21"/>
    <sheet name="В2.Расчет стоимости часа" sheetId="49" state="hidden" r:id="rId22"/>
    <sheet name="В3.Группы оборудования" sheetId="50" state="hidden" r:id="rId23"/>
    <sheet name="В4.Группы работ услуг" sheetId="51" state="hidden" r:id="rId24"/>
    <sheet name="B5.Сферы объектов" sheetId="52" state="hidden" r:id="rId25"/>
    <sheet name="Шаг 2. Типы издержек" sheetId="2" state="hidden" r:id="rId26"/>
  </sheets>
  <definedNames>
    <definedName name="_xlnm._FilterDatabase" localSheetId="12" hidden="1">'С0.Справочник типовых оценок'!$A$4:$AE$149</definedName>
    <definedName name="_xlnm._FilterDatabase" localSheetId="14" hidden="1">'С2.Средняя стоимость часа'!$A$3:$G$3</definedName>
    <definedName name="_xlnm._FilterDatabase" localSheetId="15" hidden="1">'С3.Оборудование - норматив срок'!$A$3:$E$3</definedName>
    <definedName name="_xlnm._FilterDatabase" localSheetId="18" hidden="1">'С6.Работы - цена'!$A$3:$F$3</definedName>
    <definedName name="_xlnm._FilterDatabase" localSheetId="19" hidden="1">'С7.Объекты - кол-во всего'!$A$3:$F$3</definedName>
    <definedName name="sub_21001" localSheetId="7">'Приложение № 1 к св. отчету'!$A$1</definedName>
    <definedName name="Размещение_информации_об_организации__продукции__услугах" localSheetId="13">'С1.Типовые операции'!$D$4:$D$9</definedName>
    <definedName name="Размещение_информации_по_пожарной_безопасности" localSheetId="13">'С1.Типовые операции'!$D$10:$D$13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7" i="56" l="1"/>
  <c r="N77" i="56"/>
  <c r="M77" i="56"/>
  <c r="L77" i="56"/>
  <c r="K77" i="56"/>
  <c r="J77" i="56"/>
  <c r="O65" i="56"/>
  <c r="N65" i="56"/>
  <c r="M65" i="56"/>
  <c r="L65" i="56"/>
  <c r="K65" i="56"/>
  <c r="J65" i="56"/>
  <c r="O53" i="56"/>
  <c r="N53" i="56"/>
  <c r="M53" i="56"/>
  <c r="L53" i="56"/>
  <c r="K53" i="56"/>
  <c r="J53" i="56"/>
  <c r="O41" i="56"/>
  <c r="N41" i="56"/>
  <c r="M41" i="56"/>
  <c r="L41" i="56"/>
  <c r="K41" i="56"/>
  <c r="J41" i="56"/>
  <c r="M131" i="55"/>
  <c r="L131" i="55"/>
  <c r="K131" i="55"/>
  <c r="J131" i="55"/>
  <c r="I131" i="55"/>
  <c r="H131" i="55"/>
  <c r="M107" i="55"/>
  <c r="L107" i="55"/>
  <c r="K107" i="55"/>
  <c r="J107" i="55"/>
  <c r="I107" i="55"/>
  <c r="H107" i="55"/>
  <c r="M83" i="55"/>
  <c r="L83" i="55"/>
  <c r="K83" i="55"/>
  <c r="J83" i="55"/>
  <c r="I83" i="55"/>
  <c r="H83" i="55"/>
  <c r="M59" i="55"/>
  <c r="L59" i="55"/>
  <c r="K59" i="55"/>
  <c r="J59" i="55"/>
  <c r="I59" i="55"/>
  <c r="H59" i="55"/>
  <c r="M35" i="55"/>
  <c r="L35" i="55"/>
  <c r="K35" i="55"/>
  <c r="J35" i="55"/>
  <c r="I35" i="55"/>
  <c r="H35" i="55"/>
  <c r="K121" i="55"/>
  <c r="J121" i="55"/>
  <c r="I121" i="55"/>
  <c r="H121" i="55"/>
  <c r="G121" i="55"/>
  <c r="F121" i="55"/>
  <c r="K97" i="55"/>
  <c r="J97" i="55"/>
  <c r="I97" i="55"/>
  <c r="H97" i="55"/>
  <c r="G97" i="55"/>
  <c r="F97" i="55"/>
  <c r="K73" i="55"/>
  <c r="J73" i="55"/>
  <c r="I73" i="55"/>
  <c r="H73" i="55"/>
  <c r="G73" i="55"/>
  <c r="F73" i="55"/>
  <c r="K49" i="55"/>
  <c r="J49" i="55"/>
  <c r="I49" i="55"/>
  <c r="H49" i="55"/>
  <c r="G49" i="55"/>
  <c r="F49" i="55"/>
  <c r="K25" i="55"/>
  <c r="J25" i="55"/>
  <c r="I25" i="55"/>
  <c r="H25" i="55"/>
  <c r="G25" i="55"/>
  <c r="F25" i="55"/>
  <c r="E8" i="33" l="1"/>
  <c r="D82" i="56"/>
  <c r="D81" i="56"/>
  <c r="D80" i="56"/>
  <c r="D79" i="56"/>
  <c r="D78" i="56"/>
  <c r="D70" i="56"/>
  <c r="D69" i="56"/>
  <c r="D68" i="56"/>
  <c r="D67" i="56"/>
  <c r="D66" i="56"/>
  <c r="D58" i="56"/>
  <c r="D57" i="56"/>
  <c r="D56" i="56"/>
  <c r="D55" i="56"/>
  <c r="D54" i="56"/>
  <c r="D46" i="56"/>
  <c r="D45" i="56"/>
  <c r="D44" i="56"/>
  <c r="D43" i="56"/>
  <c r="D42" i="56"/>
  <c r="D34" i="56"/>
  <c r="D33" i="56"/>
  <c r="D32" i="56"/>
  <c r="D31" i="56"/>
  <c r="D30" i="56"/>
  <c r="Y23" i="56"/>
  <c r="AN82" i="56" s="1"/>
  <c r="AM81" i="56"/>
  <c r="Y22" i="56"/>
  <c r="AN70" i="56" s="1"/>
  <c r="Y21" i="56"/>
  <c r="AM58" i="56" s="1"/>
  <c r="AI57" i="56"/>
  <c r="AL55" i="56"/>
  <c r="Y20" i="56"/>
  <c r="AN46" i="56" s="1"/>
  <c r="AN43" i="56"/>
  <c r="AM42" i="56"/>
  <c r="X136" i="55"/>
  <c r="X135" i="55"/>
  <c r="X134" i="55"/>
  <c r="X133" i="55"/>
  <c r="X132" i="55"/>
  <c r="X137" i="55" s="1"/>
  <c r="X112" i="55"/>
  <c r="X111" i="55"/>
  <c r="X110" i="55"/>
  <c r="X109" i="55"/>
  <c r="X108" i="55"/>
  <c r="X88" i="55"/>
  <c r="X87" i="55"/>
  <c r="X86" i="55"/>
  <c r="X89" i="55" s="1"/>
  <c r="X85" i="55"/>
  <c r="X84" i="55"/>
  <c r="X64" i="55"/>
  <c r="X63" i="55"/>
  <c r="X62" i="55"/>
  <c r="X61" i="55"/>
  <c r="X60" i="55"/>
  <c r="X40" i="55"/>
  <c r="X39" i="55"/>
  <c r="X38" i="55"/>
  <c r="X37" i="55"/>
  <c r="X36" i="55"/>
  <c r="X136" i="54"/>
  <c r="X135" i="54"/>
  <c r="X134" i="54"/>
  <c r="X133" i="54"/>
  <c r="X132" i="54"/>
  <c r="X112" i="54"/>
  <c r="X111" i="54"/>
  <c r="X110" i="54"/>
  <c r="X109" i="54"/>
  <c r="X108" i="54"/>
  <c r="X88" i="54"/>
  <c r="X87" i="54"/>
  <c r="X86" i="54"/>
  <c r="X85" i="54"/>
  <c r="X84" i="54"/>
  <c r="X64" i="54"/>
  <c r="X63" i="54"/>
  <c r="X62" i="54"/>
  <c r="X61" i="54"/>
  <c r="X60" i="54"/>
  <c r="X40" i="54"/>
  <c r="X39" i="54"/>
  <c r="X38" i="54"/>
  <c r="X37" i="54"/>
  <c r="X36" i="54"/>
  <c r="C42" i="32"/>
  <c r="C41" i="32"/>
  <c r="C40" i="32"/>
  <c r="C39" i="32"/>
  <c r="C38" i="32"/>
  <c r="A29" i="37"/>
  <c r="A28" i="37"/>
  <c r="A27" i="37"/>
  <c r="A26" i="37"/>
  <c r="A25" i="37"/>
  <c r="J23" i="37"/>
  <c r="J22" i="37"/>
  <c r="J21" i="37"/>
  <c r="J20" i="37"/>
  <c r="J26" i="37" s="1"/>
  <c r="J19" i="37"/>
  <c r="I23" i="37"/>
  <c r="I22" i="37"/>
  <c r="I21" i="37"/>
  <c r="I20" i="37"/>
  <c r="I19" i="37"/>
  <c r="H23" i="37"/>
  <c r="G23" i="37"/>
  <c r="F23" i="37"/>
  <c r="E23" i="37"/>
  <c r="E29" i="37" s="1"/>
  <c r="D23" i="37"/>
  <c r="H22" i="37"/>
  <c r="G22" i="37"/>
  <c r="F22" i="37"/>
  <c r="E22" i="37"/>
  <c r="E28" i="37"/>
  <c r="D22" i="37"/>
  <c r="H21" i="37"/>
  <c r="G21" i="37"/>
  <c r="G27" i="37" s="1"/>
  <c r="F21" i="37"/>
  <c r="F27" i="37" s="1"/>
  <c r="E21" i="37"/>
  <c r="E27" i="37"/>
  <c r="D21" i="37"/>
  <c r="D27" i="37"/>
  <c r="H20" i="37"/>
  <c r="H26" i="37" s="1"/>
  <c r="G20" i="37"/>
  <c r="F20" i="37"/>
  <c r="E20" i="37"/>
  <c r="D20" i="37"/>
  <c r="D26" i="37" s="1"/>
  <c r="C23" i="37"/>
  <c r="C22" i="37"/>
  <c r="C21" i="37"/>
  <c r="C20" i="37"/>
  <c r="H19" i="37"/>
  <c r="G19" i="37"/>
  <c r="F19" i="37"/>
  <c r="E19" i="37"/>
  <c r="D19" i="37"/>
  <c r="C19" i="37"/>
  <c r="I10" i="37"/>
  <c r="H10" i="37"/>
  <c r="G10" i="37"/>
  <c r="F10" i="37"/>
  <c r="E10" i="37"/>
  <c r="D10" i="37"/>
  <c r="E11" i="37" s="1"/>
  <c r="I4" i="37"/>
  <c r="H4" i="37"/>
  <c r="G4" i="37"/>
  <c r="F4" i="37"/>
  <c r="E4" i="37"/>
  <c r="D4" i="37"/>
  <c r="T81" i="56"/>
  <c r="R80" i="56"/>
  <c r="Q79" i="56"/>
  <c r="C78" i="56"/>
  <c r="T69" i="56"/>
  <c r="R68" i="56"/>
  <c r="Q67" i="56"/>
  <c r="C66" i="56"/>
  <c r="T57" i="56"/>
  <c r="R56" i="56"/>
  <c r="Q55" i="56"/>
  <c r="C54" i="56"/>
  <c r="T45" i="56"/>
  <c r="R44" i="56"/>
  <c r="Q43" i="56"/>
  <c r="C42" i="56"/>
  <c r="T33" i="56"/>
  <c r="Y19" i="56"/>
  <c r="AN34" i="56" s="1"/>
  <c r="X23" i="56"/>
  <c r="X22" i="56"/>
  <c r="AC70" i="56" s="1"/>
  <c r="X21" i="56"/>
  <c r="X20" i="56"/>
  <c r="AC45" i="56" s="1"/>
  <c r="X19" i="56"/>
  <c r="R32" i="56"/>
  <c r="Q31" i="56"/>
  <c r="O29" i="56"/>
  <c r="N29" i="56"/>
  <c r="M29" i="56"/>
  <c r="L29" i="56"/>
  <c r="K29" i="56"/>
  <c r="J29" i="56"/>
  <c r="AB8" i="56"/>
  <c r="AA8" i="56"/>
  <c r="Z8" i="56"/>
  <c r="Y8" i="56"/>
  <c r="X8" i="56"/>
  <c r="X10" i="56" s="1"/>
  <c r="W8" i="56"/>
  <c r="C30" i="56"/>
  <c r="L23" i="56"/>
  <c r="W23" i="56" s="1"/>
  <c r="W81" i="56" s="1"/>
  <c r="L22" i="56"/>
  <c r="W22" i="56" s="1"/>
  <c r="L21" i="56"/>
  <c r="W21" i="56" s="1"/>
  <c r="L20" i="56"/>
  <c r="W20" i="56" s="1"/>
  <c r="L19" i="56"/>
  <c r="W19" i="56" s="1"/>
  <c r="C19" i="56"/>
  <c r="C26" i="56" s="1"/>
  <c r="C6" i="56"/>
  <c r="C7" i="56"/>
  <c r="C8" i="56"/>
  <c r="C9" i="56"/>
  <c r="C10" i="56"/>
  <c r="S136" i="55"/>
  <c r="C136" i="55"/>
  <c r="S135" i="55"/>
  <c r="C135" i="55"/>
  <c r="S134" i="55"/>
  <c r="C134" i="55"/>
  <c r="S133" i="55"/>
  <c r="C133" i="55"/>
  <c r="S132" i="55"/>
  <c r="C132" i="55"/>
  <c r="O126" i="55"/>
  <c r="X126" i="55" s="1"/>
  <c r="C126" i="55"/>
  <c r="O125" i="55"/>
  <c r="X125" i="55" s="1"/>
  <c r="C125" i="55"/>
  <c r="O124" i="55"/>
  <c r="X124" i="55" s="1"/>
  <c r="C124" i="55"/>
  <c r="O123" i="55"/>
  <c r="C123" i="55"/>
  <c r="O122" i="55"/>
  <c r="X122" i="55" s="1"/>
  <c r="C122" i="55"/>
  <c r="S112" i="55"/>
  <c r="C112" i="55"/>
  <c r="S111" i="55"/>
  <c r="C111" i="55"/>
  <c r="S110" i="55"/>
  <c r="C110" i="55"/>
  <c r="S109" i="55"/>
  <c r="C109" i="55"/>
  <c r="S108" i="55"/>
  <c r="C108" i="55"/>
  <c r="O102" i="55"/>
  <c r="X102" i="55" s="1"/>
  <c r="C102" i="55"/>
  <c r="O101" i="55"/>
  <c r="X101" i="55" s="1"/>
  <c r="C101" i="55"/>
  <c r="O100" i="55"/>
  <c r="X100" i="55" s="1"/>
  <c r="C100" i="55"/>
  <c r="O99" i="55"/>
  <c r="C99" i="55"/>
  <c r="O98" i="55"/>
  <c r="X98" i="55" s="1"/>
  <c r="C98" i="55"/>
  <c r="S88" i="55"/>
  <c r="C88" i="55"/>
  <c r="S87" i="55"/>
  <c r="C87" i="55"/>
  <c r="S86" i="55"/>
  <c r="C86" i="55"/>
  <c r="S85" i="55"/>
  <c r="C85" i="55"/>
  <c r="S84" i="55"/>
  <c r="C84" i="55"/>
  <c r="O78" i="55"/>
  <c r="C78" i="55"/>
  <c r="O77" i="55"/>
  <c r="C77" i="55"/>
  <c r="O76" i="55"/>
  <c r="C76" i="55"/>
  <c r="O75" i="55"/>
  <c r="C75" i="55"/>
  <c r="O74" i="55"/>
  <c r="X74" i="55" s="1"/>
  <c r="C74" i="55"/>
  <c r="S64" i="55"/>
  <c r="C64" i="55"/>
  <c r="S63" i="55"/>
  <c r="C63" i="55"/>
  <c r="S62" i="55"/>
  <c r="C62" i="55"/>
  <c r="S61" i="55"/>
  <c r="C61" i="55"/>
  <c r="S60" i="55"/>
  <c r="C60" i="55"/>
  <c r="O54" i="55"/>
  <c r="C54" i="55"/>
  <c r="O53" i="55"/>
  <c r="X53" i="55" s="1"/>
  <c r="C53" i="55"/>
  <c r="O52" i="55"/>
  <c r="X52" i="55" s="1"/>
  <c r="C52" i="55"/>
  <c r="O51" i="55"/>
  <c r="X51" i="55" s="1"/>
  <c r="C51" i="55"/>
  <c r="O50" i="55"/>
  <c r="X50" i="55" s="1"/>
  <c r="C50" i="55"/>
  <c r="S40" i="55"/>
  <c r="C40" i="55"/>
  <c r="S39" i="55"/>
  <c r="C39" i="55"/>
  <c r="S38" i="55"/>
  <c r="C38" i="55"/>
  <c r="S37" i="55"/>
  <c r="C37" i="55"/>
  <c r="S36" i="55"/>
  <c r="C36" i="55"/>
  <c r="O30" i="55"/>
  <c r="X30" i="55" s="1"/>
  <c r="C30" i="55"/>
  <c r="O29" i="55"/>
  <c r="C29" i="55"/>
  <c r="O28" i="55"/>
  <c r="C28" i="55"/>
  <c r="O27" i="55"/>
  <c r="X27" i="55" s="1"/>
  <c r="C27" i="55"/>
  <c r="O26" i="55"/>
  <c r="X26" i="55" s="1"/>
  <c r="C26" i="55"/>
  <c r="AC17" i="55"/>
  <c r="AB17" i="55"/>
  <c r="AA17" i="55"/>
  <c r="Z17" i="55"/>
  <c r="Y17" i="55"/>
  <c r="Y19" i="55" s="1"/>
  <c r="X17" i="55"/>
  <c r="C14" i="55"/>
  <c r="C21" i="55" s="1"/>
  <c r="O126" i="54"/>
  <c r="X126" i="54" s="1"/>
  <c r="O123" i="54"/>
  <c r="S136" i="54"/>
  <c r="C136" i="54"/>
  <c r="S135" i="54"/>
  <c r="S134" i="54"/>
  <c r="S133" i="54"/>
  <c r="S132" i="54"/>
  <c r="C132" i="54"/>
  <c r="C133" i="54"/>
  <c r="C134" i="54"/>
  <c r="C135" i="54"/>
  <c r="M131" i="54"/>
  <c r="L131" i="54"/>
  <c r="K131" i="54"/>
  <c r="J131" i="54"/>
  <c r="I131" i="54"/>
  <c r="H131" i="54"/>
  <c r="C126" i="54"/>
  <c r="O125" i="54"/>
  <c r="X125" i="54" s="1"/>
  <c r="C125" i="54"/>
  <c r="O124" i="54"/>
  <c r="X124" i="54" s="1"/>
  <c r="C124" i="54"/>
  <c r="O122" i="54"/>
  <c r="X122" i="54" s="1"/>
  <c r="C122" i="54"/>
  <c r="C123" i="54"/>
  <c r="K121" i="54"/>
  <c r="J121" i="54"/>
  <c r="I121" i="54"/>
  <c r="H121" i="54"/>
  <c r="G121" i="54"/>
  <c r="F121" i="54"/>
  <c r="O101" i="54"/>
  <c r="S112" i="54"/>
  <c r="C112" i="54"/>
  <c r="S111" i="54"/>
  <c r="S110" i="54"/>
  <c r="S109" i="54"/>
  <c r="S108" i="54"/>
  <c r="C108" i="54"/>
  <c r="C109" i="54"/>
  <c r="C110" i="54"/>
  <c r="C111" i="54"/>
  <c r="M107" i="54"/>
  <c r="L107" i="54"/>
  <c r="K107" i="54"/>
  <c r="J107" i="54"/>
  <c r="I107" i="54"/>
  <c r="H107" i="54"/>
  <c r="O102" i="54"/>
  <c r="X102" i="54" s="1"/>
  <c r="Y17" i="54"/>
  <c r="Y19" i="54" s="1"/>
  <c r="C102" i="54"/>
  <c r="C101" i="54"/>
  <c r="O100" i="54"/>
  <c r="C100" i="54"/>
  <c r="O99" i="54"/>
  <c r="X99" i="54" s="1"/>
  <c r="O98" i="54"/>
  <c r="X98" i="54" s="1"/>
  <c r="C98" i="54"/>
  <c r="C99" i="54"/>
  <c r="K97" i="54"/>
  <c r="J97" i="54"/>
  <c r="I97" i="54"/>
  <c r="H97" i="54"/>
  <c r="G97" i="54"/>
  <c r="F97" i="54"/>
  <c r="O78" i="54"/>
  <c r="X78" i="54" s="1"/>
  <c r="O76" i="54"/>
  <c r="S88" i="54"/>
  <c r="C88" i="54"/>
  <c r="S87" i="54"/>
  <c r="S86" i="54"/>
  <c r="S85" i="54"/>
  <c r="S84" i="54"/>
  <c r="C84" i="54"/>
  <c r="C85" i="54"/>
  <c r="C86" i="54"/>
  <c r="C87" i="54"/>
  <c r="M83" i="54"/>
  <c r="L83" i="54"/>
  <c r="K83" i="54"/>
  <c r="J83" i="54"/>
  <c r="I83" i="54"/>
  <c r="H83" i="54"/>
  <c r="C78" i="54"/>
  <c r="O77" i="54"/>
  <c r="X77" i="54" s="1"/>
  <c r="C77" i="54"/>
  <c r="C76" i="54"/>
  <c r="O75" i="54"/>
  <c r="X75" i="54" s="1"/>
  <c r="O74" i="54"/>
  <c r="X74" i="54" s="1"/>
  <c r="C74" i="54"/>
  <c r="C75" i="54"/>
  <c r="K73" i="54"/>
  <c r="J73" i="54"/>
  <c r="I73" i="54"/>
  <c r="H73" i="54"/>
  <c r="G73" i="54"/>
  <c r="F73" i="54"/>
  <c r="S64" i="54"/>
  <c r="C64" i="54"/>
  <c r="S63" i="54"/>
  <c r="S62" i="54"/>
  <c r="S61" i="54"/>
  <c r="S60" i="54"/>
  <c r="C60" i="54"/>
  <c r="C61" i="54"/>
  <c r="C62" i="54"/>
  <c r="C63" i="54"/>
  <c r="M59" i="54"/>
  <c r="L59" i="54"/>
  <c r="K59" i="54"/>
  <c r="J59" i="54"/>
  <c r="I59" i="54"/>
  <c r="H59" i="54"/>
  <c r="O54" i="54"/>
  <c r="X54" i="54" s="1"/>
  <c r="C54" i="54"/>
  <c r="O53" i="54"/>
  <c r="X53" i="54" s="1"/>
  <c r="C53" i="54"/>
  <c r="O52" i="54"/>
  <c r="X52" i="54" s="1"/>
  <c r="C52" i="54"/>
  <c r="O51" i="54"/>
  <c r="O50" i="54"/>
  <c r="X50" i="54" s="1"/>
  <c r="C50" i="54"/>
  <c r="C51" i="54"/>
  <c r="K49" i="54"/>
  <c r="J49" i="54"/>
  <c r="I49" i="54"/>
  <c r="H49" i="54"/>
  <c r="G49" i="54"/>
  <c r="F49" i="54"/>
  <c r="S40" i="54"/>
  <c r="S39" i="54"/>
  <c r="S38" i="54"/>
  <c r="S37" i="54"/>
  <c r="S36" i="54"/>
  <c r="M35" i="54"/>
  <c r="L35" i="54"/>
  <c r="K35" i="54"/>
  <c r="J35" i="54"/>
  <c r="I35" i="54"/>
  <c r="H35" i="54"/>
  <c r="O27" i="54"/>
  <c r="X27" i="54" s="1"/>
  <c r="X17" i="54"/>
  <c r="AC17" i="54"/>
  <c r="AB17" i="54"/>
  <c r="AA17" i="54"/>
  <c r="Z17" i="54"/>
  <c r="K25" i="54"/>
  <c r="J25" i="54"/>
  <c r="I25" i="54"/>
  <c r="H25" i="54"/>
  <c r="G25" i="54"/>
  <c r="F25" i="54"/>
  <c r="C40" i="54"/>
  <c r="C36" i="54"/>
  <c r="C37" i="54"/>
  <c r="C38" i="54"/>
  <c r="C39" i="54"/>
  <c r="O30" i="54"/>
  <c r="C30" i="54"/>
  <c r="O29" i="54"/>
  <c r="X29" i="54" s="1"/>
  <c r="C29" i="54"/>
  <c r="O28" i="54"/>
  <c r="X28" i="54" s="1"/>
  <c r="C28" i="54"/>
  <c r="O26" i="54"/>
  <c r="C26" i="54"/>
  <c r="C27" i="54"/>
  <c r="C14" i="54"/>
  <c r="C21" i="54" s="1"/>
  <c r="E25" i="37"/>
  <c r="H27" i="37"/>
  <c r="Y18" i="55"/>
  <c r="Z18" i="55" s="1"/>
  <c r="Z87" i="55" s="1"/>
  <c r="H25" i="37"/>
  <c r="C27" i="37"/>
  <c r="D29" i="37"/>
  <c r="B19" i="37"/>
  <c r="B25" i="37" s="1"/>
  <c r="E26" i="37"/>
  <c r="G26" i="37"/>
  <c r="F28" i="37"/>
  <c r="D25" i="37"/>
  <c r="J28" i="37"/>
  <c r="G28" i="37"/>
  <c r="H29" i="37"/>
  <c r="C28" i="37"/>
  <c r="D28" i="37"/>
  <c r="H28" i="37"/>
  <c r="F25" i="37"/>
  <c r="F29" i="37"/>
  <c r="J29" i="37"/>
  <c r="C25" i="37"/>
  <c r="G25" i="37"/>
  <c r="G29" i="37"/>
  <c r="C26" i="37"/>
  <c r="J25" i="37"/>
  <c r="C29" i="37"/>
  <c r="J27" i="37"/>
  <c r="F26" i="37"/>
  <c r="W43" i="56"/>
  <c r="W42" i="56"/>
  <c r="AC82" i="56"/>
  <c r="AC80" i="56"/>
  <c r="AC78" i="56"/>
  <c r="AC79" i="56"/>
  <c r="AC83" i="56" s="1"/>
  <c r="X9" i="56"/>
  <c r="AD57" i="56" s="1"/>
  <c r="AC57" i="56"/>
  <c r="AC81" i="56"/>
  <c r="C43" i="56"/>
  <c r="C44" i="56"/>
  <c r="C55" i="56"/>
  <c r="C56" i="56"/>
  <c r="C57" i="56"/>
  <c r="C58" i="56"/>
  <c r="C79" i="56"/>
  <c r="C80" i="56"/>
  <c r="C81" i="56"/>
  <c r="C82" i="56"/>
  <c r="C67" i="56"/>
  <c r="C68" i="56"/>
  <c r="C69" i="56"/>
  <c r="C70" i="56"/>
  <c r="C45" i="56"/>
  <c r="C46" i="56"/>
  <c r="AC31" i="56"/>
  <c r="AC30" i="56"/>
  <c r="AC32" i="56"/>
  <c r="AC33" i="56"/>
  <c r="AC34" i="56"/>
  <c r="C31" i="56"/>
  <c r="C32" i="56"/>
  <c r="C33" i="56"/>
  <c r="C34" i="56"/>
  <c r="C20" i="56"/>
  <c r="X123" i="55"/>
  <c r="X29" i="55"/>
  <c r="X76" i="55"/>
  <c r="X99" i="55"/>
  <c r="X30" i="54"/>
  <c r="C38" i="56"/>
  <c r="B20" i="37"/>
  <c r="B26" i="37" s="1"/>
  <c r="Y111" i="55"/>
  <c r="C21" i="56"/>
  <c r="C50" i="56"/>
  <c r="B21" i="37"/>
  <c r="B27" i="37" s="1"/>
  <c r="C22" i="56"/>
  <c r="B22" i="37" s="1"/>
  <c r="B28" i="37" s="1"/>
  <c r="C62" i="56"/>
  <c r="C23" i="56"/>
  <c r="C74" i="56" s="1"/>
  <c r="Q56" i="56"/>
  <c r="Q46" i="56"/>
  <c r="Q44" i="56"/>
  <c r="Q42" i="56"/>
  <c r="Q80" i="56"/>
  <c r="Q68" i="56"/>
  <c r="Q45" i="56"/>
  <c r="Q81" i="56"/>
  <c r="Q58" i="56"/>
  <c r="Q57" i="56"/>
  <c r="Q70" i="56"/>
  <c r="Q82" i="56"/>
  <c r="Q69" i="56"/>
  <c r="Q32" i="56"/>
  <c r="Q34" i="56"/>
  <c r="Q33" i="56"/>
  <c r="B5" i="53"/>
  <c r="E2" i="13"/>
  <c r="E3" i="13"/>
  <c r="H9" i="33"/>
  <c r="E4" i="13"/>
  <c r="Q54" i="56"/>
  <c r="T80" i="56"/>
  <c r="T79" i="56"/>
  <c r="T68" i="56"/>
  <c r="T58" i="56"/>
  <c r="R81" i="56"/>
  <c r="R70" i="56"/>
  <c r="R69" i="56"/>
  <c r="T67" i="56"/>
  <c r="R57" i="56"/>
  <c r="R55" i="56"/>
  <c r="T43" i="56"/>
  <c r="R79" i="56"/>
  <c r="S79" i="56" s="1"/>
  <c r="R78" i="56"/>
  <c r="R58" i="56"/>
  <c r="R46" i="56"/>
  <c r="R45" i="56"/>
  <c r="T82" i="56"/>
  <c r="T44" i="56"/>
  <c r="R31" i="56"/>
  <c r="T70" i="56"/>
  <c r="T55" i="56"/>
  <c r="T46" i="56"/>
  <c r="T31" i="56"/>
  <c r="R34" i="56"/>
  <c r="R67" i="56"/>
  <c r="T34" i="56"/>
  <c r="R33" i="56"/>
  <c r="T32" i="56"/>
  <c r="R42" i="56"/>
  <c r="Q30" i="56"/>
  <c r="Q66" i="56"/>
  <c r="T56" i="56"/>
  <c r="Q78" i="56"/>
  <c r="R43" i="56"/>
  <c r="R82" i="56"/>
  <c r="T42" i="56"/>
  <c r="A3" i="52"/>
  <c r="A4" i="52"/>
  <c r="A5" i="52" s="1"/>
  <c r="A6" i="52"/>
  <c r="A7" i="52"/>
  <c r="A8" i="52"/>
  <c r="A9" i="52" s="1"/>
  <c r="A10" i="52" s="1"/>
  <c r="A11" i="52" s="1"/>
  <c r="A12" i="52" s="1"/>
  <c r="A13" i="52" s="1"/>
  <c r="A14" i="52" s="1"/>
  <c r="A15" i="52" s="1"/>
  <c r="A16" i="52" s="1"/>
  <c r="A17" i="52" s="1"/>
  <c r="A18" i="52" s="1"/>
  <c r="A19" i="52" s="1"/>
  <c r="A20" i="52" s="1"/>
  <c r="A21" i="52" s="1"/>
  <c r="A22" i="52" s="1"/>
  <c r="A23" i="52" s="1"/>
  <c r="A24" i="52" s="1"/>
  <c r="A25" i="52" s="1"/>
  <c r="A26" i="52" s="1"/>
  <c r="A3" i="51"/>
  <c r="A4" i="51"/>
  <c r="A5" i="51" s="1"/>
  <c r="A6" i="51" s="1"/>
  <c r="A7" i="51" s="1"/>
  <c r="A8" i="51" s="1"/>
  <c r="A9" i="51" s="1"/>
  <c r="A3" i="50"/>
  <c r="A4" i="50"/>
  <c r="A5" i="50"/>
  <c r="A6" i="50" s="1"/>
  <c r="A7" i="50" s="1"/>
  <c r="A8" i="50" s="1"/>
  <c r="A9" i="50" s="1"/>
  <c r="A10" i="50" s="1"/>
  <c r="A11" i="50" s="1"/>
  <c r="A12" i="50" s="1"/>
  <c r="A13" i="50" s="1"/>
  <c r="A14" i="50" s="1"/>
  <c r="A15" i="50" s="1"/>
  <c r="A16" i="50" s="1"/>
  <c r="A17" i="50" s="1"/>
  <c r="L270" i="49"/>
  <c r="K270" i="49"/>
  <c r="J270" i="49"/>
  <c r="I270" i="49"/>
  <c r="P270" i="49" s="1"/>
  <c r="H270" i="49"/>
  <c r="L269" i="49"/>
  <c r="K269" i="49"/>
  <c r="J269" i="49"/>
  <c r="I269" i="49"/>
  <c r="P269" i="49" s="1"/>
  <c r="F267" i="42" s="1"/>
  <c r="H269" i="49"/>
  <c r="L268" i="49"/>
  <c r="K268" i="49"/>
  <c r="J268" i="49"/>
  <c r="I268" i="49"/>
  <c r="P268" i="49" s="1"/>
  <c r="F266" i="42" s="1"/>
  <c r="H268" i="49"/>
  <c r="L267" i="49"/>
  <c r="K267" i="49"/>
  <c r="J267" i="49"/>
  <c r="I267" i="49"/>
  <c r="H267" i="49"/>
  <c r="L266" i="49"/>
  <c r="K266" i="49"/>
  <c r="J266" i="49"/>
  <c r="I266" i="49"/>
  <c r="H266" i="49"/>
  <c r="L265" i="49"/>
  <c r="K265" i="49"/>
  <c r="J265" i="49"/>
  <c r="I265" i="49"/>
  <c r="P265" i="49" s="1"/>
  <c r="F263" i="42" s="1"/>
  <c r="H265" i="49"/>
  <c r="E263" i="42" s="1"/>
  <c r="L264" i="49"/>
  <c r="K264" i="49"/>
  <c r="J264" i="49"/>
  <c r="I264" i="49"/>
  <c r="H264" i="49"/>
  <c r="E262" i="42" s="1"/>
  <c r="L263" i="49"/>
  <c r="K263" i="49"/>
  <c r="J263" i="49"/>
  <c r="I263" i="49"/>
  <c r="H263" i="49"/>
  <c r="L262" i="49"/>
  <c r="K262" i="49"/>
  <c r="J262" i="49"/>
  <c r="P262" i="49" s="1"/>
  <c r="I262" i="49"/>
  <c r="H262" i="49"/>
  <c r="E260" i="42" s="1"/>
  <c r="L261" i="49"/>
  <c r="P261" i="49" s="1"/>
  <c r="F259" i="42" s="1"/>
  <c r="K261" i="49"/>
  <c r="J261" i="49"/>
  <c r="I261" i="49"/>
  <c r="H261" i="49"/>
  <c r="L260" i="49"/>
  <c r="K260" i="49"/>
  <c r="J260" i="49"/>
  <c r="I260" i="49"/>
  <c r="H260" i="49"/>
  <c r="L259" i="49"/>
  <c r="K259" i="49"/>
  <c r="J259" i="49"/>
  <c r="I259" i="49"/>
  <c r="P259" i="49" s="1"/>
  <c r="H259" i="49"/>
  <c r="L258" i="49"/>
  <c r="K258" i="49"/>
  <c r="P258" i="49" s="1"/>
  <c r="F256" i="42" s="1"/>
  <c r="J258" i="49"/>
  <c r="I258" i="49"/>
  <c r="H258" i="49"/>
  <c r="E256" i="42"/>
  <c r="L257" i="49"/>
  <c r="K257" i="49"/>
  <c r="J257" i="49"/>
  <c r="I257" i="49"/>
  <c r="H257" i="49"/>
  <c r="L256" i="49"/>
  <c r="K256" i="49"/>
  <c r="J256" i="49"/>
  <c r="I256" i="49"/>
  <c r="P256" i="49" s="1"/>
  <c r="H256" i="49"/>
  <c r="E254" i="42"/>
  <c r="L255" i="49"/>
  <c r="P255" i="49" s="1"/>
  <c r="F253" i="42" s="1"/>
  <c r="K255" i="49"/>
  <c r="J255" i="49"/>
  <c r="I255" i="49"/>
  <c r="H255" i="49"/>
  <c r="L254" i="49"/>
  <c r="K254" i="49"/>
  <c r="J254" i="49"/>
  <c r="I254" i="49"/>
  <c r="H254" i="49"/>
  <c r="E252" i="42" s="1"/>
  <c r="L253" i="49"/>
  <c r="K253" i="49"/>
  <c r="J253" i="49"/>
  <c r="I253" i="49"/>
  <c r="H253" i="49"/>
  <c r="L252" i="49"/>
  <c r="K252" i="49"/>
  <c r="P252" i="49" s="1"/>
  <c r="F250" i="42" s="1"/>
  <c r="J252" i="49"/>
  <c r="I252" i="49"/>
  <c r="H252" i="49"/>
  <c r="L251" i="49"/>
  <c r="K251" i="49"/>
  <c r="J251" i="49"/>
  <c r="I251" i="49"/>
  <c r="H251" i="49"/>
  <c r="L250" i="49"/>
  <c r="P250" i="49" s="1"/>
  <c r="F248" i="42" s="1"/>
  <c r="K250" i="49"/>
  <c r="J250" i="49"/>
  <c r="I250" i="49"/>
  <c r="H250" i="49"/>
  <c r="L249" i="49"/>
  <c r="K249" i="49"/>
  <c r="J249" i="49"/>
  <c r="P249" i="49" s="1"/>
  <c r="F247" i="42" s="1"/>
  <c r="I249" i="49"/>
  <c r="H249" i="49"/>
  <c r="L248" i="49"/>
  <c r="K248" i="49"/>
  <c r="J248" i="49"/>
  <c r="I248" i="49"/>
  <c r="H248" i="49"/>
  <c r="L247" i="49"/>
  <c r="K247" i="49"/>
  <c r="P247" i="49" s="1"/>
  <c r="F245" i="42" s="1"/>
  <c r="J247" i="49"/>
  <c r="I247" i="49"/>
  <c r="H247" i="49"/>
  <c r="L246" i="49"/>
  <c r="K246" i="49"/>
  <c r="J246" i="49"/>
  <c r="I246" i="49"/>
  <c r="P246" i="49" s="1"/>
  <c r="F244" i="42" s="1"/>
  <c r="H246" i="49"/>
  <c r="L245" i="49"/>
  <c r="K245" i="49"/>
  <c r="J245" i="49"/>
  <c r="I245" i="49"/>
  <c r="H245" i="49"/>
  <c r="E243" i="42"/>
  <c r="L244" i="49"/>
  <c r="K244" i="49"/>
  <c r="P244" i="49" s="1"/>
  <c r="F242" i="42" s="1"/>
  <c r="J244" i="49"/>
  <c r="I244" i="49"/>
  <c r="H244" i="49"/>
  <c r="E242" i="42" s="1"/>
  <c r="L243" i="49"/>
  <c r="K243" i="49"/>
  <c r="J243" i="49"/>
  <c r="I243" i="49"/>
  <c r="P243" i="49" s="1"/>
  <c r="F241" i="42" s="1"/>
  <c r="H243" i="49"/>
  <c r="E241" i="42"/>
  <c r="L242" i="49"/>
  <c r="K242" i="49"/>
  <c r="J242" i="49"/>
  <c r="I242" i="49"/>
  <c r="H242" i="49"/>
  <c r="E240" i="42" s="1"/>
  <c r="L241" i="49"/>
  <c r="K241" i="49"/>
  <c r="J241" i="49"/>
  <c r="I241" i="49"/>
  <c r="H241" i="49"/>
  <c r="L240" i="49"/>
  <c r="K240" i="49"/>
  <c r="J240" i="49"/>
  <c r="P240" i="49" s="1"/>
  <c r="F238" i="42" s="1"/>
  <c r="I240" i="49"/>
  <c r="H240" i="49"/>
  <c r="E238" i="42" s="1"/>
  <c r="L239" i="49"/>
  <c r="K239" i="49"/>
  <c r="J239" i="49"/>
  <c r="I239" i="49"/>
  <c r="H239" i="49"/>
  <c r="E237" i="42" s="1"/>
  <c r="L238" i="49"/>
  <c r="P238" i="49" s="1"/>
  <c r="F236" i="42" s="1"/>
  <c r="K238" i="49"/>
  <c r="J238" i="49"/>
  <c r="I238" i="49"/>
  <c r="H238" i="49"/>
  <c r="L237" i="49"/>
  <c r="K237" i="49"/>
  <c r="J237" i="49"/>
  <c r="P237" i="49" s="1"/>
  <c r="F235" i="42" s="1"/>
  <c r="I237" i="49"/>
  <c r="H237" i="49"/>
  <c r="L236" i="49"/>
  <c r="K236" i="49"/>
  <c r="J236" i="49"/>
  <c r="I236" i="49"/>
  <c r="H236" i="49"/>
  <c r="L235" i="49"/>
  <c r="K235" i="49"/>
  <c r="J235" i="49"/>
  <c r="I235" i="49"/>
  <c r="H235" i="49"/>
  <c r="L234" i="49"/>
  <c r="K234" i="49"/>
  <c r="J234" i="49"/>
  <c r="I234" i="49"/>
  <c r="P234" i="49" s="1"/>
  <c r="F232" i="42" s="1"/>
  <c r="H234" i="49"/>
  <c r="L233" i="49"/>
  <c r="K233" i="49"/>
  <c r="J233" i="49"/>
  <c r="I233" i="49"/>
  <c r="H233" i="49"/>
  <c r="L232" i="49"/>
  <c r="K232" i="49"/>
  <c r="J232" i="49"/>
  <c r="I232" i="49"/>
  <c r="H232" i="49"/>
  <c r="L231" i="49"/>
  <c r="K231" i="49"/>
  <c r="J231" i="49"/>
  <c r="I231" i="49"/>
  <c r="H231" i="49"/>
  <c r="E229" i="42" s="1"/>
  <c r="L230" i="49"/>
  <c r="K230" i="49"/>
  <c r="J230" i="49"/>
  <c r="I230" i="49"/>
  <c r="H230" i="49"/>
  <c r="L229" i="49"/>
  <c r="K229" i="49"/>
  <c r="J229" i="49"/>
  <c r="I229" i="49"/>
  <c r="H229" i="49"/>
  <c r="E227" i="42"/>
  <c r="L228" i="49"/>
  <c r="K228" i="49"/>
  <c r="J228" i="49"/>
  <c r="I228" i="49"/>
  <c r="P228" i="49" s="1"/>
  <c r="F226" i="42" s="1"/>
  <c r="H228" i="49"/>
  <c r="E226" i="42" s="1"/>
  <c r="L227" i="49"/>
  <c r="K227" i="49"/>
  <c r="J227" i="49"/>
  <c r="I227" i="49"/>
  <c r="H227" i="49"/>
  <c r="E225" i="42"/>
  <c r="L226" i="49"/>
  <c r="K226" i="49"/>
  <c r="J226" i="49"/>
  <c r="I226" i="49"/>
  <c r="H226" i="49"/>
  <c r="E224" i="42" s="1"/>
  <c r="L225" i="49"/>
  <c r="K225" i="49"/>
  <c r="J225" i="49"/>
  <c r="I225" i="49"/>
  <c r="P225" i="49" s="1"/>
  <c r="F223" i="42" s="1"/>
  <c r="H225" i="49"/>
  <c r="L224" i="49"/>
  <c r="K224" i="49"/>
  <c r="J224" i="49"/>
  <c r="I224" i="49"/>
  <c r="H224" i="49"/>
  <c r="E222" i="42"/>
  <c r="L223" i="49"/>
  <c r="K223" i="49"/>
  <c r="J223" i="49"/>
  <c r="I223" i="49"/>
  <c r="H223" i="49"/>
  <c r="E221" i="42" s="1"/>
  <c r="L222" i="49"/>
  <c r="K222" i="49"/>
  <c r="J222" i="49"/>
  <c r="I222" i="49"/>
  <c r="P222" i="49" s="1"/>
  <c r="F220" i="42" s="1"/>
  <c r="H222" i="49"/>
  <c r="L221" i="49"/>
  <c r="K221" i="49"/>
  <c r="J221" i="49"/>
  <c r="I221" i="49"/>
  <c r="H221" i="49"/>
  <c r="L220" i="49"/>
  <c r="K220" i="49"/>
  <c r="J220" i="49"/>
  <c r="I220" i="49"/>
  <c r="H220" i="49"/>
  <c r="L219" i="49"/>
  <c r="K219" i="49"/>
  <c r="J219" i="49"/>
  <c r="I219" i="49"/>
  <c r="P219" i="49" s="1"/>
  <c r="F217" i="42" s="1"/>
  <c r="H219" i="49"/>
  <c r="E217" i="42" s="1"/>
  <c r="L218" i="49"/>
  <c r="K218" i="49"/>
  <c r="J218" i="49"/>
  <c r="I218" i="49"/>
  <c r="H218" i="49"/>
  <c r="L217" i="49"/>
  <c r="K217" i="49"/>
  <c r="J217" i="49"/>
  <c r="I217" i="49"/>
  <c r="H217" i="49"/>
  <c r="E215" i="42" s="1"/>
  <c r="L216" i="49"/>
  <c r="K216" i="49"/>
  <c r="J216" i="49"/>
  <c r="I216" i="49"/>
  <c r="H216" i="49"/>
  <c r="E214" i="42" s="1"/>
  <c r="L215" i="49"/>
  <c r="P215" i="49" s="1"/>
  <c r="F213" i="42" s="1"/>
  <c r="K215" i="49"/>
  <c r="J215" i="49"/>
  <c r="I215" i="49"/>
  <c r="H215" i="49"/>
  <c r="L214" i="49"/>
  <c r="K214" i="49"/>
  <c r="J214" i="49"/>
  <c r="I214" i="49"/>
  <c r="H214" i="49"/>
  <c r="E212" i="42" s="1"/>
  <c r="L213" i="49"/>
  <c r="K213" i="49"/>
  <c r="J213" i="49"/>
  <c r="I213" i="49"/>
  <c r="H213" i="49"/>
  <c r="E211" i="42" s="1"/>
  <c r="L212" i="49"/>
  <c r="K212" i="49"/>
  <c r="P212" i="49" s="1"/>
  <c r="F210" i="42" s="1"/>
  <c r="J212" i="49"/>
  <c r="I212" i="49"/>
  <c r="H212" i="49"/>
  <c r="L211" i="49"/>
  <c r="K211" i="49"/>
  <c r="J211" i="49"/>
  <c r="I211" i="49"/>
  <c r="H211" i="49"/>
  <c r="E209" i="42"/>
  <c r="L210" i="49"/>
  <c r="K210" i="49"/>
  <c r="J210" i="49"/>
  <c r="I210" i="49"/>
  <c r="H210" i="49"/>
  <c r="E208" i="42"/>
  <c r="L209" i="49"/>
  <c r="K209" i="49"/>
  <c r="J209" i="49"/>
  <c r="I209" i="49"/>
  <c r="H209" i="49"/>
  <c r="L208" i="49"/>
  <c r="K208" i="49"/>
  <c r="J208" i="49"/>
  <c r="I208" i="49"/>
  <c r="H208" i="49"/>
  <c r="E206" i="42" s="1"/>
  <c r="L207" i="49"/>
  <c r="K207" i="49"/>
  <c r="J207" i="49"/>
  <c r="I207" i="49"/>
  <c r="H207" i="49"/>
  <c r="E205" i="42"/>
  <c r="L206" i="49"/>
  <c r="P206" i="49" s="1"/>
  <c r="F204" i="42" s="1"/>
  <c r="K206" i="49"/>
  <c r="J206" i="49"/>
  <c r="I206" i="49"/>
  <c r="H206" i="49"/>
  <c r="L205" i="49"/>
  <c r="K205" i="49"/>
  <c r="J205" i="49"/>
  <c r="I205" i="49"/>
  <c r="H205" i="49"/>
  <c r="L204" i="49"/>
  <c r="K204" i="49"/>
  <c r="J204" i="49"/>
  <c r="I204" i="49"/>
  <c r="H204" i="49"/>
  <c r="E202" i="42" s="1"/>
  <c r="L203" i="49"/>
  <c r="K203" i="49"/>
  <c r="P203" i="49" s="1"/>
  <c r="F201" i="42" s="1"/>
  <c r="J203" i="49"/>
  <c r="I203" i="49"/>
  <c r="H203" i="49"/>
  <c r="L202" i="49"/>
  <c r="K202" i="49"/>
  <c r="J202" i="49"/>
  <c r="I202" i="49"/>
  <c r="H202" i="49"/>
  <c r="L201" i="49"/>
  <c r="K201" i="49"/>
  <c r="J201" i="49"/>
  <c r="I201" i="49"/>
  <c r="H201" i="49"/>
  <c r="L200" i="49"/>
  <c r="K200" i="49"/>
  <c r="J200" i="49"/>
  <c r="P200" i="49" s="1"/>
  <c r="F198" i="42" s="1"/>
  <c r="I200" i="49"/>
  <c r="H200" i="49"/>
  <c r="E198" i="42" s="1"/>
  <c r="L199" i="49"/>
  <c r="K199" i="49"/>
  <c r="J199" i="49"/>
  <c r="I199" i="49"/>
  <c r="H199" i="49"/>
  <c r="L198" i="49"/>
  <c r="K198" i="49"/>
  <c r="J198" i="49"/>
  <c r="I198" i="49"/>
  <c r="H198" i="49"/>
  <c r="L197" i="49"/>
  <c r="K197" i="49"/>
  <c r="J197" i="49"/>
  <c r="I197" i="49"/>
  <c r="P197" i="49" s="1"/>
  <c r="F195" i="42" s="1"/>
  <c r="H197" i="49"/>
  <c r="L196" i="49"/>
  <c r="K196" i="49"/>
  <c r="J196" i="49"/>
  <c r="I196" i="49"/>
  <c r="H196" i="49"/>
  <c r="L195" i="49"/>
  <c r="K195" i="49"/>
  <c r="J195" i="49"/>
  <c r="I195" i="49"/>
  <c r="H195" i="49"/>
  <c r="E193" i="42" s="1"/>
  <c r="L194" i="49"/>
  <c r="K194" i="49"/>
  <c r="J194" i="49"/>
  <c r="I194" i="49"/>
  <c r="P194" i="49" s="1"/>
  <c r="F192" i="42" s="1"/>
  <c r="H194" i="49"/>
  <c r="E192" i="42"/>
  <c r="L193" i="49"/>
  <c r="K193" i="49"/>
  <c r="J193" i="49"/>
  <c r="I193" i="49"/>
  <c r="H193" i="49"/>
  <c r="E191" i="42" s="1"/>
  <c r="L192" i="49"/>
  <c r="K192" i="49"/>
  <c r="J192" i="49"/>
  <c r="P192" i="49" s="1"/>
  <c r="F190" i="42" s="1"/>
  <c r="I192" i="49"/>
  <c r="H192" i="49"/>
  <c r="L191" i="49"/>
  <c r="K191" i="49"/>
  <c r="J191" i="49"/>
  <c r="I191" i="49"/>
  <c r="P191" i="49" s="1"/>
  <c r="F189" i="42" s="1"/>
  <c r="H191" i="49"/>
  <c r="E189" i="42"/>
  <c r="L190" i="49"/>
  <c r="K190" i="49"/>
  <c r="J190" i="49"/>
  <c r="I190" i="49"/>
  <c r="H190" i="49"/>
  <c r="L189" i="49"/>
  <c r="K189" i="49"/>
  <c r="J189" i="49"/>
  <c r="P189" i="49" s="1"/>
  <c r="F187" i="42" s="1"/>
  <c r="I189" i="49"/>
  <c r="H189" i="49"/>
  <c r="L188" i="49"/>
  <c r="K188" i="49"/>
  <c r="J188" i="49"/>
  <c r="I188" i="49"/>
  <c r="P188" i="49" s="1"/>
  <c r="F186" i="42" s="1"/>
  <c r="H188" i="49"/>
  <c r="L187" i="49"/>
  <c r="K187" i="49"/>
  <c r="J187" i="49"/>
  <c r="I187" i="49"/>
  <c r="H187" i="49"/>
  <c r="E185" i="42" s="1"/>
  <c r="L186" i="49"/>
  <c r="K186" i="49"/>
  <c r="J186" i="49"/>
  <c r="I186" i="49"/>
  <c r="P186" i="49" s="1"/>
  <c r="F184" i="42" s="1"/>
  <c r="H186" i="49"/>
  <c r="E184" i="42" s="1"/>
  <c r="L185" i="49"/>
  <c r="K185" i="49"/>
  <c r="J185" i="49"/>
  <c r="I185" i="49"/>
  <c r="H185" i="49"/>
  <c r="E183" i="42" s="1"/>
  <c r="L184" i="49"/>
  <c r="K184" i="49"/>
  <c r="J184" i="49"/>
  <c r="I184" i="49"/>
  <c r="H184" i="49"/>
  <c r="L183" i="49"/>
  <c r="K183" i="49"/>
  <c r="J183" i="49"/>
  <c r="I183" i="49"/>
  <c r="H183" i="49"/>
  <c r="E181" i="42" s="1"/>
  <c r="L182" i="49"/>
  <c r="K182" i="49"/>
  <c r="J182" i="49"/>
  <c r="I182" i="49"/>
  <c r="H182" i="49"/>
  <c r="E180" i="42" s="1"/>
  <c r="L181" i="49"/>
  <c r="P181" i="49" s="1"/>
  <c r="F179" i="42" s="1"/>
  <c r="K181" i="49"/>
  <c r="J181" i="49"/>
  <c r="I181" i="49"/>
  <c r="H181" i="49"/>
  <c r="E179" i="42"/>
  <c r="L180" i="49"/>
  <c r="K180" i="49"/>
  <c r="J180" i="49"/>
  <c r="I180" i="49"/>
  <c r="H180" i="49"/>
  <c r="E178" i="42" s="1"/>
  <c r="L179" i="49"/>
  <c r="K179" i="49"/>
  <c r="J179" i="49"/>
  <c r="I179" i="49"/>
  <c r="H179" i="49"/>
  <c r="E177" i="42"/>
  <c r="L178" i="49"/>
  <c r="K178" i="49"/>
  <c r="J178" i="49"/>
  <c r="I178" i="49"/>
  <c r="H178" i="49"/>
  <c r="E176" i="42"/>
  <c r="L177" i="49"/>
  <c r="K177" i="49"/>
  <c r="J177" i="49"/>
  <c r="I177" i="49"/>
  <c r="P177" i="49" s="1"/>
  <c r="F175" i="42" s="1"/>
  <c r="H177" i="49"/>
  <c r="L176" i="49"/>
  <c r="K176" i="49"/>
  <c r="J176" i="49"/>
  <c r="I176" i="49"/>
  <c r="P176" i="49" s="1"/>
  <c r="F174" i="42" s="1"/>
  <c r="H176" i="49"/>
  <c r="E174" i="42" s="1"/>
  <c r="L175" i="49"/>
  <c r="K175" i="49"/>
  <c r="J175" i="49"/>
  <c r="I175" i="49"/>
  <c r="P175" i="49" s="1"/>
  <c r="H175" i="49"/>
  <c r="E173" i="42" s="1"/>
  <c r="L174" i="49"/>
  <c r="K174" i="49"/>
  <c r="J174" i="49"/>
  <c r="I174" i="49"/>
  <c r="H174" i="49"/>
  <c r="L173" i="49"/>
  <c r="K173" i="49"/>
  <c r="J173" i="49"/>
  <c r="I173" i="49"/>
  <c r="H173" i="49"/>
  <c r="E171" i="42" s="1"/>
  <c r="L172" i="49"/>
  <c r="K172" i="49"/>
  <c r="J172" i="49"/>
  <c r="P172" i="49" s="1"/>
  <c r="I172" i="49"/>
  <c r="H172" i="49"/>
  <c r="L171" i="49"/>
  <c r="K171" i="49"/>
  <c r="J171" i="49"/>
  <c r="I171" i="49"/>
  <c r="H171" i="49"/>
  <c r="L170" i="49"/>
  <c r="P170" i="49" s="1"/>
  <c r="F168" i="42" s="1"/>
  <c r="K170" i="49"/>
  <c r="J170" i="49"/>
  <c r="I170" i="49"/>
  <c r="H170" i="49"/>
  <c r="L169" i="49"/>
  <c r="P169" i="49" s="1"/>
  <c r="F167" i="42" s="1"/>
  <c r="K169" i="49"/>
  <c r="J169" i="49"/>
  <c r="I169" i="49"/>
  <c r="H169" i="49"/>
  <c r="L168" i="49"/>
  <c r="K168" i="49"/>
  <c r="J168" i="49"/>
  <c r="I168" i="49"/>
  <c r="H168" i="49"/>
  <c r="L167" i="49"/>
  <c r="K167" i="49"/>
  <c r="J167" i="49"/>
  <c r="I167" i="49"/>
  <c r="H167" i="49"/>
  <c r="L166" i="49"/>
  <c r="K166" i="49"/>
  <c r="J166" i="49"/>
  <c r="I166" i="49"/>
  <c r="H166" i="49"/>
  <c r="E164" i="42" s="1"/>
  <c r="L165" i="49"/>
  <c r="K165" i="49"/>
  <c r="J165" i="49"/>
  <c r="I165" i="49"/>
  <c r="H165" i="49"/>
  <c r="E163" i="42"/>
  <c r="L164" i="49"/>
  <c r="K164" i="49"/>
  <c r="P164" i="49" s="1"/>
  <c r="F162" i="42" s="1"/>
  <c r="J164" i="49"/>
  <c r="I164" i="49"/>
  <c r="H164" i="49"/>
  <c r="L163" i="49"/>
  <c r="K163" i="49"/>
  <c r="P163" i="49" s="1"/>
  <c r="F161" i="42" s="1"/>
  <c r="J163" i="49"/>
  <c r="I163" i="49"/>
  <c r="H163" i="49"/>
  <c r="E161" i="42" s="1"/>
  <c r="L162" i="49"/>
  <c r="K162" i="49"/>
  <c r="J162" i="49"/>
  <c r="I162" i="49"/>
  <c r="H162" i="49"/>
  <c r="L161" i="49"/>
  <c r="K161" i="49"/>
  <c r="J161" i="49"/>
  <c r="I161" i="49"/>
  <c r="H161" i="49"/>
  <c r="L160" i="49"/>
  <c r="K160" i="49"/>
  <c r="J160" i="49"/>
  <c r="I160" i="49"/>
  <c r="H160" i="49"/>
  <c r="E158" i="42" s="1"/>
  <c r="L159" i="49"/>
  <c r="K159" i="49"/>
  <c r="J159" i="49"/>
  <c r="I159" i="49"/>
  <c r="H159" i="49"/>
  <c r="E157" i="42" s="1"/>
  <c r="L158" i="49"/>
  <c r="K158" i="49"/>
  <c r="J158" i="49"/>
  <c r="I158" i="49"/>
  <c r="H158" i="49"/>
  <c r="E156" i="42" s="1"/>
  <c r="L157" i="49"/>
  <c r="K157" i="49"/>
  <c r="J157" i="49"/>
  <c r="I157" i="49"/>
  <c r="H157" i="49"/>
  <c r="E155" i="42" s="1"/>
  <c r="L156" i="49"/>
  <c r="K156" i="49"/>
  <c r="J156" i="49"/>
  <c r="I156" i="49"/>
  <c r="H156" i="49"/>
  <c r="L155" i="49"/>
  <c r="K155" i="49"/>
  <c r="J155" i="49"/>
  <c r="I155" i="49"/>
  <c r="H155" i="49"/>
  <c r="L154" i="49"/>
  <c r="K154" i="49"/>
  <c r="J154" i="49"/>
  <c r="I154" i="49"/>
  <c r="H154" i="49"/>
  <c r="L153" i="49"/>
  <c r="P153" i="49" s="1"/>
  <c r="F151" i="42" s="1"/>
  <c r="K153" i="49"/>
  <c r="J153" i="49"/>
  <c r="I153" i="49"/>
  <c r="H153" i="49"/>
  <c r="L152" i="49"/>
  <c r="K152" i="49"/>
  <c r="J152" i="49"/>
  <c r="I152" i="49"/>
  <c r="H152" i="49"/>
  <c r="L151" i="49"/>
  <c r="K151" i="49"/>
  <c r="J151" i="49"/>
  <c r="I151" i="49"/>
  <c r="H151" i="49"/>
  <c r="L150" i="49"/>
  <c r="K150" i="49"/>
  <c r="P150" i="49" s="1"/>
  <c r="F148" i="42" s="1"/>
  <c r="J150" i="49"/>
  <c r="I150" i="49"/>
  <c r="H150" i="49"/>
  <c r="L149" i="49"/>
  <c r="K149" i="49"/>
  <c r="J149" i="49"/>
  <c r="I149" i="49"/>
  <c r="H149" i="49"/>
  <c r="E147" i="42" s="1"/>
  <c r="L148" i="49"/>
  <c r="K148" i="49"/>
  <c r="J148" i="49"/>
  <c r="I148" i="49"/>
  <c r="H148" i="49"/>
  <c r="L147" i="49"/>
  <c r="K147" i="49"/>
  <c r="P147" i="49" s="1"/>
  <c r="F145" i="42" s="1"/>
  <c r="J147" i="49"/>
  <c r="I147" i="49"/>
  <c r="H147" i="49"/>
  <c r="E145" i="42" s="1"/>
  <c r="L146" i="49"/>
  <c r="K146" i="49"/>
  <c r="J146" i="49"/>
  <c r="I146" i="49"/>
  <c r="H146" i="49"/>
  <c r="E144" i="42"/>
  <c r="L145" i="49"/>
  <c r="K145" i="49"/>
  <c r="J145" i="49"/>
  <c r="I145" i="49"/>
  <c r="H145" i="49"/>
  <c r="L144" i="49"/>
  <c r="P144" i="49" s="1"/>
  <c r="F142" i="42" s="1"/>
  <c r="K144" i="49"/>
  <c r="J144" i="49"/>
  <c r="I144" i="49"/>
  <c r="H144" i="49"/>
  <c r="E142" i="42"/>
  <c r="L143" i="49"/>
  <c r="K143" i="49"/>
  <c r="J143" i="49"/>
  <c r="I143" i="49"/>
  <c r="H143" i="49"/>
  <c r="E141" i="42" s="1"/>
  <c r="L142" i="49"/>
  <c r="K142" i="49"/>
  <c r="J142" i="49"/>
  <c r="I142" i="49"/>
  <c r="H142" i="49"/>
  <c r="E140" i="42" s="1"/>
  <c r="L141" i="49"/>
  <c r="K141" i="49"/>
  <c r="J141" i="49"/>
  <c r="I141" i="49"/>
  <c r="H141" i="49"/>
  <c r="L140" i="49"/>
  <c r="K140" i="49"/>
  <c r="J140" i="49"/>
  <c r="I140" i="49"/>
  <c r="H140" i="49"/>
  <c r="L139" i="49"/>
  <c r="K139" i="49"/>
  <c r="J139" i="49"/>
  <c r="I139" i="49"/>
  <c r="H139" i="49"/>
  <c r="L138" i="49"/>
  <c r="P138" i="49" s="1"/>
  <c r="F136" i="42" s="1"/>
  <c r="K138" i="49"/>
  <c r="J138" i="49"/>
  <c r="I138" i="49"/>
  <c r="H138" i="49"/>
  <c r="L137" i="49"/>
  <c r="K137" i="49"/>
  <c r="J137" i="49"/>
  <c r="I137" i="49"/>
  <c r="H137" i="49"/>
  <c r="L136" i="49"/>
  <c r="K136" i="49"/>
  <c r="J136" i="49"/>
  <c r="I136" i="49"/>
  <c r="H136" i="49"/>
  <c r="L135" i="49"/>
  <c r="K135" i="49"/>
  <c r="P135" i="49" s="1"/>
  <c r="F133" i="42" s="1"/>
  <c r="J135" i="49"/>
  <c r="I135" i="49"/>
  <c r="H135" i="49"/>
  <c r="L134" i="49"/>
  <c r="K134" i="49"/>
  <c r="J134" i="49"/>
  <c r="I134" i="49"/>
  <c r="H134" i="49"/>
  <c r="E132" i="42" s="1"/>
  <c r="L133" i="49"/>
  <c r="K133" i="49"/>
  <c r="J133" i="49"/>
  <c r="I133" i="49"/>
  <c r="H133" i="49"/>
  <c r="E131" i="42" s="1"/>
  <c r="L132" i="49"/>
  <c r="K132" i="49"/>
  <c r="J132" i="49"/>
  <c r="I132" i="49"/>
  <c r="P132" i="49" s="1"/>
  <c r="F130" i="42" s="1"/>
  <c r="H132" i="49"/>
  <c r="L131" i="49"/>
  <c r="K131" i="49"/>
  <c r="J131" i="49"/>
  <c r="I131" i="49"/>
  <c r="P131" i="49" s="1"/>
  <c r="H131" i="49"/>
  <c r="E129" i="42" s="1"/>
  <c r="L130" i="49"/>
  <c r="K130" i="49"/>
  <c r="J130" i="49"/>
  <c r="I130" i="49"/>
  <c r="H130" i="49"/>
  <c r="E128" i="42"/>
  <c r="L129" i="49"/>
  <c r="K129" i="49"/>
  <c r="J129" i="49"/>
  <c r="I129" i="49"/>
  <c r="P129" i="49" s="1"/>
  <c r="F127" i="42" s="1"/>
  <c r="H129" i="49"/>
  <c r="E127" i="42" s="1"/>
  <c r="L128" i="49"/>
  <c r="K128" i="49"/>
  <c r="J128" i="49"/>
  <c r="I128" i="49"/>
  <c r="H128" i="49"/>
  <c r="E126" i="42"/>
  <c r="L127" i="49"/>
  <c r="K127" i="49"/>
  <c r="P127" i="49" s="1"/>
  <c r="F125" i="42" s="1"/>
  <c r="J127" i="49"/>
  <c r="I127" i="49"/>
  <c r="H127" i="49"/>
  <c r="L126" i="49"/>
  <c r="K126" i="49"/>
  <c r="J126" i="49"/>
  <c r="I126" i="49"/>
  <c r="P126" i="49" s="1"/>
  <c r="F124" i="42" s="1"/>
  <c r="H126" i="49"/>
  <c r="L125" i="49"/>
  <c r="K125" i="49"/>
  <c r="J125" i="49"/>
  <c r="I125" i="49"/>
  <c r="P125" i="49" s="1"/>
  <c r="H125" i="49"/>
  <c r="L124" i="49"/>
  <c r="K124" i="49"/>
  <c r="J124" i="49"/>
  <c r="I124" i="49"/>
  <c r="H124" i="49"/>
  <c r="L123" i="49"/>
  <c r="K123" i="49"/>
  <c r="J123" i="49"/>
  <c r="I123" i="49"/>
  <c r="H123" i="49"/>
  <c r="E121" i="42" s="1"/>
  <c r="L122" i="49"/>
  <c r="K122" i="49"/>
  <c r="J122" i="49"/>
  <c r="I122" i="49"/>
  <c r="H122" i="49"/>
  <c r="L121" i="49"/>
  <c r="K121" i="49"/>
  <c r="J121" i="49"/>
  <c r="I121" i="49"/>
  <c r="P121" i="49" s="1"/>
  <c r="F119" i="42" s="1"/>
  <c r="H121" i="49"/>
  <c r="L120" i="49"/>
  <c r="K120" i="49"/>
  <c r="J120" i="49"/>
  <c r="I120" i="49"/>
  <c r="P120" i="49" s="1"/>
  <c r="F118" i="42" s="1"/>
  <c r="H120" i="49"/>
  <c r="E118" i="42" s="1"/>
  <c r="L119" i="49"/>
  <c r="P119" i="49" s="1"/>
  <c r="F117" i="42" s="1"/>
  <c r="K119" i="49"/>
  <c r="J119" i="49"/>
  <c r="I119" i="49"/>
  <c r="H119" i="49"/>
  <c r="L118" i="49"/>
  <c r="K118" i="49"/>
  <c r="J118" i="49"/>
  <c r="I118" i="49"/>
  <c r="H118" i="49"/>
  <c r="E116" i="42" s="1"/>
  <c r="L117" i="49"/>
  <c r="K117" i="49"/>
  <c r="J117" i="49"/>
  <c r="I117" i="49"/>
  <c r="P117" i="49"/>
  <c r="F115" i="42"/>
  <c r="H117" i="49"/>
  <c r="E115" i="42" s="1"/>
  <c r="L116" i="49"/>
  <c r="K116" i="49"/>
  <c r="J116" i="49"/>
  <c r="I116" i="49"/>
  <c r="H116" i="49"/>
  <c r="E114" i="42" s="1"/>
  <c r="L115" i="49"/>
  <c r="K115" i="49"/>
  <c r="J115" i="49"/>
  <c r="P115" i="49" s="1"/>
  <c r="F113" i="42" s="1"/>
  <c r="I115" i="49"/>
  <c r="H115" i="49"/>
  <c r="E113" i="42"/>
  <c r="L114" i="49"/>
  <c r="K114" i="49"/>
  <c r="J114" i="49"/>
  <c r="I114" i="49"/>
  <c r="H114" i="49"/>
  <c r="E112" i="42" s="1"/>
  <c r="L113" i="49"/>
  <c r="K113" i="49"/>
  <c r="J113" i="49"/>
  <c r="I113" i="49"/>
  <c r="H113" i="49"/>
  <c r="E111" i="42" s="1"/>
  <c r="L112" i="49"/>
  <c r="K112" i="49"/>
  <c r="P112" i="49" s="1"/>
  <c r="F110" i="42" s="1"/>
  <c r="J112" i="49"/>
  <c r="I112" i="49"/>
  <c r="H112" i="49"/>
  <c r="E110" i="42" s="1"/>
  <c r="L111" i="49"/>
  <c r="K111" i="49"/>
  <c r="J111" i="49"/>
  <c r="I111" i="49"/>
  <c r="P111" i="49" s="1"/>
  <c r="F109" i="42" s="1"/>
  <c r="H111" i="49"/>
  <c r="E109" i="42" s="1"/>
  <c r="L110" i="49"/>
  <c r="K110" i="49"/>
  <c r="J110" i="49"/>
  <c r="I110" i="49"/>
  <c r="H110" i="49"/>
  <c r="L109" i="49"/>
  <c r="K109" i="49"/>
  <c r="J109" i="49"/>
  <c r="I109" i="49"/>
  <c r="P109" i="49" s="1"/>
  <c r="F107" i="42"/>
  <c r="H109" i="49"/>
  <c r="L108" i="49"/>
  <c r="K108" i="49"/>
  <c r="J108" i="49"/>
  <c r="P108" i="49" s="1"/>
  <c r="F106" i="42" s="1"/>
  <c r="I108" i="49"/>
  <c r="H108" i="49"/>
  <c r="L107" i="49"/>
  <c r="K107" i="49"/>
  <c r="J107" i="49"/>
  <c r="I107" i="49"/>
  <c r="H107" i="49"/>
  <c r="L106" i="49"/>
  <c r="K106" i="49"/>
  <c r="J106" i="49"/>
  <c r="I106" i="49"/>
  <c r="H106" i="49"/>
  <c r="L105" i="49"/>
  <c r="K105" i="49"/>
  <c r="J105" i="49"/>
  <c r="I105" i="49"/>
  <c r="H105" i="49"/>
  <c r="L104" i="49"/>
  <c r="K104" i="49"/>
  <c r="J104" i="49"/>
  <c r="I104" i="49"/>
  <c r="H104" i="49"/>
  <c r="E102" i="42" s="1"/>
  <c r="L103" i="49"/>
  <c r="K103" i="49"/>
  <c r="J103" i="49"/>
  <c r="I103" i="49"/>
  <c r="H103" i="49"/>
  <c r="L102" i="49"/>
  <c r="K102" i="49"/>
  <c r="J102" i="49"/>
  <c r="I102" i="49"/>
  <c r="P102" i="49" s="1"/>
  <c r="F100" i="42" s="1"/>
  <c r="H102" i="49"/>
  <c r="E100" i="42" s="1"/>
  <c r="L101" i="49"/>
  <c r="P101" i="49" s="1"/>
  <c r="F99" i="42" s="1"/>
  <c r="K101" i="49"/>
  <c r="J101" i="49"/>
  <c r="I101" i="49"/>
  <c r="H101" i="49"/>
  <c r="E99" i="42" s="1"/>
  <c r="L100" i="49"/>
  <c r="K100" i="49"/>
  <c r="J100" i="49"/>
  <c r="I100" i="49"/>
  <c r="H100" i="49"/>
  <c r="E98" i="42" s="1"/>
  <c r="L99" i="49"/>
  <c r="K99" i="49"/>
  <c r="J99" i="49"/>
  <c r="I99" i="49"/>
  <c r="P99" i="49" s="1"/>
  <c r="F97" i="42" s="1"/>
  <c r="H99" i="49"/>
  <c r="E97" i="42" s="1"/>
  <c r="L98" i="49"/>
  <c r="K98" i="49"/>
  <c r="J98" i="49"/>
  <c r="I98" i="49"/>
  <c r="H98" i="49"/>
  <c r="E96" i="42"/>
  <c r="L97" i="49"/>
  <c r="K97" i="49"/>
  <c r="J97" i="49"/>
  <c r="I97" i="49"/>
  <c r="H97" i="49"/>
  <c r="L96" i="49"/>
  <c r="K96" i="49"/>
  <c r="J96" i="49"/>
  <c r="I96" i="49"/>
  <c r="P96" i="49" s="1"/>
  <c r="F94" i="42" s="1"/>
  <c r="H96" i="49"/>
  <c r="E94" i="42"/>
  <c r="L95" i="49"/>
  <c r="K95" i="49"/>
  <c r="J95" i="49"/>
  <c r="I95" i="49"/>
  <c r="H95" i="49"/>
  <c r="E93" i="42" s="1"/>
  <c r="L94" i="49"/>
  <c r="K94" i="49"/>
  <c r="J94" i="49"/>
  <c r="I94" i="49"/>
  <c r="H94" i="49"/>
  <c r="L93" i="49"/>
  <c r="K93" i="49"/>
  <c r="J93" i="49"/>
  <c r="I93" i="49"/>
  <c r="P93" i="49" s="1"/>
  <c r="F91" i="42" s="1"/>
  <c r="H93" i="49"/>
  <c r="L92" i="49"/>
  <c r="K92" i="49"/>
  <c r="J92" i="49"/>
  <c r="I92" i="49"/>
  <c r="H92" i="49"/>
  <c r="L91" i="49"/>
  <c r="K91" i="49"/>
  <c r="J91" i="49"/>
  <c r="I91" i="49"/>
  <c r="H91" i="49"/>
  <c r="E89" i="42" s="1"/>
  <c r="L90" i="49"/>
  <c r="K90" i="49"/>
  <c r="J90" i="49"/>
  <c r="I90" i="49"/>
  <c r="H90" i="49"/>
  <c r="E88" i="42" s="1"/>
  <c r="L89" i="49"/>
  <c r="K89" i="49"/>
  <c r="J89" i="49"/>
  <c r="I89" i="49"/>
  <c r="H89" i="49"/>
  <c r="L88" i="49"/>
  <c r="K88" i="49"/>
  <c r="J88" i="49"/>
  <c r="I88" i="49"/>
  <c r="H88" i="49"/>
  <c r="L87" i="49"/>
  <c r="K87" i="49"/>
  <c r="J87" i="49"/>
  <c r="I87" i="49"/>
  <c r="P87" i="49" s="1"/>
  <c r="F85" i="42" s="1"/>
  <c r="H87" i="49"/>
  <c r="E85" i="42" s="1"/>
  <c r="L86" i="49"/>
  <c r="P86" i="49" s="1"/>
  <c r="F84" i="42" s="1"/>
  <c r="K86" i="49"/>
  <c r="J86" i="49"/>
  <c r="I86" i="49"/>
  <c r="H86" i="49"/>
  <c r="L85" i="49"/>
  <c r="K85" i="49"/>
  <c r="J85" i="49"/>
  <c r="I85" i="49"/>
  <c r="H85" i="49"/>
  <c r="E83" i="42"/>
  <c r="L84" i="49"/>
  <c r="K84" i="49"/>
  <c r="J84" i="49"/>
  <c r="I84" i="49"/>
  <c r="P84" i="49" s="1"/>
  <c r="F82" i="42" s="1"/>
  <c r="H84" i="49"/>
  <c r="L83" i="49"/>
  <c r="K83" i="49"/>
  <c r="J83" i="49"/>
  <c r="I83" i="49"/>
  <c r="H83" i="49"/>
  <c r="E81" i="42"/>
  <c r="L82" i="49"/>
  <c r="K82" i="49"/>
  <c r="J82" i="49"/>
  <c r="I82" i="49"/>
  <c r="H82" i="49"/>
  <c r="E80" i="42" s="1"/>
  <c r="L81" i="49"/>
  <c r="K81" i="49"/>
  <c r="J81" i="49"/>
  <c r="P81" i="49" s="1"/>
  <c r="F79" i="42" s="1"/>
  <c r="I81" i="49"/>
  <c r="H81" i="49"/>
  <c r="L80" i="49"/>
  <c r="K80" i="49"/>
  <c r="J80" i="49"/>
  <c r="I80" i="49"/>
  <c r="H80" i="49"/>
  <c r="E78" i="42"/>
  <c r="L79" i="49"/>
  <c r="K79" i="49"/>
  <c r="J79" i="49"/>
  <c r="I79" i="49"/>
  <c r="H79" i="49"/>
  <c r="E77" i="42" s="1"/>
  <c r="L78" i="49"/>
  <c r="K78" i="49"/>
  <c r="P78" i="49" s="1"/>
  <c r="F76" i="42" s="1"/>
  <c r="J78" i="49"/>
  <c r="I78" i="49"/>
  <c r="H78" i="49"/>
  <c r="L77" i="49"/>
  <c r="K77" i="49"/>
  <c r="J77" i="49"/>
  <c r="I77" i="49"/>
  <c r="H77" i="49"/>
  <c r="L76" i="49"/>
  <c r="K76" i="49"/>
  <c r="J76" i="49"/>
  <c r="I76" i="49"/>
  <c r="H76" i="49"/>
  <c r="L75" i="49"/>
  <c r="K75" i="49"/>
  <c r="J75" i="49"/>
  <c r="P75" i="49" s="1"/>
  <c r="F73" i="42" s="1"/>
  <c r="I75" i="49"/>
  <c r="H75" i="49"/>
  <c r="L74" i="49"/>
  <c r="K74" i="49"/>
  <c r="J74" i="49"/>
  <c r="I74" i="49"/>
  <c r="H74" i="49"/>
  <c r="E72" i="42" s="1"/>
  <c r="L73" i="49"/>
  <c r="K73" i="49"/>
  <c r="J73" i="49"/>
  <c r="P73" i="49" s="1"/>
  <c r="F71" i="42" s="1"/>
  <c r="I73" i="49"/>
  <c r="H73" i="49"/>
  <c r="L72" i="49"/>
  <c r="K72" i="49"/>
  <c r="J72" i="49"/>
  <c r="I72" i="49"/>
  <c r="H72" i="49"/>
  <c r="L71" i="49"/>
  <c r="K71" i="49"/>
  <c r="J71" i="49"/>
  <c r="I71" i="49"/>
  <c r="H71" i="49"/>
  <c r="L70" i="49"/>
  <c r="K70" i="49"/>
  <c r="J70" i="49"/>
  <c r="I70" i="49"/>
  <c r="H70" i="49"/>
  <c r="E68" i="42" s="1"/>
  <c r="L69" i="49"/>
  <c r="K69" i="49"/>
  <c r="J69" i="49"/>
  <c r="I69" i="49"/>
  <c r="P69" i="49"/>
  <c r="F67" i="42" s="1"/>
  <c r="H69" i="49"/>
  <c r="E67" i="42" s="1"/>
  <c r="L68" i="49"/>
  <c r="K68" i="49"/>
  <c r="J68" i="49"/>
  <c r="I68" i="49"/>
  <c r="H68" i="49"/>
  <c r="L67" i="49"/>
  <c r="K67" i="49"/>
  <c r="J67" i="49"/>
  <c r="I67" i="49"/>
  <c r="P67" i="49" s="1"/>
  <c r="F65" i="42" s="1"/>
  <c r="H67" i="49"/>
  <c r="E65" i="42"/>
  <c r="L66" i="49"/>
  <c r="K66" i="49"/>
  <c r="J66" i="49"/>
  <c r="P66" i="49" s="1"/>
  <c r="F64" i="42" s="1"/>
  <c r="I66" i="49"/>
  <c r="H66" i="49"/>
  <c r="E64" i="42" s="1"/>
  <c r="L65" i="49"/>
  <c r="K65" i="49"/>
  <c r="J65" i="49"/>
  <c r="I65" i="49"/>
  <c r="H65" i="49"/>
  <c r="L64" i="49"/>
  <c r="K64" i="49"/>
  <c r="J64" i="49"/>
  <c r="I64" i="49"/>
  <c r="H64" i="49"/>
  <c r="E62" i="42" s="1"/>
  <c r="L63" i="49"/>
  <c r="K63" i="49"/>
  <c r="J63" i="49"/>
  <c r="P63" i="49" s="1"/>
  <c r="F61" i="42" s="1"/>
  <c r="I63" i="49"/>
  <c r="H63" i="49"/>
  <c r="E61" i="42" s="1"/>
  <c r="L62" i="49"/>
  <c r="K62" i="49"/>
  <c r="J62" i="49"/>
  <c r="I62" i="49"/>
  <c r="H62" i="49"/>
  <c r="E60" i="42" s="1"/>
  <c r="L61" i="49"/>
  <c r="K61" i="49"/>
  <c r="J61" i="49"/>
  <c r="I61" i="49"/>
  <c r="H61" i="49"/>
  <c r="E59" i="42" s="1"/>
  <c r="L60" i="49"/>
  <c r="K60" i="49"/>
  <c r="J60" i="49"/>
  <c r="P60" i="49" s="1"/>
  <c r="F58" i="42" s="1"/>
  <c r="I60" i="49"/>
  <c r="H60" i="49"/>
  <c r="E58" i="42" s="1"/>
  <c r="L59" i="49"/>
  <c r="K59" i="49"/>
  <c r="J59" i="49"/>
  <c r="I59" i="49"/>
  <c r="H59" i="49"/>
  <c r="L58" i="49"/>
  <c r="K58" i="49"/>
  <c r="J58" i="49"/>
  <c r="I58" i="49"/>
  <c r="H58" i="49"/>
  <c r="L57" i="49"/>
  <c r="K57" i="49"/>
  <c r="J57" i="49"/>
  <c r="I57" i="49"/>
  <c r="P57" i="49" s="1"/>
  <c r="F55" i="42" s="1"/>
  <c r="H57" i="49"/>
  <c r="L56" i="49"/>
  <c r="P56" i="49" s="1"/>
  <c r="F54" i="42" s="1"/>
  <c r="K56" i="49"/>
  <c r="J56" i="49"/>
  <c r="I56" i="49"/>
  <c r="H56" i="49"/>
  <c r="L55" i="49"/>
  <c r="K55" i="49"/>
  <c r="J55" i="49"/>
  <c r="I55" i="49"/>
  <c r="H55" i="49"/>
  <c r="E53" i="42" s="1"/>
  <c r="L54" i="49"/>
  <c r="K54" i="49"/>
  <c r="J54" i="49"/>
  <c r="I54" i="49"/>
  <c r="H54" i="49"/>
  <c r="E52" i="42" s="1"/>
  <c r="L53" i="49"/>
  <c r="K53" i="49"/>
  <c r="J53" i="49"/>
  <c r="I53" i="49"/>
  <c r="P53" i="49" s="1"/>
  <c r="F51" i="42" s="1"/>
  <c r="H53" i="49"/>
  <c r="E51" i="42"/>
  <c r="L52" i="49"/>
  <c r="K52" i="49"/>
  <c r="J52" i="49"/>
  <c r="I52" i="49"/>
  <c r="H52" i="49"/>
  <c r="L51" i="49"/>
  <c r="K51" i="49"/>
  <c r="J51" i="49"/>
  <c r="I51" i="49"/>
  <c r="H51" i="49"/>
  <c r="E49" i="42"/>
  <c r="L50" i="49"/>
  <c r="K50" i="49"/>
  <c r="J50" i="49"/>
  <c r="I50" i="49"/>
  <c r="H50" i="49"/>
  <c r="E48" i="42" s="1"/>
  <c r="L49" i="49"/>
  <c r="K49" i="49"/>
  <c r="J49" i="49"/>
  <c r="I49" i="49"/>
  <c r="H49" i="49"/>
  <c r="L48" i="49"/>
  <c r="K48" i="49"/>
  <c r="J48" i="49"/>
  <c r="I48" i="49"/>
  <c r="H48" i="49"/>
  <c r="E46" i="42" s="1"/>
  <c r="L47" i="49"/>
  <c r="K47" i="49"/>
  <c r="J47" i="49"/>
  <c r="I47" i="49"/>
  <c r="H47" i="49"/>
  <c r="E45" i="42" s="1"/>
  <c r="L46" i="49"/>
  <c r="K46" i="49"/>
  <c r="J46" i="49"/>
  <c r="I46" i="49"/>
  <c r="H46" i="49"/>
  <c r="E44" i="42" s="1"/>
  <c r="L45" i="49"/>
  <c r="K45" i="49"/>
  <c r="J45" i="49"/>
  <c r="I45" i="49"/>
  <c r="H45" i="49"/>
  <c r="E43" i="42" s="1"/>
  <c r="L44" i="49"/>
  <c r="K44" i="49"/>
  <c r="P44" i="49" s="1"/>
  <c r="F42" i="42" s="1"/>
  <c r="J44" i="49"/>
  <c r="I44" i="49"/>
  <c r="H44" i="49"/>
  <c r="L43" i="49"/>
  <c r="K43" i="49"/>
  <c r="J43" i="49"/>
  <c r="I43" i="49"/>
  <c r="H43" i="49"/>
  <c r="L42" i="49"/>
  <c r="K42" i="49"/>
  <c r="J42" i="49"/>
  <c r="I42" i="49"/>
  <c r="H42" i="49"/>
  <c r="L41" i="49"/>
  <c r="K41" i="49"/>
  <c r="J41" i="49"/>
  <c r="P41" i="49" s="1"/>
  <c r="F39" i="42" s="1"/>
  <c r="I41" i="49"/>
  <c r="H41" i="49"/>
  <c r="E39" i="42" s="1"/>
  <c r="L40" i="49"/>
  <c r="K40" i="49"/>
  <c r="J40" i="49"/>
  <c r="I40" i="49"/>
  <c r="H40" i="49"/>
  <c r="E38" i="42" s="1"/>
  <c r="L39" i="49"/>
  <c r="K39" i="49"/>
  <c r="P39" i="49" s="1"/>
  <c r="F37" i="42" s="1"/>
  <c r="J39" i="49"/>
  <c r="I39" i="49"/>
  <c r="H39" i="49"/>
  <c r="L38" i="49"/>
  <c r="K38" i="49"/>
  <c r="J38" i="49"/>
  <c r="I38" i="49"/>
  <c r="P38" i="49" s="1"/>
  <c r="F36" i="42" s="1"/>
  <c r="H38" i="49"/>
  <c r="L37" i="49"/>
  <c r="K37" i="49"/>
  <c r="J37" i="49"/>
  <c r="I37" i="49"/>
  <c r="P37" i="49"/>
  <c r="F35" i="42"/>
  <c r="H37" i="49"/>
  <c r="E35" i="42"/>
  <c r="L36" i="49"/>
  <c r="K36" i="49"/>
  <c r="J36" i="49"/>
  <c r="I36" i="49"/>
  <c r="H36" i="49"/>
  <c r="E34" i="42" s="1"/>
  <c r="L35" i="49"/>
  <c r="K35" i="49"/>
  <c r="P35" i="49" s="1"/>
  <c r="F33" i="42" s="1"/>
  <c r="J35" i="49"/>
  <c r="I35" i="49"/>
  <c r="H35" i="49"/>
  <c r="E33" i="42" s="1"/>
  <c r="L34" i="49"/>
  <c r="K34" i="49"/>
  <c r="J34" i="49"/>
  <c r="I34" i="49"/>
  <c r="H34" i="49"/>
  <c r="E32" i="42"/>
  <c r="L33" i="49"/>
  <c r="K33" i="49"/>
  <c r="J33" i="49"/>
  <c r="I33" i="49"/>
  <c r="H33" i="49"/>
  <c r="E31" i="42" s="1"/>
  <c r="L32" i="49"/>
  <c r="P32" i="49" s="1"/>
  <c r="F30" i="42" s="1"/>
  <c r="K32" i="49"/>
  <c r="J32" i="49"/>
  <c r="I32" i="49"/>
  <c r="H32" i="49"/>
  <c r="E30" i="42"/>
  <c r="L31" i="49"/>
  <c r="K31" i="49"/>
  <c r="J31" i="49"/>
  <c r="I31" i="49"/>
  <c r="H31" i="49"/>
  <c r="E29" i="42" s="1"/>
  <c r="L30" i="49"/>
  <c r="K30" i="49"/>
  <c r="J30" i="49"/>
  <c r="I30" i="49"/>
  <c r="P30" i="49" s="1"/>
  <c r="F28" i="42" s="1"/>
  <c r="H30" i="49"/>
  <c r="E28" i="42" s="1"/>
  <c r="L29" i="49"/>
  <c r="K29" i="49"/>
  <c r="J29" i="49"/>
  <c r="I29" i="49"/>
  <c r="H29" i="49"/>
  <c r="L28" i="49"/>
  <c r="K28" i="49"/>
  <c r="J28" i="49"/>
  <c r="I28" i="49"/>
  <c r="H28" i="49"/>
  <c r="E26" i="42" s="1"/>
  <c r="L27" i="49"/>
  <c r="K27" i="49"/>
  <c r="J27" i="49"/>
  <c r="I27" i="49"/>
  <c r="H27" i="49"/>
  <c r="E25" i="42" s="1"/>
  <c r="L26" i="49"/>
  <c r="P26" i="49" s="1"/>
  <c r="F24" i="42" s="1"/>
  <c r="K26" i="49"/>
  <c r="J26" i="49"/>
  <c r="I26" i="49"/>
  <c r="H26" i="49"/>
  <c r="L25" i="49"/>
  <c r="K25" i="49"/>
  <c r="J25" i="49"/>
  <c r="I25" i="49"/>
  <c r="P25" i="49" s="1"/>
  <c r="H25" i="49"/>
  <c r="L24" i="49"/>
  <c r="K24" i="49"/>
  <c r="J24" i="49"/>
  <c r="I24" i="49"/>
  <c r="H24" i="49"/>
  <c r="L23" i="49"/>
  <c r="K23" i="49"/>
  <c r="P23" i="49" s="1"/>
  <c r="F21" i="42" s="1"/>
  <c r="J23" i="49"/>
  <c r="I23" i="49"/>
  <c r="H23" i="49"/>
  <c r="L22" i="49"/>
  <c r="K22" i="49"/>
  <c r="J22" i="49"/>
  <c r="I22" i="49"/>
  <c r="H22" i="49"/>
  <c r="L21" i="49"/>
  <c r="K21" i="49"/>
  <c r="J21" i="49"/>
  <c r="P21" i="49" s="1"/>
  <c r="F19" i="42" s="1"/>
  <c r="I21" i="49"/>
  <c r="H21" i="49"/>
  <c r="E19" i="42"/>
  <c r="L20" i="49"/>
  <c r="K20" i="49"/>
  <c r="J20" i="49"/>
  <c r="I20" i="49"/>
  <c r="H20" i="49"/>
  <c r="L19" i="49"/>
  <c r="K19" i="49"/>
  <c r="J19" i="49"/>
  <c r="I19" i="49"/>
  <c r="H19" i="49"/>
  <c r="E17" i="42" s="1"/>
  <c r="L18" i="49"/>
  <c r="K18" i="49"/>
  <c r="J18" i="49"/>
  <c r="I18" i="49"/>
  <c r="P18" i="49" s="1"/>
  <c r="F16" i="42" s="1"/>
  <c r="H18" i="49"/>
  <c r="E16" i="42" s="1"/>
  <c r="L17" i="49"/>
  <c r="K17" i="49"/>
  <c r="J17" i="49"/>
  <c r="I17" i="49"/>
  <c r="H17" i="49"/>
  <c r="L16" i="49"/>
  <c r="K16" i="49"/>
  <c r="J16" i="49"/>
  <c r="I16" i="49"/>
  <c r="H16" i="49"/>
  <c r="E14" i="42" s="1"/>
  <c r="L15" i="49"/>
  <c r="K15" i="49"/>
  <c r="J15" i="49"/>
  <c r="I15" i="49"/>
  <c r="H15" i="49"/>
  <c r="E13" i="42"/>
  <c r="L14" i="49"/>
  <c r="P14" i="49" s="1"/>
  <c r="F12" i="42" s="1"/>
  <c r="K14" i="49"/>
  <c r="J14" i="49"/>
  <c r="I14" i="49"/>
  <c r="H14" i="49"/>
  <c r="L13" i="49"/>
  <c r="K13" i="49"/>
  <c r="J13" i="49"/>
  <c r="I13" i="49"/>
  <c r="H13" i="49"/>
  <c r="L12" i="49"/>
  <c r="K12" i="49"/>
  <c r="J12" i="49"/>
  <c r="I12" i="49"/>
  <c r="H12" i="49"/>
  <c r="L11" i="49"/>
  <c r="K11" i="49"/>
  <c r="P11" i="49" s="1"/>
  <c r="F9" i="42" s="1"/>
  <c r="J11" i="49"/>
  <c r="I11" i="49"/>
  <c r="H11" i="49"/>
  <c r="L10" i="49"/>
  <c r="K10" i="49"/>
  <c r="J10" i="49"/>
  <c r="I10" i="49"/>
  <c r="H10" i="49"/>
  <c r="L9" i="49"/>
  <c r="K9" i="49"/>
  <c r="J9" i="49"/>
  <c r="I9" i="49"/>
  <c r="H9" i="49"/>
  <c r="E7" i="42" s="1"/>
  <c r="L8" i="49"/>
  <c r="K8" i="49"/>
  <c r="J8" i="49"/>
  <c r="P8" i="49" s="1"/>
  <c r="F6" i="42" s="1"/>
  <c r="I8" i="49"/>
  <c r="H8" i="49"/>
  <c r="L7" i="49"/>
  <c r="K7" i="49"/>
  <c r="J7" i="49"/>
  <c r="I7" i="49"/>
  <c r="H7" i="49"/>
  <c r="L6" i="49"/>
  <c r="K6" i="49"/>
  <c r="J6" i="49"/>
  <c r="I6" i="49"/>
  <c r="H6" i="49"/>
  <c r="E4" i="42" s="1"/>
  <c r="A3" i="48"/>
  <c r="A4" i="48" s="1"/>
  <c r="A5" i="48" s="1"/>
  <c r="A6" i="48"/>
  <c r="A7" i="48" s="1"/>
  <c r="A8" i="48"/>
  <c r="A9" i="48"/>
  <c r="A10" i="48" s="1"/>
  <c r="A11" i="48" s="1"/>
  <c r="A12" i="48" s="1"/>
  <c r="A13" i="48" s="1"/>
  <c r="A14" i="48" s="1"/>
  <c r="A15" i="48" s="1"/>
  <c r="A16" i="48" s="1"/>
  <c r="A17" i="48" s="1"/>
  <c r="A18" i="48" s="1"/>
  <c r="A19" i="48" s="1"/>
  <c r="C20" i="47"/>
  <c r="C21" i="47"/>
  <c r="C22" i="47"/>
  <c r="C23" i="47" s="1"/>
  <c r="C24" i="47"/>
  <c r="C25" i="47"/>
  <c r="C26" i="47"/>
  <c r="C27" i="47"/>
  <c r="C28" i="47" s="1"/>
  <c r="C29" i="47" s="1"/>
  <c r="C30" i="47" s="1"/>
  <c r="C31" i="47" s="1"/>
  <c r="C32" i="47" s="1"/>
  <c r="C33" i="47" s="1"/>
  <c r="C34" i="47" s="1"/>
  <c r="C35" i="47" s="1"/>
  <c r="C36" i="47" s="1"/>
  <c r="C14" i="47"/>
  <c r="C15" i="47"/>
  <c r="C16" i="47" s="1"/>
  <c r="C17" i="47" s="1"/>
  <c r="C18" i="47" s="1"/>
  <c r="C5" i="47"/>
  <c r="C6" i="47"/>
  <c r="C7" i="47"/>
  <c r="C8" i="47"/>
  <c r="C9" i="47"/>
  <c r="C10" i="47" s="1"/>
  <c r="C11" i="47" s="1"/>
  <c r="C12" i="47" s="1"/>
  <c r="C171" i="46"/>
  <c r="C172" i="46"/>
  <c r="C168" i="46"/>
  <c r="C169" i="46"/>
  <c r="C76" i="46"/>
  <c r="C77" i="46" s="1"/>
  <c r="C78" i="46" s="1"/>
  <c r="C79" i="46" s="1"/>
  <c r="C80" i="46" s="1"/>
  <c r="C81" i="46" s="1"/>
  <c r="C82" i="46" s="1"/>
  <c r="C83" i="46" s="1"/>
  <c r="C84" i="46" s="1"/>
  <c r="C85" i="46" s="1"/>
  <c r="C86" i="46" s="1"/>
  <c r="C87" i="46" s="1"/>
  <c r="C88" i="46" s="1"/>
  <c r="C89" i="46" s="1"/>
  <c r="C90" i="46" s="1"/>
  <c r="C91" i="46" s="1"/>
  <c r="C92" i="46" s="1"/>
  <c r="C93" i="46" s="1"/>
  <c r="C94" i="46" s="1"/>
  <c r="C95" i="46" s="1"/>
  <c r="C96" i="46" s="1"/>
  <c r="C97" i="46" s="1"/>
  <c r="C98" i="46" s="1"/>
  <c r="C99" i="46" s="1"/>
  <c r="C100" i="46" s="1"/>
  <c r="C101" i="46" s="1"/>
  <c r="C102" i="46" s="1"/>
  <c r="C103" i="46" s="1"/>
  <c r="C104" i="46" s="1"/>
  <c r="C105" i="46" s="1"/>
  <c r="C106" i="46" s="1"/>
  <c r="C107" i="46" s="1"/>
  <c r="C108" i="46" s="1"/>
  <c r="C109" i="46" s="1"/>
  <c r="C110" i="46" s="1"/>
  <c r="C111" i="46" s="1"/>
  <c r="C112" i="46" s="1"/>
  <c r="C113" i="46" s="1"/>
  <c r="C114" i="46" s="1"/>
  <c r="C115" i="46" s="1"/>
  <c r="C116" i="46" s="1"/>
  <c r="C117" i="46" s="1"/>
  <c r="C118" i="46" s="1"/>
  <c r="C119" i="46" s="1"/>
  <c r="C120" i="46" s="1"/>
  <c r="C121" i="46" s="1"/>
  <c r="C122" i="46" s="1"/>
  <c r="C123" i="46" s="1"/>
  <c r="C124" i="46" s="1"/>
  <c r="C125" i="46" s="1"/>
  <c r="C126" i="46" s="1"/>
  <c r="C127" i="46" s="1"/>
  <c r="C128" i="46" s="1"/>
  <c r="C129" i="46" s="1"/>
  <c r="C130" i="46" s="1"/>
  <c r="C131" i="46" s="1"/>
  <c r="C132" i="46" s="1"/>
  <c r="C133" i="46" s="1"/>
  <c r="C134" i="46" s="1"/>
  <c r="C135" i="46" s="1"/>
  <c r="C136" i="46" s="1"/>
  <c r="C137" i="46" s="1"/>
  <c r="C138" i="46" s="1"/>
  <c r="C139" i="46" s="1"/>
  <c r="C140" i="46" s="1"/>
  <c r="C141" i="46" s="1"/>
  <c r="C142" i="46" s="1"/>
  <c r="C143" i="46" s="1"/>
  <c r="C144" i="46" s="1"/>
  <c r="C145" i="46" s="1"/>
  <c r="C146" i="46" s="1"/>
  <c r="C147" i="46" s="1"/>
  <c r="C148" i="46" s="1"/>
  <c r="C149" i="46" s="1"/>
  <c r="C150" i="46" s="1"/>
  <c r="C151" i="46" s="1"/>
  <c r="C152" i="46" s="1"/>
  <c r="C153" i="46" s="1"/>
  <c r="C154" i="46" s="1"/>
  <c r="C155" i="46" s="1"/>
  <c r="C156" i="46" s="1"/>
  <c r="C157" i="46" s="1"/>
  <c r="C158" i="46" s="1"/>
  <c r="C159" i="46" s="1"/>
  <c r="C160" i="46" s="1"/>
  <c r="C161" i="46" s="1"/>
  <c r="C162" i="46" s="1"/>
  <c r="C163" i="46" s="1"/>
  <c r="C164" i="46" s="1"/>
  <c r="C165" i="46" s="1"/>
  <c r="C166" i="46" s="1"/>
  <c r="C33" i="46"/>
  <c r="C34" i="46"/>
  <c r="C35" i="46"/>
  <c r="C36" i="46" s="1"/>
  <c r="C37" i="46" s="1"/>
  <c r="C38" i="46" s="1"/>
  <c r="C39" i="46" s="1"/>
  <c r="C40" i="46" s="1"/>
  <c r="C41" i="46" s="1"/>
  <c r="C42" i="46" s="1"/>
  <c r="C43" i="46" s="1"/>
  <c r="C44" i="46" s="1"/>
  <c r="C45" i="46" s="1"/>
  <c r="C46" i="46" s="1"/>
  <c r="C47" i="46" s="1"/>
  <c r="C48" i="46" s="1"/>
  <c r="C49" i="46" s="1"/>
  <c r="C50" i="46" s="1"/>
  <c r="C51" i="46" s="1"/>
  <c r="C52" i="46" s="1"/>
  <c r="C53" i="46" s="1"/>
  <c r="C54" i="46" s="1"/>
  <c r="C55" i="46" s="1"/>
  <c r="C56" i="46" s="1"/>
  <c r="C57" i="46" s="1"/>
  <c r="C58" i="46" s="1"/>
  <c r="C59" i="46" s="1"/>
  <c r="C60" i="46" s="1"/>
  <c r="C61" i="46" s="1"/>
  <c r="C62" i="46" s="1"/>
  <c r="C63" i="46" s="1"/>
  <c r="C64" i="46" s="1"/>
  <c r="C65" i="46" s="1"/>
  <c r="C66" i="46" s="1"/>
  <c r="C67" i="46" s="1"/>
  <c r="C68" i="46" s="1"/>
  <c r="C69" i="46" s="1"/>
  <c r="C70" i="46" s="1"/>
  <c r="C71" i="46" s="1"/>
  <c r="C72" i="46" s="1"/>
  <c r="C73" i="46" s="1"/>
  <c r="C74" i="46" s="1"/>
  <c r="C16" i="46"/>
  <c r="C17" i="46" s="1"/>
  <c r="C18" i="46" s="1"/>
  <c r="C19" i="46" s="1"/>
  <c r="C20" i="46" s="1"/>
  <c r="C21" i="46" s="1"/>
  <c r="C22" i="46" s="1"/>
  <c r="C23" i="46" s="1"/>
  <c r="C24" i="46" s="1"/>
  <c r="C25" i="46" s="1"/>
  <c r="C26" i="46" s="1"/>
  <c r="C27" i="46" s="1"/>
  <c r="C28" i="46" s="1"/>
  <c r="C29" i="46" s="1"/>
  <c r="C30" i="46" s="1"/>
  <c r="C14" i="46"/>
  <c r="C12" i="46"/>
  <c r="C5" i="46"/>
  <c r="C6" i="46"/>
  <c r="C7" i="46"/>
  <c r="C8" i="46" s="1"/>
  <c r="C9" i="46" s="1"/>
  <c r="C52" i="45"/>
  <c r="C53" i="45" s="1"/>
  <c r="C49" i="45"/>
  <c r="C50" i="45" s="1"/>
  <c r="C46" i="45"/>
  <c r="C47" i="45" s="1"/>
  <c r="C43" i="45"/>
  <c r="C44" i="45"/>
  <c r="C40" i="45"/>
  <c r="C41" i="45" s="1"/>
  <c r="C37" i="45"/>
  <c r="C38" i="45" s="1"/>
  <c r="C34" i="45"/>
  <c r="C35" i="45"/>
  <c r="C31" i="45"/>
  <c r="C32" i="45"/>
  <c r="C28" i="45"/>
  <c r="C29" i="45"/>
  <c r="C25" i="45"/>
  <c r="C26" i="45" s="1"/>
  <c r="C22" i="45"/>
  <c r="C23" i="45"/>
  <c r="C19" i="45"/>
  <c r="C20" i="45"/>
  <c r="C16" i="45"/>
  <c r="C17" i="45"/>
  <c r="C13" i="45"/>
  <c r="C14" i="45"/>
  <c r="C10" i="45"/>
  <c r="C11" i="45"/>
  <c r="E5" i="45"/>
  <c r="C5" i="45"/>
  <c r="C6" i="45"/>
  <c r="C7" i="45" s="1"/>
  <c r="C8" i="45" s="1"/>
  <c r="C52" i="44"/>
  <c r="C53" i="44"/>
  <c r="C49" i="44"/>
  <c r="C50" i="44" s="1"/>
  <c r="C46" i="44"/>
  <c r="C47" i="44"/>
  <c r="C43" i="44"/>
  <c r="C44" i="44"/>
  <c r="C40" i="44"/>
  <c r="C41" i="44"/>
  <c r="C37" i="44"/>
  <c r="C38" i="44" s="1"/>
  <c r="C34" i="44"/>
  <c r="C35" i="44"/>
  <c r="C31" i="44"/>
  <c r="C32" i="44"/>
  <c r="C28" i="44"/>
  <c r="C29" i="44"/>
  <c r="C25" i="44"/>
  <c r="C26" i="44" s="1"/>
  <c r="C22" i="44"/>
  <c r="C23" i="44" s="1"/>
  <c r="C19" i="44"/>
  <c r="C20" i="44"/>
  <c r="C16" i="44"/>
  <c r="C17" i="44"/>
  <c r="C13" i="44"/>
  <c r="C14" i="44" s="1"/>
  <c r="C10" i="44"/>
  <c r="C11" i="44" s="1"/>
  <c r="C5" i="44"/>
  <c r="C6" i="44"/>
  <c r="C7" i="44" s="1"/>
  <c r="C52" i="43"/>
  <c r="C53" i="43"/>
  <c r="C49" i="43"/>
  <c r="C50" i="43"/>
  <c r="C46" i="43"/>
  <c r="C47" i="43"/>
  <c r="C43" i="43"/>
  <c r="C44" i="43"/>
  <c r="C40" i="43"/>
  <c r="C41" i="43" s="1"/>
  <c r="C37" i="43"/>
  <c r="C38" i="43"/>
  <c r="C34" i="43"/>
  <c r="C35" i="43" s="1"/>
  <c r="C31" i="43"/>
  <c r="C32" i="43" s="1"/>
  <c r="C28" i="43"/>
  <c r="C29" i="43"/>
  <c r="C25" i="43"/>
  <c r="C26" i="43"/>
  <c r="C22" i="43"/>
  <c r="C23" i="43" s="1"/>
  <c r="C19" i="43"/>
  <c r="C20" i="43" s="1"/>
  <c r="C16" i="43"/>
  <c r="C17" i="43"/>
  <c r="C13" i="43"/>
  <c r="C14" i="43"/>
  <c r="C10" i="43"/>
  <c r="C11" i="43"/>
  <c r="C5" i="43"/>
  <c r="C6" i="43" s="1"/>
  <c r="C7" i="43"/>
  <c r="E268" i="42"/>
  <c r="D268" i="42"/>
  <c r="C268" i="42"/>
  <c r="E267" i="42"/>
  <c r="D267" i="42"/>
  <c r="E266" i="42"/>
  <c r="D266" i="42"/>
  <c r="C266" i="42"/>
  <c r="E265" i="42"/>
  <c r="D265" i="42"/>
  <c r="E264" i="42"/>
  <c r="D264" i="42"/>
  <c r="D263" i="42"/>
  <c r="C263" i="42"/>
  <c r="B263" i="42"/>
  <c r="D262" i="42"/>
  <c r="E261" i="42"/>
  <c r="D261" i="42"/>
  <c r="C261" i="42"/>
  <c r="D260" i="42"/>
  <c r="E259" i="42"/>
  <c r="D259" i="42"/>
  <c r="C259" i="42"/>
  <c r="E258" i="42"/>
  <c r="D258" i="42"/>
  <c r="C258" i="42"/>
  <c r="E257" i="42"/>
  <c r="D257" i="42"/>
  <c r="C257" i="42"/>
  <c r="B257" i="42"/>
  <c r="D256" i="42"/>
  <c r="E255" i="42"/>
  <c r="D255" i="42"/>
  <c r="C255" i="42"/>
  <c r="D254" i="42"/>
  <c r="E253" i="42"/>
  <c r="D253" i="42"/>
  <c r="D252" i="42"/>
  <c r="E251" i="42"/>
  <c r="D251" i="42"/>
  <c r="C251" i="42"/>
  <c r="E250" i="42"/>
  <c r="D250" i="42"/>
  <c r="E249" i="42"/>
  <c r="D249" i="42"/>
  <c r="E248" i="42"/>
  <c r="D248" i="42"/>
  <c r="C248" i="42"/>
  <c r="B248" i="42"/>
  <c r="E247" i="42"/>
  <c r="D247" i="42"/>
  <c r="E246" i="42"/>
  <c r="D246" i="42"/>
  <c r="E245" i="42"/>
  <c r="D245" i="42"/>
  <c r="E244" i="42"/>
  <c r="D244" i="42"/>
  <c r="C244" i="42"/>
  <c r="B244" i="42"/>
  <c r="D243" i="42"/>
  <c r="D242" i="42"/>
  <c r="D241" i="42"/>
  <c r="C241" i="42"/>
  <c r="B241" i="42"/>
  <c r="D240" i="42"/>
  <c r="E239" i="42"/>
  <c r="D239" i="42"/>
  <c r="D238" i="42"/>
  <c r="D237" i="42"/>
  <c r="C237" i="42"/>
  <c r="E236" i="42"/>
  <c r="D236" i="42"/>
  <c r="E235" i="42"/>
  <c r="D235" i="42"/>
  <c r="E234" i="42"/>
  <c r="D234" i="42"/>
  <c r="C234" i="42"/>
  <c r="E233" i="42"/>
  <c r="D233" i="42"/>
  <c r="E232" i="42"/>
  <c r="D232" i="42"/>
  <c r="E231" i="42"/>
  <c r="D231" i="42"/>
  <c r="C231" i="42"/>
  <c r="E230" i="42"/>
  <c r="D230" i="42"/>
  <c r="D229" i="42"/>
  <c r="C229" i="42"/>
  <c r="E228" i="42"/>
  <c r="D228" i="42"/>
  <c r="D227" i="42"/>
  <c r="D226" i="42"/>
  <c r="C226" i="42"/>
  <c r="D225" i="42"/>
  <c r="D224" i="42"/>
  <c r="E223" i="42"/>
  <c r="D223" i="42"/>
  <c r="D222" i="42"/>
  <c r="C222" i="42"/>
  <c r="B222" i="42"/>
  <c r="D221" i="42"/>
  <c r="C221" i="42"/>
  <c r="E220" i="42"/>
  <c r="D220" i="42"/>
  <c r="E219" i="42"/>
  <c r="D219" i="42"/>
  <c r="E218" i="42"/>
  <c r="D218" i="42"/>
  <c r="D217" i="42"/>
  <c r="C217" i="42"/>
  <c r="E216" i="42"/>
  <c r="D216" i="42"/>
  <c r="D215" i="42"/>
  <c r="C215" i="42"/>
  <c r="D214" i="42"/>
  <c r="E213" i="42"/>
  <c r="D213" i="42"/>
  <c r="C213" i="42"/>
  <c r="D212" i="42"/>
  <c r="D211" i="42"/>
  <c r="C211" i="42"/>
  <c r="E210" i="42"/>
  <c r="D210" i="42"/>
  <c r="D209" i="42"/>
  <c r="C209" i="42"/>
  <c r="D208" i="42"/>
  <c r="E207" i="42"/>
  <c r="D207" i="42"/>
  <c r="C207" i="42"/>
  <c r="B207" i="42"/>
  <c r="D206" i="42"/>
  <c r="D205" i="42"/>
  <c r="E204" i="42"/>
  <c r="D204" i="42"/>
  <c r="C204" i="42"/>
  <c r="B204" i="42"/>
  <c r="E203" i="42"/>
  <c r="D203" i="42"/>
  <c r="D202" i="42"/>
  <c r="E201" i="42"/>
  <c r="D201" i="42"/>
  <c r="C201" i="42"/>
  <c r="E200" i="42"/>
  <c r="D200" i="42"/>
  <c r="E199" i="42"/>
  <c r="D199" i="42"/>
  <c r="D198" i="42"/>
  <c r="C198" i="42"/>
  <c r="E197" i="42"/>
  <c r="D197" i="42"/>
  <c r="E196" i="42"/>
  <c r="D196" i="42"/>
  <c r="E195" i="42"/>
  <c r="D195" i="42"/>
  <c r="E194" i="42"/>
  <c r="D194" i="42"/>
  <c r="C194" i="42"/>
  <c r="B194" i="42"/>
  <c r="D193" i="42"/>
  <c r="D192" i="42"/>
  <c r="C192" i="42"/>
  <c r="D191" i="42"/>
  <c r="C191" i="42"/>
  <c r="E190" i="42"/>
  <c r="D190" i="42"/>
  <c r="D189" i="42"/>
  <c r="E188" i="42"/>
  <c r="D188" i="42"/>
  <c r="E187" i="42"/>
  <c r="D187" i="42"/>
  <c r="C187" i="42"/>
  <c r="E186" i="42"/>
  <c r="D186" i="42"/>
  <c r="D185" i="42"/>
  <c r="C185" i="42"/>
  <c r="D184" i="42"/>
  <c r="D183" i="42"/>
  <c r="C183" i="42"/>
  <c r="E182" i="42"/>
  <c r="D182" i="42"/>
  <c r="D181" i="42"/>
  <c r="C181" i="42"/>
  <c r="B181" i="42"/>
  <c r="D180" i="42"/>
  <c r="D179" i="42"/>
  <c r="D178" i="42"/>
  <c r="C178" i="42"/>
  <c r="D177" i="42"/>
  <c r="D176" i="42"/>
  <c r="E175" i="42"/>
  <c r="D175" i="42"/>
  <c r="D174" i="42"/>
  <c r="C174" i="42"/>
  <c r="B174" i="42"/>
  <c r="D173" i="42"/>
  <c r="E172" i="42"/>
  <c r="D172" i="42"/>
  <c r="C172" i="42"/>
  <c r="D171" i="42"/>
  <c r="E170" i="42"/>
  <c r="D170" i="42"/>
  <c r="C170" i="42"/>
  <c r="E169" i="42"/>
  <c r="D169" i="42"/>
  <c r="E168" i="42"/>
  <c r="D168" i="42"/>
  <c r="C168" i="42"/>
  <c r="E167" i="42"/>
  <c r="D167" i="42"/>
  <c r="E166" i="42"/>
  <c r="D166" i="42"/>
  <c r="E165" i="42"/>
  <c r="D165" i="42"/>
  <c r="D164" i="42"/>
  <c r="C164" i="42"/>
  <c r="D163" i="42"/>
  <c r="E162" i="42"/>
  <c r="D162" i="42"/>
  <c r="D161" i="42"/>
  <c r="E160" i="42"/>
  <c r="D160" i="42"/>
  <c r="E159" i="42"/>
  <c r="D159" i="42"/>
  <c r="C159" i="42"/>
  <c r="B159" i="42"/>
  <c r="D158" i="42"/>
  <c r="D157" i="42"/>
  <c r="D156" i="42"/>
  <c r="D155" i="42"/>
  <c r="E154" i="42"/>
  <c r="D154" i="42"/>
  <c r="E153" i="42"/>
  <c r="D153" i="42"/>
  <c r="E152" i="42"/>
  <c r="D152" i="42"/>
  <c r="E151" i="42"/>
  <c r="D151" i="42"/>
  <c r="E150" i="42"/>
  <c r="D150" i="42"/>
  <c r="C150" i="42"/>
  <c r="E149" i="42"/>
  <c r="D149" i="42"/>
  <c r="E148" i="42"/>
  <c r="D148" i="42"/>
  <c r="D147" i="42"/>
  <c r="E146" i="42"/>
  <c r="D146" i="42"/>
  <c r="D145" i="42"/>
  <c r="D144" i="42"/>
  <c r="E143" i="42"/>
  <c r="D143" i="42"/>
  <c r="D142" i="42"/>
  <c r="C142" i="42"/>
  <c r="D141" i="42"/>
  <c r="D140" i="42"/>
  <c r="E139" i="42"/>
  <c r="D139" i="42"/>
  <c r="E138" i="42"/>
  <c r="D138" i="42"/>
  <c r="C138" i="42"/>
  <c r="B138" i="42"/>
  <c r="E137" i="42"/>
  <c r="D137" i="42"/>
  <c r="E136" i="42"/>
  <c r="D136" i="42"/>
  <c r="E135" i="42"/>
  <c r="D135" i="42"/>
  <c r="E134" i="42"/>
  <c r="D134" i="42"/>
  <c r="C134" i="42"/>
  <c r="E133" i="42"/>
  <c r="D133" i="42"/>
  <c r="D132" i="42"/>
  <c r="D131" i="42"/>
  <c r="C131" i="42"/>
  <c r="E130" i="42"/>
  <c r="D130" i="42"/>
  <c r="D129" i="42"/>
  <c r="C129" i="42"/>
  <c r="B129" i="42"/>
  <c r="D128" i="42"/>
  <c r="C128" i="42"/>
  <c r="D127" i="42"/>
  <c r="D126" i="42"/>
  <c r="E125" i="42"/>
  <c r="D125" i="42"/>
  <c r="C125" i="42"/>
  <c r="E124" i="42"/>
  <c r="D124" i="42"/>
  <c r="C124" i="42"/>
  <c r="F123" i="42"/>
  <c r="E123" i="42"/>
  <c r="D123" i="42"/>
  <c r="C123" i="42"/>
  <c r="B123" i="42"/>
  <c r="E122" i="42"/>
  <c r="D122" i="42"/>
  <c r="D121" i="42"/>
  <c r="E120" i="42"/>
  <c r="D120" i="42"/>
  <c r="C120" i="42"/>
  <c r="B120" i="42"/>
  <c r="E119" i="42"/>
  <c r="D119" i="42"/>
  <c r="D118" i="42"/>
  <c r="C118" i="42"/>
  <c r="E117" i="42"/>
  <c r="D117" i="42"/>
  <c r="D116" i="42"/>
  <c r="D115" i="42"/>
  <c r="D114" i="42"/>
  <c r="D113" i="42"/>
  <c r="D112" i="42"/>
  <c r="C112" i="42"/>
  <c r="D111" i="42"/>
  <c r="C111" i="42"/>
  <c r="D110" i="42"/>
  <c r="D109" i="42"/>
  <c r="E108" i="42"/>
  <c r="D108" i="42"/>
  <c r="C108" i="42"/>
  <c r="E107" i="42"/>
  <c r="D107" i="42"/>
  <c r="E106" i="42"/>
  <c r="D106" i="42"/>
  <c r="E105" i="42"/>
  <c r="D105" i="42"/>
  <c r="C105" i="42"/>
  <c r="E104" i="42"/>
  <c r="D104" i="42"/>
  <c r="E103" i="42"/>
  <c r="D103" i="42"/>
  <c r="D102" i="42"/>
  <c r="E101" i="42"/>
  <c r="D101" i="42"/>
  <c r="D100" i="42"/>
  <c r="C100" i="42"/>
  <c r="D99" i="42"/>
  <c r="D98" i="42"/>
  <c r="D97" i="42"/>
  <c r="D96" i="42"/>
  <c r="E95" i="42"/>
  <c r="D95" i="42"/>
  <c r="D94" i="42"/>
  <c r="C94" i="42"/>
  <c r="D93" i="42"/>
  <c r="E92" i="42"/>
  <c r="D92" i="42"/>
  <c r="E91" i="42"/>
  <c r="D91" i="42"/>
  <c r="E90" i="42"/>
  <c r="D90" i="42"/>
  <c r="D89" i="42"/>
  <c r="D88" i="42"/>
  <c r="E87" i="42"/>
  <c r="D87" i="42"/>
  <c r="E86" i="42"/>
  <c r="D86" i="42"/>
  <c r="C86" i="42"/>
  <c r="D85" i="42"/>
  <c r="E84" i="42"/>
  <c r="D84" i="42"/>
  <c r="D83" i="42"/>
  <c r="E82" i="42"/>
  <c r="D82" i="42"/>
  <c r="D81" i="42"/>
  <c r="D80" i="42"/>
  <c r="C80" i="42"/>
  <c r="E79" i="42"/>
  <c r="D79" i="42"/>
  <c r="D78" i="42"/>
  <c r="D77" i="42"/>
  <c r="E76" i="42"/>
  <c r="D76" i="42"/>
  <c r="E75" i="42"/>
  <c r="D75" i="42"/>
  <c r="C75" i="42"/>
  <c r="E74" i="42"/>
  <c r="D74" i="42"/>
  <c r="E73" i="42"/>
  <c r="D73" i="42"/>
  <c r="D72" i="42"/>
  <c r="E71" i="42"/>
  <c r="D71" i="42"/>
  <c r="E70" i="42"/>
  <c r="D70" i="42"/>
  <c r="E69" i="42"/>
  <c r="D69" i="42"/>
  <c r="D68" i="42"/>
  <c r="D67" i="42"/>
  <c r="C67" i="42"/>
  <c r="E66" i="42"/>
  <c r="D66" i="42"/>
  <c r="D65" i="42"/>
  <c r="C65" i="42"/>
  <c r="D64" i="42"/>
  <c r="E63" i="42"/>
  <c r="D63" i="42"/>
  <c r="C63" i="42"/>
  <c r="D62" i="42"/>
  <c r="D61" i="42"/>
  <c r="D60" i="42"/>
  <c r="D59" i="42"/>
  <c r="D58" i="42"/>
  <c r="E57" i="42"/>
  <c r="D57" i="42"/>
  <c r="C57" i="42"/>
  <c r="E56" i="42"/>
  <c r="D56" i="42"/>
  <c r="E55" i="42"/>
  <c r="D55" i="42"/>
  <c r="E54" i="42"/>
  <c r="D54" i="42"/>
  <c r="C54" i="42"/>
  <c r="D53" i="42"/>
  <c r="D52" i="42"/>
  <c r="C52" i="42"/>
  <c r="D51" i="42"/>
  <c r="E50" i="42"/>
  <c r="D50" i="42"/>
  <c r="C50" i="42"/>
  <c r="D49" i="42"/>
  <c r="C49" i="42"/>
  <c r="D48" i="42"/>
  <c r="E47" i="42"/>
  <c r="D47" i="42"/>
  <c r="D46" i="42"/>
  <c r="C46" i="42"/>
  <c r="D45" i="42"/>
  <c r="D44" i="42"/>
  <c r="D43" i="42"/>
  <c r="C43" i="42"/>
  <c r="E42" i="42"/>
  <c r="D42" i="42"/>
  <c r="E41" i="42"/>
  <c r="D41" i="42"/>
  <c r="E40" i="42"/>
  <c r="D40" i="42"/>
  <c r="D39" i="42"/>
  <c r="C39" i="42"/>
  <c r="D38" i="42"/>
  <c r="C38" i="42"/>
  <c r="E37" i="42"/>
  <c r="D37" i="42"/>
  <c r="C37" i="42"/>
  <c r="E36" i="42"/>
  <c r="D36" i="42"/>
  <c r="D35" i="42"/>
  <c r="D34" i="42"/>
  <c r="D33" i="42"/>
  <c r="D32" i="42"/>
  <c r="D31" i="42"/>
  <c r="D30" i="42"/>
  <c r="D29" i="42"/>
  <c r="D28" i="42"/>
  <c r="C28" i="42"/>
  <c r="B28" i="42"/>
  <c r="E27" i="42"/>
  <c r="D27" i="42"/>
  <c r="D26" i="42"/>
  <c r="C26" i="42"/>
  <c r="D25" i="42"/>
  <c r="E24" i="42"/>
  <c r="D24" i="42"/>
  <c r="C24" i="42"/>
  <c r="E23" i="42"/>
  <c r="D23" i="42"/>
  <c r="E22" i="42"/>
  <c r="D22" i="42"/>
  <c r="C22" i="42"/>
  <c r="E21" i="42"/>
  <c r="D21" i="42"/>
  <c r="E20" i="42"/>
  <c r="D20" i="42"/>
  <c r="C20" i="42"/>
  <c r="D19" i="42"/>
  <c r="E18" i="42"/>
  <c r="D18" i="42"/>
  <c r="C18" i="42"/>
  <c r="B18" i="42"/>
  <c r="D17" i="42"/>
  <c r="D16" i="42"/>
  <c r="C16" i="42"/>
  <c r="E15" i="42"/>
  <c r="D15" i="42"/>
  <c r="D14" i="42"/>
  <c r="D13" i="42"/>
  <c r="E12" i="42"/>
  <c r="D12" i="42"/>
  <c r="C12" i="42"/>
  <c r="E11" i="42"/>
  <c r="D11" i="42"/>
  <c r="E10" i="42"/>
  <c r="D10" i="42"/>
  <c r="E9" i="42"/>
  <c r="D9" i="42"/>
  <c r="E8" i="42"/>
  <c r="D8" i="42"/>
  <c r="D7" i="42"/>
  <c r="E6" i="42"/>
  <c r="D6" i="42"/>
  <c r="E5" i="42"/>
  <c r="D5" i="42"/>
  <c r="C5" i="42"/>
  <c r="B5" i="42"/>
  <c r="B4" i="42"/>
  <c r="C114" i="41"/>
  <c r="C115" i="41"/>
  <c r="C116" i="41" s="1"/>
  <c r="C117" i="41" s="1"/>
  <c r="C109" i="41"/>
  <c r="C110" i="41" s="1"/>
  <c r="C111" i="41" s="1"/>
  <c r="C112" i="41" s="1"/>
  <c r="C104" i="41"/>
  <c r="C105" i="41"/>
  <c r="C106" i="41"/>
  <c r="C107" i="41" s="1"/>
  <c r="C99" i="41"/>
  <c r="C100" i="41" s="1"/>
  <c r="C101" i="41" s="1"/>
  <c r="C102" i="41" s="1"/>
  <c r="C94" i="41"/>
  <c r="C95" i="41"/>
  <c r="C96" i="41"/>
  <c r="C97" i="41" s="1"/>
  <c r="C89" i="41"/>
  <c r="C90" i="41"/>
  <c r="C91" i="41" s="1"/>
  <c r="C92" i="41" s="1"/>
  <c r="C84" i="41"/>
  <c r="C85" i="41" s="1"/>
  <c r="C86" i="41" s="1"/>
  <c r="C87" i="41" s="1"/>
  <c r="C79" i="41"/>
  <c r="C80" i="41"/>
  <c r="C81" i="41" s="1"/>
  <c r="C82" i="41" s="1"/>
  <c r="C74" i="41"/>
  <c r="C75" i="41" s="1"/>
  <c r="C76" i="41" s="1"/>
  <c r="C77" i="41" s="1"/>
  <c r="C62" i="41"/>
  <c r="C63" i="41"/>
  <c r="C64" i="41" s="1"/>
  <c r="C65" i="41"/>
  <c r="C66" i="41" s="1"/>
  <c r="C67" i="41" s="1"/>
  <c r="C68" i="41" s="1"/>
  <c r="C69" i="41" s="1"/>
  <c r="C70" i="41" s="1"/>
  <c r="C71" i="41" s="1"/>
  <c r="C72" i="41" s="1"/>
  <c r="C60" i="41"/>
  <c r="C53" i="41"/>
  <c r="C54" i="41"/>
  <c r="C55" i="41" s="1"/>
  <c r="C56" i="41" s="1"/>
  <c r="C57" i="41" s="1"/>
  <c r="C58" i="41" s="1"/>
  <c r="C45" i="41"/>
  <c r="C46" i="41"/>
  <c r="C47" i="41"/>
  <c r="C48" i="41"/>
  <c r="C49" i="41" s="1"/>
  <c r="C50" i="41" s="1"/>
  <c r="C51" i="41" s="1"/>
  <c r="C40" i="41"/>
  <c r="C41" i="41" s="1"/>
  <c r="C42" i="41" s="1"/>
  <c r="C43" i="41" s="1"/>
  <c r="C35" i="41"/>
  <c r="C36" i="41"/>
  <c r="C37" i="41" s="1"/>
  <c r="C38" i="41"/>
  <c r="C30" i="41"/>
  <c r="C31" i="41" s="1"/>
  <c r="C32" i="41" s="1"/>
  <c r="C33" i="41" s="1"/>
  <c r="C15" i="41"/>
  <c r="C16" i="41" s="1"/>
  <c r="C17" i="41" s="1"/>
  <c r="C18" i="41" s="1"/>
  <c r="C19" i="41" s="1"/>
  <c r="C20" i="41" s="1"/>
  <c r="C21" i="41" s="1"/>
  <c r="C22" i="41" s="1"/>
  <c r="C23" i="41" s="1"/>
  <c r="C24" i="41" s="1"/>
  <c r="C25" i="41" s="1"/>
  <c r="C26" i="41" s="1"/>
  <c r="C27" i="41" s="1"/>
  <c r="C28" i="41" s="1"/>
  <c r="C11" i="41"/>
  <c r="C12" i="41"/>
  <c r="C13" i="41" s="1"/>
  <c r="E9" i="41"/>
  <c r="E8" i="41"/>
  <c r="C5" i="41"/>
  <c r="C6" i="41" s="1"/>
  <c r="C7" i="41" s="1"/>
  <c r="C8" i="41" s="1"/>
  <c r="C9" i="41" s="1"/>
  <c r="R223" i="40"/>
  <c r="R222" i="40"/>
  <c r="M222" i="40"/>
  <c r="R221" i="40"/>
  <c r="Y220" i="40" s="1"/>
  <c r="M221" i="40"/>
  <c r="W220" i="40"/>
  <c r="M220" i="40"/>
  <c r="X220" i="40" s="1"/>
  <c r="I220" i="40" s="1"/>
  <c r="H220" i="40" s="1"/>
  <c r="S219" i="40"/>
  <c r="R219" i="40"/>
  <c r="S218" i="40"/>
  <c r="R218" i="40"/>
  <c r="S217" i="40"/>
  <c r="R217" i="40"/>
  <c r="S216" i="40"/>
  <c r="R216" i="40"/>
  <c r="S215" i="40"/>
  <c r="R215" i="40"/>
  <c r="S214" i="40"/>
  <c r="R214" i="40"/>
  <c r="S213" i="40"/>
  <c r="R213" i="40"/>
  <c r="S212" i="40"/>
  <c r="R212" i="40"/>
  <c r="S211" i="40"/>
  <c r="R211" i="40"/>
  <c r="Y208" i="40" s="1"/>
  <c r="I208" i="40" s="1"/>
  <c r="H208" i="40" s="1"/>
  <c r="M211" i="40"/>
  <c r="S210" i="40"/>
  <c r="R210" i="40"/>
  <c r="M210" i="40"/>
  <c r="S209" i="40"/>
  <c r="R209" i="40"/>
  <c r="M209" i="40"/>
  <c r="S208" i="40"/>
  <c r="R208" i="40"/>
  <c r="M208" i="40"/>
  <c r="Y202" i="40"/>
  <c r="I202" i="40" s="1"/>
  <c r="H202" i="40" s="1"/>
  <c r="X202" i="40"/>
  <c r="M201" i="40"/>
  <c r="M200" i="40"/>
  <c r="M199" i="40"/>
  <c r="X198" i="40" s="1"/>
  <c r="I198" i="40" s="1"/>
  <c r="H198" i="40" s="1"/>
  <c r="R198" i="40"/>
  <c r="Y198" i="40" s="1"/>
  <c r="M198" i="40"/>
  <c r="M197" i="40"/>
  <c r="M196" i="40"/>
  <c r="R195" i="40"/>
  <c r="M195" i="40"/>
  <c r="R194" i="40"/>
  <c r="Y194" i="40" s="1"/>
  <c r="M194" i="40"/>
  <c r="X194" i="40" s="1"/>
  <c r="I194" i="40" s="1"/>
  <c r="H194" i="40" s="1"/>
  <c r="M193" i="40"/>
  <c r="M192" i="40"/>
  <c r="W191" i="40"/>
  <c r="Y191" i="40" s="1"/>
  <c r="R191" i="40"/>
  <c r="M191" i="40"/>
  <c r="X191" i="40" s="1"/>
  <c r="I191" i="40" s="1"/>
  <c r="H191" i="40" s="1"/>
  <c r="S190" i="40"/>
  <c r="R190" i="40"/>
  <c r="S189" i="40"/>
  <c r="R189" i="40"/>
  <c r="S188" i="40"/>
  <c r="R188" i="40"/>
  <c r="S187" i="40"/>
  <c r="R187" i="40"/>
  <c r="S186" i="40"/>
  <c r="R186" i="40"/>
  <c r="S185" i="40"/>
  <c r="R185" i="40"/>
  <c r="S184" i="40"/>
  <c r="R184" i="40"/>
  <c r="S183" i="40"/>
  <c r="R183" i="40"/>
  <c r="S182" i="40"/>
  <c r="R182" i="40"/>
  <c r="S181" i="40"/>
  <c r="R181" i="40"/>
  <c r="S180" i="40"/>
  <c r="R180" i="40"/>
  <c r="S179" i="40"/>
  <c r="R179" i="40"/>
  <c r="S178" i="40"/>
  <c r="R178" i="40"/>
  <c r="S177" i="40"/>
  <c r="R177" i="40"/>
  <c r="S176" i="40"/>
  <c r="R176" i="40"/>
  <c r="S175" i="40"/>
  <c r="R175" i="40"/>
  <c r="S174" i="40"/>
  <c r="R174" i="40"/>
  <c r="R171" i="40"/>
  <c r="R172" i="40"/>
  <c r="R173" i="40"/>
  <c r="S173" i="40"/>
  <c r="M173" i="40"/>
  <c r="S172" i="40"/>
  <c r="M172" i="40"/>
  <c r="S171" i="40"/>
  <c r="M171" i="40"/>
  <c r="M170" i="40"/>
  <c r="M169" i="40"/>
  <c r="R167" i="40"/>
  <c r="Y167" i="40"/>
  <c r="M167" i="40"/>
  <c r="X166" i="40" s="1"/>
  <c r="I167" i="40" s="1"/>
  <c r="R166" i="40"/>
  <c r="Y166" i="40"/>
  <c r="M166" i="40"/>
  <c r="X167" i="40" s="1"/>
  <c r="I168" i="40" s="1"/>
  <c r="H168" i="40" s="1"/>
  <c r="M149" i="40"/>
  <c r="Y148" i="40"/>
  <c r="M148" i="40"/>
  <c r="X148" i="40" s="1"/>
  <c r="M146" i="40"/>
  <c r="X145" i="40" s="1"/>
  <c r="I145" i="40" s="1"/>
  <c r="H145" i="40" s="1"/>
  <c r="V145" i="40"/>
  <c r="Y145" i="40"/>
  <c r="M145" i="40"/>
  <c r="J145" i="40"/>
  <c r="W143" i="40"/>
  <c r="Y143" i="40" s="1"/>
  <c r="X143" i="40"/>
  <c r="I143" i="40" s="1"/>
  <c r="Y127" i="40"/>
  <c r="X127" i="40"/>
  <c r="I127" i="40" s="1"/>
  <c r="H127" i="40" s="1"/>
  <c r="Y124" i="40"/>
  <c r="X124" i="40"/>
  <c r="I124" i="40" s="1"/>
  <c r="H124" i="40" s="1"/>
  <c r="Y121" i="40"/>
  <c r="X121" i="40"/>
  <c r="Y118" i="40"/>
  <c r="X118" i="40"/>
  <c r="Y115" i="40"/>
  <c r="X115" i="40"/>
  <c r="Y112" i="40"/>
  <c r="I112" i="40" s="1"/>
  <c r="H112" i="40" s="1"/>
  <c r="X112" i="40"/>
  <c r="Y109" i="40"/>
  <c r="X109" i="40"/>
  <c r="I109" i="40"/>
  <c r="H109" i="40" s="1"/>
  <c r="Y106" i="40"/>
  <c r="X106" i="40"/>
  <c r="I106" i="40" s="1"/>
  <c r="H106" i="40" s="1"/>
  <c r="Y103" i="40"/>
  <c r="X103" i="40"/>
  <c r="H62" i="40"/>
  <c r="V57" i="40"/>
  <c r="Y55" i="40"/>
  <c r="X55" i="40"/>
  <c r="V53" i="40"/>
  <c r="Y51" i="40"/>
  <c r="I51" i="40" s="1"/>
  <c r="X51" i="40"/>
  <c r="I47" i="40"/>
  <c r="H47" i="40"/>
  <c r="Y45" i="40"/>
  <c r="X45" i="40"/>
  <c r="I45" i="40" s="1"/>
  <c r="H45" i="40" s="1"/>
  <c r="Y43" i="40"/>
  <c r="X43" i="40"/>
  <c r="Y41" i="40"/>
  <c r="X41" i="40"/>
  <c r="Y39" i="40"/>
  <c r="X39" i="40"/>
  <c r="I39" i="40" s="1"/>
  <c r="H39" i="40"/>
  <c r="Y37" i="40"/>
  <c r="X37" i="40"/>
  <c r="I37" i="40" s="1"/>
  <c r="H37" i="40" s="1"/>
  <c r="Y35" i="40"/>
  <c r="X35" i="40"/>
  <c r="I35" i="40" s="1"/>
  <c r="H35" i="40" s="1"/>
  <c r="Y33" i="40"/>
  <c r="X33" i="40"/>
  <c r="I33" i="40" s="1"/>
  <c r="H33" i="40"/>
  <c r="Y31" i="40"/>
  <c r="X31" i="40"/>
  <c r="I31" i="40" s="1"/>
  <c r="H31" i="40" s="1"/>
  <c r="Y29" i="40"/>
  <c r="I29" i="40" s="1"/>
  <c r="X29" i="40"/>
  <c r="Y27" i="40"/>
  <c r="X27" i="40"/>
  <c r="I27" i="40" s="1"/>
  <c r="H27" i="40" s="1"/>
  <c r="Y25" i="40"/>
  <c r="X25" i="40"/>
  <c r="I25" i="40" s="1"/>
  <c r="H25" i="40" s="1"/>
  <c r="Y23" i="40"/>
  <c r="X23" i="40"/>
  <c r="I23" i="40" s="1"/>
  <c r="H23" i="40" s="1"/>
  <c r="Y21" i="40"/>
  <c r="X21" i="40"/>
  <c r="I21" i="40"/>
  <c r="H21" i="40"/>
  <c r="Y19" i="40"/>
  <c r="I19" i="40" s="1"/>
  <c r="H19" i="40" s="1"/>
  <c r="X19" i="40"/>
  <c r="Y17" i="40"/>
  <c r="X17" i="40"/>
  <c r="Y13" i="40"/>
  <c r="X13" i="40"/>
  <c r="I13" i="40" s="1"/>
  <c r="H13" i="40" s="1"/>
  <c r="Y9" i="40"/>
  <c r="X9" i="40"/>
  <c r="I9" i="40" s="1"/>
  <c r="H9" i="40" s="1"/>
  <c r="H8" i="40"/>
  <c r="M6" i="40"/>
  <c r="X6" i="40"/>
  <c r="I6" i="40" s="1"/>
  <c r="H6" i="40" s="1"/>
  <c r="W6" i="40"/>
  <c r="R6" i="40"/>
  <c r="P7" i="49"/>
  <c r="F5" i="42" s="1"/>
  <c r="I103" i="40"/>
  <c r="H103" i="40" s="1"/>
  <c r="P180" i="49"/>
  <c r="F178" i="42"/>
  <c r="P196" i="49"/>
  <c r="F194" i="42"/>
  <c r="Y6" i="40"/>
  <c r="I43" i="40"/>
  <c r="H43" i="40" s="1"/>
  <c r="H29" i="40"/>
  <c r="I115" i="40"/>
  <c r="H115" i="40" s="1"/>
  <c r="I41" i="40"/>
  <c r="H41" i="40" s="1"/>
  <c r="I148" i="40"/>
  <c r="H148" i="40" s="1"/>
  <c r="P9" i="49"/>
  <c r="F7" i="42"/>
  <c r="F23" i="42"/>
  <c r="P89" i="49"/>
  <c r="F87" i="42"/>
  <c r="P105" i="49"/>
  <c r="F103" i="42" s="1"/>
  <c r="P137" i="49"/>
  <c r="F135" i="42"/>
  <c r="T30" i="56"/>
  <c r="T35" i="56" s="1"/>
  <c r="F6" i="56" s="1"/>
  <c r="T78" i="56"/>
  <c r="T83" i="56" s="1"/>
  <c r="F10" i="56" s="1"/>
  <c r="T54" i="56"/>
  <c r="R66" i="56"/>
  <c r="T66" i="56"/>
  <c r="T71" i="56" s="1"/>
  <c r="F9" i="56" s="1"/>
  <c r="R54" i="56"/>
  <c r="R30" i="56"/>
  <c r="P264" i="49"/>
  <c r="F262" i="42"/>
  <c r="I55" i="40"/>
  <c r="H55" i="40" s="1"/>
  <c r="X208" i="40"/>
  <c r="P128" i="49"/>
  <c r="F126" i="42"/>
  <c r="P160" i="49"/>
  <c r="F158" i="42" s="1"/>
  <c r="P208" i="49"/>
  <c r="F206" i="42"/>
  <c r="P224" i="49"/>
  <c r="F222" i="42"/>
  <c r="I17" i="40"/>
  <c r="H17" i="40"/>
  <c r="P106" i="49"/>
  <c r="F104" i="42" s="1"/>
  <c r="P122" i="49"/>
  <c r="F120" i="42" s="1"/>
  <c r="P154" i="49"/>
  <c r="F152" i="42"/>
  <c r="P202" i="49"/>
  <c r="F200" i="42" s="1"/>
  <c r="P55" i="49"/>
  <c r="F53" i="42" s="1"/>
  <c r="P71" i="49"/>
  <c r="F69" i="42" s="1"/>
  <c r="P103" i="49"/>
  <c r="F101" i="42" s="1"/>
  <c r="P151" i="49"/>
  <c r="F149" i="42"/>
  <c r="P183" i="49"/>
  <c r="F181" i="42"/>
  <c r="P199" i="49"/>
  <c r="F197" i="42"/>
  <c r="P231" i="49"/>
  <c r="F229" i="42"/>
  <c r="P145" i="49"/>
  <c r="F143" i="42" s="1"/>
  <c r="P161" i="49"/>
  <c r="F159" i="42"/>
  <c r="P193" i="49"/>
  <c r="F191" i="42"/>
  <c r="P257" i="49"/>
  <c r="F255" i="42" s="1"/>
  <c r="P142" i="49"/>
  <c r="F140" i="42"/>
  <c r="P158" i="49"/>
  <c r="F156" i="42"/>
  <c r="P174" i="49"/>
  <c r="F172" i="42" s="1"/>
  <c r="F268" i="42"/>
  <c r="P123" i="49"/>
  <c r="F121" i="42"/>
  <c r="P171" i="49"/>
  <c r="F169" i="42" s="1"/>
  <c r="P187" i="49"/>
  <c r="F185" i="42"/>
  <c r="P267" i="49"/>
  <c r="F265" i="42" s="1"/>
  <c r="P185" i="49"/>
  <c r="F183" i="42"/>
  <c r="P201" i="49"/>
  <c r="F199" i="42" s="1"/>
  <c r="P217" i="49"/>
  <c r="F215" i="42" s="1"/>
  <c r="P233" i="49"/>
  <c r="F231" i="42"/>
  <c r="P166" i="49"/>
  <c r="F164" i="42"/>
  <c r="P182" i="49"/>
  <c r="F180" i="42" s="1"/>
  <c r="P198" i="49"/>
  <c r="F196" i="42" s="1"/>
  <c r="P214" i="49"/>
  <c r="F212" i="42"/>
  <c r="P230" i="49"/>
  <c r="F228" i="42" s="1"/>
  <c r="F260" i="42"/>
  <c r="P19" i="49"/>
  <c r="F17" i="42" s="1"/>
  <c r="P51" i="49"/>
  <c r="F49" i="42"/>
  <c r="P83" i="49"/>
  <c r="F81" i="42"/>
  <c r="F129" i="42"/>
  <c r="P179" i="49"/>
  <c r="F177" i="42"/>
  <c r="P195" i="49"/>
  <c r="F193" i="42" s="1"/>
  <c r="P211" i="49"/>
  <c r="F209" i="42" s="1"/>
  <c r="P227" i="49"/>
  <c r="F225" i="42"/>
  <c r="F257" i="42"/>
  <c r="P16" i="49"/>
  <c r="F14" i="42" s="1"/>
  <c r="P48" i="49"/>
  <c r="F46" i="42"/>
  <c r="P64" i="49"/>
  <c r="F62" i="42"/>
  <c r="P80" i="49"/>
  <c r="F78" i="42"/>
  <c r="F254" i="42"/>
  <c r="P13" i="49"/>
  <c r="F11" i="42" s="1"/>
  <c r="P29" i="49"/>
  <c r="F27" i="42"/>
  <c r="P45" i="49"/>
  <c r="F43" i="42"/>
  <c r="P61" i="49"/>
  <c r="F59" i="42"/>
  <c r="P77" i="49"/>
  <c r="F75" i="42"/>
  <c r="P141" i="49"/>
  <c r="F139" i="42" s="1"/>
  <c r="P157" i="49"/>
  <c r="F155" i="42"/>
  <c r="P173" i="49"/>
  <c r="F171" i="42"/>
  <c r="P205" i="49"/>
  <c r="F203" i="42"/>
  <c r="P221" i="49"/>
  <c r="F219" i="42" s="1"/>
  <c r="P253" i="49"/>
  <c r="F251" i="42" s="1"/>
  <c r="P10" i="49"/>
  <c r="F8" i="42" s="1"/>
  <c r="P42" i="49"/>
  <c r="F40" i="42" s="1"/>
  <c r="P58" i="49"/>
  <c r="F56" i="42" s="1"/>
  <c r="P74" i="49"/>
  <c r="F72" i="42"/>
  <c r="P90" i="49"/>
  <c r="F88" i="42"/>
  <c r="P218" i="49"/>
  <c r="F216" i="42"/>
  <c r="P266" i="49"/>
  <c r="F264" i="42"/>
  <c r="P167" i="49"/>
  <c r="F165" i="42"/>
  <c r="P263" i="49"/>
  <c r="F261" i="42" s="1"/>
  <c r="P260" i="49"/>
  <c r="F258" i="42"/>
  <c r="P17" i="49"/>
  <c r="F15" i="42" s="1"/>
  <c r="P33" i="49"/>
  <c r="F31" i="42" s="1"/>
  <c r="P49" i="49"/>
  <c r="F47" i="42" s="1"/>
  <c r="P65" i="49"/>
  <c r="F63" i="42" s="1"/>
  <c r="P97" i="49"/>
  <c r="F95" i="42"/>
  <c r="P113" i="49"/>
  <c r="F111" i="42" s="1"/>
  <c r="P241" i="49"/>
  <c r="F239" i="42" s="1"/>
  <c r="P190" i="49"/>
  <c r="F188" i="42" s="1"/>
  <c r="P254" i="49"/>
  <c r="F252" i="42"/>
  <c r="P27" i="49"/>
  <c r="F25" i="42"/>
  <c r="P43" i="49"/>
  <c r="F41" i="42" s="1"/>
  <c r="P59" i="49"/>
  <c r="F57" i="42"/>
  <c r="P91" i="49"/>
  <c r="F89" i="42" s="1"/>
  <c r="P107" i="49"/>
  <c r="F105" i="42" s="1"/>
  <c r="P139" i="49"/>
  <c r="F137" i="42" s="1"/>
  <c r="P155" i="49"/>
  <c r="F153" i="42" s="1"/>
  <c r="P235" i="49"/>
  <c r="F233" i="42"/>
  <c r="P251" i="49"/>
  <c r="F249" i="42" s="1"/>
  <c r="P24" i="49"/>
  <c r="F22" i="42"/>
  <c r="P40" i="49"/>
  <c r="F38" i="42"/>
  <c r="P72" i="49"/>
  <c r="F70" i="42"/>
  <c r="P88" i="49"/>
  <c r="F86" i="42"/>
  <c r="P104" i="49"/>
  <c r="F102" i="42"/>
  <c r="P136" i="49"/>
  <c r="F134" i="42" s="1"/>
  <c r="P152" i="49"/>
  <c r="F150" i="42" s="1"/>
  <c r="P168" i="49"/>
  <c r="F166" i="42" s="1"/>
  <c r="P184" i="49"/>
  <c r="F182" i="42" s="1"/>
  <c r="P216" i="49"/>
  <c r="F214" i="42"/>
  <c r="P232" i="49"/>
  <c r="F230" i="42" s="1"/>
  <c r="P248" i="49"/>
  <c r="F246" i="42" s="1"/>
  <c r="P133" i="49"/>
  <c r="F131" i="42"/>
  <c r="P149" i="49"/>
  <c r="F147" i="42" s="1"/>
  <c r="P165" i="49"/>
  <c r="F163" i="42"/>
  <c r="P213" i="49"/>
  <c r="F211" i="42"/>
  <c r="P229" i="49"/>
  <c r="F227" i="42"/>
  <c r="P245" i="49"/>
  <c r="F243" i="42"/>
  <c r="P34" i="49"/>
  <c r="F32" i="42" s="1"/>
  <c r="P50" i="49"/>
  <c r="F48" i="42" s="1"/>
  <c r="P82" i="49"/>
  <c r="F80" i="42"/>
  <c r="P98" i="49"/>
  <c r="F96" i="42"/>
  <c r="P114" i="49"/>
  <c r="F112" i="42" s="1"/>
  <c r="P130" i="49"/>
  <c r="F128" i="42" s="1"/>
  <c r="P146" i="49"/>
  <c r="F144" i="42"/>
  <c r="P162" i="49"/>
  <c r="F160" i="42" s="1"/>
  <c r="P178" i="49"/>
  <c r="F176" i="42"/>
  <c r="P210" i="49"/>
  <c r="F208" i="42" s="1"/>
  <c r="P226" i="49"/>
  <c r="F224" i="42"/>
  <c r="P242" i="49"/>
  <c r="F240" i="42"/>
  <c r="P15" i="49"/>
  <c r="F13" i="42" s="1"/>
  <c r="P31" i="49"/>
  <c r="F29" i="42"/>
  <c r="P79" i="49"/>
  <c r="F77" i="42"/>
  <c r="P95" i="49"/>
  <c r="F93" i="42"/>
  <c r="P143" i="49"/>
  <c r="F141" i="42" s="1"/>
  <c r="P159" i="49"/>
  <c r="F157" i="42" s="1"/>
  <c r="F173" i="42"/>
  <c r="P207" i="49"/>
  <c r="F205" i="42"/>
  <c r="P223" i="49"/>
  <c r="F221" i="42"/>
  <c r="P239" i="49"/>
  <c r="F237" i="42" s="1"/>
  <c r="P140" i="49"/>
  <c r="F138" i="42"/>
  <c r="P156" i="49"/>
  <c r="F154" i="42"/>
  <c r="F170" i="42"/>
  <c r="P204" i="49"/>
  <c r="F202" i="42" s="1"/>
  <c r="P220" i="49"/>
  <c r="F218" i="42"/>
  <c r="P236" i="49"/>
  <c r="F234" i="42"/>
  <c r="P6" i="49"/>
  <c r="F4" i="42" s="1"/>
  <c r="P22" i="49"/>
  <c r="F20" i="42"/>
  <c r="P46" i="49"/>
  <c r="F44" i="42" s="1"/>
  <c r="P54" i="49"/>
  <c r="F52" i="42"/>
  <c r="P62" i="49"/>
  <c r="F60" i="42"/>
  <c r="P70" i="49"/>
  <c r="F68" i="42"/>
  <c r="P94" i="49"/>
  <c r="F92" i="42" s="1"/>
  <c r="P110" i="49"/>
  <c r="F108" i="42" s="1"/>
  <c r="P118" i="49"/>
  <c r="F116" i="42" s="1"/>
  <c r="P12" i="49"/>
  <c r="F10" i="42" s="1"/>
  <c r="P20" i="49"/>
  <c r="F18" i="42" s="1"/>
  <c r="P28" i="49"/>
  <c r="F26" i="42" s="1"/>
  <c r="P36" i="49"/>
  <c r="F34" i="42"/>
  <c r="P52" i="49"/>
  <c r="F50" i="42"/>
  <c r="P68" i="49"/>
  <c r="F66" i="42"/>
  <c r="P76" i="49"/>
  <c r="F74" i="42"/>
  <c r="P92" i="49"/>
  <c r="F90" i="42"/>
  <c r="P100" i="49"/>
  <c r="F98" i="42"/>
  <c r="P116" i="49"/>
  <c r="F114" i="42" s="1"/>
  <c r="P124" i="49"/>
  <c r="F122" i="42" s="1"/>
  <c r="B22" i="39"/>
  <c r="D21" i="39"/>
  <c r="B21" i="39"/>
  <c r="D20" i="39"/>
  <c r="B20" i="39"/>
  <c r="D19" i="39"/>
  <c r="B19" i="39"/>
  <c r="D18" i="39"/>
  <c r="B18" i="39"/>
  <c r="D17" i="39"/>
  <c r="B17" i="39"/>
  <c r="B16" i="39"/>
  <c r="D15" i="39"/>
  <c r="B15" i="39"/>
  <c r="D14" i="39"/>
  <c r="B14" i="39"/>
  <c r="D13" i="39"/>
  <c r="B13" i="39"/>
  <c r="D12" i="39"/>
  <c r="B12" i="39"/>
  <c r="D11" i="39"/>
  <c r="B11" i="39"/>
  <c r="B10" i="39"/>
  <c r="D9" i="39"/>
  <c r="B9" i="39"/>
  <c r="D8" i="39"/>
  <c r="B8" i="39"/>
  <c r="D7" i="39"/>
  <c r="B7" i="39"/>
  <c r="D6" i="39"/>
  <c r="B6" i="39"/>
  <c r="D5" i="39"/>
  <c r="B5" i="39"/>
  <c r="B4" i="39"/>
  <c r="C41" i="38"/>
  <c r="C35" i="38"/>
  <c r="C29" i="38"/>
  <c r="C43" i="38" s="1"/>
  <c r="C20" i="38"/>
  <c r="C12" i="38"/>
  <c r="D42" i="32"/>
  <c r="D41" i="32"/>
  <c r="D40" i="32"/>
  <c r="D39" i="32"/>
  <c r="D38" i="32"/>
  <c r="D20" i="32"/>
  <c r="E17" i="39" s="1"/>
  <c r="F17" i="39"/>
  <c r="F21" i="39"/>
  <c r="E21" i="39" s="1"/>
  <c r="F20" i="39"/>
  <c r="F19" i="39"/>
  <c r="E19" i="39"/>
  <c r="F18" i="39"/>
  <c r="E18" i="39"/>
  <c r="F14" i="39"/>
  <c r="E14" i="39" s="1"/>
  <c r="F15" i="39"/>
  <c r="F9" i="39"/>
  <c r="E9" i="39"/>
  <c r="F6" i="39"/>
  <c r="E6" i="39" s="1"/>
  <c r="F16" i="39"/>
  <c r="F5" i="39"/>
  <c r="E5" i="39" s="1"/>
  <c r="F7" i="39"/>
  <c r="F8" i="39"/>
  <c r="E8" i="39"/>
  <c r="F4" i="39"/>
  <c r="E4" i="39"/>
  <c r="H4" i="13"/>
  <c r="H3" i="13"/>
  <c r="R11" i="2"/>
  <c r="O11" i="2"/>
  <c r="L11" i="2"/>
  <c r="F13" i="39"/>
  <c r="E13" i="39"/>
  <c r="F11" i="39"/>
  <c r="F12" i="39"/>
  <c r="E11" i="39"/>
  <c r="F10" i="39"/>
  <c r="E10" i="39" s="1"/>
  <c r="J5" i="53"/>
  <c r="Y62" i="55" l="1"/>
  <c r="Y40" i="55"/>
  <c r="Y60" i="55"/>
  <c r="Y87" i="55"/>
  <c r="Y37" i="55"/>
  <c r="Y64" i="55"/>
  <c r="S42" i="56"/>
  <c r="S44" i="56"/>
  <c r="AD34" i="56"/>
  <c r="Y38" i="55"/>
  <c r="Y135" i="55"/>
  <c r="Y63" i="55"/>
  <c r="Y85" i="55"/>
  <c r="Y109" i="55"/>
  <c r="Y112" i="55"/>
  <c r="Y132" i="55"/>
  <c r="Y110" i="55"/>
  <c r="Y133" i="55"/>
  <c r="Y136" i="55"/>
  <c r="Y134" i="55"/>
  <c r="S56" i="56"/>
  <c r="S68" i="56"/>
  <c r="R83" i="56"/>
  <c r="R47" i="56"/>
  <c r="S33" i="56"/>
  <c r="S32" i="56"/>
  <c r="S57" i="56"/>
  <c r="S43" i="56"/>
  <c r="S55" i="56"/>
  <c r="S67" i="56"/>
  <c r="Q35" i="56"/>
  <c r="S34" i="56"/>
  <c r="S45" i="56"/>
  <c r="Q47" i="56"/>
  <c r="S82" i="56"/>
  <c r="S31" i="56"/>
  <c r="S30" i="56"/>
  <c r="X103" i="55"/>
  <c r="AI42" i="56"/>
  <c r="AI43" i="56"/>
  <c r="AI44" i="56"/>
  <c r="AJ54" i="56"/>
  <c r="AM55" i="56"/>
  <c r="AM57" i="56"/>
  <c r="AK42" i="56"/>
  <c r="AJ43" i="56"/>
  <c r="AL44" i="56"/>
  <c r="AK54" i="56"/>
  <c r="AK56" i="56"/>
  <c r="AJ58" i="56"/>
  <c r="AL78" i="56"/>
  <c r="T59" i="56"/>
  <c r="F8" i="56" s="1"/>
  <c r="Q83" i="56"/>
  <c r="S70" i="56"/>
  <c r="AL42" i="56"/>
  <c r="AK43" i="56"/>
  <c r="AK47" i="56" s="1"/>
  <c r="AM46" i="56"/>
  <c r="AI55" i="56"/>
  <c r="AN56" i="56"/>
  <c r="AK58" i="56"/>
  <c r="AM79" i="56"/>
  <c r="X41" i="55"/>
  <c r="X65" i="55"/>
  <c r="AA18" i="55"/>
  <c r="AA112" i="55" s="1"/>
  <c r="X113" i="55"/>
  <c r="X65" i="54"/>
  <c r="X89" i="54"/>
  <c r="X113" i="54"/>
  <c r="X137" i="54"/>
  <c r="X41" i="54"/>
  <c r="H143" i="40"/>
  <c r="H142" i="40" s="1"/>
  <c r="I142" i="40"/>
  <c r="H167" i="40"/>
  <c r="I166" i="40"/>
  <c r="H166" i="40" s="1"/>
  <c r="H51" i="40"/>
  <c r="H50" i="40" s="1"/>
  <c r="I50" i="40"/>
  <c r="Y10" i="56"/>
  <c r="Y56" i="56" s="1"/>
  <c r="X80" i="56"/>
  <c r="P148" i="49"/>
  <c r="F146" i="42" s="1"/>
  <c r="X171" i="40"/>
  <c r="P85" i="49"/>
  <c r="F83" i="42" s="1"/>
  <c r="E7" i="39"/>
  <c r="P134" i="49"/>
  <c r="F132" i="42" s="1"/>
  <c r="Y101" i="55"/>
  <c r="Y102" i="55"/>
  <c r="Y54" i="55"/>
  <c r="I118" i="40"/>
  <c r="H118" i="40" s="1"/>
  <c r="E15" i="39"/>
  <c r="I121" i="40"/>
  <c r="H121" i="40" s="1"/>
  <c r="P47" i="49"/>
  <c r="F45" i="42" s="1"/>
  <c r="P209" i="49"/>
  <c r="F207" i="42" s="1"/>
  <c r="R35" i="56"/>
  <c r="Y171" i="40"/>
  <c r="B23" i="37"/>
  <c r="B29" i="37" s="1"/>
  <c r="AD56" i="56"/>
  <c r="Z85" i="55"/>
  <c r="AM43" i="56"/>
  <c r="AD82" i="56"/>
  <c r="AL80" i="56"/>
  <c r="AD79" i="56"/>
  <c r="AM80" i="56"/>
  <c r="AD69" i="56"/>
  <c r="AD78" i="56"/>
  <c r="AK44" i="56"/>
  <c r="S58" i="56"/>
  <c r="AD70" i="56"/>
  <c r="AI82" i="56"/>
  <c r="Y9" i="56"/>
  <c r="AE81" i="56" s="1"/>
  <c r="AD58" i="56"/>
  <c r="F11" i="37"/>
  <c r="AM44" i="56"/>
  <c r="AD68" i="56"/>
  <c r="AI45" i="56"/>
  <c r="AD66" i="56"/>
  <c r="AD80" i="56"/>
  <c r="H11" i="37"/>
  <c r="AJ45" i="56"/>
  <c r="S78" i="56"/>
  <c r="AD31" i="56"/>
  <c r="AD81" i="56"/>
  <c r="AD55" i="56"/>
  <c r="AK45" i="56"/>
  <c r="AM45" i="56"/>
  <c r="AD32" i="56"/>
  <c r="AC67" i="56"/>
  <c r="AC71" i="56" s="1"/>
  <c r="AN45" i="56"/>
  <c r="AD30" i="56"/>
  <c r="AA108" i="55"/>
  <c r="AC69" i="56"/>
  <c r="AI46" i="56"/>
  <c r="AD33" i="56"/>
  <c r="AA87" i="55"/>
  <c r="AC66" i="56"/>
  <c r="AK46" i="56"/>
  <c r="X127" i="55"/>
  <c r="AC68" i="56"/>
  <c r="AL46" i="56"/>
  <c r="AD67" i="56"/>
  <c r="Z132" i="55"/>
  <c r="AM78" i="56"/>
  <c r="AK79" i="56"/>
  <c r="C15" i="55"/>
  <c r="C15" i="54"/>
  <c r="Y74" i="54"/>
  <c r="Y52" i="54"/>
  <c r="Y26" i="54"/>
  <c r="Y27" i="54"/>
  <c r="Z9" i="56"/>
  <c r="AF79" i="56" s="1"/>
  <c r="S80" i="56"/>
  <c r="S46" i="56"/>
  <c r="S81" i="56"/>
  <c r="AE33" i="56"/>
  <c r="Z135" i="55"/>
  <c r="Z133" i="55"/>
  <c r="Z112" i="55"/>
  <c r="AC35" i="56"/>
  <c r="AJ42" i="56"/>
  <c r="AN42" i="56"/>
  <c r="AL43" i="56"/>
  <c r="AJ44" i="56"/>
  <c r="AN44" i="56"/>
  <c r="AL45" i="56"/>
  <c r="AJ46" i="56"/>
  <c r="AN54" i="56"/>
  <c r="AJ56" i="56"/>
  <c r="AL57" i="56"/>
  <c r="AN58" i="56"/>
  <c r="AI78" i="56"/>
  <c r="AI79" i="56"/>
  <c r="AN79" i="56"/>
  <c r="AJ81" i="56"/>
  <c r="AK82" i="56"/>
  <c r="T47" i="56"/>
  <c r="F7" i="56" s="1"/>
  <c r="F11" i="56" s="1"/>
  <c r="Z37" i="55"/>
  <c r="Z86" i="55"/>
  <c r="Z63" i="55"/>
  <c r="Y18" i="54"/>
  <c r="Y110" i="54" s="1"/>
  <c r="AK78" i="56"/>
  <c r="AJ79" i="56"/>
  <c r="AK80" i="56"/>
  <c r="AK81" i="56"/>
  <c r="AL82" i="56"/>
  <c r="Q71" i="56"/>
  <c r="S69" i="56"/>
  <c r="Z110" i="55"/>
  <c r="Z64" i="55"/>
  <c r="Z109" i="55"/>
  <c r="AK68" i="56"/>
  <c r="X31" i="56"/>
  <c r="W32" i="56"/>
  <c r="X34" i="56"/>
  <c r="W33" i="56"/>
  <c r="W34" i="56"/>
  <c r="E30" i="37"/>
  <c r="H30" i="37"/>
  <c r="C30" i="37"/>
  <c r="D30" i="37"/>
  <c r="G30" i="37"/>
  <c r="X55" i="56"/>
  <c r="W56" i="56"/>
  <c r="W55" i="56"/>
  <c r="W58" i="56"/>
  <c r="AL66" i="56"/>
  <c r="S66" i="56"/>
  <c r="R71" i="56"/>
  <c r="Y29" i="55"/>
  <c r="D11" i="37"/>
  <c r="G11" i="37"/>
  <c r="AI67" i="56"/>
  <c r="AI69" i="56"/>
  <c r="R59" i="56"/>
  <c r="Q59" i="56"/>
  <c r="Y76" i="55"/>
  <c r="AJ67" i="56"/>
  <c r="AM69" i="56"/>
  <c r="AI80" i="56"/>
  <c r="AI81" i="56"/>
  <c r="AN81" i="56"/>
  <c r="AM82" i="56"/>
  <c r="Y75" i="55"/>
  <c r="AK66" i="56"/>
  <c r="AM67" i="56"/>
  <c r="AK70" i="56"/>
  <c r="E16" i="39"/>
  <c r="S54" i="56"/>
  <c r="E20" i="39"/>
  <c r="E12" i="39"/>
  <c r="Y101" i="54"/>
  <c r="X101" i="54"/>
  <c r="W67" i="56"/>
  <c r="W70" i="56"/>
  <c r="W68" i="56"/>
  <c r="W66" i="56"/>
  <c r="W69" i="56"/>
  <c r="X67" i="56"/>
  <c r="AC43" i="56"/>
  <c r="AC42" i="56"/>
  <c r="AC46" i="56"/>
  <c r="AC44" i="56"/>
  <c r="AD44" i="56"/>
  <c r="AD42" i="56"/>
  <c r="AD46" i="56"/>
  <c r="AN30" i="56"/>
  <c r="AL30" i="56"/>
  <c r="AN32" i="56"/>
  <c r="AL32" i="56"/>
  <c r="AM34" i="56"/>
  <c r="AK34" i="56"/>
  <c r="AI34" i="56"/>
  <c r="AI31" i="56"/>
  <c r="AK33" i="56"/>
  <c r="AI33" i="56"/>
  <c r="AJ30" i="56"/>
  <c r="AK32" i="56"/>
  <c r="AI32" i="56"/>
  <c r="AM31" i="56"/>
  <c r="AK31" i="56"/>
  <c r="AL33" i="56"/>
  <c r="AM33" i="56"/>
  <c r="AJ32" i="56"/>
  <c r="AL31" i="56"/>
  <c r="AM30" i="56"/>
  <c r="AM32" i="56"/>
  <c r="AL34" i="56"/>
  <c r="AN33" i="56"/>
  <c r="AJ33" i="56"/>
  <c r="AI30" i="56"/>
  <c r="AN31" i="56"/>
  <c r="AJ31" i="56"/>
  <c r="AD43" i="56"/>
  <c r="AD45" i="56"/>
  <c r="X68" i="56"/>
  <c r="AK30" i="56"/>
  <c r="X26" i="54"/>
  <c r="Y126" i="54"/>
  <c r="Y99" i="54"/>
  <c r="Z19" i="54"/>
  <c r="AA19" i="54" s="1"/>
  <c r="Y53" i="54"/>
  <c r="Y30" i="54"/>
  <c r="Y102" i="54"/>
  <c r="Y77" i="54"/>
  <c r="Y75" i="54"/>
  <c r="Y78" i="54"/>
  <c r="Y50" i="54"/>
  <c r="Y122" i="54"/>
  <c r="X75" i="55"/>
  <c r="X77" i="55"/>
  <c r="Y77" i="55"/>
  <c r="Y28" i="54"/>
  <c r="Y124" i="54"/>
  <c r="Y100" i="54"/>
  <c r="X100" i="54"/>
  <c r="X54" i="55"/>
  <c r="AJ34" i="56"/>
  <c r="X76" i="54"/>
  <c r="Y76" i="54"/>
  <c r="Y28" i="55"/>
  <c r="X28" i="55"/>
  <c r="X123" i="54"/>
  <c r="Y123" i="54"/>
  <c r="Z19" i="55"/>
  <c r="Z101" i="55" s="1"/>
  <c r="Y26" i="55"/>
  <c r="Y74" i="55"/>
  <c r="Y122" i="55"/>
  <c r="Y50" i="55"/>
  <c r="Y125" i="55"/>
  <c r="Y27" i="55"/>
  <c r="Y53" i="55"/>
  <c r="Y99" i="55"/>
  <c r="Y30" i="55"/>
  <c r="Y51" i="55"/>
  <c r="Y123" i="55"/>
  <c r="W45" i="56"/>
  <c r="W46" i="56"/>
  <c r="W79" i="56"/>
  <c r="W78" i="56"/>
  <c r="W80" i="56"/>
  <c r="X56" i="56"/>
  <c r="X69" i="56"/>
  <c r="X45" i="56"/>
  <c r="X32" i="56"/>
  <c r="X54" i="56"/>
  <c r="X57" i="56"/>
  <c r="X81" i="56"/>
  <c r="X82" i="56"/>
  <c r="X70" i="56"/>
  <c r="X46" i="56"/>
  <c r="X43" i="56"/>
  <c r="X30" i="56"/>
  <c r="X33" i="56"/>
  <c r="AC56" i="56"/>
  <c r="AC55" i="56"/>
  <c r="AC54" i="56"/>
  <c r="AC58" i="56"/>
  <c r="AD54" i="56"/>
  <c r="Z134" i="55"/>
  <c r="Z38" i="55"/>
  <c r="Z84" i="55"/>
  <c r="Z61" i="55"/>
  <c r="Z62" i="55"/>
  <c r="Z136" i="55"/>
  <c r="Z39" i="55"/>
  <c r="Y29" i="54"/>
  <c r="Y100" i="55"/>
  <c r="Y126" i="55"/>
  <c r="Y98" i="54"/>
  <c r="X42" i="56"/>
  <c r="W82" i="56"/>
  <c r="X79" i="56"/>
  <c r="W44" i="56"/>
  <c r="F30" i="37"/>
  <c r="Y88" i="55"/>
  <c r="Y84" i="55"/>
  <c r="Y39" i="55"/>
  <c r="Y61" i="55"/>
  <c r="Y86" i="55"/>
  <c r="Y108" i="55"/>
  <c r="Y36" i="55"/>
  <c r="X78" i="55"/>
  <c r="Y78" i="55"/>
  <c r="W54" i="56"/>
  <c r="W57" i="56"/>
  <c r="Z40" i="55"/>
  <c r="Z111" i="55"/>
  <c r="Z88" i="55"/>
  <c r="Z60" i="55"/>
  <c r="Z36" i="55"/>
  <c r="Z108" i="55"/>
  <c r="Y52" i="55"/>
  <c r="X44" i="56"/>
  <c r="X66" i="56"/>
  <c r="X78" i="56"/>
  <c r="X58" i="56"/>
  <c r="Y124" i="55"/>
  <c r="X51" i="54"/>
  <c r="Y51" i="54"/>
  <c r="Y54" i="54"/>
  <c r="Y125" i="54"/>
  <c r="Y98" i="55"/>
  <c r="W30" i="56"/>
  <c r="W31" i="56"/>
  <c r="AN67" i="56"/>
  <c r="AL68" i="56"/>
  <c r="AJ69" i="56"/>
  <c r="AN69" i="56"/>
  <c r="AL70" i="56"/>
  <c r="I11" i="37"/>
  <c r="AL54" i="56"/>
  <c r="AJ55" i="56"/>
  <c r="AN55" i="56"/>
  <c r="AL56" i="56"/>
  <c r="AJ57" i="56"/>
  <c r="AN57" i="56"/>
  <c r="AL58" i="56"/>
  <c r="AI66" i="56"/>
  <c r="AM66" i="56"/>
  <c r="AK67" i="56"/>
  <c r="AI68" i="56"/>
  <c r="AM68" i="56"/>
  <c r="AK69" i="56"/>
  <c r="AI70" i="56"/>
  <c r="AM70" i="56"/>
  <c r="AJ78" i="56"/>
  <c r="AN78" i="56"/>
  <c r="AL79" i="56"/>
  <c r="AJ80" i="56"/>
  <c r="AN80" i="56"/>
  <c r="AL81" i="56"/>
  <c r="AJ82" i="56"/>
  <c r="AI54" i="56"/>
  <c r="AM54" i="56"/>
  <c r="AK55" i="56"/>
  <c r="AI56" i="56"/>
  <c r="AM56" i="56"/>
  <c r="AK57" i="56"/>
  <c r="AI58" i="56"/>
  <c r="AJ66" i="56"/>
  <c r="AN66" i="56"/>
  <c r="AL67" i="56"/>
  <c r="AL71" i="56" s="1"/>
  <c r="AJ68" i="56"/>
  <c r="AN68" i="56"/>
  <c r="AL69" i="56"/>
  <c r="AJ70" i="56"/>
  <c r="AA40" i="55" l="1"/>
  <c r="AE55" i="56"/>
  <c r="AF31" i="56"/>
  <c r="AA111" i="55"/>
  <c r="AA84" i="55"/>
  <c r="AA37" i="55"/>
  <c r="AA63" i="55"/>
  <c r="Y137" i="55"/>
  <c r="AF57" i="56"/>
  <c r="AE42" i="56"/>
  <c r="AF70" i="56"/>
  <c r="AE32" i="56"/>
  <c r="AA134" i="55"/>
  <c r="AA39" i="55"/>
  <c r="AE46" i="56"/>
  <c r="AF54" i="56"/>
  <c r="AE58" i="56"/>
  <c r="AE44" i="56"/>
  <c r="AA9" i="56"/>
  <c r="AG55" i="56" s="1"/>
  <c r="AA110" i="55"/>
  <c r="AF58" i="56"/>
  <c r="AF42" i="56"/>
  <c r="AF55" i="56"/>
  <c r="AF82" i="56"/>
  <c r="AF34" i="56"/>
  <c r="AF80" i="56"/>
  <c r="AF45" i="56"/>
  <c r="AF56" i="56"/>
  <c r="AE54" i="56"/>
  <c r="AE67" i="56"/>
  <c r="AA86" i="55"/>
  <c r="AE31" i="56"/>
  <c r="AE56" i="56"/>
  <c r="AF32" i="56"/>
  <c r="AF68" i="56"/>
  <c r="AF30" i="56"/>
  <c r="AF33" i="56"/>
  <c r="AF43" i="56"/>
  <c r="AF81" i="56"/>
  <c r="AF67" i="56"/>
  <c r="AE68" i="56"/>
  <c r="AE57" i="56"/>
  <c r="AE34" i="56"/>
  <c r="AE79" i="56"/>
  <c r="AA136" i="55"/>
  <c r="AD35" i="56"/>
  <c r="AA60" i="55"/>
  <c r="AA38" i="55"/>
  <c r="AD59" i="56"/>
  <c r="AE43" i="56"/>
  <c r="AE45" i="56"/>
  <c r="AF69" i="56"/>
  <c r="AF66" i="56"/>
  <c r="AF46" i="56"/>
  <c r="AF78" i="56"/>
  <c r="AF44" i="56"/>
  <c r="AE70" i="56"/>
  <c r="AE78" i="56"/>
  <c r="AD71" i="56"/>
  <c r="Y34" i="56"/>
  <c r="Y66" i="56"/>
  <c r="Y70" i="56"/>
  <c r="Z10" i="56"/>
  <c r="Z56" i="56" s="1"/>
  <c r="Y57" i="56"/>
  <c r="Y43" i="56"/>
  <c r="Y58" i="56"/>
  <c r="Y31" i="56"/>
  <c r="Y81" i="56"/>
  <c r="Y80" i="56"/>
  <c r="Y69" i="56"/>
  <c r="S59" i="56"/>
  <c r="E8" i="56" s="1"/>
  <c r="E40" i="32" s="1"/>
  <c r="AA10" i="56"/>
  <c r="AA81" i="56" s="1"/>
  <c r="Y68" i="56"/>
  <c r="Y32" i="56"/>
  <c r="Y54" i="56"/>
  <c r="Y46" i="56"/>
  <c r="Y33" i="56"/>
  <c r="Y44" i="56"/>
  <c r="Y67" i="56"/>
  <c r="Y30" i="56"/>
  <c r="Y78" i="56"/>
  <c r="S47" i="56"/>
  <c r="E7" i="56" s="1"/>
  <c r="E39" i="32" s="1"/>
  <c r="S83" i="56"/>
  <c r="E10" i="56" s="1"/>
  <c r="E42" i="32" s="1"/>
  <c r="Z68" i="56"/>
  <c r="S35" i="56"/>
  <c r="E6" i="56" s="1"/>
  <c r="E38" i="32" s="1"/>
  <c r="Y45" i="56"/>
  <c r="Y55" i="56"/>
  <c r="Z57" i="56"/>
  <c r="S71" i="56"/>
  <c r="E9" i="56" s="1"/>
  <c r="E41" i="32" s="1"/>
  <c r="AI47" i="56"/>
  <c r="AN47" i="56"/>
  <c r="AA132" i="55"/>
  <c r="AA61" i="55"/>
  <c r="AA64" i="55"/>
  <c r="AA133" i="55"/>
  <c r="Y85" i="54"/>
  <c r="Z41" i="55"/>
  <c r="AA109" i="55"/>
  <c r="AA62" i="55"/>
  <c r="AA65" i="55" s="1"/>
  <c r="AB18" i="55"/>
  <c r="AB132" i="55" s="1"/>
  <c r="AA85" i="55"/>
  <c r="AA88" i="55"/>
  <c r="AA36" i="55"/>
  <c r="AA135" i="55"/>
  <c r="X10" i="55"/>
  <c r="Y40" i="54"/>
  <c r="Y36" i="54"/>
  <c r="Y108" i="54"/>
  <c r="Z27" i="54"/>
  <c r="Z101" i="54"/>
  <c r="X10" i="54"/>
  <c r="Y63" i="54"/>
  <c r="Y133" i="54"/>
  <c r="Y87" i="54"/>
  <c r="Y37" i="54"/>
  <c r="Y88" i="54"/>
  <c r="Y38" i="54"/>
  <c r="AM47" i="56"/>
  <c r="W47" i="56"/>
  <c r="Y86" i="54"/>
  <c r="Z18" i="54"/>
  <c r="Z60" i="54" s="1"/>
  <c r="Y61" i="54"/>
  <c r="I171" i="40"/>
  <c r="H171" i="40" s="1"/>
  <c r="Z113" i="55"/>
  <c r="Y136" i="54"/>
  <c r="AM59" i="56"/>
  <c r="Z69" i="56"/>
  <c r="AM83" i="56"/>
  <c r="AE80" i="56"/>
  <c r="AE66" i="56"/>
  <c r="AE69" i="56"/>
  <c r="AE82" i="56"/>
  <c r="AE30" i="56"/>
  <c r="Y79" i="56"/>
  <c r="Y82" i="56"/>
  <c r="Y42" i="56"/>
  <c r="Y111" i="54"/>
  <c r="Y62" i="54"/>
  <c r="Y112" i="54"/>
  <c r="Y109" i="54"/>
  <c r="Y134" i="54"/>
  <c r="Y60" i="54"/>
  <c r="Y84" i="54"/>
  <c r="AK83" i="56"/>
  <c r="AD83" i="56"/>
  <c r="C45" i="55"/>
  <c r="C16" i="55"/>
  <c r="C45" i="54"/>
  <c r="C16" i="54"/>
  <c r="Y135" i="54"/>
  <c r="Y132" i="54"/>
  <c r="Y64" i="54"/>
  <c r="Y39" i="54"/>
  <c r="AJ47" i="56"/>
  <c r="Z76" i="54"/>
  <c r="AK59" i="56"/>
  <c r="AN83" i="56"/>
  <c r="AL59" i="56"/>
  <c r="AL47" i="56"/>
  <c r="AM71" i="56"/>
  <c r="H8" i="37" s="1"/>
  <c r="W35" i="56"/>
  <c r="X83" i="56"/>
  <c r="AM35" i="56"/>
  <c r="Z45" i="56"/>
  <c r="AI83" i="56"/>
  <c r="X47" i="56"/>
  <c r="X71" i="56"/>
  <c r="AK35" i="56"/>
  <c r="Z81" i="56"/>
  <c r="AJ83" i="56"/>
  <c r="AI71" i="56"/>
  <c r="AN71" i="56"/>
  <c r="AN59" i="56"/>
  <c r="AC59" i="56"/>
  <c r="X35" i="56"/>
  <c r="Z43" i="56"/>
  <c r="AA124" i="54"/>
  <c r="AA98" i="54"/>
  <c r="AA52" i="54"/>
  <c r="AA30" i="54"/>
  <c r="AA51" i="54"/>
  <c r="AA100" i="54"/>
  <c r="AA78" i="54"/>
  <c r="AA29" i="54"/>
  <c r="AA75" i="54"/>
  <c r="AA126" i="54"/>
  <c r="AA77" i="54"/>
  <c r="AA74" i="54"/>
  <c r="AA54" i="54"/>
  <c r="AA26" i="54"/>
  <c r="AB19" i="54"/>
  <c r="AA99" i="54"/>
  <c r="AA122" i="54"/>
  <c r="AA125" i="54"/>
  <c r="AA50" i="54"/>
  <c r="AA28" i="54"/>
  <c r="AA53" i="54"/>
  <c r="AA123" i="54"/>
  <c r="AA102" i="54"/>
  <c r="AA76" i="54"/>
  <c r="AA101" i="54"/>
  <c r="AA27" i="54"/>
  <c r="Y65" i="55"/>
  <c r="Y55" i="55"/>
  <c r="Z74" i="55"/>
  <c r="Z125" i="55"/>
  <c r="Z27" i="55"/>
  <c r="Z53" i="55"/>
  <c r="Z99" i="55"/>
  <c r="Z124" i="55"/>
  <c r="Z102" i="55"/>
  <c r="Z30" i="55"/>
  <c r="Z98" i="55"/>
  <c r="Z126" i="55"/>
  <c r="Z50" i="55"/>
  <c r="AA19" i="55"/>
  <c r="Z100" i="55"/>
  <c r="Z122" i="55"/>
  <c r="Z76" i="55"/>
  <c r="Z51" i="55"/>
  <c r="Z52" i="55"/>
  <c r="Z29" i="55"/>
  <c r="Z78" i="55"/>
  <c r="Z123" i="55"/>
  <c r="Z26" i="55"/>
  <c r="Z28" i="55"/>
  <c r="X103" i="54"/>
  <c r="X79" i="55"/>
  <c r="Y103" i="55"/>
  <c r="Y41" i="55"/>
  <c r="Y103" i="54"/>
  <c r="Z89" i="55"/>
  <c r="W83" i="56"/>
  <c r="Y127" i="55"/>
  <c r="Y31" i="54"/>
  <c r="Z75" i="55"/>
  <c r="Y79" i="54"/>
  <c r="X55" i="54"/>
  <c r="AJ35" i="56"/>
  <c r="AD47" i="56"/>
  <c r="AC47" i="56"/>
  <c r="W71" i="56"/>
  <c r="X31" i="55"/>
  <c r="W59" i="56"/>
  <c r="Y113" i="55"/>
  <c r="Y89" i="55"/>
  <c r="Y79" i="55"/>
  <c r="X79" i="54"/>
  <c r="X55" i="55"/>
  <c r="Z77" i="55"/>
  <c r="Y127" i="54"/>
  <c r="Z77" i="54"/>
  <c r="Z125" i="54"/>
  <c r="Z74" i="54"/>
  <c r="Z50" i="54"/>
  <c r="Z75" i="54"/>
  <c r="Z99" i="54"/>
  <c r="Z102" i="54"/>
  <c r="Z126" i="54"/>
  <c r="Z30" i="54"/>
  <c r="Z53" i="54"/>
  <c r="Z123" i="54"/>
  <c r="Z122" i="54"/>
  <c r="Z51" i="54"/>
  <c r="Z100" i="54"/>
  <c r="Z54" i="54"/>
  <c r="Z29" i="54"/>
  <c r="Z98" i="54"/>
  <c r="Z78" i="54"/>
  <c r="Z52" i="54"/>
  <c r="Z28" i="54"/>
  <c r="Z124" i="54"/>
  <c r="Z26" i="54"/>
  <c r="AL35" i="56"/>
  <c r="AI59" i="56"/>
  <c r="AJ71" i="56"/>
  <c r="AL83" i="56"/>
  <c r="AK71" i="56"/>
  <c r="AJ59" i="56"/>
  <c r="Z65" i="55"/>
  <c r="Z137" i="55"/>
  <c r="X59" i="56"/>
  <c r="Y31" i="55"/>
  <c r="X127" i="54"/>
  <c r="Z54" i="55"/>
  <c r="AE59" i="56"/>
  <c r="Y55" i="54"/>
  <c r="X31" i="54"/>
  <c r="AI35" i="56"/>
  <c r="AN35" i="56"/>
  <c r="AG44" i="56" l="1"/>
  <c r="AE47" i="56"/>
  <c r="AG58" i="56"/>
  <c r="Z111" i="54"/>
  <c r="AF47" i="56"/>
  <c r="AF83" i="56"/>
  <c r="AA113" i="55"/>
  <c r="AA80" i="56"/>
  <c r="AA56" i="56"/>
  <c r="AA57" i="56"/>
  <c r="AA30" i="56"/>
  <c r="Z58" i="56"/>
  <c r="AB10" i="56"/>
  <c r="AB70" i="56" s="1"/>
  <c r="Z30" i="56"/>
  <c r="Z70" i="56"/>
  <c r="Z31" i="56"/>
  <c r="AG79" i="56"/>
  <c r="AG82" i="56"/>
  <c r="AG66" i="56"/>
  <c r="AB9" i="56"/>
  <c r="AH81" i="56" s="1"/>
  <c r="AG34" i="56"/>
  <c r="AG69" i="56"/>
  <c r="AG32" i="56"/>
  <c r="AG31" i="56"/>
  <c r="AG30" i="56"/>
  <c r="AG67" i="56"/>
  <c r="AG70" i="56"/>
  <c r="AG80" i="56"/>
  <c r="AG57" i="56"/>
  <c r="AG78" i="56"/>
  <c r="AG45" i="56"/>
  <c r="AG68" i="56"/>
  <c r="AG54" i="56"/>
  <c r="AG46" i="56"/>
  <c r="AG43" i="56"/>
  <c r="AG42" i="56"/>
  <c r="AG56" i="56"/>
  <c r="AG81" i="56"/>
  <c r="AG33" i="56"/>
  <c r="AF59" i="56"/>
  <c r="AF35" i="56"/>
  <c r="AA41" i="55"/>
  <c r="AE35" i="56"/>
  <c r="AF71" i="56"/>
  <c r="AA89" i="55"/>
  <c r="AB87" i="55"/>
  <c r="AE71" i="56"/>
  <c r="AA45" i="56"/>
  <c r="AA34" i="56"/>
  <c r="AA43" i="56"/>
  <c r="Z82" i="56"/>
  <c r="Z80" i="56"/>
  <c r="Z46" i="56"/>
  <c r="Z32" i="56"/>
  <c r="AA44" i="56"/>
  <c r="AA33" i="56"/>
  <c r="AA82" i="56"/>
  <c r="AA42" i="56"/>
  <c r="AA67" i="56"/>
  <c r="AA69" i="56"/>
  <c r="AA31" i="56"/>
  <c r="AA79" i="56"/>
  <c r="AA70" i="56"/>
  <c r="AA66" i="56"/>
  <c r="AA55" i="56"/>
  <c r="Z42" i="56"/>
  <c r="Z78" i="56"/>
  <c r="Z79" i="56"/>
  <c r="Z55" i="56"/>
  <c r="Y59" i="56"/>
  <c r="AA58" i="56"/>
  <c r="AA54" i="56"/>
  <c r="AA32" i="56"/>
  <c r="AA68" i="56"/>
  <c r="AA46" i="56"/>
  <c r="AA78" i="56"/>
  <c r="Z54" i="56"/>
  <c r="Z34" i="56"/>
  <c r="Z33" i="56"/>
  <c r="Z66" i="56"/>
  <c r="Z67" i="56"/>
  <c r="Z44" i="56"/>
  <c r="Y35" i="56"/>
  <c r="Y47" i="56"/>
  <c r="Y71" i="56"/>
  <c r="E11" i="56"/>
  <c r="Y83" i="56"/>
  <c r="AA137" i="55"/>
  <c r="Y113" i="54"/>
  <c r="AB112" i="55"/>
  <c r="AB40" i="55"/>
  <c r="AB84" i="55"/>
  <c r="AB88" i="55"/>
  <c r="AB60" i="55"/>
  <c r="AB86" i="55"/>
  <c r="AB109" i="55"/>
  <c r="AB61" i="55"/>
  <c r="AB111" i="55"/>
  <c r="AB36" i="55"/>
  <c r="AB37" i="55"/>
  <c r="AB135" i="55"/>
  <c r="AB38" i="55"/>
  <c r="AC18" i="55"/>
  <c r="AC63" i="55" s="1"/>
  <c r="AB110" i="55"/>
  <c r="AB63" i="55"/>
  <c r="AB134" i="55"/>
  <c r="AB64" i="55"/>
  <c r="AB133" i="55"/>
  <c r="AB62" i="55"/>
  <c r="AB39" i="55"/>
  <c r="AB85" i="55"/>
  <c r="AB108" i="55"/>
  <c r="AB136" i="55"/>
  <c r="Z112" i="54"/>
  <c r="Z133" i="54"/>
  <c r="Z36" i="54"/>
  <c r="Z39" i="54"/>
  <c r="Z37" i="54"/>
  <c r="Y65" i="54"/>
  <c r="Y41" i="54"/>
  <c r="Y137" i="54"/>
  <c r="Y89" i="54"/>
  <c r="Z10" i="55"/>
  <c r="Z61" i="54"/>
  <c r="Z108" i="54"/>
  <c r="Z87" i="54"/>
  <c r="Z62" i="54"/>
  <c r="Z110" i="54"/>
  <c r="Z40" i="54"/>
  <c r="Z136" i="54"/>
  <c r="Z135" i="54"/>
  <c r="Z109" i="54"/>
  <c r="Z64" i="54"/>
  <c r="Z132" i="54"/>
  <c r="Z88" i="54"/>
  <c r="Z134" i="54"/>
  <c r="Z63" i="54"/>
  <c r="Z38" i="54"/>
  <c r="AA18" i="54"/>
  <c r="Z86" i="54"/>
  <c r="Z85" i="54"/>
  <c r="Z84" i="54"/>
  <c r="F8" i="37"/>
  <c r="AE83" i="56"/>
  <c r="C69" i="55"/>
  <c r="C17" i="55"/>
  <c r="C69" i="54"/>
  <c r="C17" i="54"/>
  <c r="D7" i="37"/>
  <c r="Z31" i="54"/>
  <c r="E7" i="37"/>
  <c r="I8" i="37"/>
  <c r="D8" i="37"/>
  <c r="AA127" i="54"/>
  <c r="Z55" i="55"/>
  <c r="AH79" i="56"/>
  <c r="Z79" i="54"/>
  <c r="AA78" i="55"/>
  <c r="AA52" i="55"/>
  <c r="AA98" i="55"/>
  <c r="AA27" i="55"/>
  <c r="AA102" i="55"/>
  <c r="AA101" i="55"/>
  <c r="AA29" i="55"/>
  <c r="AA76" i="55"/>
  <c r="AA53" i="55"/>
  <c r="AA126" i="55"/>
  <c r="AB19" i="55"/>
  <c r="AA30" i="55"/>
  <c r="AA54" i="55"/>
  <c r="AA26" i="55"/>
  <c r="AA99" i="55"/>
  <c r="AA51" i="55"/>
  <c r="AA28" i="55"/>
  <c r="AA77" i="55"/>
  <c r="AA100" i="55"/>
  <c r="AA50" i="55"/>
  <c r="AA75" i="55"/>
  <c r="AA124" i="55"/>
  <c r="AA123" i="55"/>
  <c r="AA122" i="55"/>
  <c r="AA74" i="55"/>
  <c r="AA125" i="55"/>
  <c r="Y9" i="55"/>
  <c r="E6" i="37"/>
  <c r="AA79" i="54"/>
  <c r="AB79" i="56"/>
  <c r="AB69" i="56"/>
  <c r="AB67" i="56"/>
  <c r="AB42" i="56"/>
  <c r="AB43" i="56"/>
  <c r="AB54" i="56"/>
  <c r="AB56" i="56"/>
  <c r="AB58" i="56"/>
  <c r="AB44" i="56"/>
  <c r="AB31" i="56"/>
  <c r="AB78" i="56"/>
  <c r="AB55" i="56"/>
  <c r="AB66" i="56"/>
  <c r="AB45" i="56"/>
  <c r="AB68" i="56"/>
  <c r="AB80" i="56"/>
  <c r="AB82" i="56"/>
  <c r="AB30" i="56"/>
  <c r="AB34" i="56"/>
  <c r="G8" i="37"/>
  <c r="Z103" i="54"/>
  <c r="Y9" i="54"/>
  <c r="Z127" i="55"/>
  <c r="AA55" i="54"/>
  <c r="AB27" i="54"/>
  <c r="AB75" i="54"/>
  <c r="AB74" i="54"/>
  <c r="AB77" i="54"/>
  <c r="AB98" i="54"/>
  <c r="AB53" i="54"/>
  <c r="AB26" i="54"/>
  <c r="AB125" i="54"/>
  <c r="AB102" i="54"/>
  <c r="AB30" i="54"/>
  <c r="AB123" i="54"/>
  <c r="AB101" i="54"/>
  <c r="AB122" i="54"/>
  <c r="AB124" i="54"/>
  <c r="AB54" i="54"/>
  <c r="AB28" i="54"/>
  <c r="AB99" i="54"/>
  <c r="AB78" i="54"/>
  <c r="AB100" i="54"/>
  <c r="AB52" i="54"/>
  <c r="AC19" i="54"/>
  <c r="AB51" i="54"/>
  <c r="AB76" i="54"/>
  <c r="AB126" i="54"/>
  <c r="AB50" i="54"/>
  <c r="AB29" i="54"/>
  <c r="X9" i="54"/>
  <c r="D5" i="37"/>
  <c r="Z127" i="54"/>
  <c r="Z55" i="54"/>
  <c r="D6" i="37"/>
  <c r="X9" i="55"/>
  <c r="E8" i="37"/>
  <c r="J8" i="37" s="1"/>
  <c r="Y10" i="55"/>
  <c r="Z31" i="55"/>
  <c r="Z103" i="55"/>
  <c r="Z79" i="55"/>
  <c r="AA31" i="54"/>
  <c r="AA103" i="54"/>
  <c r="AA35" i="56" l="1"/>
  <c r="AH54" i="56"/>
  <c r="AH44" i="56"/>
  <c r="AH42" i="56"/>
  <c r="AH46" i="56"/>
  <c r="AH57" i="56"/>
  <c r="AH69" i="56"/>
  <c r="AG83" i="56"/>
  <c r="Z47" i="56"/>
  <c r="AB46" i="56"/>
  <c r="AB33" i="56"/>
  <c r="AB81" i="56"/>
  <c r="AB83" i="56" s="1"/>
  <c r="AB57" i="56"/>
  <c r="AB59" i="56" s="1"/>
  <c r="AB32" i="56"/>
  <c r="Z83" i="56"/>
  <c r="Z59" i="56"/>
  <c r="Z35" i="56"/>
  <c r="AA47" i="56"/>
  <c r="AA59" i="56"/>
  <c r="AH43" i="56"/>
  <c r="AH80" i="56"/>
  <c r="AH45" i="56"/>
  <c r="AG35" i="56"/>
  <c r="AH78" i="56"/>
  <c r="AH67" i="56"/>
  <c r="AH82" i="56"/>
  <c r="AH30" i="56"/>
  <c r="AH68" i="56"/>
  <c r="AH58" i="56"/>
  <c r="AH32" i="56"/>
  <c r="AH34" i="56"/>
  <c r="AH55" i="56"/>
  <c r="AH66" i="56"/>
  <c r="AH31" i="56"/>
  <c r="AH56" i="56"/>
  <c r="AH33" i="56"/>
  <c r="AH70" i="56"/>
  <c r="AG59" i="56"/>
  <c r="AG47" i="56"/>
  <c r="AG71" i="56"/>
  <c r="AC133" i="55"/>
  <c r="T133" i="55" s="1"/>
  <c r="AA10" i="55"/>
  <c r="AA71" i="56"/>
  <c r="AA83" i="56"/>
  <c r="Z71" i="56"/>
  <c r="F7" i="37"/>
  <c r="AB35" i="56"/>
  <c r="H4" i="57"/>
  <c r="E36" i="32"/>
  <c r="AB113" i="55"/>
  <c r="AC88" i="55"/>
  <c r="T88" i="55" s="1"/>
  <c r="AC112" i="55"/>
  <c r="T112" i="55" s="1"/>
  <c r="AC87" i="55"/>
  <c r="T87" i="55" s="1"/>
  <c r="AC135" i="55"/>
  <c r="T135" i="55" s="1"/>
  <c r="AC108" i="55"/>
  <c r="T108" i="55" s="1"/>
  <c r="AC136" i="55"/>
  <c r="T136" i="55" s="1"/>
  <c r="AB89" i="55"/>
  <c r="T63" i="55"/>
  <c r="AB41" i="55"/>
  <c r="AB137" i="55"/>
  <c r="J4" i="57"/>
  <c r="AC38" i="55"/>
  <c r="T38" i="55" s="1"/>
  <c r="AC61" i="55"/>
  <c r="T61" i="55" s="1"/>
  <c r="AC84" i="55"/>
  <c r="T84" i="55" s="1"/>
  <c r="AC64" i="55"/>
  <c r="T64" i="55" s="1"/>
  <c r="AC36" i="55"/>
  <c r="T36" i="55" s="1"/>
  <c r="AC134" i="55"/>
  <c r="T134" i="55" s="1"/>
  <c r="AC111" i="55"/>
  <c r="T111" i="55" s="1"/>
  <c r="AC40" i="55"/>
  <c r="T40" i="55" s="1"/>
  <c r="AC85" i="55"/>
  <c r="T85" i="55" s="1"/>
  <c r="AC39" i="55"/>
  <c r="T39" i="55" s="1"/>
  <c r="AC86" i="55"/>
  <c r="T86" i="55" s="1"/>
  <c r="AC109" i="55"/>
  <c r="T109" i="55" s="1"/>
  <c r="AB65" i="55"/>
  <c r="AC132" i="55"/>
  <c r="AC62" i="55"/>
  <c r="T62" i="55" s="1"/>
  <c r="AC37" i="55"/>
  <c r="T37" i="55" s="1"/>
  <c r="AC60" i="55"/>
  <c r="T60" i="55" s="1"/>
  <c r="AC110" i="55"/>
  <c r="T110" i="55" s="1"/>
  <c r="Y10" i="54"/>
  <c r="Y11" i="54" s="1"/>
  <c r="E5" i="37"/>
  <c r="E9" i="37" s="1"/>
  <c r="Z137" i="54"/>
  <c r="Z113" i="54"/>
  <c r="Z89" i="54"/>
  <c r="Z65" i="54"/>
  <c r="AA84" i="54"/>
  <c r="AA36" i="54"/>
  <c r="AA108" i="54"/>
  <c r="AA61" i="54"/>
  <c r="AA37" i="54"/>
  <c r="AA38" i="54"/>
  <c r="AA39" i="54"/>
  <c r="AA86" i="54"/>
  <c r="AA109" i="54"/>
  <c r="AA88" i="54"/>
  <c r="AA62" i="54"/>
  <c r="AA40" i="54"/>
  <c r="AA132" i="54"/>
  <c r="AA85" i="54"/>
  <c r="AA110" i="54"/>
  <c r="AA60" i="54"/>
  <c r="AA112" i="54"/>
  <c r="AA135" i="54"/>
  <c r="AA136" i="54"/>
  <c r="AA133" i="54"/>
  <c r="AB18" i="54"/>
  <c r="AA64" i="54"/>
  <c r="AA63" i="54"/>
  <c r="AA87" i="54"/>
  <c r="AA134" i="54"/>
  <c r="AA111" i="54"/>
  <c r="Z41" i="54"/>
  <c r="C93" i="55"/>
  <c r="C18" i="55"/>
  <c r="C117" i="55" s="1"/>
  <c r="C93" i="54"/>
  <c r="C18" i="54"/>
  <c r="C117" i="54" s="1"/>
  <c r="AH71" i="56"/>
  <c r="Z9" i="54"/>
  <c r="AA127" i="55"/>
  <c r="AA55" i="55"/>
  <c r="AB55" i="54"/>
  <c r="AC124" i="54"/>
  <c r="P124" i="54" s="1"/>
  <c r="AC100" i="54"/>
  <c r="P100" i="54" s="1"/>
  <c r="AC102" i="54"/>
  <c r="P102" i="54" s="1"/>
  <c r="AC50" i="54"/>
  <c r="AC75" i="54"/>
  <c r="P75" i="54" s="1"/>
  <c r="AC51" i="54"/>
  <c r="P51" i="54" s="1"/>
  <c r="AC78" i="54"/>
  <c r="P78" i="54" s="1"/>
  <c r="AC74" i="54"/>
  <c r="P74" i="54" s="1"/>
  <c r="AC54" i="54"/>
  <c r="P54" i="54" s="1"/>
  <c r="AC30" i="54"/>
  <c r="P30" i="54" s="1"/>
  <c r="AC28" i="54"/>
  <c r="P28" i="54" s="1"/>
  <c r="AC125" i="54"/>
  <c r="P125" i="54" s="1"/>
  <c r="AC126" i="54"/>
  <c r="P126" i="54" s="1"/>
  <c r="AC122" i="54"/>
  <c r="P122" i="54" s="1"/>
  <c r="AC77" i="54"/>
  <c r="P77" i="54" s="1"/>
  <c r="AC98" i="54"/>
  <c r="AC99" i="54"/>
  <c r="P99" i="54" s="1"/>
  <c r="AC123" i="54"/>
  <c r="P123" i="54" s="1"/>
  <c r="AC27" i="54"/>
  <c r="P27" i="54" s="1"/>
  <c r="AC101" i="54"/>
  <c r="P101" i="54" s="1"/>
  <c r="AC76" i="54"/>
  <c r="P76" i="54" s="1"/>
  <c r="AC53" i="54"/>
  <c r="P53" i="54" s="1"/>
  <c r="AC52" i="54"/>
  <c r="P52" i="54" s="1"/>
  <c r="AC29" i="54"/>
  <c r="P29" i="54" s="1"/>
  <c r="AC26" i="54"/>
  <c r="P26" i="54" s="1"/>
  <c r="AB127" i="54"/>
  <c r="AB103" i="54"/>
  <c r="AB71" i="56"/>
  <c r="AB47" i="56"/>
  <c r="AC19" i="55"/>
  <c r="AB122" i="55"/>
  <c r="AB50" i="55"/>
  <c r="AB101" i="55"/>
  <c r="AB98" i="55"/>
  <c r="AB124" i="55"/>
  <c r="AB100" i="55"/>
  <c r="AB99" i="55"/>
  <c r="AB74" i="55"/>
  <c r="AB54" i="55"/>
  <c r="AB76" i="55"/>
  <c r="AB102" i="55"/>
  <c r="AB123" i="55"/>
  <c r="AB29" i="55"/>
  <c r="AB52" i="55"/>
  <c r="AB125" i="55"/>
  <c r="AB30" i="55"/>
  <c r="AB28" i="55"/>
  <c r="AB53" i="55"/>
  <c r="AB78" i="55"/>
  <c r="AB51" i="55"/>
  <c r="AB126" i="55"/>
  <c r="AB77" i="55"/>
  <c r="AB26" i="55"/>
  <c r="AB75" i="55"/>
  <c r="AB27" i="55"/>
  <c r="AA103" i="55"/>
  <c r="Z9" i="55"/>
  <c r="Z11" i="55" s="1"/>
  <c r="F6" i="37"/>
  <c r="D9" i="37"/>
  <c r="D12" i="37"/>
  <c r="F22" i="39" s="1"/>
  <c r="E22" i="39" s="1"/>
  <c r="AA31" i="55"/>
  <c r="AA9" i="54"/>
  <c r="X11" i="55"/>
  <c r="X11" i="54"/>
  <c r="AB31" i="54"/>
  <c r="AB79" i="54"/>
  <c r="Y11" i="55"/>
  <c r="AA79" i="55"/>
  <c r="AH59" i="56" l="1"/>
  <c r="AH83" i="56"/>
  <c r="AH47" i="56"/>
  <c r="AH35" i="56"/>
  <c r="G7" i="37"/>
  <c r="H7" i="37"/>
  <c r="AC137" i="55"/>
  <c r="I7" i="37"/>
  <c r="D36" i="32"/>
  <c r="H5" i="53"/>
  <c r="T132" i="55"/>
  <c r="T137" i="55" s="1"/>
  <c r="AB10" i="55"/>
  <c r="T113" i="55"/>
  <c r="T89" i="55"/>
  <c r="AC89" i="55"/>
  <c r="AC41" i="55"/>
  <c r="T41" i="55"/>
  <c r="T65" i="55"/>
  <c r="AC113" i="55"/>
  <c r="AC65" i="55"/>
  <c r="E12" i="37"/>
  <c r="Z10" i="54"/>
  <c r="Z11" i="54" s="1"/>
  <c r="F5" i="37"/>
  <c r="F12" i="37" s="1"/>
  <c r="AA137" i="54"/>
  <c r="AB135" i="54"/>
  <c r="AB110" i="54"/>
  <c r="AB109" i="54"/>
  <c r="AB64" i="54"/>
  <c r="AB38" i="54"/>
  <c r="AB86" i="54"/>
  <c r="AB134" i="54"/>
  <c r="AB36" i="54"/>
  <c r="AB87" i="54"/>
  <c r="AB60" i="54"/>
  <c r="AB133" i="54"/>
  <c r="AB132" i="54"/>
  <c r="AB108" i="54"/>
  <c r="AB112" i="54"/>
  <c r="AB85" i="54"/>
  <c r="AB136" i="54"/>
  <c r="AB111" i="54"/>
  <c r="AB88" i="54"/>
  <c r="AC18" i="54"/>
  <c r="AB40" i="54"/>
  <c r="AB62" i="54"/>
  <c r="AB84" i="54"/>
  <c r="AB39" i="54"/>
  <c r="AB37" i="54"/>
  <c r="AB61" i="54"/>
  <c r="AB63" i="54"/>
  <c r="AA113" i="54"/>
  <c r="AA41" i="54"/>
  <c r="AA89" i="54"/>
  <c r="AA65" i="54"/>
  <c r="AB31" i="55"/>
  <c r="P127" i="54"/>
  <c r="AB55" i="55"/>
  <c r="AC127" i="54"/>
  <c r="P79" i="54"/>
  <c r="AB9" i="54"/>
  <c r="AB127" i="55"/>
  <c r="AC31" i="54"/>
  <c r="P31" i="54"/>
  <c r="G6" i="37"/>
  <c r="AA9" i="55"/>
  <c r="AB79" i="55"/>
  <c r="AB103" i="55"/>
  <c r="AC74" i="55"/>
  <c r="AC53" i="55"/>
  <c r="P53" i="55" s="1"/>
  <c r="AC52" i="55"/>
  <c r="P52" i="55" s="1"/>
  <c r="AC50" i="55"/>
  <c r="P50" i="55" s="1"/>
  <c r="AC26" i="55"/>
  <c r="P26" i="55" s="1"/>
  <c r="AC77" i="55"/>
  <c r="P77" i="55" s="1"/>
  <c r="AC76" i="55"/>
  <c r="P76" i="55" s="1"/>
  <c r="AC102" i="55"/>
  <c r="P102" i="55" s="1"/>
  <c r="AC101" i="55"/>
  <c r="P101" i="55" s="1"/>
  <c r="AC123" i="55"/>
  <c r="P123" i="55" s="1"/>
  <c r="AC125" i="55"/>
  <c r="P125" i="55" s="1"/>
  <c r="AC124" i="55"/>
  <c r="P124" i="55" s="1"/>
  <c r="AC99" i="55"/>
  <c r="P99" i="55" s="1"/>
  <c r="AC75" i="55"/>
  <c r="P75" i="55" s="1"/>
  <c r="AC126" i="55"/>
  <c r="P126" i="55" s="1"/>
  <c r="AC51" i="55"/>
  <c r="P51" i="55" s="1"/>
  <c r="AC100" i="55"/>
  <c r="P100" i="55" s="1"/>
  <c r="AC27" i="55"/>
  <c r="P27" i="55" s="1"/>
  <c r="AC122" i="55"/>
  <c r="AC98" i="55"/>
  <c r="AC30" i="55"/>
  <c r="P30" i="55" s="1"/>
  <c r="AC28" i="55"/>
  <c r="P28" i="55" s="1"/>
  <c r="AC29" i="55"/>
  <c r="P29" i="55" s="1"/>
  <c r="AC78" i="55"/>
  <c r="P78" i="55" s="1"/>
  <c r="AC54" i="55"/>
  <c r="P54" i="55" s="1"/>
  <c r="AC103" i="54"/>
  <c r="P98" i="54"/>
  <c r="P103" i="54" s="1"/>
  <c r="AC79" i="54"/>
  <c r="AC55" i="54"/>
  <c r="P50" i="54"/>
  <c r="P55" i="54" s="1"/>
  <c r="J7" i="37" l="1"/>
  <c r="AC10" i="55"/>
  <c r="E7" i="55" s="1"/>
  <c r="G4" i="57" s="1"/>
  <c r="AB9" i="55"/>
  <c r="AB11" i="55" s="1"/>
  <c r="F9" i="37"/>
  <c r="AB113" i="54"/>
  <c r="AB137" i="54"/>
  <c r="AA10" i="54"/>
  <c r="AA11" i="54" s="1"/>
  <c r="G5" i="37"/>
  <c r="G12" i="37" s="1"/>
  <c r="AB65" i="54"/>
  <c r="AB41" i="54"/>
  <c r="AB89" i="54"/>
  <c r="AC62" i="54"/>
  <c r="T62" i="54" s="1"/>
  <c r="AC135" i="54"/>
  <c r="T135" i="54" s="1"/>
  <c r="AC61" i="54"/>
  <c r="T61" i="54" s="1"/>
  <c r="AC38" i="54"/>
  <c r="T38" i="54" s="1"/>
  <c r="AC108" i="54"/>
  <c r="AC112" i="54"/>
  <c r="T112" i="54" s="1"/>
  <c r="AC133" i="54"/>
  <c r="T133" i="54" s="1"/>
  <c r="AC136" i="54"/>
  <c r="T136" i="54" s="1"/>
  <c r="AC86" i="54"/>
  <c r="T86" i="54" s="1"/>
  <c r="AC39" i="54"/>
  <c r="T39" i="54" s="1"/>
  <c r="AC111" i="54"/>
  <c r="T111" i="54" s="1"/>
  <c r="AC87" i="54"/>
  <c r="T87" i="54" s="1"/>
  <c r="AC84" i="54"/>
  <c r="AC109" i="54"/>
  <c r="T109" i="54" s="1"/>
  <c r="AC36" i="54"/>
  <c r="AC40" i="54"/>
  <c r="T40" i="54" s="1"/>
  <c r="AC132" i="54"/>
  <c r="AC88" i="54"/>
  <c r="T88" i="54" s="1"/>
  <c r="AC134" i="54"/>
  <c r="T134" i="54" s="1"/>
  <c r="AC85" i="54"/>
  <c r="T85" i="54" s="1"/>
  <c r="AC37" i="54"/>
  <c r="T37" i="54" s="1"/>
  <c r="AC110" i="54"/>
  <c r="T110" i="54" s="1"/>
  <c r="AC63" i="54"/>
  <c r="T63" i="54" s="1"/>
  <c r="AC60" i="54"/>
  <c r="T60" i="54" s="1"/>
  <c r="AC64" i="54"/>
  <c r="T64" i="54" s="1"/>
  <c r="AC127" i="55"/>
  <c r="H6" i="37"/>
  <c r="AC103" i="55"/>
  <c r="P98" i="55"/>
  <c r="P103" i="55" s="1"/>
  <c r="AC55" i="55"/>
  <c r="AC9" i="54"/>
  <c r="P31" i="55"/>
  <c r="E35" i="32"/>
  <c r="P55" i="55"/>
  <c r="P122" i="55"/>
  <c r="P127" i="55" s="1"/>
  <c r="AC31" i="55"/>
  <c r="AC79" i="55"/>
  <c r="P74" i="55"/>
  <c r="P79" i="55" s="1"/>
  <c r="AA11" i="55"/>
  <c r="AC137" i="54" l="1"/>
  <c r="G9" i="37"/>
  <c r="AC113" i="54"/>
  <c r="T65" i="54"/>
  <c r="AC41" i="54"/>
  <c r="T36" i="54"/>
  <c r="T41" i="54" s="1"/>
  <c r="T84" i="54"/>
  <c r="T89" i="54" s="1"/>
  <c r="AC89" i="54"/>
  <c r="T108" i="54"/>
  <c r="T113" i="54" s="1"/>
  <c r="AB10" i="54"/>
  <c r="AB11" i="54" s="1"/>
  <c r="H5" i="37"/>
  <c r="H12" i="37" s="1"/>
  <c r="T132" i="54"/>
  <c r="T137" i="54" s="1"/>
  <c r="AC65" i="54"/>
  <c r="E6" i="54"/>
  <c r="G5" i="53"/>
  <c r="D35" i="32"/>
  <c r="I6" i="37"/>
  <c r="J6" i="37" s="1"/>
  <c r="AC9" i="55"/>
  <c r="AC10" i="54" l="1"/>
  <c r="I5" i="37"/>
  <c r="J5" i="37" s="1"/>
  <c r="H9" i="37"/>
  <c r="AC11" i="55"/>
  <c r="E6" i="55"/>
  <c r="E30" i="32"/>
  <c r="D4" i="57"/>
  <c r="I9" i="37" l="1"/>
  <c r="J9" i="37" s="1"/>
  <c r="I12" i="37"/>
  <c r="J12" i="37" s="1"/>
  <c r="E43" i="32" s="1"/>
  <c r="E7" i="54"/>
  <c r="AC11" i="54"/>
  <c r="E8" i="55"/>
  <c r="E32" i="32" s="1"/>
  <c r="D32" i="32" s="1"/>
  <c r="E34" i="32"/>
  <c r="F4" i="57"/>
  <c r="D5" i="53"/>
  <c r="D30" i="32"/>
  <c r="I4" i="57" l="1"/>
  <c r="E4" i="57"/>
  <c r="K4" i="57" s="1"/>
  <c r="E31" i="32"/>
  <c r="E8" i="54"/>
  <c r="E28" i="32" s="1"/>
  <c r="I5" i="53"/>
  <c r="D43" i="32"/>
  <c r="D34" i="32"/>
  <c r="F5" i="53"/>
  <c r="D28" i="32" l="1"/>
  <c r="E44" i="32"/>
  <c r="D31" i="32"/>
  <c r="E5" i="53"/>
  <c r="K5" i="53" l="1"/>
  <c r="D44" i="32"/>
</calcChain>
</file>

<file path=xl/comments1.xml><?xml version="1.0" encoding="utf-8"?>
<comments xmlns="http://schemas.openxmlformats.org/spreadsheetml/2006/main">
  <authors>
    <author>Олег</author>
  </authors>
  <commentList>
    <comment ref="D2" authorId="0" shapeId="0">
      <text>
        <r>
          <rPr>
            <b/>
            <sz val="9"/>
            <color indexed="81"/>
            <rFont val="Tahoma"/>
            <family val="2"/>
            <charset val="204"/>
          </rPr>
          <t>Олег:</t>
        </r>
        <r>
          <rPr>
            <sz val="9"/>
            <color indexed="81"/>
            <rFont val="Tahoma"/>
            <family val="2"/>
            <charset val="204"/>
          </rPr>
          <t xml:space="preserve">
можно сделать выпадающий список из да/нет
Второй вариант - автозаполнение,если в Шаге 2.2 что-то выскакивает</t>
        </r>
      </text>
    </comment>
    <comment ref="B9" authorId="0" shapeId="0">
      <text>
        <r>
          <rPr>
            <b/>
            <sz val="9"/>
            <color indexed="81"/>
            <rFont val="Tahoma"/>
            <family val="2"/>
            <charset val="204"/>
          </rPr>
          <t>Олег:</t>
        </r>
        <r>
          <rPr>
            <sz val="9"/>
            <color indexed="81"/>
            <rFont val="Tahoma"/>
            <family val="2"/>
            <charset val="204"/>
          </rPr>
          <t xml:space="preserve">
Тут два варианта. 1. Пользователь заполняет все тут, затем это транслируется в следующие шаги. Второй вариант - в шагах он заполняет, а тут выскакивает сводка по типам и по видам. Тогда бы я содержимое этого листа перевел бы в Сводные результаты </t>
        </r>
      </text>
    </comment>
  </commentList>
</comments>
</file>

<file path=xl/sharedStrings.xml><?xml version="1.0" encoding="utf-8"?>
<sst xmlns="http://schemas.openxmlformats.org/spreadsheetml/2006/main" count="2854" uniqueCount="1313">
  <si>
    <t>руб.</t>
  </si>
  <si>
    <t>Дата обновления</t>
  </si>
  <si>
    <t>Приобретения</t>
  </si>
  <si>
    <t xml:space="preserve">Информационные </t>
  </si>
  <si>
    <t>Содержательные</t>
  </si>
  <si>
    <t>Издержки простоя</t>
  </si>
  <si>
    <t>Альтернативные</t>
  </si>
  <si>
    <t>Виды действий</t>
  </si>
  <si>
    <t>ед. изм.</t>
  </si>
  <si>
    <t>Горизонт планирования</t>
  </si>
  <si>
    <t xml:space="preserve">Общая сумма </t>
  </si>
  <si>
    <t>Сумма временных</t>
  </si>
  <si>
    <t>Сумма приобретений</t>
  </si>
  <si>
    <t>Оценка количества</t>
  </si>
  <si>
    <t>часов</t>
  </si>
  <si>
    <t>Характеристика группы, причины выбора</t>
  </si>
  <si>
    <t>покраска</t>
  </si>
  <si>
    <t>оклейка</t>
  </si>
  <si>
    <t>штамповка</t>
  </si>
  <si>
    <t>калибровка</t>
  </si>
  <si>
    <t>пленка</t>
  </si>
  <si>
    <t>кисточка</t>
  </si>
  <si>
    <t>лак</t>
  </si>
  <si>
    <t>ножницы</t>
  </si>
  <si>
    <t>лет</t>
  </si>
  <si>
    <t>наличие</t>
  </si>
  <si>
    <t>в том числе по видам</t>
  </si>
  <si>
    <t>1.1.</t>
  </si>
  <si>
    <t>1.2.</t>
  </si>
  <si>
    <t>2.1.</t>
  </si>
  <si>
    <t>2.2.</t>
  </si>
  <si>
    <t>Горизонт планирования, лет</t>
  </si>
  <si>
    <t>В расчете на 1 объект</t>
  </si>
  <si>
    <t>Шаг 2.1. Определение наличия издержек</t>
  </si>
  <si>
    <t>Шаг 2.2. Определение видов издержек</t>
  </si>
  <si>
    <t>% в год</t>
  </si>
  <si>
    <t>Средняя рентабельность по виду экономической деятельности</t>
  </si>
  <si>
    <t>Общая сумма информационных издержек</t>
  </si>
  <si>
    <t>Общая сумма содержательных  издержек</t>
  </si>
  <si>
    <t>Итого общая сумма по п.1-п.3</t>
  </si>
  <si>
    <t>Общая сумма альтернативных издержек</t>
  </si>
  <si>
    <t>Cлучаи простоя</t>
  </si>
  <si>
    <t>Случай 1</t>
  </si>
  <si>
    <t>Случай 2</t>
  </si>
  <si>
    <t>Случай 3</t>
  </si>
  <si>
    <t>дней</t>
  </si>
  <si>
    <t>нужно также прикрутить тут определения издержек (блоки с текстом)</t>
  </si>
  <si>
    <t>Платежи, приобретения</t>
  </si>
  <si>
    <t>да/нет</t>
  </si>
  <si>
    <t>Оплата труда сотрудников</t>
  </si>
  <si>
    <t>Да/нет</t>
  </si>
  <si>
    <t>Да</t>
  </si>
  <si>
    <t>Нет</t>
  </si>
  <si>
    <t>Счетчик</t>
  </si>
  <si>
    <t>Параметр</t>
  </si>
  <si>
    <t>Наименование группы объектов</t>
  </si>
  <si>
    <t>Ед.изм.</t>
  </si>
  <si>
    <t>ед.</t>
  </si>
  <si>
    <t>тыс. ед.</t>
  </si>
  <si>
    <t>тыс. руб.</t>
  </si>
  <si>
    <t>млн руб.</t>
  </si>
  <si>
    <t>месяцев</t>
  </si>
  <si>
    <t>№ п/п</t>
  </si>
  <si>
    <t>Временные издержки</t>
  </si>
  <si>
    <t>Наименование действия</t>
  </si>
  <si>
    <t>Периодичность</t>
  </si>
  <si>
    <t>день</t>
  </si>
  <si>
    <t>месяц</t>
  </si>
  <si>
    <t>год</t>
  </si>
  <si>
    <t>час</t>
  </si>
  <si>
    <t>Коэффициент для пересчета в год</t>
  </si>
  <si>
    <t>Количество рабочих дней в году</t>
  </si>
  <si>
    <t>Коэффициент налоговой нагрузки (для расчета трудозатрат)</t>
  </si>
  <si>
    <t>-</t>
  </si>
  <si>
    <t>Наименование приобретения</t>
  </si>
  <si>
    <t>Разовое или ежегодное действие</t>
  </si>
  <si>
    <t>Разовое/ежегодное действие</t>
  </si>
  <si>
    <t>Разовое</t>
  </si>
  <si>
    <t>Ежегодное</t>
  </si>
  <si>
    <t>Среднемесячная начисленная заработная плата, руб. в месяц</t>
  </si>
  <si>
    <t>Издержки, связанные с приобретениями</t>
  </si>
  <si>
    <t>Ед. изм. Руб.</t>
  </si>
  <si>
    <t>Коэфф. Пересчета руб.</t>
  </si>
  <si>
    <t>4.1. Параметры объектов оценки</t>
  </si>
  <si>
    <t>Наименование объекта</t>
  </si>
  <si>
    <t>Оценка количества объектов, ед.</t>
  </si>
  <si>
    <t>Случаи простоя</t>
  </si>
  <si>
    <t>Случаи простоя - ситуации, при которых возникает вынужденная остановка экономически обоснованной деятельности субъекта предпринимательской или иной экономической деятельности</t>
  </si>
  <si>
    <t>Средние месячные затраты на оплату труда одного сотрудника (с учетом налогов и взносов), руб.</t>
  </si>
  <si>
    <t>Оценка объема выпуска продукции (работ, услуг) в месяц, руб.</t>
  </si>
  <si>
    <t>Средний месячный объем эксплуатационных или производственных затрат, руб.</t>
  </si>
  <si>
    <t>Описание состава эксплуатационных или производственных затрат</t>
  </si>
  <si>
    <t>Затраты на оплату труда</t>
  </si>
  <si>
    <t>Эксплуатационные или производственные затраты</t>
  </si>
  <si>
    <t>Случай простоя</t>
  </si>
  <si>
    <t>ИТОГО</t>
  </si>
  <si>
    <t>Общая сумма</t>
  </si>
  <si>
    <t xml:space="preserve">Шаг 5. Расчет альтернативных издержек </t>
  </si>
  <si>
    <t>Коэффициент рентабельности</t>
  </si>
  <si>
    <t xml:space="preserve">Шаг 2. Расчет информационных издержек </t>
  </si>
  <si>
    <t>2.1. Параметры объектов оценки</t>
  </si>
  <si>
    <t xml:space="preserve">Шаг 3. Расчет содержательных издержек </t>
  </si>
  <si>
    <t>Наличие</t>
  </si>
  <si>
    <t>в том числе по случаям простоя</t>
  </si>
  <si>
    <t>3.1.</t>
  </si>
  <si>
    <t>3.2.</t>
  </si>
  <si>
    <t>3.3.</t>
  </si>
  <si>
    <t>3.4.</t>
  </si>
  <si>
    <t>3.5.</t>
  </si>
  <si>
    <t>Недополученная прибыль</t>
  </si>
  <si>
    <t>ОТ (или другие обязанности и ограничения)</t>
  </si>
  <si>
    <t>Вид затрат</t>
  </si>
  <si>
    <t>Подгруппа субъектов регулирования</t>
  </si>
  <si>
    <t>Монетизированное значение затрат в год</t>
  </si>
  <si>
    <t>Монетизированное значение затрат на горизонте оценивания</t>
  </si>
  <si>
    <t>Наименование и реквизиты нормативного правового акта</t>
  </si>
  <si>
    <t>Информационные издержки</t>
  </si>
  <si>
    <t>Содержательные издержки</t>
  </si>
  <si>
    <t>Альтернативные издержки</t>
  </si>
  <si>
    <t>Всего</t>
  </si>
  <si>
    <t>Всего, в т.ч.</t>
  </si>
  <si>
    <t>1.</t>
  </si>
  <si>
    <t>1.3.</t>
  </si>
  <si>
    <t>1.4.</t>
  </si>
  <si>
    <t>1.5.</t>
  </si>
  <si>
    <t>Ед. изм.</t>
  </si>
  <si>
    <t>2.</t>
  </si>
  <si>
    <t>2.3.</t>
  </si>
  <si>
    <t>2.4.</t>
  </si>
  <si>
    <t>2.5.</t>
  </si>
  <si>
    <t>3.</t>
  </si>
  <si>
    <t>3.6.</t>
  </si>
  <si>
    <t>Значение</t>
  </si>
  <si>
    <t>Источники, примечания</t>
  </si>
  <si>
    <t>Шаг 1. Основные исходные данные</t>
  </si>
  <si>
    <t>Результаты расчета</t>
  </si>
  <si>
    <t>Лист используется при необходимости, если нужно подсчитать какие-то величины, которые не укладываются в стандартные таблицы (например, средние цены, величину издержек простоя по типам), или для пояснений и обоснований.</t>
  </si>
  <si>
    <t>Кол-во 1</t>
  </si>
  <si>
    <t>Кол-во 2</t>
  </si>
  <si>
    <t>Цена 1</t>
  </si>
  <si>
    <t>Цена 2</t>
  </si>
  <si>
    <t>Цена 3</t>
  </si>
  <si>
    <t>единиц</t>
  </si>
  <si>
    <t>Название объекта:</t>
  </si>
  <si>
    <t>Среднее кол-во</t>
  </si>
  <si>
    <t>Средняя цена</t>
  </si>
  <si>
    <t>Название приобретения:</t>
  </si>
  <si>
    <t>Источники</t>
  </si>
  <si>
    <t>Средняя цена по группе</t>
  </si>
  <si>
    <t>Подгруппа 1:</t>
  </si>
  <si>
    <t>Подгруппа 2:</t>
  </si>
  <si>
    <t>Подгруппа 3:</t>
  </si>
  <si>
    <t>Доля подгруппы</t>
  </si>
  <si>
    <t>%</t>
  </si>
  <si>
    <t>Средневзвешенная цена</t>
  </si>
  <si>
    <t>6. Отдельные вспомогательные таблицы</t>
  </si>
  <si>
    <t>Пояснения (при необходимости)</t>
  </si>
  <si>
    <t>Доля подгруппы в объектах расчета</t>
  </si>
  <si>
    <r>
      <rPr>
        <sz val="11"/>
        <color theme="1"/>
        <rFont val="Calibri"/>
        <family val="2"/>
        <charset val="204"/>
      </rPr>
      <t xml:space="preserve">← </t>
    </r>
    <r>
      <rPr>
        <sz val="11"/>
        <color theme="1"/>
        <rFont val="Calibri"/>
        <family val="2"/>
        <charset val="204"/>
        <scheme val="minor"/>
      </rPr>
      <t>вносится в основные таблицы</t>
    </r>
  </si>
  <si>
    <t>С1</t>
  </si>
  <si>
    <t>Справочник стандартных затрат рабочего времени на выполнение типовых операций (действий)</t>
  </si>
  <si>
    <t>С2</t>
  </si>
  <si>
    <t xml:space="preserve">Справочник стандартной стоимости часа работы персонала в разрезе видов деятельности </t>
  </si>
  <si>
    <t>С3</t>
  </si>
  <si>
    <t>Справочник по нормативному сроку службы отдельных видов оборудования</t>
  </si>
  <si>
    <t>С4</t>
  </si>
  <si>
    <t>Справочник по средним ценам отдельных видов оборудования, применяемым для оценки исполнения обязательных требований</t>
  </si>
  <si>
    <t>С5</t>
  </si>
  <si>
    <t>Справочник стандартных значений частоты обслуживания отдельных видов оборудования</t>
  </si>
  <si>
    <t>С6</t>
  </si>
  <si>
    <t>Справочник средних цен на отдельные работы (услуги), применяемым для оценки исполнения обязательных требований</t>
  </si>
  <si>
    <t>С7</t>
  </si>
  <si>
    <t>Справочник по количественному составу отдельных групп объектов расчета, применяемому для оценки исполнения обязательных требований</t>
  </si>
  <si>
    <t>Группы оборудования</t>
  </si>
  <si>
    <t>Группа работ, услуг</t>
  </si>
  <si>
    <t>Сферы объектов</t>
  </si>
  <si>
    <t>№
п/п</t>
  </si>
  <si>
    <t>Группа действий</t>
  </si>
  <si>
    <t>Типовые действия</t>
  </si>
  <si>
    <t>Стандартные затраты рабочего времени, человеко-часов</t>
  </si>
  <si>
    <t>Размещение информации об организации, продукции, услугах</t>
  </si>
  <si>
    <t>Подготовка информации о составе продукции для предоставления потребителям на бумажном носителе (20 наименований продукции)</t>
  </si>
  <si>
    <t>Подготовка информации о работах, услугах для предоставления потребителям на бумажном носителе (10 наименований услуг, работ)</t>
  </si>
  <si>
    <t>Подготовка меню объектов общественного питания типа "столовая" (без верстки)</t>
  </si>
  <si>
    <t>Подготовка информации о составе продукции для предоставления потребителям в сети Интернет (одна-две страницы сайта)</t>
  </si>
  <si>
    <t>Подготовка информации о работах, услугах для предоставления потребителям в сети Интернет (одна-две страницы сайта)</t>
  </si>
  <si>
    <t>Размещение информации по пожарной безопасности</t>
  </si>
  <si>
    <t>Размещение информации с перечнем помещений</t>
  </si>
  <si>
    <t>Размещение инструкции, регламентирующей порядок использования лифтов</t>
  </si>
  <si>
    <t>Размещение информации о защищаемых помещениях</t>
  </si>
  <si>
    <t>Размещение знаков пожарной безопасности, обозначающих места размещения аварийно-спасательных устройств и снаряжения.</t>
  </si>
  <si>
    <t>Ведение информационных баз и журналов на предприятии</t>
  </si>
  <si>
    <t>Ведение журнала ежедневного учёта информации (1-10 полей)</t>
  </si>
  <si>
    <t>Ведение журнала ежедневного учёта информации (11-20 полей)</t>
  </si>
  <si>
    <t>Ведение журнала ежедневного учёта информации (более 20 полей)</t>
  </si>
  <si>
    <t>Ведение журнала еженедельного учёта информации (1-10 полей)</t>
  </si>
  <si>
    <t>Ведение журнала еженедельного учёта информации (11-20 полей)</t>
  </si>
  <si>
    <t>Ведение журнала еженедельного учёта информации (более 20 полей)</t>
  </si>
  <si>
    <t>Ведение журнала ежемесячного учёта информации (1-10 полей)</t>
  </si>
  <si>
    <t>Ведение журнала ежемесячного учёта информации (11-20 полей)</t>
  </si>
  <si>
    <t>Ведение журнала ежемесячного учёта информации (более 20 полей)</t>
  </si>
  <si>
    <t>Ведение журнала полугодового учёта информации (1-10 полей)</t>
  </si>
  <si>
    <t>Ведение журнала полугодового учёта информации (11-20 полей)</t>
  </si>
  <si>
    <t>Ведение журнала полугодового учёта информации (более 20 полей)</t>
  </si>
  <si>
    <t>Ведение журнала ежегодного учёта информации (1-10 полей)</t>
  </si>
  <si>
    <t>Ведение журнала ежегодного учёта информации (11-20 полей)</t>
  </si>
  <si>
    <t>Ведение журнала ежегодного учёта информации (более 20 полей)</t>
  </si>
  <si>
    <t>Разработка инструкций, технологических карт</t>
  </si>
  <si>
    <t>Разработка программ</t>
  </si>
  <si>
    <t>Разработка планов действий на объекте, прилегающей территории</t>
  </si>
  <si>
    <t xml:space="preserve">Организация приобретения оборудования, товаров для выполнения обязательных требований </t>
  </si>
  <si>
    <t>Определение типа и кол-ва товаров, необходимых для выполнения обязательных требований</t>
  </si>
  <si>
    <t>Поиск поставщика без тендерной процедуры</t>
  </si>
  <si>
    <t>Проведение тендерной процедуры для определения поставщика без привлечения электронной площадки</t>
  </si>
  <si>
    <t>Проведение тендерной процедуры для определения поставщика на электронной площадке</t>
  </si>
  <si>
    <t>Заключение договора на поставку товаров</t>
  </si>
  <si>
    <t>Проверка товарной партии и сопроводительных документов</t>
  </si>
  <si>
    <t>Оформление акта приемки партии товара</t>
  </si>
  <si>
    <t>Проведение платежа за партию товара</t>
  </si>
  <si>
    <t xml:space="preserve">Организация приобретения работ, услуг для выполнения обязательных требований </t>
  </si>
  <si>
    <t>Определение вида и объема работ (услуг), необходимых для выполнения обязательных требований</t>
  </si>
  <si>
    <t>Заключение договора на выполнение работ, услуг</t>
  </si>
  <si>
    <t>Оформление акта приемки работ, услуг</t>
  </si>
  <si>
    <t>Проведение платежа за выполненные работы, услуги</t>
  </si>
  <si>
    <t>Организация подключения к государственным информационным системам, установки и обслуживания специализированного программного обеспечения для отчетности, предоставления сведений</t>
  </si>
  <si>
    <t>Организация приобретения и установки электронной цифровой подписи (1-3 рабочих места)</t>
  </si>
  <si>
    <t>Установка доступа к ГИС или специализированного ПО силами собственных специалистов (1-3 рабочих места)</t>
  </si>
  <si>
    <t>Подготовка и направление текущей отчетности, периодических сведений в государственные органы и уполномоченные организации</t>
  </si>
  <si>
    <t>Подготовка и предоставление отчета личным посещением офиса органа власти или уполномоченно организации (с количеством вручную заполняемых полей: 1-10)</t>
  </si>
  <si>
    <t>Подготовка и предоставление отчета личным посещением офиса органа власти или уполномоченно организации (с количеством вручную заполняемых полей: 11-20)</t>
  </si>
  <si>
    <t>Подготовка и предоставление отчета личным посещением офиса органа власти или уполномоченно организации (с количеством вручную заполняемых полей: 21-40)</t>
  </si>
  <si>
    <t>Подготовка и направление отчета почтовым отправлением (с количеством вручную заполняемых полей: 1-10)</t>
  </si>
  <si>
    <t>Подготовка и направление отчета почтовым отправлением (с количеством вручную заполняемых полей: 11-20)</t>
  </si>
  <si>
    <t>Подготовка и направление отчета почтовым отправлением (с количеством вручную заполняемых полей: 21-40)</t>
  </si>
  <si>
    <t>Подготовка и направление отчета электронной почтой (с количеством вручную заполняемых полей: 1-10)</t>
  </si>
  <si>
    <t>Подготовка и направление отчета электронной почтой (с количеством вручную заполняемых полей: 11-20)</t>
  </si>
  <si>
    <t>Подготовка и направление отчета электронной почтой (с количеством вручную заполняемых полей: 21-40)</t>
  </si>
  <si>
    <t>Подготовка и направление отчета в ГИС или специализированном ПО  (с количеством вручную заполняемых полей: 1-10)</t>
  </si>
  <si>
    <t>Подготовка и направление отчета в ГИС или специализированном ПО  (с количеством вручную заполняемых полей: 11-20)</t>
  </si>
  <si>
    <t>Подготовка и направление отчета в ГИС или специализированном ПО  (с количеством вручную заполняемых полей: 21-40)</t>
  </si>
  <si>
    <t>Организация подтверждения соответствия</t>
  </si>
  <si>
    <t>Получение лицензий, разрешений, мер поддержки</t>
  </si>
  <si>
    <t>Сопровождение проверок контрольно-надзорными органами</t>
  </si>
  <si>
    <t>Оформление трудовых отношений, поиск и наем сотрудников</t>
  </si>
  <si>
    <t>Размещение вакансии в информационной системе</t>
  </si>
  <si>
    <t>Поиск отдельного специалиста с широко распространенной квалификацией (размещение открытой вакансии, отбор кандидатов, собеседования)</t>
  </si>
  <si>
    <t>Принятие отдельного сотрудника в штат по совместительству (оформление трудового договора)</t>
  </si>
  <si>
    <t>Принятие отдельного сотрудника в штат на основное место работы (оформление трудового договора)</t>
  </si>
  <si>
    <t>Заключение типового гражданско-правового договора</t>
  </si>
  <si>
    <t>Проведение аттестаций, оценки персонала</t>
  </si>
  <si>
    <t>Проведение инструктажей персонала</t>
  </si>
  <si>
    <t>Организация проведения осмотров и медосмотра персонала</t>
  </si>
  <si>
    <t>Двухразовый ежедневный осмотра 1 сотрудника на предмет наличия внешне проявляемых заболеваний без применения специальных средств и анализов</t>
  </si>
  <si>
    <t>Обеспечение спецсредствами</t>
  </si>
  <si>
    <t>Обеспечение предприятий средствами пожаротушения</t>
  </si>
  <si>
    <t>Определение типа и необходимого количества огнетушителей для установки на небольших объектах</t>
  </si>
  <si>
    <t>Установка 1 огнетушителя в помещениях</t>
  </si>
  <si>
    <t>№ 
п/п</t>
  </si>
  <si>
    <t>Вид деятельности</t>
  </si>
  <si>
    <t>Подвид деятельности</t>
  </si>
  <si>
    <t>Деятельность</t>
  </si>
  <si>
    <t>Стандартная стоимость часа работы персонала, рублей</t>
  </si>
  <si>
    <t>Актуальность (месяц, год)</t>
  </si>
  <si>
    <t>январь-апрель 2023 г.</t>
  </si>
  <si>
    <t>Группа оборудования</t>
  </si>
  <si>
    <t>Вид оборудования</t>
  </si>
  <si>
    <t>Нормативный срок службы, лет</t>
  </si>
  <si>
    <t>Противопожарное оборудование</t>
  </si>
  <si>
    <t>Комплектация пожарного щита ЩП-А</t>
  </si>
  <si>
    <t>Инвентарь производственный и хозяйственный сферы услуг</t>
  </si>
  <si>
    <t>Стойка меню</t>
  </si>
  <si>
    <t>Стенд уголок потребителя</t>
  </si>
  <si>
    <t>Инвентарь производственный и хозяйственный сферы производства</t>
  </si>
  <si>
    <t>Средства индивидуальной защиты</t>
  </si>
  <si>
    <t>Фильтрующие самоспасатели</t>
  </si>
  <si>
    <t>Технические устройства и их комплексы для обеспечения формирования, хранения и передачи свещений в государственные информационные ресурсы</t>
  </si>
  <si>
    <t>USB-токен</t>
  </si>
  <si>
    <t>Информационные табло, стенды, стойки, знаки и иные устройства информирования</t>
  </si>
  <si>
    <t>Оборудование для обязательной маркировки продукции</t>
  </si>
  <si>
    <t>Расходные материалы, детали оборудования</t>
  </si>
  <si>
    <t>Транспортные средства и устройства для них</t>
  </si>
  <si>
    <t>Средства измерения, учета концентрации, объема, температуры, в том числе автоматические и передающие результаты</t>
  </si>
  <si>
    <t>Фильтры, очистное оборудование и иные средства защиты окружающей среды</t>
  </si>
  <si>
    <t>Торговое оборудование, кассовые аппараты</t>
  </si>
  <si>
    <t>Бланки, формы, типовые журналы</t>
  </si>
  <si>
    <t>Учебные материалы, инвентарь, средства для проверки знаний</t>
  </si>
  <si>
    <t>Информационно-справочные системы</t>
  </si>
  <si>
    <t>Иное</t>
  </si>
  <si>
    <t>Средняя рыночная цена, рублей</t>
  </si>
  <si>
    <t>Огнетушитель порошковый ОП-4</t>
  </si>
  <si>
    <t>Частота обслуживания, раз в год</t>
  </si>
  <si>
    <t>Огнетушитель порошковый - поверка</t>
  </si>
  <si>
    <t>Огнетушитель порошковый - перезарядка</t>
  </si>
  <si>
    <t>Работа, услуга</t>
  </si>
  <si>
    <t>Государственная регистрация прав на недвижимое имущество и сделок с ним, кадастровый учет объектов недвижимости, землеустройство</t>
  </si>
  <si>
    <t>Нотариальное удостоверение копии разрешения на ввод в эксплуатацию многоквартирного дома и (или) иного объекта недвижимости</t>
  </si>
  <si>
    <t>2013 г.</t>
  </si>
  <si>
    <t>Нотариальное удостоверение договора об ипотеке или нотариальное удостоверение договора, влекущего за собой возникновение ипотеки в силу закона</t>
  </si>
  <si>
    <t>Услуги БТИ по технической инвентаризации, паспортизации нежилых помещений: технический паспорт линейно-кабельного сооружения связи</t>
  </si>
  <si>
    <t>Нотариально удостоверенная доверенность на право действовать от имени юридического лица</t>
  </si>
  <si>
    <t>Услуги по составлению технического плана: технический план здания, сооружения, помещения либо объекта незавершенного строительства</t>
  </si>
  <si>
    <t>Государственные (муниципальные) закупки</t>
  </si>
  <si>
    <t>Плата за участие в электронном аукционе</t>
  </si>
  <si>
    <t>Миграционное законодательство</t>
  </si>
  <si>
    <t>Плата за нотариально заверенный перевод копии документа, удостоверяющего личность иностранного работника</t>
  </si>
  <si>
    <t>Плата за нотариально заверенный перевод документов о профессиональном образовании, квалификации, полученных иностранным работником в иностранном государстве</t>
  </si>
  <si>
    <t>Пенсионное обеспечение</t>
  </si>
  <si>
    <t>Плата за нотариальное заверение устава организации</t>
  </si>
  <si>
    <t>Плата за нотариальное заверение положения об обособленном подразделении</t>
  </si>
  <si>
    <t>Трудовые отношения, охрана труда и занятость</t>
  </si>
  <si>
    <t>Услуги аттестующей организации (проведение аттестации рабочих мест по условиям труда)</t>
  </si>
  <si>
    <t>Приобретение бланка трудовой книжки</t>
  </si>
  <si>
    <t>Оплата услуг медицинских организаций: проведение медицинского осмотра работников</t>
  </si>
  <si>
    <t>Оплата услуг медицинских организаций: проведение обязательного психиатрического освидетельствования работника</t>
  </si>
  <si>
    <t>Оплата услуг экспертных организаций, лабораторий (по факту несчастного случая на производстве)</t>
  </si>
  <si>
    <t>Приобретение дозиметрического оборудования (в расчете на одного работника, осуществляющего работы с радиоактивными веществами и источниками ионизирующих излучений)</t>
  </si>
  <si>
    <t>Приобретение мегаомметров для измерения сопротивления электрического оборудования (на замер одной единицы электроинструмента)</t>
  </si>
  <si>
    <t>Приобретение оборудования для проверки манометров (на проверку одного манометра)</t>
  </si>
  <si>
    <t>Приобретение оборудования для контроля качества воздуха, подаваемого на дыхание водолазам и в барокамеру (на одну проверку)</t>
  </si>
  <si>
    <t>Приобретение оборудования для анализа регенеративных и поглотительных веществ, предназначенных для зарядки кислородных аппаратов (осуществление водолазных спусков)</t>
  </si>
  <si>
    <t>Приобретение оборудования для измерения освещенности на рабочих местах</t>
  </si>
  <si>
    <t>Приобретение дозиметрического оборудования (в расчете на одно измерение)</t>
  </si>
  <si>
    <t>Приобретение дозиметрического оборудования (в расчете на один день работы дистанций пути, выполняющих работы по осмотру, содержанию и ремонту железнодорожного пути, путевых устройств и искусственных сооружений в зонах радиоактивного загрязнения)</t>
  </si>
  <si>
    <t>Приобретение оборудования для анализа концентрации паров углеводородов и других газов в резервуарах и производственных помещениях при проведении огневых работ (в расчете на одно измерение)</t>
  </si>
  <si>
    <t>Приобретение оборудования для проверки заземляющих устройств молниезащиты (в т.ч. сопротивление растекания тока)</t>
  </si>
  <si>
    <t>Приобретение оборудования для проверки взрывобезопасности газовоздушной среды</t>
  </si>
  <si>
    <t>Туризм, средства размещения</t>
  </si>
  <si>
    <t>Услуги аккредитованной организации по классификации гостиниц и иных средств размещения</t>
  </si>
  <si>
    <t>Техническое регулирование, подтверждение соответствия</t>
  </si>
  <si>
    <t>Приобретение маркировочных этикеток (в целях маркировки продукции, в расчете на одну потребительскую упаковку)</t>
  </si>
  <si>
    <t>Услуги аккредитованной испытательной лаборатории по составлению протокола испытаний табачной продукции (подтверждающего соответствие содержания смолы и никотина в дыме одной сигареты, монооксида углерода в дыме одной сигареты с фильтром требованиям федерального закона)</t>
  </si>
  <si>
    <t>Приобретение маркировочных этикеток (в целях маркировки продукции, в расчете на одну транспортную упаковку)</t>
  </si>
  <si>
    <t>Услуги испытательной лаборатории по составлению протокола испытаний масложировой продукции</t>
  </si>
  <si>
    <t>Услуги аккредитованного центра сертификации по оформлению сертификата системы качества (безопасности) производства (масложировая продукция)</t>
  </si>
  <si>
    <t>Услуги аккредитованного центра сертификации по проведению инспекционного контроля за сертифицированной серийно выпускаемой продукцией</t>
  </si>
  <si>
    <t>Услуги органа по сертификации по оформлению сертификата соответствия соковой продукции техническому регламенту</t>
  </si>
  <si>
    <t>Услуги аккредитованной исследовательской лаборатории по проведению исследований (испытаний) соковой продукции</t>
  </si>
  <si>
    <t>Услуги аккредитованной исследовательской лаборатории по проведению исследований (испытаний) и измерений типовых образцов молока или продуктов его переработки</t>
  </si>
  <si>
    <t>Услуги аккредитованного центра сертификации по проведению инспекционного контроля за сертифицированной системой качества на стадиях производства, контроля и испытания, проектирования</t>
  </si>
  <si>
    <t>Услуги органа по сертификации по оформлению сертификата соответствия продуктов переработки молока техническому регламенту</t>
  </si>
  <si>
    <t>Услуги аккредитованной исследовательской лаборатории по проведению исследований (испытаний) и измерений (на соответствие продукции требованиям пожарной безопасности)</t>
  </si>
  <si>
    <t>Услуги органа по сертификации по оформлению сертификата соответствия продукции требованиям пожарной безопасности</t>
  </si>
  <si>
    <t>Услуги аккредитованного центра сертификации по проведению инспекционного контроля инспекционного сертифицированной продукции (на соответствие требованиям пожарной безопасности)</t>
  </si>
  <si>
    <t>Услуги аккредитованного центра сертификации при периодическом техническом освидетельствовании лифтов</t>
  </si>
  <si>
    <t>Услуги аккредитованного центра сертификации при оценке соответствия лифтов, отработавших назначенный срок службы</t>
  </si>
  <si>
    <t>Услуги аккредитованного центра сертификации по проведению инспекционного контроля соответствия техническому регламенту (лифты и лифтовое оборудование)</t>
  </si>
  <si>
    <t>Услуги центра сертификации (исследовательской лаборатории) по проведению испытаний и оформлению протокола испытаний типовых образцов газоиспользующего оборудования</t>
  </si>
  <si>
    <t>Услуги органа по сертификации по оформлению сертификата соответствия оборудования техническому регламенту (газоиспользующее оборудование)</t>
  </si>
  <si>
    <t>Услуги аккредитованного центра сертификации по проведению инспекционного контроля соответствия техническому регламенту (газоиспользующее оборудование)</t>
  </si>
  <si>
    <t>Приобретение маркировочных табличек (в целях маркировки оборудования)</t>
  </si>
  <si>
    <t>Услуги аккредитованной исследовательской лаборатории (центра сертификации) по проведению исследований машин и оборудования (в целях 511 декларирования соответствия машин и оборудования требованиям технического регламента)</t>
  </si>
  <si>
    <t>Услуги аккредитованного центра сертификации по оформлению сертификата соответствия машин и оборудования техническому регламенту</t>
  </si>
  <si>
    <t>Услуги аккредитованного центра сертификации по проведению инспекционного контроля соответствия техническому регламенту (машины и оборудование)</t>
  </si>
  <si>
    <t>Услуги аккредитованной исследовательской лаборатории (центра сертификации) по проведению исследований автомобильного бензина и дизельного топлива, полученных путем переработки углеводородсодержащего сырья (оформление протоколов испытаний образца продукции в целях декларирования)</t>
  </si>
  <si>
    <t>Услуги центра сертификации по оформлению сертификата соответствия автомобильного бензина и дизельного топлива, изготовленного путем 513 смешивания нефтепродуктов, в том числе добавлением присадок различного происхождения</t>
  </si>
  <si>
    <t>Услуги аккредитованного центра сертификации по проведению инспекционного контроля соответствия сертифицированной продукции требованиям технического регламента (авиационный бензин, топливо для реактивных двигателей)</t>
  </si>
  <si>
    <t>Услуги центра сертификации по обязательной сертификации компонентов транспортного средства</t>
  </si>
  <si>
    <t>Услуги аккредитованного центра сертификации по проведению инспекционного контроля соответствия сертифицированной продукции требованиям технического регламента (транспортные средства, шасси, компоненты транспортных средств)</t>
  </si>
  <si>
    <t>Услуги аккредитованной испытательной лаборатории по оформлению протоколов испытаний компонентов транспортных средств (в целях декларирования соответствия)</t>
  </si>
  <si>
    <t>Приобретение систем мониторинга швартовных и грузовых операций (ведение учета швартовных и грузовых операций) (в расчете на один объект портовой инфраструктуры)</t>
  </si>
  <si>
    <t>Услуги центра сертификации по проведению сертификации оборудования для работы во взрывоопасных средах</t>
  </si>
  <si>
    <t>Услуги аккредитованного центра сертификации по проведению инспекционного контроля сертифицированного оборудования на соответствие техническому регламенту (о безопасности оборудования для работы во взрывоопасных средах)</t>
  </si>
  <si>
    <t>Услуги органа по классификации по согласованию технической документации на постройку, переоборудование, модернизацию и ремонт судов, изготовление и ремонт изделий и изготовление материалов для установки на судах</t>
  </si>
  <si>
    <t>Услуги органа по классификации по проведению технического наблюдения объектов морского транспорта (на выполнение требований технического регламента в процессе постройки, переоборудования, модернизации, ремонта судов и их объектов, изготовления и ремонта изделий и изготовления материалов для установки на судах)</t>
  </si>
  <si>
    <t>Услуги органа по классификации по проведению освидетельствований судна в эксплуатации (объекты морского транспорта)</t>
  </si>
  <si>
    <t>Услуги органа по классификации по согласованию технической документации на постройку (изготовление), переоборудование, модернизацию и ремонт объектов внутреннего водного транспорта</t>
  </si>
  <si>
    <t>Услуги органа по классификации по проведению технического наблюдения объектов внутреннего водного транспорта</t>
  </si>
  <si>
    <t>Услуги органа по классификации по проведению классификационного освидетельствования судна в эксплуатации (объекты внутреннего водного транспорта)</t>
  </si>
  <si>
    <t>Услуги органа по классификации по проведению ежегодного освидетельствования судов внутреннего водного транспорта</t>
  </si>
  <si>
    <t>Услуги аккредитованной испытательной лаборатории (центра) по проведению обследования причалов и портовых причальных сооружений внутреннего водного транспорта</t>
  </si>
  <si>
    <t>Услуги органа сертификации по сертификации продукции (за исключением продукции, сертифицируемой в порядке, установленном техническими регламентами)</t>
  </si>
  <si>
    <t>Услуги аккредитованного центра сертификации по проведению планового инспекционного контроля сертифицированной продукции</t>
  </si>
  <si>
    <t>Санитарно-эпидемиологическое благополучие населения</t>
  </si>
  <si>
    <t>Приобретение оборудования для проведения радиационного контроля в организации, деятельность которой связана с обращением с техногенными источниками ионизирующего излучения (измерительное, автоматизированные системы, лабораторная аппаратура и т.д.)</t>
  </si>
  <si>
    <t>Приобретение материалов для проведения контроля качества предстерилизационной очистки изделий</t>
  </si>
  <si>
    <t>Приобретение услуг по проведению лабораторных и инструментальных исследований продуктов, приготовляемых блюд, предметов производственного окружения, контактирующих с пищевыми продуктами</t>
  </si>
  <si>
    <t>Оплата государственной пошлины за выдачу судового санитарного свидетельства о праве плавания</t>
  </si>
  <si>
    <t>Оплата услуг по проведению планового целевого контроля судна</t>
  </si>
  <si>
    <t>Приобретение услуг по проведению приемочных инструментальных испытаний вентиляционных установок</t>
  </si>
  <si>
    <t>Приобретение услуг по лабораторному исследованию состояния воздушной среды в помещениях</t>
  </si>
  <si>
    <t>Приобретение услуг по проведению испытаний осветительных установок</t>
  </si>
  <si>
    <t>Приобретение материалов и оборудования для лабораторного контроля партии сырья</t>
  </si>
  <si>
    <t>Приобретение услуг по химическому и бактериологическому исследованию воды</t>
  </si>
  <si>
    <t>Приобретение материалов и оборудования для анализа металлопримесей, удаленных металлоулавливающими электромагнитами</t>
  </si>
  <si>
    <t>Приобретение материалов и оборудования для анализа на содержание йода в соли</t>
  </si>
  <si>
    <t>Оплата за проведение санитарно-эпидемиологических экспертиз, расследований, обследований, исследований, испытаний, токсикологических, гигиенических и других видов оценок, необходимых для получения санитарно- эпидемиологического заключения о соответствии санитарным правилам нормативов 532 предельно допустимых выбросов химических, биологических веществ и микроорганизмов в воздух</t>
  </si>
  <si>
    <t>Оплата за проведение санитарно-эпидемиологических экспертиз, расследований, обследований, исследований, испытаний, токсикологических, гигиенических и других видов оценок, необходимых для получения санитарно- эпидемиологического заключения о соответствии санитарным правилам проектов санитарно-защитных зон</t>
  </si>
  <si>
    <t>Оплата за проведение санитарно-эпидемиологических экспертиз, расследований, обследований, исследований, испытаний, токсикологических, гигиенических и других видов оценок, необходимых для получения санитарно- эпидемиологического заключения о соответствии санитарным правилам условий выполнения работ, связанных с использованием машин, механизмов, установок, устройств и аппаратов, являющихся источниками физических факторов воздействия на человека (шума, вибрации, ультразвуковых, инфразвуковых воздействий, теплового, ионизирующего, неионизирующего и иного излучения)</t>
  </si>
  <si>
    <t>Приобретение оборудования для контроля концентрации озона</t>
  </si>
  <si>
    <t>Приобретение услуг по проведению измерения максимальных разовых концентраций пыли на рабочем месте</t>
  </si>
  <si>
    <t>Приобретение услуг по проведению измерения среднесменных концентраций пыли на рабочем месте</t>
  </si>
  <si>
    <t>Приобретение услуг по проведению измерения концентраций диоксида кремния в витающей пыли на рабочем месте</t>
  </si>
  <si>
    <t>Приобретение услуг по контролю работы стерилизатора (дезкамеры)</t>
  </si>
  <si>
    <t>Приобретение услуг по контролю микроклимат</t>
  </si>
  <si>
    <t>Приобретение услуг по определению класса опасности отходов</t>
  </si>
  <si>
    <t>Приобретение услуг по контролю качества воды водных объектов</t>
  </si>
  <si>
    <t>Приобретение услуг по проведению экспертизы содержания в продукции пестицидов</t>
  </si>
  <si>
    <t>Приобретение услуг по проведению контроля за содержанием остаточных количеств пестицидов в атмосферном воздухе</t>
  </si>
  <si>
    <t>Приобретение услуг по исследованию и оценке электромагнитного поля</t>
  </si>
  <si>
    <t>Приобретение услуг по контролю за качеством бассейновой воды</t>
  </si>
  <si>
    <t>Приобретение услуг по проведению контроля и мониторинга выбросов в атмосферу</t>
  </si>
  <si>
    <t>Приобретение услуг аккредитованных испытательных лабораторий по контролю качества продукта на отдельных этапах производственного процесса биологически активных добавок к пище</t>
  </si>
  <si>
    <t>Приобретение услуг по исследованию воды из ванны бассейна по органолептическим (мутность, цветность, запах) показателям</t>
  </si>
  <si>
    <t>Приобретение услуг по исследованию воды из ванны бассейна на остаточное содержание обеззараживающих реагентов</t>
  </si>
  <si>
    <t>Приобретение услуг по исследованию воды из ванны бассейна по основным микробиологическим показателям</t>
  </si>
  <si>
    <t>Приобретение услуг по исследованию воды из ванны бассейна по паразитологическим показателям</t>
  </si>
  <si>
    <t>Приобретение услуг по исследованию воды из ванны бассейна на содержание формальдегида</t>
  </si>
  <si>
    <t>Приобретение услуг по контролю за параметрами микроклимата (кроме температуры воздуха в залах ванн) в плавательном бассейне</t>
  </si>
  <si>
    <t>Приобретение услуг по контролю за параметрами освещенности</t>
  </si>
  <si>
    <t>Приобретение услуг по измерению содержания вредных веществ в воздухе рабочей зоны</t>
  </si>
  <si>
    <t>Приобретение услуг по исследованию продукции на листерии</t>
  </si>
  <si>
    <t>Приобретение услуг по исследованию смывов на листерии</t>
  </si>
  <si>
    <t>Приобретение услуг по проведению бактериологического анализа воды</t>
  </si>
  <si>
    <t>Приобретение услуг по исследованию продукции на сальмонеллы</t>
  </si>
  <si>
    <t>Приобретение услуг по исследованию смывов на сальмонеллы</t>
  </si>
  <si>
    <t>Приобретение услуг по бактериологическому и химическому исследованию воды</t>
  </si>
  <si>
    <t>Приобретение услуг по микробиологическому исследованию производственных смывов</t>
  </si>
  <si>
    <t>Приобретение услуг по бактериологическому и биохимическому исследованию мяса</t>
  </si>
  <si>
    <t>Приобретение услуг по измерению шума и вибрации (на рабочем месте, на одном источнике)</t>
  </si>
  <si>
    <t>Приобретение услуг по измерению шума и вибрации (в помещении)</t>
  </si>
  <si>
    <t>Приобретение услуг по исследованию на легионеллы</t>
  </si>
  <si>
    <t>Приобретение услуг по микробиологическому контролю качества пищевой продукции, готовых блюд</t>
  </si>
  <si>
    <t>Приобретение услуг по проведению микробиологических анализов воздуха и стен камер технологического цеха</t>
  </si>
  <si>
    <t>Приобретение услуг по микробиологическому исследованию на промышленную стерильность</t>
  </si>
  <si>
    <t>Приобретение услуг по контролю концентрации моющих и дезинфицирующих средств</t>
  </si>
  <si>
    <t>Приобретение услуг по контролю состояния дрожжей</t>
  </si>
  <si>
    <t>Приобретение услуг по химическому исследованию воды на остаточное содержание хлора</t>
  </si>
  <si>
    <t>Приобретение услуг по химическому исследованию воды</t>
  </si>
  <si>
    <t>Приобретение услуг дозиметрического контроля лазерного излучения</t>
  </si>
  <si>
    <t>Приобретение услуг по измерению локальной вибрации</t>
  </si>
  <si>
    <t>Приобретение услуг по измерению шума (в помещении)</t>
  </si>
  <si>
    <t>Приобретение услуг по исследованию овощей, фруктов, инвентаря, тары, оборудования на наличие возбудителей иерсиниозов</t>
  </si>
  <si>
    <t>Приобретение услуг по исследованию грызунов на наличие возбудителей иерсиниозов</t>
  </si>
  <si>
    <t>Приобретение услуг по микробиологическому исследованию смывов на БГКП (экспресс-метод)</t>
  </si>
  <si>
    <t>Приобретение услуг по исследованию поверхностной радиоактивной загрязненности</t>
  </si>
  <si>
    <t>Приобретение услуг по проведению аттестации</t>
  </si>
  <si>
    <t>Приобретение оборудования для непрерывного учета и регистрации температурного режима</t>
  </si>
  <si>
    <t>Приобретение оборудования и материалов для производственного контроля</t>
  </si>
  <si>
    <t>Приобретение услуг по проведению лабораторного контроля за уровнем содержания вредных веществ в почве</t>
  </si>
  <si>
    <t>Приобретение услуг по проведению лабораторного контроля за уровнем содержания вредных веществ в отходах</t>
  </si>
  <si>
    <t>Приобретение услуг по проведению мониторинга состояния почвы, контроля за уровнем содержания вредных веществ в почве</t>
  </si>
  <si>
    <t>Приобретение услуг по проведению контроля и мониторинга выбросов в атмосферу (за год)</t>
  </si>
  <si>
    <t>Приобретение услуг по проведению лабораторного контроля фракционного, морфологического и химического состава отходов</t>
  </si>
  <si>
    <t>Приобретение услуг лабораторной проверки растительного масла</t>
  </si>
  <si>
    <t>Приобретение услуг по проведению лабораторных исследований качества атмосферного воздуха населенных пунктов в зоне влияния выбросов объекта (за год)</t>
  </si>
  <si>
    <t>Приобретение услуг по микробиологическому и паразитологическому исследованию смывов (экспресс-метод)</t>
  </si>
  <si>
    <t>Приобретение услуг по лабораторному контролю за влиянием хозяйственной деятельности на качество подземных вод</t>
  </si>
  <si>
    <t>Приобретение оборудования и материалов для выполнения лабораторного контроля за соответствием полимерных материалов, предназначенных для использования в строительстве, гигиеническим требованиям и выполнением санитарных правил</t>
  </si>
  <si>
    <t>Приобретение оборудования и материалов для измерения температуры и относительной влажности</t>
  </si>
  <si>
    <t>Приобретение услуг по измерению вибрации на рабочем месте</t>
  </si>
  <si>
    <t>Приобретение услуг по измерению содержания витамина С в готовом блюде</t>
  </si>
  <si>
    <t>Приобретение оборудования и материалов для лабораторного исследования калорийности, выхода блюд и соответствия химического состава блюд рецептуре</t>
  </si>
  <si>
    <t>Приобретение оборудования и материалов для контроля надежности блокирующих устройств системы перекрытия окна для выхода излучений</t>
  </si>
  <si>
    <t>Приобретение универсальной индикаторной бумаги для контроля остаточных количеств моюще-дезинфицирующих средств</t>
  </si>
  <si>
    <t>Приобретение услуг по проверке качества молока на плотность, кислотность, степень чистоты, жир</t>
  </si>
  <si>
    <t>Приобретение услуг по проверке качества молока по бактериальной обсемененности</t>
  </si>
  <si>
    <t>Приобретение услуг по лабораторной проверке качества смазочно- охлаждающих жидкостей и технологических смазок</t>
  </si>
  <si>
    <t>Приобретение услуг по лабораторной проверке биостойкости смазочно-охлаждающих жидкостей</t>
  </si>
  <si>
    <t>Приобретение услуг по бактериологическому исследованию кожи на отсутствие плазмокоагулирующего стафилококка</t>
  </si>
  <si>
    <t>Приобретение термографа</t>
  </si>
  <si>
    <t>Приобретение оборудования для обследования срезов соединительных швов банок</t>
  </si>
  <si>
    <t>Приобретение оборудования для непрерывного контроля за содержанием вредных веществ в воздухе рабочей зоны</t>
  </si>
  <si>
    <t>Приобретение услуг по проведению дозиметрических измерений на установке с НРИ (низкоэнергетическим рентгеновским излучением)</t>
  </si>
  <si>
    <t>Приобретение услуг по проведению измерения содержания в воздухе оксидов азота и оксида углерода</t>
  </si>
  <si>
    <t>Общественное питание</t>
  </si>
  <si>
    <t>Проведение двухразового ежедневного осмотра сотрудника на предмет наличия внешне проявляемых заболеваний по договору с медицинским учреждением без применения специальных средств и анализов</t>
  </si>
  <si>
    <t>Информация и информатизация</t>
  </si>
  <si>
    <t>Настройка рабочего места для КЭП</t>
  </si>
  <si>
    <t>Сфера</t>
  </si>
  <si>
    <t xml:space="preserve">Наименование совокупности (группы) объекта расчета, </t>
  </si>
  <si>
    <t>Количество</t>
  </si>
  <si>
    <t>Столовые, закусочные - количество,единиц</t>
  </si>
  <si>
    <t>Столовые, закусочные - посадочных мест, единиц</t>
  </si>
  <si>
    <t>Столовые, закусочные - площадь зала обслуживания, кв. м</t>
  </si>
  <si>
    <t>Столовые, находящиеся на балансе учебных заведений, организаций, промышленных предприятий - количество,единиц</t>
  </si>
  <si>
    <t>Столовые, находящиеся на балансе учебных заведений, организаций, промышленных предприятий - посадочных мест, единиц</t>
  </si>
  <si>
    <t>Столовые, находящиеся на балансе учебных заведений, организаций, промышленных предприятий - площадь зала обслуживания, кв. м</t>
  </si>
  <si>
    <t>Рестораны, кафе, бары - количество,единиц</t>
  </si>
  <si>
    <t>Рестораны, кафе, бары - посадочных мест, единиц</t>
  </si>
  <si>
    <t>Рестораны, кафе, бары - площадь зала обслуживания, кв. м</t>
  </si>
  <si>
    <t>Число туроператоров, внесенных в течение года в единый реестр туроператоров</t>
  </si>
  <si>
    <t>неизвестно</t>
  </si>
  <si>
    <t>Пример: из калькулятора издержек regulation.gov.ru</t>
  </si>
  <si>
    <t>Число туроператоров, сведения о которых в едином реестре туроператоров были изменены (общее число уведомлений об изменении сведений о туроператоре)</t>
  </si>
  <si>
    <t>Число туроператоров, получивших финансовое обеспечение на новый срок</t>
  </si>
  <si>
    <t>Число гостиниц и иных средств размещения, принадлежащих (эксплуатируемых) СПД, которым присвоена категория</t>
  </si>
  <si>
    <t>Число туроператоров, применяющих упрощенную систему налогообложения, получивших финансовое обеспечение на новый срок</t>
  </si>
  <si>
    <t>Транспорт</t>
  </si>
  <si>
    <t>Число организации осуществляющих деятельность по перевозкам воздушным транспортом пассажиров и грузов</t>
  </si>
  <si>
    <t>Форма предоставления сведений для проведения категорирования объектов транспортной инфраструктуры автомобильного транспорта</t>
  </si>
  <si>
    <t>Сопроводительное письмо по объекту транспортной инфраструктуры</t>
  </si>
  <si>
    <t>Заверенная подписью и печатью субъекта транспортной инфраструктуры ксерокопия свидетельства о государственной регистрации права на здание и территорию объекта транспортной инфраструктуры</t>
  </si>
  <si>
    <t>Выписка из кадастрового паспорта на земельный участок объекта транспортной инфраструктуры</t>
  </si>
  <si>
    <t>Заверенные подписью и печатью субъекта транспортной инфраструктуры ксерокопии паспортов транспортных средств</t>
  </si>
  <si>
    <t>Передача сведений по перевозкам пассажиров, включая персональные данные о пассажирах и персонале (экипаже) транспортных средств</t>
  </si>
  <si>
    <t>Заявление о регистрации</t>
  </si>
  <si>
    <t>Заключение органа государственного транспортного контроля</t>
  </si>
  <si>
    <t>Заявления владельца остановочного пункта о выдаче данного заключения</t>
  </si>
  <si>
    <t>Копирование документов</t>
  </si>
  <si>
    <t>Реализация планов обеспечения транспортной безопасности объектов транспортной инфраструктуры или транспортных средств</t>
  </si>
  <si>
    <t>Аттестация исполнительных руководителей и специалистов проводится во всех организациях и (или) их подразделениях, осуществляющих перевозку пассажиров и грузов</t>
  </si>
  <si>
    <t>Форма предоставления сведений для проведения категорирования транспортных средств (автобусов) автомобильного транспорта</t>
  </si>
  <si>
    <t>Сопроводительное письмо по транспортному средству</t>
  </si>
  <si>
    <t>Отчет об осуществлении регулярных перевозок</t>
  </si>
  <si>
    <t>Оценка уязвимости объектов транспортной инфраструктуры и транспортных средств</t>
  </si>
  <si>
    <t>Разработка планов обеспечения транспортной безопасности объектов транспортной инфраструктуры и  транспортных средств</t>
  </si>
  <si>
    <t>Группы действий для типовых операций</t>
  </si>
  <si>
    <t>Размещение информации об организации, продукции, работах, услугах</t>
  </si>
  <si>
    <t>Среднемесячная номинальная начисленная заработная плата работающих в экономике, в целом по РФ (рубль)</t>
  </si>
  <si>
    <t>Источник: Росстат (ЕМИСС), дата обращения 30.07.2023</t>
  </si>
  <si>
    <t/>
  </si>
  <si>
    <t>2023</t>
  </si>
  <si>
    <t>Количество рабочих дней в Производственном календаре</t>
  </si>
  <si>
    <t>январь</t>
  </si>
  <si>
    <t>февраль</t>
  </si>
  <si>
    <t>март</t>
  </si>
  <si>
    <t>апрель</t>
  </si>
  <si>
    <t>В среднем по всем видам экономической деятельности</t>
  </si>
  <si>
    <t>СЕЛЬСКОЕ, ЛЕСНОЕ ХОЗЯЙСТВО, ОХОТА, РЫБОЛОВСТВО И РЫБОВОДСТВО</t>
  </si>
  <si>
    <t xml:space="preserve">    Растениеводство и животноводство, охота и предоставление соответствующих услуг в этих областях</t>
  </si>
  <si>
    <t xml:space="preserve">        Выращивание однолетних культур</t>
  </si>
  <si>
    <t xml:space="preserve">        Выращивание многолетних культур</t>
  </si>
  <si>
    <t xml:space="preserve">        Выращивание рассады</t>
  </si>
  <si>
    <t xml:space="preserve">        Животноводство</t>
  </si>
  <si>
    <t xml:space="preserve">        Смешанное сельское хозяйство</t>
  </si>
  <si>
    <t xml:space="preserve">        Деятельность вспомогательная в области производства сельскохозяйственных культур и послеуборочной обработки сельхозпродукции</t>
  </si>
  <si>
    <t xml:space="preserve">        Охота, отлов и отстрел диких животных, включая предоставление услуг в этих областях</t>
  </si>
  <si>
    <t xml:space="preserve">    Лесоводство и лесозаготовки</t>
  </si>
  <si>
    <t xml:space="preserve">        Лесоводство и прочая лесохозяйственная деятельность</t>
  </si>
  <si>
    <t xml:space="preserve">        Лесозаготовки</t>
  </si>
  <si>
    <t xml:space="preserve">        Сбор и заготовка пищевых лесных ресурсов, недревесных лесных ресурсов и лекарственных растений</t>
  </si>
  <si>
    <t xml:space="preserve">        Предоставление услуг в области лесоводства и лесозаготовок</t>
  </si>
  <si>
    <t xml:space="preserve">    Рыболовство и рыбоводство</t>
  </si>
  <si>
    <t xml:space="preserve">        Рыболовство</t>
  </si>
  <si>
    <t xml:space="preserve">        Рыбоводство</t>
  </si>
  <si>
    <t>ДОБЫЧА ПОЛЕЗНЫХ ИСКОПАЕМЫХ</t>
  </si>
  <si>
    <t xml:space="preserve">    Добыча угля</t>
  </si>
  <si>
    <t xml:space="preserve">        Добыча и обогащение угля и антрацита</t>
  </si>
  <si>
    <t xml:space="preserve">        Добыча и обогащение бурого угля (лигнита)</t>
  </si>
  <si>
    <t xml:space="preserve">    Добыча нефти и природного газа</t>
  </si>
  <si>
    <t xml:space="preserve">        Добыча нефти и нефтяного (попутного) газа</t>
  </si>
  <si>
    <t xml:space="preserve">        Добыча природного газа и газового конденсата</t>
  </si>
  <si>
    <t xml:space="preserve">    Добыча металлических руд</t>
  </si>
  <si>
    <t xml:space="preserve">        Добыча и обогащение железных руд</t>
  </si>
  <si>
    <t xml:space="preserve">        Добыча руд цветных металлов</t>
  </si>
  <si>
    <t xml:space="preserve">    Добыча прочих полезных ископаемых</t>
  </si>
  <si>
    <t xml:space="preserve">        Добыча камня, песка и глины</t>
  </si>
  <si>
    <t xml:space="preserve">        Добыча полезных ископаемых, не включенных в другие группировки</t>
  </si>
  <si>
    <t xml:space="preserve">    Предоставление услуг в области добычи полезных ископаемых</t>
  </si>
  <si>
    <t xml:space="preserve">        Предоставление услуг в области добычи нефти и природного газа</t>
  </si>
  <si>
    <t xml:space="preserve">        Предоставление услуг в других областях добычи полезных ископаемых</t>
  </si>
  <si>
    <t>ОБРАБАТЫВАЮЩИЕ ПРОИЗВОДСТВА</t>
  </si>
  <si>
    <t xml:space="preserve">    Производство пищевых продуктов</t>
  </si>
  <si>
    <t xml:space="preserve">        Переработка и консервирование мяса и мясной пищевой продукции</t>
  </si>
  <si>
    <t xml:space="preserve">        Переработка и консервирование рыбы, ракообразных и моллюсков</t>
  </si>
  <si>
    <t xml:space="preserve">        Переработка и консервирование фруктов и овощей</t>
  </si>
  <si>
    <t xml:space="preserve">        Производство растительных и животных масел и жиров</t>
  </si>
  <si>
    <t xml:space="preserve">        Производство молочной продукции</t>
  </si>
  <si>
    <t xml:space="preserve">        Производство продуктов мукомольной и крупяной промышленности, крахмала и крахмалосодержащих продуктов</t>
  </si>
  <si>
    <t xml:space="preserve">        Производство хлебобулочных и мучных кондитерских изделий</t>
  </si>
  <si>
    <t xml:space="preserve">        Производство прочих пищевых продуктов</t>
  </si>
  <si>
    <t xml:space="preserve">        Производство готовых кормов для животных</t>
  </si>
  <si>
    <t xml:space="preserve">    Производство напитков</t>
  </si>
  <si>
    <t xml:space="preserve">        Производство напитков</t>
  </si>
  <si>
    <t xml:space="preserve">    Производство табачных изделий</t>
  </si>
  <si>
    <t xml:space="preserve">        Производство табачных изделий</t>
  </si>
  <si>
    <t xml:space="preserve">    Производство текстильных изделий</t>
  </si>
  <si>
    <t xml:space="preserve">        Подготовка и прядение текстильных волокон</t>
  </si>
  <si>
    <t xml:space="preserve">        Производство текстильных тканей</t>
  </si>
  <si>
    <t xml:space="preserve">        Отделка тканей и текстильных изделий</t>
  </si>
  <si>
    <t xml:space="preserve">        Производство прочих текстильных изделий</t>
  </si>
  <si>
    <t xml:space="preserve">    Производство одежды</t>
  </si>
  <si>
    <t xml:space="preserve">        Производство одежды, кроме одежды из меха</t>
  </si>
  <si>
    <t xml:space="preserve">        Производство меховых изделий</t>
  </si>
  <si>
    <t xml:space="preserve">        Производство вязаных и трикотажных изделий одежды</t>
  </si>
  <si>
    <t xml:space="preserve">    Производство кожи и изделий из кожи</t>
  </si>
  <si>
    <t xml:space="preserve">        Дубление и отделка кожи, производство чемоданов, сумок, шорно-седельных изделий из кожи; выделка и крашение меха</t>
  </si>
  <si>
    <t xml:space="preserve">        Производство обуви</t>
  </si>
  <si>
    <t xml:space="preserve">    Обработка древесины и производство изделий из дерева и пробки, кроме мебели, производство изделий из соломки и материалов для плетения</t>
  </si>
  <si>
    <t xml:space="preserve">        Распиловка и строгание древесины</t>
  </si>
  <si>
    <t xml:space="preserve">        Производство изделий из дерева, пробки, соломки и материалов для плетения</t>
  </si>
  <si>
    <t xml:space="preserve">    Производство бумаги и бумажных изделий</t>
  </si>
  <si>
    <t xml:space="preserve">        Производство целлюлозы, древесной массы, бумаги и картона</t>
  </si>
  <si>
    <t xml:space="preserve">        Производство изделий из бумаги и картона</t>
  </si>
  <si>
    <t xml:space="preserve">    Деятельность полиграфическая и копирование носителей информации</t>
  </si>
  <si>
    <t xml:space="preserve">        Деятельность полиграфическая и предоставление услуг в этой области</t>
  </si>
  <si>
    <t xml:space="preserve">        Копирование записанных носителей информации</t>
  </si>
  <si>
    <t xml:space="preserve">    Производство кокса и нефтепродуктов</t>
  </si>
  <si>
    <t xml:space="preserve">        Производство кокса</t>
  </si>
  <si>
    <t xml:space="preserve">        Производство нефтепродуктов</t>
  </si>
  <si>
    <t xml:space="preserve">        Агломерация угля, антрацита и бурого угля (лигнита) и производство термоуглей</t>
  </si>
  <si>
    <t xml:space="preserve">    Производство химических веществ и химических продуктов</t>
  </si>
  <si>
    <t xml:space="preserve">        Производство основных химических веществ, удобрений и азотных соединений, пластмасс и синтетического каучука в первичных формах</t>
  </si>
  <si>
    <t xml:space="preserve">        Производство пестицидов и прочих агрохимических продуктов</t>
  </si>
  <si>
    <t xml:space="preserve">        Производство красок, лаков и аналогичных материалов для нанесения покрытий, полиграфических красок и мастик</t>
  </si>
  <si>
    <t xml:space="preserve">        Производство мыла и моющих, чистящих и полирующих средств; парфюмерных и косметических средств</t>
  </si>
  <si>
    <t xml:space="preserve">        Производство прочих химических продуктов</t>
  </si>
  <si>
    <t xml:space="preserve">        Производство химических волокон</t>
  </si>
  <si>
    <t xml:space="preserve">    Производство лекарственных средств и материалов, применяемых в медицинских целях и ветеринарии</t>
  </si>
  <si>
    <t xml:space="preserve">        Производство фармацевтических субстанций</t>
  </si>
  <si>
    <t xml:space="preserve">        Производство лекарственных препаратов и материалов, применяемых в медицинских целях и ветеринарии</t>
  </si>
  <si>
    <t xml:space="preserve">    Производство резиновых и пластмассовых изделий</t>
  </si>
  <si>
    <t xml:space="preserve">        Производство резиновых изделий</t>
  </si>
  <si>
    <t xml:space="preserve">        Производство изделий из пластмасс</t>
  </si>
  <si>
    <t xml:space="preserve">    Производство прочей неметаллической минеральной продукции</t>
  </si>
  <si>
    <t xml:space="preserve">        Производство стекла и изделий из стекла</t>
  </si>
  <si>
    <t xml:space="preserve">        Производство огнеупорных изделий</t>
  </si>
  <si>
    <t xml:space="preserve">        Производство строительных керамических материалов</t>
  </si>
  <si>
    <t xml:space="preserve">        Производство прочих фарфоровых и керамических изделий</t>
  </si>
  <si>
    <t xml:space="preserve">        Производство цемента, извести и гипса</t>
  </si>
  <si>
    <t xml:space="preserve">        Производство изделий из бетона, цемента и гипса</t>
  </si>
  <si>
    <t xml:space="preserve">        Резка, обработка и отделка камня</t>
  </si>
  <si>
    <t xml:space="preserve">        Производство абразивных и неметаллических минеральных изделий, не включенных в другие группировки</t>
  </si>
  <si>
    <t xml:space="preserve">    Производство металлургическое</t>
  </si>
  <si>
    <t xml:space="preserve">        Производство чугуна, стали и ферросплавов</t>
  </si>
  <si>
    <t xml:space="preserve">        Производство стальных труб, полых профилей и фитингов</t>
  </si>
  <si>
    <t xml:space="preserve">        Производство прочих стальных изделий первичной обработкой</t>
  </si>
  <si>
    <t xml:space="preserve">        Производство основных драгоценных металлов и прочих цветных металлов, производство ядерного топлива</t>
  </si>
  <si>
    <t xml:space="preserve">        Литье металлов</t>
  </si>
  <si>
    <t xml:space="preserve">    Производство готовых металлических изделий, кроме машин и оборудования</t>
  </si>
  <si>
    <t xml:space="preserve">        Производство строительных металлических конструкций и изделий</t>
  </si>
  <si>
    <t xml:space="preserve">        Производство металлических цистерн, резервуаров и прочих емкостей</t>
  </si>
  <si>
    <t xml:space="preserve">        Производство паровых котлов, кроме котлов центрального отопления</t>
  </si>
  <si>
    <t xml:space="preserve">        Ковка, прессование, штамповка и профилирование; изготовление изделий методом порошковой металлургии</t>
  </si>
  <si>
    <t xml:space="preserve">        Обработка металлов и нанесение покрытий на металлы; механическая обработка металлов</t>
  </si>
  <si>
    <t xml:space="preserve">        Производство ножевых изделий и столовых приборов, инструментов и универсальных скобяных изделий</t>
  </si>
  <si>
    <t xml:space="preserve">    Производство компьютеров, электронных и оптических изделий</t>
  </si>
  <si>
    <t xml:space="preserve">        Производство элементов электронной аппаратуры и печатных схем (плат)</t>
  </si>
  <si>
    <t xml:space="preserve">        Производство компьютеров и периферийного оборудования</t>
  </si>
  <si>
    <t xml:space="preserve">        Производство коммуникационного оборудования</t>
  </si>
  <si>
    <t xml:space="preserve">        Производство бытовой электроники</t>
  </si>
  <si>
    <t xml:space="preserve">        Производство контрольно-измерительных и навигационных приборов и аппаратов; производство часов</t>
  </si>
  <si>
    <t xml:space="preserve">        Производство облучающего и электротерапевтического оборудования, применяемого в медицинских целях</t>
  </si>
  <si>
    <t xml:space="preserve">        Производство оптических приборов, фото- и кинооборудования</t>
  </si>
  <si>
    <t xml:space="preserve">        Производство незаписанных магнитных и оптических технических носителей информации</t>
  </si>
  <si>
    <t xml:space="preserve">    Производство электрического оборудования</t>
  </si>
  <si>
    <t xml:space="preserve">        Производство электродвигателей, генераторов, трансформаторов и распределительных устройств, а также контрольно-измерительной аппаратуры</t>
  </si>
  <si>
    <t xml:space="preserve">        Производство электрических аккумуляторов и аккумуляторных батарей</t>
  </si>
  <si>
    <t xml:space="preserve">        Производство кабелей и кабельной арматуры</t>
  </si>
  <si>
    <t xml:space="preserve">        Производство электрических ламп и осветительного оборудования</t>
  </si>
  <si>
    <t xml:space="preserve">        Производство бытовых приборов</t>
  </si>
  <si>
    <t xml:space="preserve">        Производство прочего электрического оборудования</t>
  </si>
  <si>
    <t xml:space="preserve">    Производство машин и оборудования, не включенных в другие группировки</t>
  </si>
  <si>
    <t xml:space="preserve">        Производство машин и оборудования общего назначения</t>
  </si>
  <si>
    <t xml:space="preserve">        Производство прочих машин и оборудования общего назначения</t>
  </si>
  <si>
    <t xml:space="preserve">        Производство машин и оборудования для сельского и лесного хозяйства</t>
  </si>
  <si>
    <t xml:space="preserve">        Производство станков, машин и оборудования для обработки металлов и прочих твердых материалов</t>
  </si>
  <si>
    <t xml:space="preserve">        Производство прочих машин специального назначения</t>
  </si>
  <si>
    <t xml:space="preserve">    Производство автотранспортных средств, прицепов и полуприцепов</t>
  </si>
  <si>
    <t xml:space="preserve">        Производство автотранспортных средств</t>
  </si>
  <si>
    <t xml:space="preserve">        Производство кузовов для автотранспортных средств; производство прицепов и полуприцепов</t>
  </si>
  <si>
    <t xml:space="preserve">        Производство комплектующих и принадлежностей для автотранспортных средств</t>
  </si>
  <si>
    <t xml:space="preserve">    Производство прочих транспортных средств и оборудования</t>
  </si>
  <si>
    <t xml:space="preserve">        Производство железнодорожных локомотивов и подвижного состава</t>
  </si>
  <si>
    <t xml:space="preserve">        Производство летательных аппаратов, включая космические, и соответствующего оборудования</t>
  </si>
  <si>
    <t xml:space="preserve">        Производство транспортных средств и оборудования, не включенных в другие группировки</t>
  </si>
  <si>
    <t xml:space="preserve">    Производство мебели</t>
  </si>
  <si>
    <t xml:space="preserve">        Производство мебели</t>
  </si>
  <si>
    <t xml:space="preserve">    Производство прочих готовых изделий</t>
  </si>
  <si>
    <t xml:space="preserve">        Производство ювелирных изделий, бижутерии и подобных товаров</t>
  </si>
  <si>
    <t xml:space="preserve">        Производство музыкальных инструментов</t>
  </si>
  <si>
    <t xml:space="preserve">        Производство спортивных товаров</t>
  </si>
  <si>
    <t xml:space="preserve">        Производство игр и игрушек</t>
  </si>
  <si>
    <t xml:space="preserve">        Производство медицинских инструментов и оборудования</t>
  </si>
  <si>
    <t xml:space="preserve">        Производство изделий, не включенных в другие группировки</t>
  </si>
  <si>
    <t xml:space="preserve">    Ремонт и монтаж машин и оборудования</t>
  </si>
  <si>
    <t xml:space="preserve">        Ремонт и монтаж металлических изделий, машин и оборудования</t>
  </si>
  <si>
    <t xml:space="preserve">        Монтаж промышленных машин и оборудования</t>
  </si>
  <si>
    <t>ОБЕСПЕЧЕНИЕ ЭЛЕКТРИЧЕСКОЙ ЭНЕРГИЕЙ, ГАЗОМ И ПАРОМ; КОНДИЦИОНИРОВАНИЕ ВОЗДУХА</t>
  </si>
  <si>
    <t xml:space="preserve">    Обеспечение электрической энергией, газом и паром; кондиционирование воздуха</t>
  </si>
  <si>
    <t xml:space="preserve">        Производство, передача и распределение электроэнергии</t>
  </si>
  <si>
    <t xml:space="preserve">        Производство и распределение газообразного топлива</t>
  </si>
  <si>
    <t xml:space="preserve">        Производство, передача и распределение пара и горячей воды; кондиционирование воздуха</t>
  </si>
  <si>
    <t>ВОДОСНАБЖЕНИЕ; ВОДООТВЕДЕНИЕ, ОРГАНИЗАЦИЯ СБОРА И УТИЛИЗАЦИИ ОТХОДОВ, ДЕЯТЕЛЬНОСТЬ ПО ЛИКВИДАЦИИ ЗАГРЯЗНЕНИЙ</t>
  </si>
  <si>
    <t xml:space="preserve">    Забор, очистка и распределение воды</t>
  </si>
  <si>
    <t xml:space="preserve">        Забор, очистка и распределение воды</t>
  </si>
  <si>
    <t xml:space="preserve">    Сбор и обработка сточных вод</t>
  </si>
  <si>
    <t xml:space="preserve">        Сбор и обработка сточных вод</t>
  </si>
  <si>
    <t xml:space="preserve">    Сбор, обработка и утилизация отходов; обработка вторичного сырья</t>
  </si>
  <si>
    <t xml:space="preserve">        Сбор отходов</t>
  </si>
  <si>
    <t xml:space="preserve">        Обработка и утилизация отходов</t>
  </si>
  <si>
    <t xml:space="preserve">        Деятельность по обработке вторичного сырья</t>
  </si>
  <si>
    <t xml:space="preserve">    Предоставление услуг в области ликвидации последствий загрязнений и прочих услуг, связанных с удалением отходов</t>
  </si>
  <si>
    <t xml:space="preserve">        Предоставление услуг в области ликвидации последствий загрязнений и прочих услуг, связанных с удалением отходов</t>
  </si>
  <si>
    <t>СТРОИТЕЛЬСТВО</t>
  </si>
  <si>
    <t xml:space="preserve">    Строительство зданий</t>
  </si>
  <si>
    <t xml:space="preserve">        Разработка строительных проектов</t>
  </si>
  <si>
    <t xml:space="preserve">        Строительство жилых и нежилых зданий</t>
  </si>
  <si>
    <t xml:space="preserve">    Строительство инженерных сооружений</t>
  </si>
  <si>
    <t xml:space="preserve">        Строительство автомобильных и железных дорог</t>
  </si>
  <si>
    <t xml:space="preserve">        Строительство инженерных коммуникаций</t>
  </si>
  <si>
    <t xml:space="preserve">        Строительство прочих инженерных сооружений</t>
  </si>
  <si>
    <t xml:space="preserve">    Работы строительные специализированные</t>
  </si>
  <si>
    <t xml:space="preserve">        Разборка и снос зданий, подготовка строительного участка</t>
  </si>
  <si>
    <t xml:space="preserve">        Производство электромонтажных, санитарно-технических и прочих строительно-монтажных работ</t>
  </si>
  <si>
    <t xml:space="preserve">        Работы строительные отделочные</t>
  </si>
  <si>
    <t xml:space="preserve">        Работы строительные специализированные прочие</t>
  </si>
  <si>
    <t>ТОРГОВЛЯ ОПТОВАЯ И РОЗНИЧНАЯ; РЕМОНТ АВТОТРАНСПОРТНЫХ СРЕДСТВ И МОТОЦИКЛОВ</t>
  </si>
  <si>
    <t xml:space="preserve">    Торговля оптовая и розничная автотранспортными средствами и мотоциклами и их ремонт</t>
  </si>
  <si>
    <t xml:space="preserve">        Торговля автотранспортными средствами</t>
  </si>
  <si>
    <t xml:space="preserve">        Техническое обслуживание и ремонт автотранспортных средств</t>
  </si>
  <si>
    <t xml:space="preserve">        Торговля автомобильными деталями, узлами и принадлежностями</t>
  </si>
  <si>
    <t xml:space="preserve">        Торговля мотоциклами, их деталями, узлами и принадлежностями; техническое обслуживание и ремонт мотоциклов</t>
  </si>
  <si>
    <t xml:space="preserve">    Торговля оптовая, кроме оптовой торговли автотранспортными средствами и мотоциклами</t>
  </si>
  <si>
    <t xml:space="preserve">        Торговля оптовая за вознаграждение или на договорной основе</t>
  </si>
  <si>
    <t xml:space="preserve">        Торговля оптовая сельскохозяйственным сырьем и живыми животными</t>
  </si>
  <si>
    <t xml:space="preserve">        Торговля оптовая пищевыми продуктами, напитками и табачными изделиями</t>
  </si>
  <si>
    <t xml:space="preserve">        Торговля оптовая непродовольственными потребительскими товарами</t>
  </si>
  <si>
    <t xml:space="preserve">        Торговля оптовая информационным и коммуникационным оборудованием</t>
  </si>
  <si>
    <t xml:space="preserve">        Торговля оптовая прочими машинами, оборудованием и принадлежностями</t>
  </si>
  <si>
    <t xml:space="preserve">        Торговля оптовая специализированная прочая</t>
  </si>
  <si>
    <t xml:space="preserve">        Торговля оптовая неспециализированная</t>
  </si>
  <si>
    <t xml:space="preserve">    Торговля розничная, кроме торговли автотранспортными средствами и мотоциклами</t>
  </si>
  <si>
    <t xml:space="preserve">        Торговля розничная в неспециализированных магазинах</t>
  </si>
  <si>
    <t xml:space="preserve">        Торговля розничная пищевыми продуктами, напитками и табачными изделиями в специализированных магазинах</t>
  </si>
  <si>
    <t xml:space="preserve">        Торговля розничная моторным топливом в специализированных магазинах</t>
  </si>
  <si>
    <t xml:space="preserve">        Торговля розничная информационным и коммуникационным оборудованием в специализированных магазинах</t>
  </si>
  <si>
    <t xml:space="preserve">        Торговля розничная прочими бытовыми изделиями в специализированных магазинах</t>
  </si>
  <si>
    <t xml:space="preserve">        Торговля розничная товарами культурно-развлекательного назначения в специализированных магазинах</t>
  </si>
  <si>
    <t xml:space="preserve">        Торговля розничная прочими товарами в специализированных магазинах</t>
  </si>
  <si>
    <t xml:space="preserve">        Торговля розничная в нестационарных торговых объектах и на рынках</t>
  </si>
  <si>
    <t xml:space="preserve">        Торговля розничная вне магазинов, палаток, рынков</t>
  </si>
  <si>
    <t>ТРАНСПОРТИРОВКА И ХРАНЕНИЕ</t>
  </si>
  <si>
    <t xml:space="preserve">    Деятельность сухопутного и трубопроводного транспорта</t>
  </si>
  <si>
    <t xml:space="preserve">        Деятельность железнодорожного транспорта: междугородные и международные пассажирские перевозки</t>
  </si>
  <si>
    <t xml:space="preserve">        Деятельность железнодорожного транспорта: грузовые перевозки</t>
  </si>
  <si>
    <t xml:space="preserve">        Деятельность прочего сухопутного пассажирского транспорта</t>
  </si>
  <si>
    <t xml:space="preserve">        Деятельность автомобильного грузового транспорта и услуги по перевозкам</t>
  </si>
  <si>
    <t xml:space="preserve">        Деятельность трубопроводного транспорта</t>
  </si>
  <si>
    <t xml:space="preserve">    Деятельность водного транспорта</t>
  </si>
  <si>
    <t xml:space="preserve">        Деятельность морского пассажирского транспорта</t>
  </si>
  <si>
    <t xml:space="preserve">        Деятельность морского грузового транспорта</t>
  </si>
  <si>
    <t xml:space="preserve">        Деятельность внутреннего водного пассажирского транспорта</t>
  </si>
  <si>
    <t xml:space="preserve">        Деятельность внутреннего водного грузового транспорта</t>
  </si>
  <si>
    <t xml:space="preserve">    Деятельность воздушного и космического транспорта</t>
  </si>
  <si>
    <t xml:space="preserve">        Деятельность пассажирского воздушного транспорта</t>
  </si>
  <si>
    <t xml:space="preserve">        Деятельность грузового воздушного транспорта и космического транспорта</t>
  </si>
  <si>
    <t xml:space="preserve">    Складское хозяйство и вспомогательная транспортная деятельность</t>
  </si>
  <si>
    <t xml:space="preserve">        Деятельность по складированию и хранению</t>
  </si>
  <si>
    <t xml:space="preserve">        Деятельность транспортная вспомогательная</t>
  </si>
  <si>
    <t xml:space="preserve">    Деятельность почтовой связи и курьерская деятельность</t>
  </si>
  <si>
    <t xml:space="preserve">        Деятельность почтовой связи общего пользования</t>
  </si>
  <si>
    <t xml:space="preserve">        Деятельность почтовой связи прочая и курьерская деятельность</t>
  </si>
  <si>
    <t>ДЕЯТЕЛЬНОСТЬ ГОСТИНИЦ И ПРЕДПРИЯТИЙ ОБЩЕСТВЕННОГО ПИТАНИЯ</t>
  </si>
  <si>
    <t xml:space="preserve">    Деятельность по предоставлению мест для временного проживания</t>
  </si>
  <si>
    <t xml:space="preserve">        Деятельность гостиниц и прочих мест для временного проживания</t>
  </si>
  <si>
    <t xml:space="preserve">        Деятельность по предоставлению мест для краткосрочного проживания</t>
  </si>
  <si>
    <t xml:space="preserve">        Деятельность по предоставлению мест для временного проживания в кемпингах, жилых автофургонах и туристических автоприцепах</t>
  </si>
  <si>
    <t xml:space="preserve">        Деятельность по предоставлению прочих мест для временного проживания</t>
  </si>
  <si>
    <t xml:space="preserve">    Деятельность по предоставлению продуктов питания и напитков</t>
  </si>
  <si>
    <t xml:space="preserve">        Деятельность ресторанов и услуги по доставке продуктов питания</t>
  </si>
  <si>
    <t xml:space="preserve">        Деятельность предприятий общественного питания по обслуживанию торжественных мероприятий и прочим видам организации питания</t>
  </si>
  <si>
    <t xml:space="preserve">        Подача напитков</t>
  </si>
  <si>
    <t>ДЕЯТЕЛЬНОСТЬ В ОБЛАСТИ ИНФОРМАЦИИ И СВЯЗИ</t>
  </si>
  <si>
    <t xml:space="preserve">    Деятельность издательская</t>
  </si>
  <si>
    <t xml:space="preserve">        Издание книг, периодических публикаций и другие виды издательской деятельности</t>
  </si>
  <si>
    <t xml:space="preserve">        Издание программного обеспечения</t>
  </si>
  <si>
    <t xml:space="preserve">    Производство кинофильмов, видеофильмов и телевизионных программ, издание звукозаписей и нот</t>
  </si>
  <si>
    <t xml:space="preserve">        Производство кинофильмов, видеофильмов и телевизионных программ</t>
  </si>
  <si>
    <t xml:space="preserve">        Деятельность в области звукозаписи и издания музыкальных произведений</t>
  </si>
  <si>
    <t xml:space="preserve">    Деятельность в области телевизионного и радиовещания</t>
  </si>
  <si>
    <t xml:space="preserve">        Деятельность в области радиовещания</t>
  </si>
  <si>
    <t xml:space="preserve">        Деятельность в области телевизионного вещания</t>
  </si>
  <si>
    <t xml:space="preserve">    Деятельность в сфере телекоммуникаций</t>
  </si>
  <si>
    <t xml:space="preserve">        Деятельность в области связи на базе проводных технологий</t>
  </si>
  <si>
    <t xml:space="preserve">        Деятельность в области связи на базе беспроводных технологий</t>
  </si>
  <si>
    <t xml:space="preserve">        Деятельность в области спутниковой связи</t>
  </si>
  <si>
    <t xml:space="preserve">        Деятельность в области телекоммуникаций прочая</t>
  </si>
  <si>
    <t xml:space="preserve">    Разработка компьютерного программного обеспечения, консультационные услуги в данной области и другие сопутствующие услуги</t>
  </si>
  <si>
    <t xml:space="preserve">        Разработка компьютерного программного обеспечения, консультационные услуги в данной области и другие сопутствующие услуги</t>
  </si>
  <si>
    <t xml:space="preserve">    Деятельность в области информационных технологий</t>
  </si>
  <si>
    <t xml:space="preserve">        Деятельность по обработке данных, предоставление услуг по размещению информации, деятельность порталов в информационно-коммуникационной сети Интернет</t>
  </si>
  <si>
    <t xml:space="preserve">        Деятельность в области информационных услуг прочая</t>
  </si>
  <si>
    <t>ДЕЯТЕЛЬНОСТЬ ФИНАНСОВАЯ И СТРАХОВАЯ</t>
  </si>
  <si>
    <t xml:space="preserve">    Деятельность по предоставлению финансовых услуг, кроме услуг по страхованию и пенсионному обеспечению</t>
  </si>
  <si>
    <t xml:space="preserve">        Денежное посредничество</t>
  </si>
  <si>
    <t xml:space="preserve">        Деятельность холдинговых компаний</t>
  </si>
  <si>
    <t xml:space="preserve">        Деятельность инвестиционных фондов и аналогичных финансовых организаций</t>
  </si>
  <si>
    <t xml:space="preserve">        Деятельность по предоставлению прочих финансовых услуг, кроме услуг по страхованию и пенсионному обеспечению</t>
  </si>
  <si>
    <t xml:space="preserve">    Страхование, перестрахование, деятельность негосударственных пенсионных фондов, кроме обязательного социального обеспечения</t>
  </si>
  <si>
    <t xml:space="preserve">        Страхование</t>
  </si>
  <si>
    <t xml:space="preserve">        Перестрахование</t>
  </si>
  <si>
    <t xml:space="preserve">        Деятельность негосударственных пенсионных фондов</t>
  </si>
  <si>
    <t xml:space="preserve">    Деятельность вспомогательная в сфере финансовых услуг и страхования</t>
  </si>
  <si>
    <t xml:space="preserve">        Деятельность вспомогательная в сфере финансовых услуг, кроме страхования и пенсионного обеспечения</t>
  </si>
  <si>
    <t xml:space="preserve">        Деятельность вспомогательная в сфере страхования и пенсионного обеспечения</t>
  </si>
  <si>
    <t xml:space="preserve">        Деятельность по управлению фондами</t>
  </si>
  <si>
    <t>ДЕЯТЕЛЬНОСТЬ ПО ОПЕРАЦИЯМ С НЕДВИЖИМЫМ ИМУЩЕСТВОМ</t>
  </si>
  <si>
    <t xml:space="preserve">    Операции с недвижимым имуществом</t>
  </si>
  <si>
    <t xml:space="preserve">        Покупка и продажа собственного недвижимого имущества</t>
  </si>
  <si>
    <t xml:space="preserve">        Аренда и управление собственным или арендованным недвижимым имуществом</t>
  </si>
  <si>
    <t xml:space="preserve">        Операции с недвижимым имуществом за вознаграждение или на договорной основе</t>
  </si>
  <si>
    <t>ДЕЯТЕЛЬНОСТЬ ПРОФЕССИОНАЛЬНАЯ, НАУЧНАЯ И ТЕХНИЧЕСКАЯ</t>
  </si>
  <si>
    <t xml:space="preserve">    Деятельность в области права и бухгалтерского учета</t>
  </si>
  <si>
    <t xml:space="preserve">        Деятельность в области права</t>
  </si>
  <si>
    <t xml:space="preserve">        Деятельность по оказанию услуг в области бухгалтерского учета, по проведению финансового аудита, по налоговому консультированию</t>
  </si>
  <si>
    <t xml:space="preserve">    Деятельность головных офисов; консультирование по вопросам управления</t>
  </si>
  <si>
    <t xml:space="preserve">        Деятельность головных офисов</t>
  </si>
  <si>
    <t xml:space="preserve">        Консультирование по вопросам управления</t>
  </si>
  <si>
    <t xml:space="preserve">    Деятельность в области архитектуры и инженерно-технического проектирования; технических испытаний, исследований и анализа</t>
  </si>
  <si>
    <t xml:space="preserve">        Деятельность в области архитектуры, инженерных изысканий и предоставление технических консультаций в этих областях</t>
  </si>
  <si>
    <t xml:space="preserve">        Технические испытания, исследования, анализ и сертификация</t>
  </si>
  <si>
    <t xml:space="preserve">    Научные исследования и разработки</t>
  </si>
  <si>
    <t xml:space="preserve">        Научные исследования и разработки в области естественных и технических наук</t>
  </si>
  <si>
    <t xml:space="preserve">        Научные исследования и разработки в области общественных и гуманитарных наук</t>
  </si>
  <si>
    <t xml:space="preserve">    Деятельность рекламная и исследование конъюнктуры рынка</t>
  </si>
  <si>
    <t xml:space="preserve">        Деятельность рекламная</t>
  </si>
  <si>
    <t xml:space="preserve">        Исследование конъюнктуры рынка и изучение общественного мнения</t>
  </si>
  <si>
    <t xml:space="preserve">    Деятельность профессиональная научная и техническая прочая</t>
  </si>
  <si>
    <t xml:space="preserve">        Деятельность специализированная в области дизайна</t>
  </si>
  <si>
    <t xml:space="preserve">        Деятельность в области фотографии</t>
  </si>
  <si>
    <t xml:space="preserve">        Деятельность по письменному и устному переводу</t>
  </si>
  <si>
    <t xml:space="preserve">        Деятельность профессиональная, научная и техническая прочая, не включенная в другие группировки</t>
  </si>
  <si>
    <t xml:space="preserve">    Деятельность ветеринарная</t>
  </si>
  <si>
    <t xml:space="preserve">        Деятельность ветеринарная</t>
  </si>
  <si>
    <t>ДЕЯТЕЛЬНОСТЬ АДМИНИСТРАТИВНАЯ И СОПУТСТВУЮЩИЕ ДОПОЛНИТЕЛЬНЫЕ УСЛУГИ</t>
  </si>
  <si>
    <t xml:space="preserve">    Аренда и лизинг</t>
  </si>
  <si>
    <t xml:space="preserve">        Аренда и лизинг автотранспортных средств</t>
  </si>
  <si>
    <t xml:space="preserve">        Прокат и аренда предметов личного пользования и хозяйственно-бытового назначения</t>
  </si>
  <si>
    <t xml:space="preserve">        Аренда и лизинг прочих машин и оборудования и материальных средств</t>
  </si>
  <si>
    <t xml:space="preserve">        Аренда интеллектуальной собственности и подобной продукции, кроме авторских прав</t>
  </si>
  <si>
    <t xml:space="preserve">    Деятельность по трудоустройству и подбору персонала</t>
  </si>
  <si>
    <t xml:space="preserve">        Деятельность агентств по подбору персонала</t>
  </si>
  <si>
    <t xml:space="preserve">        Деятельность агентств по временному трудоустройству</t>
  </si>
  <si>
    <t xml:space="preserve">        Деятельность по подбору персонала прочая</t>
  </si>
  <si>
    <t xml:space="preserve">    Деятельность туристических агентств и прочих организаций, предоставляющих услуги в сфере туризма</t>
  </si>
  <si>
    <t xml:space="preserve">        Деятельность туристических агентств и туроператоров</t>
  </si>
  <si>
    <t xml:space="preserve">        Услуги по бронированию прочие и сопутствующая деятельность</t>
  </si>
  <si>
    <t xml:space="preserve">    Деятельность по обеспечению безопасности и проведению расследований</t>
  </si>
  <si>
    <t xml:space="preserve">        Деятельность охранных служб, в том числе частных</t>
  </si>
  <si>
    <t xml:space="preserve">        Деятельность систем обеспечения безопасности</t>
  </si>
  <si>
    <t xml:space="preserve">        Деятельность по расследованию</t>
  </si>
  <si>
    <t xml:space="preserve">    Деятельность по обслуживанию зданий и территорий</t>
  </si>
  <si>
    <t xml:space="preserve">        Деятельность по комплексному обслуживанию помещений</t>
  </si>
  <si>
    <t xml:space="preserve">        Деятельность по чистке и уборке</t>
  </si>
  <si>
    <t xml:space="preserve">        Предоставление услуг по благоустройству ландшафта</t>
  </si>
  <si>
    <t xml:space="preserve">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t>
  </si>
  <si>
    <t xml:space="preserve">        Деятельность административно-хозяйственная и вспомогательная деятельность по обеспечению функционирования организации</t>
  </si>
  <si>
    <t xml:space="preserve">        Деятельность центров обработки телефонных вызовов</t>
  </si>
  <si>
    <t xml:space="preserve">        Деятельность по организации конференций и выставок</t>
  </si>
  <si>
    <t xml:space="preserve">        Деятельность по предоставлению вспомогательных услуг для бизнеса, не включенная в другие группировки</t>
  </si>
  <si>
    <t>ГОСУДАРСТВЕННОЕ УПРАВЛЕНИЕ И ОБЕСПЕЧЕНИЕ ВОЕННОЙ БЕЗОПАСНОСТИ; СОЦИАЛЬНОЕ ОБЕСПЕЧЕНИЕ</t>
  </si>
  <si>
    <t xml:space="preserve">    Деятельность органов государственного управления по обеспечению военной безопасности, обязательному социальному обеспечению</t>
  </si>
  <si>
    <t xml:space="preserve">        Деятельность органов государственного управления и местного самоуправления по вопросам общего и социально-экономического характера</t>
  </si>
  <si>
    <t xml:space="preserve">        Предоставление государственных услуг обществу</t>
  </si>
  <si>
    <t xml:space="preserve">        Деятельность в области обязательного социального обеспечения</t>
  </si>
  <si>
    <t>ОБРАЗОВАНИЕ</t>
  </si>
  <si>
    <t xml:space="preserve">    Образование</t>
  </si>
  <si>
    <t xml:space="preserve">        Образование общее</t>
  </si>
  <si>
    <t xml:space="preserve">        Образование профессиональное</t>
  </si>
  <si>
    <t xml:space="preserve">        Обучение профессиональное</t>
  </si>
  <si>
    <t xml:space="preserve">        Образование дополнительное</t>
  </si>
  <si>
    <t>ДЕЯТЕЛЬНОСТЬ В ОБЛАСТИ ЗДРАВООХРАНЕНИЯ И СОЦИАЛЬНЫХ УСЛУГ</t>
  </si>
  <si>
    <t xml:space="preserve">    Деятельность в области здравоохранения</t>
  </si>
  <si>
    <t xml:space="preserve">        Деятельность больничных организаций</t>
  </si>
  <si>
    <t xml:space="preserve">        Медицинская и стоматологическая практика</t>
  </si>
  <si>
    <t xml:space="preserve">        Деятельность в области медицины прочая</t>
  </si>
  <si>
    <t xml:space="preserve">    Деятельность по уходу с обеспечением проживания</t>
  </si>
  <si>
    <t xml:space="preserve">        Деятельность по медицинскому уходу с обеспечением проживания</t>
  </si>
  <si>
    <t xml:space="preserve">        Деятельность по оказанию помощи на дому для лиц с ограниченными возможностями развития, душевнобольным и наркозависимым</t>
  </si>
  <si>
    <t xml:space="preserve">        Деятельность по уходу за престарелыми и инвалидами с обеспечением проживания</t>
  </si>
  <si>
    <t xml:space="preserve">        Деятельность по уходу с обеспечением проживания прочая</t>
  </si>
  <si>
    <t xml:space="preserve">    Предоставление социальных услуг без обеспечения проживания</t>
  </si>
  <si>
    <t xml:space="preserve">        Предоставление социальных услуг без обеспечения проживания престарелым и инвалидам</t>
  </si>
  <si>
    <t xml:space="preserve">        Предоставление прочих социальных услуг без обеспечения проживания</t>
  </si>
  <si>
    <t>ДЕЯТЕЛЬНОСТЬ В ОБЛАСТИ КУЛЬТУРЫ, СПОРТА, ОРГАНИЗАЦИИ ДОСУГА И РАЗВЛЕЧЕНИЙ</t>
  </si>
  <si>
    <t xml:space="preserve">    Деятельность творческая, деятельность в области искусства и организации развлечений</t>
  </si>
  <si>
    <t xml:space="preserve">        Деятельность творческая, деятельность в области искусства и организации развлечений</t>
  </si>
  <si>
    <t xml:space="preserve">    Деятельность библиотек, архивов, музеев и прочих объектов культуры</t>
  </si>
  <si>
    <t xml:space="preserve">        Деятельность библиотек, архивов, музеев и прочих объектов культуры</t>
  </si>
  <si>
    <t xml:space="preserve">    Деятельность по организации и проведению азартных игр и заключению пари, по организации и проведению лотерей</t>
  </si>
  <si>
    <t xml:space="preserve">        Деятельность по организации и проведению азартных игр и заключения пари</t>
  </si>
  <si>
    <t xml:space="preserve">        Деятельность по организации и проведению лотерей</t>
  </si>
  <si>
    <t xml:space="preserve">    Деятельность в области спорта, отдыха и развлечений</t>
  </si>
  <si>
    <t xml:space="preserve">        Деятельность в области спорта</t>
  </si>
  <si>
    <t xml:space="preserve">        Деятельность в области отдыха и развлечений</t>
  </si>
  <si>
    <t>ПРЕДОСТАВЛЕНИЕ ПРОЧИХ ВИДОВ УСЛУГ</t>
  </si>
  <si>
    <t xml:space="preserve">    Деятельность общественных и прочих некоммерческих организаций</t>
  </si>
  <si>
    <t xml:space="preserve">        Деятельность предпринимательских и профессиональных членских некоммерческих организаций</t>
  </si>
  <si>
    <t xml:space="preserve">        Деятельность профессиональных союзов</t>
  </si>
  <si>
    <t xml:space="preserve">        Деятельность прочих общественных и некоммерческих организаций</t>
  </si>
  <si>
    <t xml:space="preserve">    Ремонт компьютеров, предметов личного потребления и хозяйственно-бытового назначения</t>
  </si>
  <si>
    <t xml:space="preserve">        Ремонт компьютеров и коммуникационного оборудования</t>
  </si>
  <si>
    <t xml:space="preserve">        Ремонт предметов личного потребления и хозяйственно-бытового назначения</t>
  </si>
  <si>
    <t xml:space="preserve">    Деятельность по предоставлению прочих персональных услуг</t>
  </si>
  <si>
    <t xml:space="preserve">        Деятельность по предоставлению прочих персональных услуг</t>
  </si>
  <si>
    <t>Защита прав потребителей</t>
  </si>
  <si>
    <t>Источник: справочник "Масштаб" калькулятора издержек regulation.gov.ru</t>
  </si>
  <si>
    <t>Государственный и муниципальный заказ</t>
  </si>
  <si>
    <t>Социальное страхование</t>
  </si>
  <si>
    <t>Труд и занятость</t>
  </si>
  <si>
    <t>Сфера внутренних дел, миграции, контроля за оборотом наркотических средств</t>
  </si>
  <si>
    <t>Культура, туризм, авторское право</t>
  </si>
  <si>
    <t>Природные ресурсы</t>
  </si>
  <si>
    <t>Промышленность, оборонная промышленность</t>
  </si>
  <si>
    <t>Градостроительная деятельность и ЖКХ</t>
  </si>
  <si>
    <t>Налоги, финансовая деятельность</t>
  </si>
  <si>
    <t>Лицензирование, аккредитация</t>
  </si>
  <si>
    <t>Антимонопольное регулирование</t>
  </si>
  <si>
    <t>Обязательная маркировка</t>
  </si>
  <si>
    <t>Основные справочники</t>
  </si>
  <si>
    <t>Выгрузка таблицы расчетов издержек в Сводный отчет об ОРВ</t>
  </si>
  <si>
    <t>Шаг 1</t>
  </si>
  <si>
    <t>Шаг 2</t>
  </si>
  <si>
    <t>Шаг 3</t>
  </si>
  <si>
    <t>Шаг 4</t>
  </si>
  <si>
    <t>Шаг 5</t>
  </si>
  <si>
    <t>Отдельные вспомогательные таблицы для дополнительных расчетов</t>
  </si>
  <si>
    <t xml:space="preserve">Расчет альтернативных издержек </t>
  </si>
  <si>
    <t xml:space="preserve">Расчет содержательных издержек </t>
  </si>
  <si>
    <t xml:space="preserve">Расчет информационных издержек </t>
  </si>
  <si>
    <t>Основные исходные данные</t>
  </si>
  <si>
    <t>С0</t>
  </si>
  <si>
    <t>Стандартные затраты рабочего времени на выполнение типовых операций (действий)</t>
  </si>
  <si>
    <t xml:space="preserve">Стандартная стоимость часа работы персонала в разрезе видов деятельности </t>
  </si>
  <si>
    <t>Нормативный срок службы отдельных видов оборудования</t>
  </si>
  <si>
    <t>Средние цены отдельных видов оборудования, применяемые для оценки исполнения обязательных требований</t>
  </si>
  <si>
    <t>Стандартные значения частоты обслуживания отдельных видов оборудования</t>
  </si>
  <si>
    <t>Средние цены на отдельные работ (услуг), применяемые для оценки исполнения обязательных требований</t>
  </si>
  <si>
    <t>Количественный состав отдельных групп объектов расчета, применяемый для оценки исполнения обязательных требований</t>
  </si>
  <si>
    <t>Издержки соблюдения отдельных требований Роспотребнадзора</t>
  </si>
  <si>
    <t>Плакат "Противопожарный инструктаж"</t>
  </si>
  <si>
    <t>Журнал учёта инструктажей по пожарной безопасности</t>
  </si>
  <si>
    <t>4. Проведение противопожарных инструктажей</t>
  </si>
  <si>
    <t>Технический регламент о требованиях пожарной безопасности</t>
  </si>
  <si>
    <t>Наглядные и учебные пособия по пожарной безопасности</t>
  </si>
  <si>
    <t>3. Поставка пособий и материалов</t>
  </si>
  <si>
    <t>Буклет-памятка «Противопожарный инструктаж»</t>
  </si>
  <si>
    <t>2. Поиск поставщика пособий и материалов</t>
  </si>
  <si>
    <t>1 субъект</t>
  </si>
  <si>
    <t>1. Обучение сотрудника</t>
  </si>
  <si>
    <t>Проведение противопожарных инструктажей (вводный, первичный, повторный)</t>
  </si>
  <si>
    <t>Знак Направляющая стрелка</t>
  </si>
  <si>
    <t>Знак Направляющая стрелка под углом 45°</t>
  </si>
  <si>
    <t>Знак Пожарный кран</t>
  </si>
  <si>
    <t>Знак Пожарная лестница</t>
  </si>
  <si>
    <t>Знак Огнетушитель</t>
  </si>
  <si>
    <t>Знак Телефон для использования при пожаре</t>
  </si>
  <si>
    <t>Знак Место размещения нескольких средств противопожарной защиты</t>
  </si>
  <si>
    <t>Знак Пожарный водоисточник</t>
  </si>
  <si>
    <t>Знак Пожарный сухотрубный стояк</t>
  </si>
  <si>
    <t>4. Распределение знаков по местам</t>
  </si>
  <si>
    <t>Знак Пожарный гидрант</t>
  </si>
  <si>
    <t>3. Поставка знаков</t>
  </si>
  <si>
    <t>Знак Кнопка включения установок (систем) пожарной автоматики</t>
  </si>
  <si>
    <t>2. Поиск поставщика знаков</t>
  </si>
  <si>
    <t>Знак Звуковой оповещатель пожарной тревоги</t>
  </si>
  <si>
    <t>Знаки пожарной безопасности</t>
  </si>
  <si>
    <t>1. Определение типа и количества знаков</t>
  </si>
  <si>
    <t>2. Размещение информации</t>
  </si>
  <si>
    <t>1. Составление и оформление информационной таблички</t>
  </si>
  <si>
    <t>2. Размещение инструкции</t>
  </si>
  <si>
    <t>1. Составление инструкции</t>
  </si>
  <si>
    <t>1. Составление перечня помещений, защищаемых установками противопожарной защиты, с указанием линии связи пожарной сигнализации</t>
  </si>
  <si>
    <t>Размещение пожарной информации</t>
  </si>
  <si>
    <t>Система двусторонней связи зон оповещения с пожарным постом-диспетчерской</t>
  </si>
  <si>
    <t>4. Подключение и настройка средств связи</t>
  </si>
  <si>
    <t>3. Поставка средств связи</t>
  </si>
  <si>
    <t>2. Поиск поставщика средств связи</t>
  </si>
  <si>
    <t>СОУЭ</t>
  </si>
  <si>
    <t>1. Определение типа средств связи</t>
  </si>
  <si>
    <t>Средства связи с помещением пожарного поста в безопасных зонах для маломобильных групп населения.</t>
  </si>
  <si>
    <t>4. Распределение средств защиты по местам</t>
  </si>
  <si>
    <t>3. Поставка средств защиты</t>
  </si>
  <si>
    <t>Контейнер для хранения самоспасателей</t>
  </si>
  <si>
    <t>2. Поиск поставщика средств защиты</t>
  </si>
  <si>
    <t>Средства индивидуальной защиты органов дыхания фильтрующего типа</t>
  </si>
  <si>
    <t>1. Определение типа и количества средств защиты</t>
  </si>
  <si>
    <t>Средства индивидуальной защиты в безопасных зонах для маломобильных групп населения.</t>
  </si>
  <si>
    <t>3. Поставка фонарей</t>
  </si>
  <si>
    <t>2. Поиск поставщика</t>
  </si>
  <si>
    <t>Фонари пожарные ФПС</t>
  </si>
  <si>
    <t>Комплектация пожарного поста</t>
  </si>
  <si>
    <t>1. Определение типа фонаря</t>
  </si>
  <si>
    <t>Обеспечение спецсредствами (фонарь пожарный)</t>
  </si>
  <si>
    <t>Песок</t>
  </si>
  <si>
    <t>Ящик для песка 0,5 куб. метра</t>
  </si>
  <si>
    <t>Лопата совковая</t>
  </si>
  <si>
    <t>Покрывало для изоляции очага возгорания</t>
  </si>
  <si>
    <t>Комплект для резки электропроводов: ножницы, диэлектрические боты и коврик</t>
  </si>
  <si>
    <t>Крюк с деревянной рукояткой</t>
  </si>
  <si>
    <t>Комплектация пожарного щита ЩП-Е</t>
  </si>
  <si>
    <t>Лопата штыковая</t>
  </si>
  <si>
    <t xml:space="preserve">Ведро </t>
  </si>
  <si>
    <t xml:space="preserve">Лом </t>
  </si>
  <si>
    <t>Комплектация пожарного щита ЩП-В</t>
  </si>
  <si>
    <t>Емкость для хранения воды объемом 0,2 куб. метра</t>
  </si>
  <si>
    <t>Ведро (2 шт)</t>
  </si>
  <si>
    <t>3. Закупка и установка оборудования</t>
  </si>
  <si>
    <t>Багор</t>
  </si>
  <si>
    <t>1 щит пожарный</t>
  </si>
  <si>
    <t>1. Определение типа и количества инструмента и инвентаря</t>
  </si>
  <si>
    <t>Комплектация пожарных щитов пожарным инструментом и инвентарем</t>
  </si>
  <si>
    <t>Установка огнетушителей по месту</t>
  </si>
  <si>
    <t>Приемка и оплата приобретения</t>
  </si>
  <si>
    <t>Приобретение огнетушителей</t>
  </si>
  <si>
    <t xml:space="preserve">ОП-4 (предприятия с УАП - 15%) </t>
  </si>
  <si>
    <t>Поиск поставщика</t>
  </si>
  <si>
    <t>ОП-4 (предприятия без УАП - 85%)</t>
  </si>
  <si>
    <t>огнетушители</t>
  </si>
  <si>
    <t>Определение типа и кол-ва огнетушителей</t>
  </si>
  <si>
    <t>Обеспечение предприятий общепита огнетушителями</t>
  </si>
  <si>
    <t>Обеспечение предприятий общепита средствами пожаротушения</t>
  </si>
  <si>
    <t>Выполнение требований по пожарной безопасности</t>
  </si>
  <si>
    <t>Организация приобретения работ, услуг</t>
  </si>
  <si>
    <t xml:space="preserve">Организация приобретения товаров </t>
  </si>
  <si>
    <t xml:space="preserve">Организация приобретения товаров,  работ, услуг для выполнения обязательных требований </t>
  </si>
  <si>
    <t>Операции приобретения (шаблон)</t>
  </si>
  <si>
    <t>828800 - численность работников общепита в 2021г.</t>
  </si>
  <si>
    <t>1 сотрудник</t>
  </si>
  <si>
    <t>190199- численность субъектов</t>
  </si>
  <si>
    <t>2. Заключение договора на оказание услуги (90%)</t>
  </si>
  <si>
    <t>Цена ежедн.осмотра 1 сотр.=0,15. Средн.число сотр. На 1 ОР= 828800/190199=4,36  4,36*0,15=0,654 - цена осмотра за 1 день на 1 ОР</t>
  </si>
  <si>
    <t>Проведение ежедневного медосмотра</t>
  </si>
  <si>
    <t>1. Поиск поставщика услуги без тендерной процедуры</t>
  </si>
  <si>
    <t>2. Найм штатного сотрудника (5%)</t>
  </si>
  <si>
    <t>Медработн. Принят на 0,5 ставки</t>
  </si>
  <si>
    <t>1. Открытие вакансии (Подача заявки в ЦЗН)</t>
  </si>
  <si>
    <t>Росстат</t>
  </si>
  <si>
    <t>1ч-ч: 43593р.*12мес/1973час</t>
  </si>
  <si>
    <t>Курс 36 часов</t>
  </si>
  <si>
    <t>1. Обучение сотрудника (5%)</t>
  </si>
  <si>
    <t xml:space="preserve">Организация проведения медосмотра </t>
  </si>
  <si>
    <t>Санитарные мероприятия</t>
  </si>
  <si>
    <t>Проведение инструктажей</t>
  </si>
  <si>
    <t>Действия с персоналом</t>
  </si>
  <si>
    <t>0,166</t>
  </si>
  <si>
    <t>3. Разработка плана</t>
  </si>
  <si>
    <t>2. Адаптация положений нормы к реальным условиям</t>
  </si>
  <si>
    <t>1. Изучение нормативных документов</t>
  </si>
  <si>
    <r>
      <rPr>
        <b/>
        <sz val="11"/>
        <color theme="1"/>
        <rFont val="Calibri"/>
        <family val="2"/>
        <charset val="204"/>
        <scheme val="minor"/>
      </rPr>
      <t>Разработка плана действий</t>
    </r>
    <r>
      <rPr>
        <sz val="11"/>
        <color theme="1"/>
        <rFont val="Calibri"/>
        <family val="2"/>
        <charset val="204"/>
        <scheme val="minor"/>
      </rPr>
      <t xml:space="preserve"> (для территории с застройкой)</t>
    </r>
  </si>
  <si>
    <r>
      <rPr>
        <b/>
        <sz val="11"/>
        <color theme="1"/>
        <rFont val="Calibri"/>
        <family val="2"/>
        <charset val="204"/>
        <scheme val="minor"/>
      </rPr>
      <t>Разработка планов действий</t>
    </r>
    <r>
      <rPr>
        <sz val="11"/>
        <color theme="1"/>
        <rFont val="Calibri"/>
        <family val="2"/>
        <charset val="204"/>
        <scheme val="minor"/>
      </rPr>
      <t xml:space="preserve"> (для здания)</t>
    </r>
  </si>
  <si>
    <t>1. Изучение нормативных документов.</t>
  </si>
  <si>
    <r>
      <rPr>
        <b/>
        <sz val="11"/>
        <color theme="1"/>
        <rFont val="Calibri"/>
        <family val="2"/>
        <charset val="204"/>
        <scheme val="minor"/>
      </rPr>
      <t>Разработка планов</t>
    </r>
    <r>
      <rPr>
        <sz val="11"/>
        <color theme="1"/>
        <rFont val="Calibri"/>
        <family val="2"/>
        <charset val="204"/>
        <scheme val="minor"/>
      </rPr>
      <t xml:space="preserve"> действий(для помещения)</t>
    </r>
  </si>
  <si>
    <t>Разработка планов действий в месте размещения субъекта</t>
  </si>
  <si>
    <t>3. Разработка инструкции</t>
  </si>
  <si>
    <t>1. Изучение нормативных документов (более 11 листов)</t>
  </si>
  <si>
    <r>
      <rPr>
        <b/>
        <sz val="11"/>
        <color theme="1"/>
        <rFont val="Calibri"/>
        <family val="2"/>
        <charset val="204"/>
        <scheme val="minor"/>
      </rPr>
      <t>Разработка инструкции</t>
    </r>
    <r>
      <rPr>
        <sz val="11"/>
        <color theme="1"/>
        <rFont val="Calibri"/>
        <family val="2"/>
        <charset val="204"/>
        <scheme val="minor"/>
      </rPr>
      <t xml:space="preserve"> (сложная норма)</t>
    </r>
  </si>
  <si>
    <t>1. Изучение нормативных документов (6-10 листов)</t>
  </si>
  <si>
    <r>
      <rPr>
        <b/>
        <sz val="11"/>
        <color theme="1"/>
        <rFont val="Calibri"/>
        <family val="2"/>
        <charset val="204"/>
        <scheme val="minor"/>
      </rPr>
      <t>Разработка инструкции</t>
    </r>
    <r>
      <rPr>
        <sz val="11"/>
        <color theme="1"/>
        <rFont val="Calibri"/>
        <family val="2"/>
        <charset val="204"/>
        <scheme val="minor"/>
      </rPr>
      <t xml:space="preserve"> (норма средней сложности)</t>
    </r>
  </si>
  <si>
    <t>1. Изучение нормативных документов (3-5 листов)</t>
  </si>
  <si>
    <r>
      <rPr>
        <b/>
        <sz val="11"/>
        <color theme="1"/>
        <rFont val="Calibri"/>
        <family val="2"/>
        <charset val="204"/>
        <scheme val="minor"/>
      </rPr>
      <t>Разработка инструкции</t>
    </r>
    <r>
      <rPr>
        <sz val="11"/>
        <color theme="1"/>
        <rFont val="Calibri"/>
        <family val="2"/>
        <charset val="204"/>
        <scheme val="minor"/>
      </rPr>
      <t xml:space="preserve"> (простая норма)</t>
    </r>
  </si>
  <si>
    <t>Разработка инструкций</t>
  </si>
  <si>
    <t>3. Разработка программы</t>
  </si>
  <si>
    <r>
      <rPr>
        <b/>
        <sz val="11"/>
        <color theme="1"/>
        <rFont val="Calibri"/>
        <family val="2"/>
        <charset val="204"/>
        <scheme val="minor"/>
      </rPr>
      <t>Разработка программы</t>
    </r>
    <r>
      <rPr>
        <sz val="11"/>
        <color theme="1"/>
        <rFont val="Calibri"/>
        <family val="2"/>
        <charset val="204"/>
        <scheme val="minor"/>
      </rPr>
      <t xml:space="preserve"> (сложная норма)</t>
    </r>
  </si>
  <si>
    <r>
      <rPr>
        <b/>
        <sz val="11"/>
        <color theme="1"/>
        <rFont val="Calibri"/>
        <family val="2"/>
        <charset val="204"/>
        <scheme val="minor"/>
      </rPr>
      <t>Разработка программы</t>
    </r>
    <r>
      <rPr>
        <sz val="11"/>
        <color theme="1"/>
        <rFont val="Calibri"/>
        <family val="2"/>
        <charset val="204"/>
        <scheme val="minor"/>
      </rPr>
      <t xml:space="preserve"> (норма средней сложности)</t>
    </r>
  </si>
  <si>
    <r>
      <rPr>
        <b/>
        <sz val="11"/>
        <color theme="1"/>
        <rFont val="Calibri"/>
        <family val="2"/>
        <charset val="204"/>
        <scheme val="minor"/>
      </rPr>
      <t>Разработка программы</t>
    </r>
    <r>
      <rPr>
        <sz val="11"/>
        <color theme="1"/>
        <rFont val="Calibri"/>
        <family val="2"/>
        <charset val="204"/>
        <scheme val="minor"/>
      </rPr>
      <t xml:space="preserve"> (простая норма)</t>
    </r>
  </si>
  <si>
    <t>Разработка внутренних регламентов</t>
  </si>
  <si>
    <t>Организация и сопровождение проверок контрольно-надзорными органами</t>
  </si>
  <si>
    <t>Организация подтверждения соответствия параметров деятельности СПД</t>
  </si>
  <si>
    <t>Организация подтверждения соответствия работ, услуг</t>
  </si>
  <si>
    <t>Организация подтверждения соответствия продукции</t>
  </si>
  <si>
    <t>Получение налогового вычета</t>
  </si>
  <si>
    <t>Получение субсидии</t>
  </si>
  <si>
    <t>Получение специального разрешения</t>
  </si>
  <si>
    <t>Получение лицензии</t>
  </si>
  <si>
    <t>Получение разрешений, мер поддержки</t>
  </si>
  <si>
    <t>Лицензии, подтверждение соответствия, проверки</t>
  </si>
  <si>
    <t>Размещение информации на продукции (маркировка продукции)</t>
  </si>
  <si>
    <t>3.Печать информации (типография)</t>
  </si>
  <si>
    <t>Печать меню</t>
  </si>
  <si>
    <t>2. Верстка меню</t>
  </si>
  <si>
    <t>Печать информ.</t>
  </si>
  <si>
    <t>2. Подготовка обновления информации к размещению</t>
  </si>
  <si>
    <t>Вёрстка меню</t>
  </si>
  <si>
    <t>1.Подготовка информации к размещению</t>
  </si>
  <si>
    <t>Размещение информации на объектах предприятия (общепит - рестораны, кафе, бары)</t>
  </si>
  <si>
    <t>4. Печать информации (принтер)</t>
  </si>
  <si>
    <t>3.Верстка меню (10%)</t>
  </si>
  <si>
    <t>Верстка меню (10% ОР)</t>
  </si>
  <si>
    <t>Стойка для меню</t>
  </si>
  <si>
    <t>1. Подготовка информации к размещению</t>
  </si>
  <si>
    <t>Размещение информации на объектах предприятия (общепит - столовые, закусочные)</t>
  </si>
  <si>
    <t>Для всех предприятий, включенных в оценку</t>
  </si>
  <si>
    <t xml:space="preserve">Размещение информации на объектах предприятия общепита </t>
  </si>
  <si>
    <t>Размещение информации в электронных сетях и СМИ</t>
  </si>
  <si>
    <t>Размещение информации</t>
  </si>
  <si>
    <t>2. Внесение информации в журнал</t>
  </si>
  <si>
    <t>1. Получение и систематизация информации</t>
  </si>
  <si>
    <r>
      <t xml:space="preserve">Ведение журнала </t>
    </r>
    <r>
      <rPr>
        <b/>
        <sz val="11"/>
        <color theme="1"/>
        <rFont val="Calibri"/>
        <family val="2"/>
        <charset val="204"/>
        <scheme val="minor"/>
      </rPr>
      <t>ежегодного</t>
    </r>
    <r>
      <rPr>
        <sz val="11"/>
        <color theme="1"/>
        <rFont val="Calibri"/>
        <family val="2"/>
        <charset val="204"/>
        <scheme val="minor"/>
      </rPr>
      <t xml:space="preserve"> учёта информации (более 20 полей)</t>
    </r>
  </si>
  <si>
    <r>
      <t xml:space="preserve">Ведение журнала </t>
    </r>
    <r>
      <rPr>
        <b/>
        <sz val="11"/>
        <color theme="1"/>
        <rFont val="Calibri"/>
        <family val="2"/>
        <charset val="204"/>
        <scheme val="minor"/>
      </rPr>
      <t>ежегодного</t>
    </r>
    <r>
      <rPr>
        <sz val="11"/>
        <color theme="1"/>
        <rFont val="Calibri"/>
        <family val="2"/>
        <charset val="204"/>
        <scheme val="minor"/>
      </rPr>
      <t xml:space="preserve"> учёта информации (11-20 полей)</t>
    </r>
  </si>
  <si>
    <r>
      <t xml:space="preserve">Ведение журнала </t>
    </r>
    <r>
      <rPr>
        <b/>
        <sz val="11"/>
        <color theme="1"/>
        <rFont val="Calibri"/>
        <family val="2"/>
        <charset val="204"/>
        <scheme val="minor"/>
      </rPr>
      <t>ежегодного</t>
    </r>
    <r>
      <rPr>
        <sz val="11"/>
        <color theme="1"/>
        <rFont val="Calibri"/>
        <family val="2"/>
        <charset val="204"/>
        <scheme val="minor"/>
      </rPr>
      <t xml:space="preserve"> учёта информации (1-10 полей)</t>
    </r>
  </si>
  <si>
    <r>
      <t xml:space="preserve">Ведение журнала </t>
    </r>
    <r>
      <rPr>
        <b/>
        <sz val="11"/>
        <color theme="1"/>
        <rFont val="Calibri"/>
        <family val="2"/>
        <charset val="204"/>
        <scheme val="minor"/>
      </rPr>
      <t>полугодового</t>
    </r>
    <r>
      <rPr>
        <sz val="11"/>
        <color theme="1"/>
        <rFont val="Calibri"/>
        <family val="2"/>
        <charset val="204"/>
        <scheme val="minor"/>
      </rPr>
      <t xml:space="preserve"> учёта информации (более 20 полей)</t>
    </r>
  </si>
  <si>
    <r>
      <t xml:space="preserve">Ведение журнала </t>
    </r>
    <r>
      <rPr>
        <b/>
        <sz val="11"/>
        <color theme="1"/>
        <rFont val="Calibri"/>
        <family val="2"/>
        <charset val="204"/>
        <scheme val="minor"/>
      </rPr>
      <t>полугодового</t>
    </r>
    <r>
      <rPr>
        <sz val="11"/>
        <color theme="1"/>
        <rFont val="Calibri"/>
        <family val="2"/>
        <charset val="204"/>
        <scheme val="minor"/>
      </rPr>
      <t xml:space="preserve"> учёта информации (11-20 полей)</t>
    </r>
  </si>
  <si>
    <r>
      <t xml:space="preserve">Ведение журнала </t>
    </r>
    <r>
      <rPr>
        <b/>
        <sz val="11"/>
        <color theme="1"/>
        <rFont val="Calibri"/>
        <family val="2"/>
        <charset val="204"/>
        <scheme val="minor"/>
      </rPr>
      <t>полугодового</t>
    </r>
    <r>
      <rPr>
        <sz val="11"/>
        <color theme="1"/>
        <rFont val="Calibri"/>
        <family val="2"/>
        <charset val="204"/>
        <scheme val="minor"/>
      </rPr>
      <t xml:space="preserve"> учёта информации (1-10 полей)</t>
    </r>
  </si>
  <si>
    <r>
      <t xml:space="preserve">Ведение журнала </t>
    </r>
    <r>
      <rPr>
        <b/>
        <sz val="11"/>
        <color theme="1"/>
        <rFont val="Calibri"/>
        <family val="2"/>
        <charset val="204"/>
        <scheme val="minor"/>
      </rPr>
      <t>ежемесячного</t>
    </r>
    <r>
      <rPr>
        <sz val="11"/>
        <color theme="1"/>
        <rFont val="Calibri"/>
        <family val="2"/>
        <charset val="204"/>
        <scheme val="minor"/>
      </rPr>
      <t xml:space="preserve"> учёта информации (более 20 полей)</t>
    </r>
  </si>
  <si>
    <r>
      <t xml:space="preserve">Ведение журнала </t>
    </r>
    <r>
      <rPr>
        <b/>
        <sz val="11"/>
        <color theme="1"/>
        <rFont val="Calibri"/>
        <family val="2"/>
        <charset val="204"/>
        <scheme val="minor"/>
      </rPr>
      <t>ежемесячного</t>
    </r>
    <r>
      <rPr>
        <sz val="11"/>
        <color theme="1"/>
        <rFont val="Calibri"/>
        <family val="2"/>
        <charset val="204"/>
        <scheme val="minor"/>
      </rPr>
      <t xml:space="preserve"> учёта информации (11-20 полей)</t>
    </r>
  </si>
  <si>
    <r>
      <t xml:space="preserve">Ведение журнала </t>
    </r>
    <r>
      <rPr>
        <b/>
        <sz val="11"/>
        <color theme="1"/>
        <rFont val="Calibri"/>
        <family val="2"/>
        <charset val="204"/>
        <scheme val="minor"/>
      </rPr>
      <t>ежемесячного</t>
    </r>
    <r>
      <rPr>
        <sz val="11"/>
        <color theme="1"/>
        <rFont val="Calibri"/>
        <family val="2"/>
        <charset val="204"/>
        <scheme val="minor"/>
      </rPr>
      <t xml:space="preserve"> учёта информации (1-10 полей)</t>
    </r>
  </si>
  <si>
    <r>
      <t xml:space="preserve">Ведение журнала </t>
    </r>
    <r>
      <rPr>
        <b/>
        <sz val="11"/>
        <color theme="1"/>
        <rFont val="Calibri"/>
        <family val="2"/>
        <charset val="204"/>
        <scheme val="minor"/>
      </rPr>
      <t>еженедельного</t>
    </r>
    <r>
      <rPr>
        <sz val="11"/>
        <color theme="1"/>
        <rFont val="Calibri"/>
        <family val="2"/>
        <charset val="204"/>
        <scheme val="minor"/>
      </rPr>
      <t xml:space="preserve"> учёта информации (более 20 полей)</t>
    </r>
  </si>
  <si>
    <r>
      <t xml:space="preserve">Ведение журнала </t>
    </r>
    <r>
      <rPr>
        <b/>
        <sz val="11"/>
        <color theme="1"/>
        <rFont val="Calibri"/>
        <family val="2"/>
        <charset val="204"/>
        <scheme val="minor"/>
      </rPr>
      <t>еженедельного</t>
    </r>
    <r>
      <rPr>
        <sz val="11"/>
        <color theme="1"/>
        <rFont val="Calibri"/>
        <family val="2"/>
        <charset val="204"/>
        <scheme val="minor"/>
      </rPr>
      <t xml:space="preserve"> учёта информации (11-20 полей)</t>
    </r>
  </si>
  <si>
    <r>
      <t xml:space="preserve">Ведение журнала </t>
    </r>
    <r>
      <rPr>
        <b/>
        <sz val="11"/>
        <color theme="1"/>
        <rFont val="Calibri"/>
        <family val="2"/>
        <charset val="204"/>
        <scheme val="minor"/>
      </rPr>
      <t>еженедельного</t>
    </r>
    <r>
      <rPr>
        <sz val="11"/>
        <color theme="1"/>
        <rFont val="Calibri"/>
        <family val="2"/>
        <charset val="204"/>
        <scheme val="minor"/>
      </rPr>
      <t xml:space="preserve"> учёта информации (1-10 полей)</t>
    </r>
  </si>
  <si>
    <r>
      <t xml:space="preserve">Ведение журнала </t>
    </r>
    <r>
      <rPr>
        <b/>
        <sz val="11"/>
        <color theme="1"/>
        <rFont val="Calibri"/>
        <family val="2"/>
        <charset val="204"/>
        <scheme val="minor"/>
      </rPr>
      <t>ежедневного</t>
    </r>
    <r>
      <rPr>
        <sz val="11"/>
        <color theme="1"/>
        <rFont val="Calibri"/>
        <family val="2"/>
        <charset val="204"/>
        <scheme val="minor"/>
      </rPr>
      <t xml:space="preserve"> учёта информации (более 20 полей)</t>
    </r>
  </si>
  <si>
    <r>
      <t xml:space="preserve">Ведение журнала </t>
    </r>
    <r>
      <rPr>
        <b/>
        <sz val="11"/>
        <color theme="1"/>
        <rFont val="Calibri"/>
        <family val="2"/>
        <charset val="204"/>
        <scheme val="minor"/>
      </rPr>
      <t>ежедневного</t>
    </r>
    <r>
      <rPr>
        <sz val="11"/>
        <color theme="1"/>
        <rFont val="Calibri"/>
        <family val="2"/>
        <charset val="204"/>
        <scheme val="minor"/>
      </rPr>
      <t xml:space="preserve"> учёта информации (11-20 полей)</t>
    </r>
  </si>
  <si>
    <r>
      <t xml:space="preserve">Ведение журнала </t>
    </r>
    <r>
      <rPr>
        <b/>
        <sz val="11"/>
        <color theme="1"/>
        <rFont val="Calibri"/>
        <family val="2"/>
        <charset val="204"/>
        <scheme val="minor"/>
      </rPr>
      <t>ежедневного</t>
    </r>
    <r>
      <rPr>
        <sz val="11"/>
        <color theme="1"/>
        <rFont val="Calibri"/>
        <family val="2"/>
        <charset val="204"/>
        <scheme val="minor"/>
      </rPr>
      <t xml:space="preserve"> учёта информации (1-10 полей)</t>
    </r>
  </si>
  <si>
    <t>2. Организация почтового отправления отчёта</t>
  </si>
  <si>
    <t>1.3.Подготовка  отчета  (с количеством вручную заполняемых полей: 21-40)</t>
  </si>
  <si>
    <t>1.2.Подготовка отчёта (с количеством вручную заполняемых полей: 11-20)</t>
  </si>
  <si>
    <t>1.1. Подготовка отчёта (с количеством вручную заполняемых полей: 1-10)</t>
  </si>
  <si>
    <t>Подготовка и направление отчета органу власти или уполномоченной организации почтовым отправлением</t>
  </si>
  <si>
    <t xml:space="preserve">2.Предоставление отчета личным посещением офиса органа власти или уполномоченно организации </t>
  </si>
  <si>
    <t>Подготовка и предоставление отчета личным посещением офиса органа власти или уполномоченной организации</t>
  </si>
  <si>
    <t>1. Установка доступа к ГИС или специализированного ПО силами собственных специалистов (1-3 рабочих места)</t>
  </si>
  <si>
    <t>Установка доступа к ГИС или специализированного ПО</t>
  </si>
  <si>
    <t>2. Приобретение электронной цифровой подписи (1-3 рабочих места)</t>
  </si>
  <si>
    <t>Установка ЭП</t>
  </si>
  <si>
    <t>Устройства запоминающие внешние</t>
  </si>
  <si>
    <t>USB-токен, ПО Криптопровайдер</t>
  </si>
  <si>
    <t>1. Поиск поставщика без тендерной процедуры</t>
  </si>
  <si>
    <t>Действия с информацией</t>
  </si>
  <si>
    <t>Периодичность в год</t>
  </si>
  <si>
    <t>Цена, тыс. руб.</t>
  </si>
  <si>
    <t>Вид услуги</t>
  </si>
  <si>
    <t>Обслуживание, чел-часов</t>
  </si>
  <si>
    <t>Частотность, Срок службы, лет</t>
  </si>
  <si>
    <t>Кол-во на 1 объект расчета</t>
  </si>
  <si>
    <t>Цена за единицу, тыс.руб.</t>
  </si>
  <si>
    <t>Наименование оборудования</t>
  </si>
  <si>
    <t>Кол-во объектов расчета, использованное для приведенной в справочнике оценки, ед.</t>
  </si>
  <si>
    <t>Удельная издержка требования на 1 объект расчета, т.р.</t>
  </si>
  <si>
    <t>Издержка требования, т.р.</t>
  </si>
  <si>
    <t>Объект расчёта</t>
  </si>
  <si>
    <t>Состав оборудования</t>
  </si>
  <si>
    <t>Состав действий</t>
  </si>
  <si>
    <t>Комментарий</t>
  </si>
  <si>
    <t>Средняя стоимость 1 чел.-часа, тыс. руб.</t>
  </si>
  <si>
    <t>Удельные затраты приобретения на 1 объект расчета, тыс. руб.</t>
  </si>
  <si>
    <t>Удельные затраты рабочего времени на 1 объект расчета, чел-часов</t>
  </si>
  <si>
    <t>Приобретения услуг</t>
  </si>
  <si>
    <t>Приобретения оборудования</t>
  </si>
  <si>
    <t>Частотность</t>
  </si>
  <si>
    <t>Затраты рабочего времени, чел-часов</t>
  </si>
  <si>
    <t>Дополнительная информация</t>
  </si>
  <si>
    <t>Справочные величины</t>
  </si>
  <si>
    <t>Сведения для сопоставления типового требования и оцениваемого требования</t>
  </si>
  <si>
    <t>Типовое требование</t>
  </si>
  <si>
    <t>Подгруппа требований</t>
  </si>
  <si>
    <t>Группа требований</t>
  </si>
  <si>
    <t>Справочник типовых оценок</t>
  </si>
  <si>
    <t>Типовые оценки (аналогичные требования)</t>
  </si>
  <si>
    <t>Средняя в час с социальными отчислениями</t>
  </si>
  <si>
    <t>средняя</t>
  </si>
  <si>
    <t>Среднемесячная номинальная начисленная заработная плата, рублей</t>
  </si>
  <si>
    <t>Подготовка меню объектов общественного питания типа "ресторан" (без верстки)</t>
  </si>
  <si>
    <t>Стенд уголок потребителя на 4 кармана</t>
  </si>
  <si>
    <t>Верстка и подготовка к печати меню для предприятия типа "ресторан"</t>
  </si>
  <si>
    <t>Противопожарная безопасность</t>
  </si>
  <si>
    <t>Перезарядка огнетушителя ОП-2</t>
  </si>
  <si>
    <t>Перезарядка огнетушителя ОП-4</t>
  </si>
  <si>
    <t>Организация проведения осмотра персонала (для предприятий общепита)</t>
  </si>
  <si>
    <t>2. Проведение осмотра персонала</t>
  </si>
  <si>
    <t>3. Проведение осмотра персонала</t>
  </si>
  <si>
    <t>1.Организация проведения ежедневного осмотра персонала (вариант с обучением сотрудника, на которого возлагается проведение медосмотра)</t>
  </si>
  <si>
    <t>2.Организация проведения ежедневного осмотра персонала (вариант с принятием в штат медработника)</t>
  </si>
  <si>
    <t>3.Организация проведения ежедневного осмотра персонала (вариант с заключением договора с медучреждением)</t>
  </si>
  <si>
    <t>Сфера деятельности (ОКВЭД): код</t>
  </si>
  <si>
    <t>Сфера деятельности (ОКВЭД): наименование</t>
  </si>
  <si>
    <t>Структурная единица</t>
  </si>
  <si>
    <t>Пояснения к расчетам</t>
  </si>
  <si>
    <t>Сумма на горизонте планирования, руб.</t>
  </si>
  <si>
    <t>Временные издержки в расчете на все объекты за весь период, руб.</t>
  </si>
  <si>
    <t>Тип приобретения</t>
  </si>
  <si>
    <t>Услуга</t>
  </si>
  <si>
    <t>Платеж</t>
  </si>
  <si>
    <t>Частота приобретений</t>
  </si>
  <si>
    <t>Единожды</t>
  </si>
  <si>
    <t>Периодически</t>
  </si>
  <si>
    <t>Частота приобретений за период оценивания, раз</t>
  </si>
  <si>
    <t>Срок службы оборудования, лет</t>
  </si>
  <si>
    <t>Услуга (платеж) приобретается (осуществляется) единожды или периодически</t>
  </si>
  <si>
    <t>Средняя стоимость одного приобретения, руб.</t>
  </si>
  <si>
    <t>Издержки, связанные с приобретениями, в расчете на все объекты за весь период, руб.</t>
  </si>
  <si>
    <t>Сумма в расчете на все объекты, руб.</t>
  </si>
  <si>
    <t>Единица измерения</t>
  </si>
  <si>
    <t>Общая сумма издержек простоя</t>
  </si>
  <si>
    <t>Шаг 4. Расчет издержек простоя и недополученной прибыли</t>
  </si>
  <si>
    <t>Издержки (затраты) простоя – эксплуатационные издержки, затраты на оплату труда сотрудников, производственные и иные издержки, возникающие у субъекта предпринимательской и иной экономической деятельности в период вынужденного прекращения экономически обоснованной деятельности либо осуществления непроизводительных действий в связи с необходимостью соблюдения регуляторных требований.
Недополученная прибыль – прибыль, упущенная субъектом предпринимательской и иной экономической деятельности, в период вынужденного прекращения экономически обоснованной деятельности (либо вынужденного осуществления непроизводительных действий - деятельности, не приносящей прибыль) в связи с необходимостью соблюдения регуляторных требований.</t>
  </si>
  <si>
    <t>Наличие издержек (да/нет)</t>
  </si>
  <si>
    <t>Расчет издержек простоя и недополученной прибыли</t>
  </si>
  <si>
    <t>Издержки простоя и недополученная прибыль</t>
  </si>
  <si>
    <t>Эксперт заполняет белые поля, серые поля заполняются программой автоматически</t>
  </si>
  <si>
    <t>Издержки по типам</t>
  </si>
  <si>
    <t>минута</t>
  </si>
  <si>
    <t>3.1. Параметры объектов оценки</t>
  </si>
  <si>
    <t>№ пункта проекта акта, которым определено требование (обязанность или ограничение) и его содержание</t>
  </si>
  <si>
    <t>Количество субъектов регулирования, на которые распространяется ОТ(обязанность или ограничение), ед.</t>
  </si>
  <si>
    <t>Издержки простоя и недополученная прибыль (при наличии), руб.</t>
  </si>
  <si>
    <t>Альтернативные издержки, руб.</t>
  </si>
  <si>
    <t xml:space="preserve">Сумма затрат </t>
  </si>
  <si>
    <t>Использование при оценке справочника типовых оценок</t>
  </si>
  <si>
    <t>Использование при оценке калькулятора оценки исполнения обязательных требований</t>
  </si>
  <si>
    <t>Временные, руб.</t>
  </si>
  <si>
    <t>На приобретения, руб.</t>
  </si>
  <si>
    <t>В первый год введения регулирования, руб.</t>
  </si>
  <si>
    <t>Факт</t>
  </si>
  <si>
    <t>(Да / Нет)</t>
  </si>
  <si>
    <t>Если «Да», то требования из справочника типовых оценок</t>
  </si>
  <si>
    <t>Если «Да», то наименования файлов приложения</t>
  </si>
  <si>
    <t>(1)</t>
  </si>
  <si>
    <t>(2)</t>
  </si>
  <si>
    <t>(3)</t>
  </si>
  <si>
    <t>(4)</t>
  </si>
  <si>
    <t>(5)</t>
  </si>
  <si>
    <t>(6)</t>
  </si>
  <si>
    <t>(7)</t>
  </si>
  <si>
    <t>(8)</t>
  </si>
  <si>
    <t>(9)</t>
  </si>
  <si>
    <t>(10)</t>
  </si>
  <si>
    <t>(11)</t>
  </si>
  <si>
    <t>(12)</t>
  </si>
  <si>
    <t>(13)</t>
  </si>
  <si>
    <t>(14)</t>
  </si>
  <si>
    <t>(15)</t>
  </si>
  <si>
    <t>На 6 лет с предполагаемой даты вступления в силу устанавливаемого ОТ, руб.</t>
  </si>
  <si>
    <t>Год 2</t>
  </si>
  <si>
    <t>Год 3</t>
  </si>
  <si>
    <t>Год 4</t>
  </si>
  <si>
    <t>Год 5</t>
  </si>
  <si>
    <t>Год 6</t>
  </si>
  <si>
    <t xml:space="preserve">Трехлетний прогноз социально-экономического развития Российской Федерации, разработанный Минэкономразвития России </t>
  </si>
  <si>
    <t>задан Методикой (значение, равное значению показателя в третьем году прогноза)</t>
  </si>
  <si>
    <t>Прогнозируемый прирост потребительских цен</t>
  </si>
  <si>
    <t>1 год</t>
  </si>
  <si>
    <t>Затраты рабочего времени на выполнение действия, человеко-часов</t>
  </si>
  <si>
    <t>2 год</t>
  </si>
  <si>
    <t>3 год</t>
  </si>
  <si>
    <t>4 год</t>
  </si>
  <si>
    <t>5 год</t>
  </si>
  <si>
    <t>6 год</t>
  </si>
  <si>
    <t>Индексация</t>
  </si>
  <si>
    <t>ИПЦ</t>
  </si>
  <si>
    <t>З/П</t>
  </si>
  <si>
    <t>Частота выполнения действия в год, раз</t>
  </si>
  <si>
    <t>Частота осуществления приобретений в год, раз</t>
  </si>
  <si>
    <t>Информационные издержки (затраты) – издержки, которые связаны со сбором (получением), обработкой, подготовкой и представлением органам государственной власти, а также третьим лицам информации (документов, сведений, данных) в соответствии с требованиями, в том числе издержки на поддержание готовности представить необходимую информацию по запросу со стороны органов государственной власти, их уполномоченных представителей или третьих лиц.</t>
  </si>
  <si>
    <t>Временные</t>
  </si>
  <si>
    <t>Содержательные издержки - издержки, которые связаны с поддержанием установленного требованием уровня безопасности и качества продукции, процессов производства, проведения работ и оказания услуг, эксплуатации оборудования и производственных объектов, безопасности трудовой деятельности персонала, а также иные необходимые для исполнения требования затраты, не связанные со сбором (получением), обработкой, подготовкой и представлением органам государственной власти, а также третьим лицам информации (документов, сведений, данных).</t>
  </si>
  <si>
    <t>Сумма издержек простоя, руб.</t>
  </si>
  <si>
    <t>Сумма недополученной прибыли, руб.</t>
  </si>
  <si>
    <t>Оценка количества занятых работников на одном объекте расчета, чел.</t>
  </si>
  <si>
    <t>Длительность однократного простоя, часов</t>
  </si>
  <si>
    <t>Частота возникновения случая простоя объекта расчета на горизонте оценивания, раз в год</t>
  </si>
  <si>
    <t>Совокупные издержки простоя, руб.</t>
  </si>
  <si>
    <t>Затраты на оплату труда, руб. в час</t>
  </si>
  <si>
    <t>Затраты на оплату труда (временные издержки простоя)</t>
  </si>
  <si>
    <t>Эксплуатационные или производственные затраты (затраты простоя, связанные с приобретениями)</t>
  </si>
  <si>
    <t>Эксплуатационные, производственные затраты, руб. в час</t>
  </si>
  <si>
    <t>Оплата труда = Длительность простоя х индексация з/п х затраты на з/п в час</t>
  </si>
  <si>
    <t>Экспл затраты = длительность простоях ИПЦ х средний обем затрат в час</t>
  </si>
  <si>
    <t>Недополученная прибыль = объем выпуска в день х длительность простоя х рентабельность</t>
  </si>
  <si>
    <t>Оценка объема выпуска продукции, руб. в час</t>
  </si>
  <si>
    <t>Общая сумма недополученной прибыли</t>
  </si>
  <si>
    <t>Длительность простоев</t>
  </si>
  <si>
    <t>Группа</t>
  </si>
  <si>
    <t>Длительность, часов</t>
  </si>
  <si>
    <t>год 1</t>
  </si>
  <si>
    <t>год 2</t>
  </si>
  <si>
    <t>год 3</t>
  </si>
  <si>
    <t>год 4</t>
  </si>
  <si>
    <t>год 5</t>
  </si>
  <si>
    <t>год 6</t>
  </si>
  <si>
    <t>кол-во объектов</t>
  </si>
  <si>
    <t>Общий фонд рабочего времени в году, часов</t>
  </si>
  <si>
    <t>Доля простоев</t>
  </si>
  <si>
    <t>По всем объектам</t>
  </si>
  <si>
    <t>Сумма затрат</t>
  </si>
  <si>
    <t>Если "Да", то требования из справочника типовых оценок</t>
  </si>
  <si>
    <t>Если "Да", то наименования файлов приложения</t>
  </si>
  <si>
    <t>Итого:</t>
  </si>
  <si>
    <t>Факт
(Да/ Нет)</t>
  </si>
  <si>
    <t>Количество единиц товара, работ или услуг одного вида в одном приобретении, ед.</t>
  </si>
  <si>
    <t>Товар</t>
  </si>
  <si>
    <t>Недополученная прибыль, руб.</t>
  </si>
  <si>
    <t>руб. в час</t>
  </si>
  <si>
    <t>руб. в месяц</t>
  </si>
  <si>
    <t>Использование при оценке калькулятора оценки исполнения требований регулирования</t>
  </si>
  <si>
    <t>На 6 лет с предполагаемой даты вступления в силу устанавливаемого требования регулирования, руб.</t>
  </si>
  <si>
    <t>Формулировка требования регулирования</t>
  </si>
  <si>
    <t>Сводные результаты оценки издержек исполнения требований регулирования</t>
  </si>
  <si>
    <t>Номер требования</t>
  </si>
  <si>
    <t>Калькулятор оценки издержек исполнения требований регулирования</t>
  </si>
  <si>
    <t>Прогнозируемый прирост номинальной заработной платы работников организаций в Российской Федерации</t>
  </si>
  <si>
    <t>Среднемесячная начисленная заработная плата</t>
  </si>
  <si>
    <t>Стоимость часа работы персонала</t>
  </si>
  <si>
    <t>2.1</t>
  </si>
  <si>
    <t>2.2</t>
  </si>
  <si>
    <t>Оплата труда:</t>
  </si>
  <si>
    <t>Необходимо заполнить одну из двух строк: 2.1 или 2.2</t>
  </si>
  <si>
    <t>Сводные результаты оценки издержек исполнения требований регулирования*</t>
  </si>
  <si>
    <t>* заполняется при прохождении ОПОТ или ОФВ</t>
  </si>
  <si>
    <t>№ п/п</t>
  </si>
  <si>
    <t>№ пункта проекта акта, которым определено требование регулирования и его содержание</t>
  </si>
  <si>
    <t>Гиперссылка на карточку требования в реестре обязательных требований (https://ot.gov.ru/)</t>
  </si>
  <si>
    <r>
      <rPr>
        <i/>
        <sz val="12"/>
        <color theme="0" tint="-0.499984740745262"/>
        <rFont val="Calibri"/>
        <family val="2"/>
        <charset val="204"/>
        <scheme val="minor"/>
      </rPr>
      <t>Необходимо указать источник</t>
    </r>
    <r>
      <rPr>
        <sz val="12"/>
        <color theme="1"/>
        <rFont val="Calibri"/>
        <family val="2"/>
        <charset val="204"/>
        <scheme val="minor"/>
      </rPr>
      <t xml:space="preserve">
Примечание: в случае заполнения пункта 2.1 расчет осуществляется автоматически по формуле: &lt;Стоимость часа работы персонала&gt; x 8 x &lt;Количество рабочих дней в году&gt; / 12</t>
    </r>
  </si>
  <si>
    <t>Приложение № 4 к приказу ФНС России от 30.05.2007 № ММ-3-06/333@ "Об утверждении Концепции системы планирования выездных налоговых проверок"</t>
  </si>
  <si>
    <t>Количество субъектов регулирования, на которые распространяется требование регулирования, ед.</t>
  </si>
  <si>
    <t>задан Методикой издержек</t>
  </si>
  <si>
    <r>
      <t xml:space="preserve">задан пунктом 39 Методики издержек
</t>
    </r>
    <r>
      <rPr>
        <sz val="12"/>
        <color theme="0" tint="-0.499984740745262"/>
        <rFont val="Calibri"/>
        <family val="2"/>
        <charset val="204"/>
        <scheme val="minor"/>
      </rPr>
      <t>Для компаний, осуществляющих деятельность в области информационных технологий (класс 63 «Деятельность в области информационных технологий» ОКВЭД ), коэффициент принимается равным 1,076.</t>
    </r>
  </si>
  <si>
    <t xml:space="preserve">Кол-во 3 </t>
  </si>
  <si>
    <t xml:space="preserve">Расчеты среднеарифметического значения </t>
  </si>
  <si>
    <t>Источник сведений о группе объектов, о количестве объектов, дата актуальности значения</t>
  </si>
  <si>
    <t>Источник сведений о частоте выполнения действия, дата актуальности значения</t>
  </si>
  <si>
    <t>Источник сведений о сроке службы или частоте приобретений, дата актуальности значения</t>
  </si>
  <si>
    <t>Источник, дата актуальности значения</t>
  </si>
  <si>
    <t>Источник (объем выпуска продукции), дата актуальности значения</t>
  </si>
  <si>
    <t>Источник (оценка кол-ва занятых), дата актуальности значения</t>
  </si>
  <si>
    <t>Источник (длительность простоя), дата актуальности значения</t>
  </si>
  <si>
    <t>Источник (частота возникновения простоя), дата актуальности значения</t>
  </si>
  <si>
    <t>Источник сведений о средней стоимости приобретения, дата актуальности значения</t>
  </si>
  <si>
    <t>Источник сведений о количестве единиц товара, работ или услуг, дата актуальности значения</t>
  </si>
  <si>
    <t>Источник сведений о затратах рабочего времени на выполнение действия, дата актуальности значения</t>
  </si>
  <si>
    <t xml:space="preserve">Расчеты средневзвешенного значения </t>
  </si>
  <si>
    <r>
      <t xml:space="preserve">Можно использовать справочник стандартных величин: стандартные затраты рабочего времени на выполнение типовых операций (действий)
</t>
    </r>
    <r>
      <rPr>
        <i/>
        <sz val="12"/>
        <color theme="0" tint="-0.499984740745262"/>
        <rFont val="Calibri"/>
        <family val="2"/>
        <charset val="204"/>
        <scheme val="minor"/>
      </rPr>
      <t>необходимо указать пункт и сферу деятельности  из справочника 2.2 или источник</t>
    </r>
  </si>
  <si>
    <t>Производственный календарь на 2025 год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</si>
</sst>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_-;\-* #,##0.00\ _₽_-;_-* &quot;-&quot;??\ _₽_-;_-@_-"/>
    <numFmt numFmtId="165" formatCode="_-* #,##0\ _₽_-;\-* #,##0\ _₽_-;_-* &quot;-&quot;??\ _₽_-;_-@_-"/>
    <numFmt numFmtId="166" formatCode="0.0"/>
    <numFmt numFmtId="167" formatCode="0.000"/>
    <numFmt numFmtId="168" formatCode="#,##0.####"/>
    <numFmt numFmtId="169" formatCode="#,##0.#"/>
    <numFmt numFmtId="170" formatCode="_-* #,##0.0\ _₽_-;\-* #,##0.0\ _₽_-;_-* &quot;-&quot;??\ _₽_-;_-@_-"/>
    <numFmt numFmtId="171" formatCode="#,##0.000_ ;\-#,##0.000\ "/>
    <numFmt numFmtId="172" formatCode="#,##0.0"/>
    <numFmt numFmtId="173" formatCode="#,##0.0_ ;\-#,##0.0\ "/>
    <numFmt numFmtId="174" formatCode="0_ ;\-0\ "/>
    <numFmt numFmtId="175" formatCode="#,##0.000"/>
  </numFmts>
  <fonts count="37"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9"/>
      <color indexed="81"/>
      <name val="Tahoma"/>
      <family val="2"/>
      <charset val="204"/>
    </font>
    <font>
      <b/>
      <sz val="9"/>
      <color indexed="81"/>
      <name val="Tahoma"/>
      <family val="2"/>
      <charset val="204"/>
    </font>
    <font>
      <sz val="11"/>
      <color rgb="FF0070C0"/>
      <name val="Calibri"/>
      <family val="2"/>
      <charset val="204"/>
      <scheme val="minor"/>
    </font>
    <font>
      <b/>
      <sz val="12"/>
      <color theme="1"/>
      <name val="Calibri"/>
      <family val="2"/>
      <charset val="204"/>
      <scheme val="minor"/>
    </font>
    <font>
      <b/>
      <sz val="14"/>
      <color theme="1"/>
      <name val="Calibri"/>
      <family val="2"/>
      <charset val="204"/>
      <scheme val="minor"/>
    </font>
    <font>
      <sz val="8"/>
      <color theme="1"/>
      <name val="Calibri"/>
      <family val="2"/>
      <charset val="204"/>
      <scheme val="minor"/>
    </font>
    <font>
      <sz val="11"/>
      <color rgb="FFFF0000"/>
      <name val="Calibri"/>
      <family val="2"/>
      <charset val="204"/>
      <scheme val="minor"/>
    </font>
    <font>
      <b/>
      <sz val="12"/>
      <color theme="0"/>
      <name val="Calibri"/>
      <family val="2"/>
      <charset val="204"/>
      <scheme val="minor"/>
    </font>
    <font>
      <b/>
      <sz val="14"/>
      <color rgb="FF0092AB"/>
      <name val="Verdana"/>
      <family val="2"/>
      <charset val="204"/>
    </font>
    <font>
      <sz val="12"/>
      <color theme="0"/>
      <name val="Calibri"/>
      <family val="2"/>
      <charset val="204"/>
      <scheme val="minor"/>
    </font>
    <font>
      <sz val="12"/>
      <color theme="1"/>
      <name val="Calibri"/>
      <family val="2"/>
      <charset val="204"/>
      <scheme val="minor"/>
    </font>
    <font>
      <i/>
      <sz val="12"/>
      <color theme="0"/>
      <name val="Calibri"/>
      <family val="2"/>
      <charset val="204"/>
      <scheme val="minor"/>
    </font>
    <font>
      <sz val="9"/>
      <color rgb="FF0092AB"/>
      <name val="Verdana"/>
      <family val="2"/>
      <charset val="204"/>
    </font>
    <font>
      <sz val="11"/>
      <color rgb="FF0092AB"/>
      <name val="Calibri"/>
      <family val="2"/>
      <charset val="204"/>
      <scheme val="minor"/>
    </font>
    <font>
      <b/>
      <sz val="12"/>
      <color rgb="FF0092AB"/>
      <name val="Calibri"/>
      <family val="2"/>
      <charset val="204"/>
      <scheme val="minor"/>
    </font>
    <font>
      <b/>
      <sz val="12"/>
      <name val="Calibri"/>
      <family val="2"/>
      <charset val="204"/>
      <scheme val="minor"/>
    </font>
    <font>
      <sz val="11"/>
      <color theme="1"/>
      <name val="Calibri"/>
      <family val="2"/>
      <charset val="204"/>
    </font>
    <font>
      <u/>
      <sz val="11"/>
      <color theme="10"/>
      <name val="Calibri"/>
      <family val="2"/>
      <charset val="204"/>
      <scheme val="minor"/>
    </font>
    <font>
      <u/>
      <sz val="12"/>
      <color theme="10"/>
      <name val="Calibri"/>
      <family val="2"/>
      <charset val="204"/>
      <scheme val="minor"/>
    </font>
    <font>
      <sz val="12"/>
      <color theme="1"/>
      <name val="Times New Roman"/>
      <family val="1"/>
      <charset val="204"/>
    </font>
    <font>
      <sz val="11"/>
      <color rgb="FF000000"/>
      <name val="Calibri"/>
      <family val="2"/>
      <charset val="204"/>
      <scheme val="minor"/>
    </font>
    <font>
      <sz val="11"/>
      <color theme="1"/>
      <name val="Calibri"/>
      <family val="2"/>
      <scheme val="minor"/>
    </font>
    <font>
      <sz val="11"/>
      <name val="Calibri"/>
      <family val="2"/>
      <charset val="204"/>
      <scheme val="minor"/>
    </font>
    <font>
      <sz val="10"/>
      <name val="Arial"/>
      <family val="2"/>
      <charset val="204"/>
    </font>
    <font>
      <sz val="12"/>
      <color theme="5" tint="-0.249977111117893"/>
      <name val="Calibri"/>
      <family val="2"/>
      <charset val="204"/>
      <scheme val="minor"/>
    </font>
    <font>
      <sz val="12"/>
      <color rgb="FF0092AB"/>
      <name val="Calibri"/>
      <family val="2"/>
      <charset val="204"/>
      <scheme val="minor"/>
    </font>
    <font>
      <b/>
      <sz val="14"/>
      <color rgb="FF0092AB"/>
      <name val="Calibri"/>
      <family val="2"/>
      <charset val="204"/>
      <scheme val="minor"/>
    </font>
    <font>
      <b/>
      <sz val="14"/>
      <color theme="5" tint="-0.249977111117893"/>
      <name val="Calibri"/>
      <family val="2"/>
      <charset val="204"/>
      <scheme val="minor"/>
    </font>
    <font>
      <sz val="12"/>
      <color rgb="FFFF0000"/>
      <name val="Calibri"/>
      <family val="2"/>
      <charset val="204"/>
      <scheme val="minor"/>
    </font>
    <font>
      <sz val="12"/>
      <name val="Calibri"/>
      <family val="2"/>
      <charset val="204"/>
      <scheme val="minor"/>
    </font>
    <font>
      <b/>
      <sz val="11"/>
      <name val="Calibri"/>
      <family val="2"/>
      <charset val="204"/>
      <scheme val="minor"/>
    </font>
    <font>
      <i/>
      <sz val="12"/>
      <color theme="0" tint="-0.499984740745262"/>
      <name val="Calibri"/>
      <family val="2"/>
      <charset val="204"/>
      <scheme val="minor"/>
    </font>
    <font>
      <i/>
      <sz val="9"/>
      <color rgb="FF0092AB"/>
      <name val="Verdana"/>
      <family val="2"/>
      <charset val="204"/>
    </font>
    <font>
      <sz val="12"/>
      <color theme="0" tint="-0.499984740745262"/>
      <name val="Calibri"/>
      <family val="2"/>
      <charset val="204"/>
      <scheme val="minor"/>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92AB"/>
        <bgColor indexed="64"/>
      </patternFill>
    </fill>
    <fill>
      <patternFill patternType="solid">
        <fgColor rgb="FFDFF3F4"/>
        <bgColor indexed="64"/>
      </patternFill>
    </fill>
    <fill>
      <patternFill patternType="solid">
        <fgColor theme="0"/>
        <bgColor indexed="64"/>
      </patternFill>
    </fill>
    <fill>
      <patternFill patternType="solid">
        <fgColor rgb="FFF7F7F7"/>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93">
    <border>
      <left/>
      <right/>
      <top/>
      <bottom/>
      <diagonal/>
    </border>
    <border>
      <left style="thin">
        <color indexed="64"/>
      </left>
      <right style="thin">
        <color indexed="64"/>
      </right>
      <top style="thin">
        <color indexed="64"/>
      </top>
      <bottom style="thin">
        <color indexed="64"/>
      </bottom>
      <diagonal/>
    </border>
    <border>
      <left/>
      <right style="hair">
        <color theme="0" tint="-0.14999847407452621"/>
      </right>
      <top/>
      <bottom/>
      <diagonal/>
    </border>
    <border>
      <left style="hair">
        <color rgb="FF0092AB"/>
      </left>
      <right style="hair">
        <color rgb="FF0092AB"/>
      </right>
      <top style="hair">
        <color rgb="FF0092AB"/>
      </top>
      <bottom style="hair">
        <color rgb="FF0092AB"/>
      </bottom>
      <diagonal/>
    </border>
    <border>
      <left style="hair">
        <color rgb="FF0092AB"/>
      </left>
      <right style="hair">
        <color rgb="FF0092AB"/>
      </right>
      <top/>
      <bottom style="hair">
        <color rgb="FF0092AB"/>
      </bottom>
      <diagonal/>
    </border>
    <border>
      <left/>
      <right style="hair">
        <color rgb="FF0092AB"/>
      </right>
      <top/>
      <bottom style="hair">
        <color rgb="FF0092AB"/>
      </bottom>
      <diagonal/>
    </border>
    <border>
      <left/>
      <right style="hair">
        <color rgb="FF0092AB"/>
      </right>
      <top style="hair">
        <color rgb="FF0092AB"/>
      </top>
      <bottom style="hair">
        <color rgb="FF0092AB"/>
      </bottom>
      <diagonal/>
    </border>
    <border>
      <left/>
      <right/>
      <top/>
      <bottom style="hair">
        <color rgb="FF0092AB"/>
      </bottom>
      <diagonal/>
    </border>
    <border>
      <left style="thin">
        <color rgb="FF0092AB"/>
      </left>
      <right/>
      <top style="thin">
        <color rgb="FF0092AB"/>
      </top>
      <bottom/>
      <diagonal/>
    </border>
    <border>
      <left/>
      <right/>
      <top style="thin">
        <color rgb="FF0092AB"/>
      </top>
      <bottom/>
      <diagonal/>
    </border>
    <border>
      <left/>
      <right style="thin">
        <color rgb="FF0092AB"/>
      </right>
      <top style="thin">
        <color rgb="FF0092AB"/>
      </top>
      <bottom/>
      <diagonal/>
    </border>
    <border>
      <left style="thin">
        <color rgb="FF0092AB"/>
      </left>
      <right/>
      <top/>
      <bottom/>
      <diagonal/>
    </border>
    <border>
      <left/>
      <right style="thin">
        <color rgb="FF0092AB"/>
      </right>
      <top/>
      <bottom/>
      <diagonal/>
    </border>
    <border>
      <left style="thin">
        <color rgb="FF0092AB"/>
      </left>
      <right/>
      <top/>
      <bottom style="thin">
        <color rgb="FF0092AB"/>
      </bottom>
      <diagonal/>
    </border>
    <border>
      <left/>
      <right/>
      <top/>
      <bottom style="thin">
        <color rgb="FF0092AB"/>
      </bottom>
      <diagonal/>
    </border>
    <border>
      <left/>
      <right style="thin">
        <color rgb="FF0092AB"/>
      </right>
      <top/>
      <bottom style="thin">
        <color rgb="FF0092AB"/>
      </bottom>
      <diagonal/>
    </border>
    <border>
      <left style="hair">
        <color rgb="FF0092AB"/>
      </left>
      <right/>
      <top style="hair">
        <color rgb="FF0092AB"/>
      </top>
      <bottom style="hair">
        <color rgb="FF0092AB"/>
      </bottom>
      <diagonal/>
    </border>
    <border>
      <left style="thin">
        <color rgb="FF0092AB"/>
      </left>
      <right style="hair">
        <color rgb="FF0092AB"/>
      </right>
      <top style="hair">
        <color rgb="FF0092AB"/>
      </top>
      <bottom style="hair">
        <color rgb="FF0092AB"/>
      </bottom>
      <diagonal/>
    </border>
    <border>
      <left style="hair">
        <color rgb="FF0092AB"/>
      </left>
      <right style="thin">
        <color rgb="FF0092AB"/>
      </right>
      <top style="hair">
        <color rgb="FF0092AB"/>
      </top>
      <bottom style="hair">
        <color rgb="FF0092AB"/>
      </bottom>
      <diagonal/>
    </border>
    <border>
      <left style="thin">
        <color rgb="FF0092AB"/>
      </left>
      <right style="hair">
        <color rgb="FF0092AB"/>
      </right>
      <top style="hair">
        <color rgb="FF0092AB"/>
      </top>
      <bottom style="thin">
        <color rgb="FF0092AB"/>
      </bottom>
      <diagonal/>
    </border>
    <border>
      <left style="hair">
        <color rgb="FF0092AB"/>
      </left>
      <right style="hair">
        <color rgb="FF0092AB"/>
      </right>
      <top style="hair">
        <color rgb="FF0092AB"/>
      </top>
      <bottom style="thin">
        <color rgb="FF0092AB"/>
      </bottom>
      <diagonal/>
    </border>
    <border>
      <left style="hair">
        <color rgb="FF0092AB"/>
      </left>
      <right style="thin">
        <color rgb="FF0092AB"/>
      </right>
      <top style="hair">
        <color rgb="FF0092AB"/>
      </top>
      <bottom style="thin">
        <color rgb="FF0092AB"/>
      </bottom>
      <diagonal/>
    </border>
    <border>
      <left/>
      <right style="hair">
        <color rgb="FFF7F7F7"/>
      </right>
      <top/>
      <bottom style="hair">
        <color rgb="FF0092AB"/>
      </bottom>
      <diagonal/>
    </border>
    <border>
      <left style="hair">
        <color rgb="FFF7F7F7"/>
      </left>
      <right/>
      <top/>
      <bottom style="hair">
        <color rgb="FF0092AB"/>
      </bottom>
      <diagonal/>
    </border>
    <border>
      <left style="hair">
        <color rgb="FFF7F7F7"/>
      </left>
      <right/>
      <top/>
      <bottom/>
      <diagonal/>
    </border>
    <border>
      <left style="hair">
        <color rgb="FF0092AB"/>
      </left>
      <right/>
      <top style="hair">
        <color rgb="FF0092AB"/>
      </top>
      <bottom style="thin">
        <color rgb="FF0092AB"/>
      </bottom>
      <diagonal/>
    </border>
    <border>
      <left/>
      <right style="thin">
        <color rgb="FFF7F7F7"/>
      </right>
      <top/>
      <bottom style="hair">
        <color rgb="FF0092AB"/>
      </bottom>
      <diagonal/>
    </border>
    <border>
      <left/>
      <right style="thin">
        <color rgb="FFF7F7F7"/>
      </right>
      <top/>
      <bottom/>
      <diagonal/>
    </border>
    <border>
      <left style="thin">
        <color rgb="FFF7F7F7"/>
      </left>
      <right/>
      <top/>
      <bottom style="thin">
        <color rgb="FFF7F7F7"/>
      </bottom>
      <diagonal/>
    </border>
    <border>
      <left/>
      <right/>
      <top/>
      <bottom style="thin">
        <color rgb="FFF7F7F7"/>
      </bottom>
      <diagonal/>
    </border>
    <border>
      <left style="hair">
        <color rgb="FFF7F7F7"/>
      </left>
      <right/>
      <top style="thin">
        <color rgb="FF0092AB"/>
      </top>
      <bottom style="thin">
        <color rgb="FFF7F7F7"/>
      </bottom>
      <diagonal/>
    </border>
    <border>
      <left/>
      <right/>
      <top style="thin">
        <color rgb="FF0092AB"/>
      </top>
      <bottom style="thin">
        <color rgb="FFF7F7F7"/>
      </bottom>
      <diagonal/>
    </border>
    <border>
      <left/>
      <right style="hair">
        <color rgb="FFF7F7F7"/>
      </right>
      <top style="thin">
        <color rgb="FF0092AB"/>
      </top>
      <bottom style="thin">
        <color rgb="FFF7F7F7"/>
      </bottom>
      <diagonal/>
    </border>
    <border>
      <left style="thin">
        <color rgb="FFF7F7F7"/>
      </left>
      <right style="hair">
        <color rgb="FF0092AB"/>
      </right>
      <top style="thin">
        <color rgb="FFF7F7F7"/>
      </top>
      <bottom style="hair">
        <color rgb="FF0092AB"/>
      </bottom>
      <diagonal/>
    </border>
    <border>
      <left style="hair">
        <color rgb="FF0092AB"/>
      </left>
      <right style="hair">
        <color rgb="FF0092AB"/>
      </right>
      <top style="thin">
        <color rgb="FFF7F7F7"/>
      </top>
      <bottom style="hair">
        <color rgb="FF0092AB"/>
      </bottom>
      <diagonal/>
    </border>
    <border>
      <left style="hair">
        <color rgb="FF0092AB"/>
      </left>
      <right style="thin">
        <color rgb="FFF7F7F7"/>
      </right>
      <top style="thin">
        <color rgb="FFF7F7F7"/>
      </top>
      <bottom style="hair">
        <color rgb="FF0092AB"/>
      </bottom>
      <diagonal/>
    </border>
    <border>
      <left style="thin">
        <color rgb="FFF7F7F7"/>
      </left>
      <right style="hair">
        <color rgb="FF0092AB"/>
      </right>
      <top style="hair">
        <color rgb="FF0092AB"/>
      </top>
      <bottom style="hair">
        <color rgb="FF0092AB"/>
      </bottom>
      <diagonal/>
    </border>
    <border>
      <left style="hair">
        <color rgb="FF0092AB"/>
      </left>
      <right style="thin">
        <color rgb="FFF7F7F7"/>
      </right>
      <top style="hair">
        <color rgb="FF0092AB"/>
      </top>
      <bottom style="hair">
        <color rgb="FF0092AB"/>
      </bottom>
      <diagonal/>
    </border>
    <border>
      <left/>
      <right/>
      <top style="hair">
        <color rgb="FF0092AB"/>
      </top>
      <bottom/>
      <diagonal/>
    </border>
    <border>
      <left/>
      <right style="hair">
        <color rgb="FF0092AB"/>
      </right>
      <top style="hair">
        <color rgb="FF0092AB"/>
      </top>
      <bottom/>
      <diagonal/>
    </border>
    <border>
      <left style="thin">
        <color rgb="FF0092AB"/>
      </left>
      <right style="thin">
        <color rgb="FF0092AB"/>
      </right>
      <top style="thin">
        <color rgb="FF0092AB"/>
      </top>
      <bottom style="thin">
        <color rgb="FF0092AB"/>
      </bottom>
      <diagonal/>
    </border>
    <border>
      <left style="hair">
        <color rgb="FF0092AB"/>
      </left>
      <right/>
      <top style="hair">
        <color rgb="FF0092AB"/>
      </top>
      <bottom/>
      <diagonal/>
    </border>
    <border>
      <left style="hair">
        <color rgb="FF0092AB"/>
      </left>
      <right/>
      <top/>
      <bottom/>
      <diagonal/>
    </border>
    <border>
      <left/>
      <right style="hair">
        <color rgb="FF0092AB"/>
      </right>
      <top/>
      <bottom/>
      <diagonal/>
    </border>
    <border>
      <left style="hair">
        <color rgb="FF0092AB"/>
      </left>
      <right/>
      <top/>
      <bottom style="hair">
        <color rgb="FF0092AB"/>
      </bottom>
      <diagonal/>
    </border>
    <border>
      <left style="thin">
        <color rgb="FF0092AB"/>
      </left>
      <right/>
      <top style="thin">
        <color rgb="FF0092AB"/>
      </top>
      <bottom style="thin">
        <color rgb="FF0092AB"/>
      </bottom>
      <diagonal/>
    </border>
    <border>
      <left/>
      <right/>
      <top style="thin">
        <color rgb="FF0092AB"/>
      </top>
      <bottom style="thin">
        <color rgb="FF0092AB"/>
      </bottom>
      <diagonal/>
    </border>
    <border>
      <left style="medium">
        <color rgb="FF0092AB"/>
      </left>
      <right/>
      <top style="medium">
        <color rgb="FF0092AB"/>
      </top>
      <bottom/>
      <diagonal/>
    </border>
    <border>
      <left style="thin">
        <color rgb="FF0092AB"/>
      </left>
      <right style="thin">
        <color rgb="FF0092AB"/>
      </right>
      <top style="medium">
        <color rgb="FF0092AB"/>
      </top>
      <bottom style="thin">
        <color rgb="FF0092AB"/>
      </bottom>
      <diagonal/>
    </border>
    <border>
      <left style="thin">
        <color rgb="FF0092AB"/>
      </left>
      <right style="medium">
        <color rgb="FF0092AB"/>
      </right>
      <top style="medium">
        <color rgb="FF0092AB"/>
      </top>
      <bottom style="thin">
        <color rgb="FF0092AB"/>
      </bottom>
      <diagonal/>
    </border>
    <border>
      <left style="medium">
        <color rgb="FF0092AB"/>
      </left>
      <right style="thin">
        <color rgb="FF0092AB"/>
      </right>
      <top style="thin">
        <color rgb="FF0092AB"/>
      </top>
      <bottom style="thin">
        <color rgb="FF0092AB"/>
      </bottom>
      <diagonal/>
    </border>
    <border>
      <left style="thin">
        <color rgb="FF0092AB"/>
      </left>
      <right style="medium">
        <color rgb="FF0092AB"/>
      </right>
      <top style="thin">
        <color rgb="FF0092AB"/>
      </top>
      <bottom style="thin">
        <color rgb="FF0092AB"/>
      </bottom>
      <diagonal/>
    </border>
    <border>
      <left style="medium">
        <color rgb="FF0092AB"/>
      </left>
      <right style="thin">
        <color rgb="FF0092AB"/>
      </right>
      <top style="thin">
        <color rgb="FF0092AB"/>
      </top>
      <bottom style="medium">
        <color rgb="FF0092AB"/>
      </bottom>
      <diagonal/>
    </border>
    <border>
      <left style="thin">
        <color rgb="FF0092AB"/>
      </left>
      <right style="thin">
        <color rgb="FF0092AB"/>
      </right>
      <top style="thin">
        <color rgb="FF0092AB"/>
      </top>
      <bottom style="medium">
        <color rgb="FF0092AB"/>
      </bottom>
      <diagonal/>
    </border>
    <border>
      <left style="thin">
        <color rgb="FF0092AB"/>
      </left>
      <right style="medium">
        <color rgb="FF0092AB"/>
      </right>
      <top style="thin">
        <color rgb="FF0092AB"/>
      </top>
      <bottom style="medium">
        <color rgb="FF0092AB"/>
      </bottom>
      <diagonal/>
    </border>
    <border>
      <left style="medium">
        <color rgb="FF0092AB"/>
      </left>
      <right style="thin">
        <color rgb="FF0092AB"/>
      </right>
      <top style="medium">
        <color rgb="FF0092AB"/>
      </top>
      <bottom style="thin">
        <color rgb="FF0092AB"/>
      </bottom>
      <diagonal/>
    </border>
    <border>
      <left/>
      <right style="medium">
        <color rgb="FF0092AB"/>
      </right>
      <top style="thin">
        <color rgb="FF0092AB"/>
      </top>
      <bottom style="thin">
        <color rgb="FF0092AB"/>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5" tint="-0.249977111117893"/>
      </left>
      <right/>
      <top/>
      <bottom/>
      <diagonal/>
    </border>
    <border>
      <left/>
      <right style="thin">
        <color theme="5" tint="-0.249977111117893"/>
      </right>
      <top/>
      <bottom/>
      <diagonal/>
    </border>
    <border>
      <left style="thin">
        <color theme="5" tint="-0.249977111117893"/>
      </left>
      <right/>
      <top/>
      <bottom style="thin">
        <color theme="5" tint="-0.249977111117893"/>
      </bottom>
      <diagonal/>
    </border>
    <border>
      <left/>
      <right/>
      <top/>
      <bottom style="thin">
        <color theme="5" tint="-0.249977111117893"/>
      </bottom>
      <diagonal/>
    </border>
    <border>
      <left/>
      <right style="thin">
        <color theme="5" tint="-0.249977111117893"/>
      </right>
      <top/>
      <bottom style="thin">
        <color theme="5" tint="-0.249977111117893"/>
      </bottom>
      <diagonal/>
    </border>
    <border>
      <left style="hair">
        <color theme="0" tint="-0.14999847407452621"/>
      </left>
      <right/>
      <top/>
      <bottom/>
      <diagonal/>
    </border>
    <border>
      <left/>
      <right/>
      <top style="hair">
        <color rgb="FFF7F7F7"/>
      </top>
      <bottom/>
      <diagonal/>
    </border>
    <border>
      <left style="hair">
        <color rgb="FFF7F7F7"/>
      </left>
      <right/>
      <top style="thin">
        <color rgb="FFF7F7F7"/>
      </top>
      <bottom/>
      <diagonal/>
    </border>
    <border>
      <left/>
      <right/>
      <top style="thin">
        <color rgb="FFF7F7F7"/>
      </top>
      <bottom/>
      <diagonal/>
    </border>
    <border>
      <left/>
      <right style="hair">
        <color rgb="FFF7F7F7"/>
      </right>
      <top style="thin">
        <color rgb="FFF7F7F7"/>
      </top>
      <bottom/>
      <diagonal/>
    </border>
    <border>
      <left/>
      <right style="thin">
        <color rgb="FF0092AB"/>
      </right>
      <top style="thin">
        <color rgb="FFF7F7F7"/>
      </top>
      <bottom style="hair">
        <color rgb="FF0092AB"/>
      </bottom>
      <diagonal/>
    </border>
    <border>
      <left/>
      <right style="thin">
        <color rgb="FF0092AB"/>
      </right>
      <top/>
      <bottom style="thin">
        <color rgb="FFF7F7F7"/>
      </bottom>
      <diagonal/>
    </border>
    <border>
      <left/>
      <right/>
      <top style="thin">
        <color rgb="FFF7F7F7"/>
      </top>
      <bottom style="hair">
        <color rgb="FF0092AB"/>
      </bottom>
      <diagonal/>
    </border>
    <border>
      <left/>
      <right style="thin">
        <color rgb="FF0092AB"/>
      </right>
      <top style="hair">
        <color rgb="FF0092AB"/>
      </top>
      <bottom style="hair">
        <color rgb="FF0092AB"/>
      </bottom>
      <diagonal/>
    </border>
    <border>
      <left/>
      <right style="thin">
        <color rgb="FF0092AB"/>
      </right>
      <top style="hair">
        <color rgb="FF0092AB"/>
      </top>
      <bottom style="thin">
        <color rgb="FF0092AB"/>
      </bottom>
      <diagonal/>
    </border>
    <border>
      <left style="hair">
        <color rgb="FF0092AB"/>
      </left>
      <right style="thin">
        <color rgb="FFF7F7F7"/>
      </right>
      <top/>
      <bottom style="hair">
        <color rgb="FF0092AB"/>
      </bottom>
      <diagonal/>
    </border>
    <border>
      <left style="thin">
        <color rgb="FFF7F7F7"/>
      </left>
      <right/>
      <top style="hair">
        <color rgb="FF0092AB"/>
      </top>
      <bottom style="hair">
        <color rgb="FF0092AB"/>
      </bottom>
      <diagonal/>
    </border>
    <border>
      <left/>
      <right/>
      <top style="hair">
        <color rgb="FF0092AB"/>
      </top>
      <bottom style="hair">
        <color rgb="FF0092AB"/>
      </bottom>
      <diagonal/>
    </border>
    <border>
      <left/>
      <right style="thin">
        <color rgb="FFF7F7F7"/>
      </right>
      <top style="hair">
        <color rgb="FF0092AB"/>
      </top>
      <bottom style="hair">
        <color rgb="FF0092AB"/>
      </bottom>
      <diagonal/>
    </border>
  </borders>
  <cellStyleXfs count="5">
    <xf numFmtId="0" fontId="0" fillId="0" borderId="0"/>
    <xf numFmtId="164" fontId="1" fillId="0" borderId="0" applyFont="0" applyFill="0" applyBorder="0" applyAlignment="0" applyProtection="0"/>
    <xf numFmtId="0" fontId="20" fillId="0" borderId="0" applyNumberFormat="0" applyFill="0" applyBorder="0" applyAlignment="0" applyProtection="0"/>
    <xf numFmtId="0" fontId="24" fillId="0" borderId="0"/>
    <xf numFmtId="164" fontId="24" fillId="0" borderId="0" applyFont="0" applyFill="0" applyBorder="0" applyAlignment="0" applyProtection="0"/>
  </cellStyleXfs>
  <cellXfs count="463">
    <xf numFmtId="0" fontId="0" fillId="0" borderId="0" xfId="0"/>
    <xf numFmtId="0" fontId="2" fillId="0" borderId="0" xfId="0" applyFont="1"/>
    <xf numFmtId="0" fontId="0" fillId="0" borderId="1" xfId="0" applyBorder="1"/>
    <xf numFmtId="0" fontId="2" fillId="0" borderId="1" xfId="0" applyFont="1" applyBorder="1"/>
    <xf numFmtId="0" fontId="0" fillId="2" borderId="1" xfId="0" applyFill="1" applyBorder="1"/>
    <xf numFmtId="0" fontId="5" fillId="0" borderId="0" xfId="0" applyFont="1"/>
    <xf numFmtId="0" fontId="0" fillId="3" borderId="1" xfId="0" applyFill="1" applyBorder="1"/>
    <xf numFmtId="0" fontId="0" fillId="4" borderId="1" xfId="0" applyFill="1" applyBorder="1"/>
    <xf numFmtId="0" fontId="0" fillId="0" borderId="1" xfId="0" applyBorder="1" applyAlignment="1">
      <alignment horizontal="center"/>
    </xf>
    <xf numFmtId="0" fontId="2"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6" borderId="0" xfId="0" applyFill="1"/>
    <xf numFmtId="0" fontId="0" fillId="6" borderId="0" xfId="0" applyFill="1" applyAlignment="1">
      <alignment vertical="top" wrapText="1"/>
    </xf>
    <xf numFmtId="0" fontId="0" fillId="0" borderId="0" xfId="0" applyAlignment="1">
      <alignment vertical="top" wrapText="1"/>
    </xf>
    <xf numFmtId="0" fontId="2" fillId="6" borderId="0" xfId="0" applyFont="1" applyFill="1" applyAlignment="1">
      <alignment vertical="top" wrapText="1"/>
    </xf>
    <xf numFmtId="0" fontId="9" fillId="0" borderId="0" xfId="0" applyFont="1" applyAlignment="1">
      <alignment vertical="top" wrapText="1"/>
    </xf>
    <xf numFmtId="0" fontId="8" fillId="6" borderId="0" xfId="0" applyFont="1" applyFill="1" applyAlignment="1">
      <alignment vertical="top" wrapText="1"/>
    </xf>
    <xf numFmtId="0" fontId="8" fillId="0" borderId="0" xfId="0" applyFont="1" applyAlignment="1">
      <alignment vertical="top" wrapText="1"/>
    </xf>
    <xf numFmtId="0" fontId="0" fillId="6" borderId="0" xfId="0" applyFill="1" applyAlignment="1">
      <alignment horizontal="left" vertical="top" wrapText="1"/>
    </xf>
    <xf numFmtId="0" fontId="13" fillId="6" borderId="0" xfId="0" applyFont="1" applyFill="1" applyAlignment="1">
      <alignment vertical="top" wrapText="1"/>
    </xf>
    <xf numFmtId="0" fontId="12" fillId="6" borderId="0" xfId="0" applyFont="1" applyFill="1" applyAlignment="1">
      <alignment horizontal="left" vertical="top" wrapText="1"/>
    </xf>
    <xf numFmtId="0" fontId="13" fillId="6" borderId="0" xfId="0" applyFont="1" applyFill="1" applyAlignment="1">
      <alignment horizontal="center" vertical="top" wrapText="1"/>
    </xf>
    <xf numFmtId="0" fontId="13" fillId="6" borderId="0" xfId="0" applyFont="1" applyFill="1" applyAlignment="1">
      <alignment horizontal="left" vertical="top" wrapText="1"/>
    </xf>
    <xf numFmtId="164" fontId="13" fillId="8" borderId="4" xfId="0" applyNumberFormat="1" applyFont="1" applyFill="1" applyBorder="1" applyAlignment="1">
      <alignment vertical="top" wrapText="1"/>
    </xf>
    <xf numFmtId="164" fontId="13" fillId="8" borderId="3" xfId="0" applyNumberFormat="1" applyFont="1" applyFill="1" applyBorder="1" applyAlignment="1">
      <alignment vertical="top" wrapText="1"/>
    </xf>
    <xf numFmtId="0" fontId="13" fillId="8" borderId="5" xfId="0" applyFont="1" applyFill="1" applyBorder="1" applyAlignment="1">
      <alignment horizontal="center" vertical="top" wrapText="1"/>
    </xf>
    <xf numFmtId="0" fontId="13" fillId="8" borderId="6" xfId="0" applyFont="1" applyFill="1" applyBorder="1" applyAlignment="1">
      <alignment horizontal="center" vertical="top" wrapText="1"/>
    </xf>
    <xf numFmtId="0" fontId="12" fillId="5" borderId="0" xfId="0" applyFont="1" applyFill="1" applyAlignment="1">
      <alignment vertical="top" wrapText="1"/>
    </xf>
    <xf numFmtId="0" fontId="14" fillId="5" borderId="0" xfId="0" applyFont="1" applyFill="1" applyAlignment="1">
      <alignment vertical="top" wrapText="1"/>
    </xf>
    <xf numFmtId="16" fontId="12" fillId="5" borderId="0" xfId="0" applyNumberFormat="1" applyFont="1" applyFill="1" applyAlignment="1">
      <alignment horizontal="left" vertical="top" wrapText="1"/>
    </xf>
    <xf numFmtId="0" fontId="13" fillId="7" borderId="3" xfId="0" applyFont="1" applyFill="1" applyBorder="1" applyAlignment="1">
      <alignment vertical="top" wrapText="1"/>
    </xf>
    <xf numFmtId="0" fontId="16" fillId="6" borderId="0" xfId="0" applyFont="1" applyFill="1" applyAlignment="1">
      <alignment vertical="top" wrapText="1"/>
    </xf>
    <xf numFmtId="0" fontId="11" fillId="6" borderId="0" xfId="0" applyFont="1" applyFill="1"/>
    <xf numFmtId="0" fontId="10" fillId="5" borderId="0" xfId="0" applyFont="1" applyFill="1" applyAlignment="1">
      <alignment horizontal="center" vertical="center"/>
    </xf>
    <xf numFmtId="0" fontId="12" fillId="5" borderId="0" xfId="0" applyFont="1" applyFill="1"/>
    <xf numFmtId="0" fontId="6" fillId="6" borderId="0" xfId="0" applyFont="1" applyFill="1"/>
    <xf numFmtId="0" fontId="13" fillId="0" borderId="0" xfId="0" applyFont="1"/>
    <xf numFmtId="0" fontId="18" fillId="6" borderId="0" xfId="0" applyFont="1" applyFill="1"/>
    <xf numFmtId="0" fontId="17" fillId="6" borderId="0" xfId="0" applyFont="1" applyFill="1"/>
    <xf numFmtId="0" fontId="18" fillId="6" borderId="0" xfId="0" applyFont="1" applyFill="1" applyAlignment="1">
      <alignment horizontal="left" vertical="top"/>
    </xf>
    <xf numFmtId="164" fontId="13" fillId="8" borderId="0" xfId="0" applyNumberFormat="1" applyFont="1" applyFill="1" applyAlignment="1">
      <alignment vertical="center"/>
    </xf>
    <xf numFmtId="164" fontId="6" fillId="8" borderId="0" xfId="0" applyNumberFormat="1" applyFont="1" applyFill="1" applyAlignment="1">
      <alignment vertical="center"/>
    </xf>
    <xf numFmtId="0" fontId="13" fillId="6" borderId="0" xfId="0" applyFont="1" applyFill="1"/>
    <xf numFmtId="0" fontId="13" fillId="7" borderId="3" xfId="0" applyFont="1" applyFill="1" applyBorder="1"/>
    <xf numFmtId="0" fontId="13" fillId="6" borderId="8" xfId="0" applyFont="1" applyFill="1" applyBorder="1"/>
    <xf numFmtId="0" fontId="13" fillId="6" borderId="9" xfId="0" applyFont="1" applyFill="1" applyBorder="1"/>
    <xf numFmtId="0" fontId="13" fillId="6" borderId="10" xfId="0" applyFont="1" applyFill="1" applyBorder="1"/>
    <xf numFmtId="0" fontId="13" fillId="6" borderId="11" xfId="0" applyFont="1" applyFill="1" applyBorder="1"/>
    <xf numFmtId="0" fontId="13" fillId="6" borderId="12" xfId="0" applyFont="1" applyFill="1" applyBorder="1"/>
    <xf numFmtId="0" fontId="13" fillId="6" borderId="11" xfId="0" applyFont="1" applyFill="1" applyBorder="1" applyAlignment="1">
      <alignment horizontal="left" vertical="top" wrapText="1"/>
    </xf>
    <xf numFmtId="0" fontId="13" fillId="6" borderId="12" xfId="0" applyFont="1" applyFill="1" applyBorder="1" applyAlignment="1">
      <alignment horizontal="left" vertical="top" wrapText="1"/>
    </xf>
    <xf numFmtId="0" fontId="13" fillId="0" borderId="0" xfId="0" applyFont="1" applyAlignment="1">
      <alignment horizontal="left" vertical="top" wrapText="1"/>
    </xf>
    <xf numFmtId="0" fontId="13" fillId="6" borderId="13" xfId="0" applyFont="1" applyFill="1" applyBorder="1"/>
    <xf numFmtId="0" fontId="13" fillId="6" borderId="15" xfId="0" applyFont="1" applyFill="1" applyBorder="1"/>
    <xf numFmtId="164" fontId="13" fillId="8" borderId="3" xfId="0" applyNumberFormat="1" applyFont="1" applyFill="1" applyBorder="1"/>
    <xf numFmtId="0" fontId="13" fillId="6" borderId="14" xfId="0" applyFont="1" applyFill="1" applyBorder="1"/>
    <xf numFmtId="164" fontId="12" fillId="5" borderId="0" xfId="0" applyNumberFormat="1" applyFont="1" applyFill="1"/>
    <xf numFmtId="0" fontId="7" fillId="6" borderId="0" xfId="0" applyFont="1" applyFill="1"/>
    <xf numFmtId="164" fontId="13" fillId="7" borderId="3" xfId="1" applyFont="1" applyFill="1" applyBorder="1"/>
    <xf numFmtId="0" fontId="13" fillId="6" borderId="0" xfId="0" applyFont="1" applyFill="1" applyAlignment="1">
      <alignment wrapText="1"/>
    </xf>
    <xf numFmtId="0" fontId="13" fillId="0" borderId="0" xfId="0" applyFont="1" applyAlignment="1">
      <alignment wrapText="1"/>
    </xf>
    <xf numFmtId="164" fontId="13" fillId="7" borderId="17" xfId="1" applyFont="1" applyFill="1" applyBorder="1"/>
    <xf numFmtId="0" fontId="13" fillId="7" borderId="18" xfId="0" applyFont="1" applyFill="1" applyBorder="1"/>
    <xf numFmtId="164" fontId="13" fillId="7" borderId="19" xfId="1" applyFont="1" applyFill="1" applyBorder="1"/>
    <xf numFmtId="0" fontId="13" fillId="7" borderId="20" xfId="0" applyFont="1" applyFill="1" applyBorder="1"/>
    <xf numFmtId="164" fontId="13" fillId="8" borderId="20" xfId="0" applyNumberFormat="1" applyFont="1" applyFill="1" applyBorder="1"/>
    <xf numFmtId="164" fontId="13" fillId="7" borderId="20" xfId="1" applyFont="1" applyFill="1" applyBorder="1"/>
    <xf numFmtId="0" fontId="13" fillId="7" borderId="21" xfId="0" applyFont="1" applyFill="1" applyBorder="1"/>
    <xf numFmtId="0" fontId="13" fillId="7" borderId="6" xfId="0" applyFont="1" applyFill="1" applyBorder="1"/>
    <xf numFmtId="0" fontId="13" fillId="7" borderId="17" xfId="0" applyFont="1" applyFill="1" applyBorder="1"/>
    <xf numFmtId="0" fontId="13" fillId="7" borderId="19" xfId="0" applyFont="1" applyFill="1" applyBorder="1"/>
    <xf numFmtId="164" fontId="13" fillId="8" borderId="6" xfId="0" applyNumberFormat="1" applyFont="1" applyFill="1" applyBorder="1"/>
    <xf numFmtId="164" fontId="13" fillId="8" borderId="17" xfId="1" applyFont="1" applyFill="1" applyBorder="1"/>
    <xf numFmtId="164" fontId="13" fillId="8" borderId="18" xfId="1" applyFont="1" applyFill="1" applyBorder="1"/>
    <xf numFmtId="0" fontId="13" fillId="7" borderId="16" xfId="0" applyFont="1" applyFill="1" applyBorder="1" applyAlignment="1">
      <alignment wrapText="1"/>
    </xf>
    <xf numFmtId="0" fontId="13" fillId="7" borderId="3" xfId="0" applyFont="1" applyFill="1" applyBorder="1" applyAlignment="1">
      <alignment wrapText="1"/>
    </xf>
    <xf numFmtId="0" fontId="12" fillId="5" borderId="7" xfId="0" applyFont="1" applyFill="1" applyBorder="1" applyAlignment="1">
      <alignment horizontal="left" vertical="top" wrapText="1"/>
    </xf>
    <xf numFmtId="0" fontId="12" fillId="5" borderId="22" xfId="0" applyFont="1" applyFill="1" applyBorder="1" applyAlignment="1">
      <alignment horizontal="left" vertical="top" wrapText="1"/>
    </xf>
    <xf numFmtId="0" fontId="12" fillId="5" borderId="23" xfId="0" applyFont="1" applyFill="1" applyBorder="1" applyAlignment="1">
      <alignment horizontal="left" vertical="top" wrapText="1"/>
    </xf>
    <xf numFmtId="0" fontId="16" fillId="0" borderId="0" xfId="0" applyFont="1" applyAlignment="1">
      <alignment vertical="center"/>
    </xf>
    <xf numFmtId="0" fontId="16" fillId="0" borderId="0" xfId="0" applyFont="1" applyAlignment="1">
      <alignment horizontal="center" vertical="center"/>
    </xf>
    <xf numFmtId="0" fontId="13" fillId="8" borderId="0" xfId="0" applyFont="1" applyFill="1" applyAlignment="1">
      <alignment vertical="center"/>
    </xf>
    <xf numFmtId="0" fontId="13" fillId="8" borderId="0" xfId="0" applyFont="1" applyFill="1" applyAlignment="1">
      <alignment horizontal="center" vertical="center"/>
    </xf>
    <xf numFmtId="0" fontId="6" fillId="8" borderId="0" xfId="0" applyFont="1" applyFill="1" applyAlignment="1">
      <alignment vertical="center"/>
    </xf>
    <xf numFmtId="0" fontId="12" fillId="5" borderId="0" xfId="0" applyFont="1" applyFill="1" applyAlignment="1">
      <alignment vertical="center" wrapText="1"/>
    </xf>
    <xf numFmtId="0" fontId="10" fillId="5" borderId="0" xfId="0" applyFont="1" applyFill="1" applyAlignment="1">
      <alignment vertical="center" wrapText="1"/>
    </xf>
    <xf numFmtId="0" fontId="12" fillId="5" borderId="0" xfId="0" applyFont="1" applyFill="1" applyAlignment="1">
      <alignment horizontal="center" vertical="center"/>
    </xf>
    <xf numFmtId="0" fontId="12" fillId="5" borderId="0" xfId="0" applyFont="1" applyFill="1" applyAlignment="1">
      <alignment vertical="top"/>
    </xf>
    <xf numFmtId="0" fontId="12" fillId="5" borderId="0" xfId="0" applyFont="1" applyFill="1" applyAlignment="1">
      <alignment horizontal="center" vertical="top"/>
    </xf>
    <xf numFmtId="0" fontId="13" fillId="6" borderId="0" xfId="0" applyFont="1" applyFill="1" applyAlignment="1">
      <alignment vertical="center"/>
    </xf>
    <xf numFmtId="0" fontId="13" fillId="0" borderId="0" xfId="0" applyFont="1" applyAlignment="1">
      <alignment vertical="center"/>
    </xf>
    <xf numFmtId="0" fontId="13" fillId="6" borderId="11" xfId="0" applyFont="1" applyFill="1" applyBorder="1" applyAlignment="1">
      <alignment vertical="center"/>
    </xf>
    <xf numFmtId="0" fontId="13" fillId="6" borderId="12" xfId="0" applyFont="1" applyFill="1" applyBorder="1" applyAlignment="1">
      <alignment vertical="center"/>
    </xf>
    <xf numFmtId="0" fontId="12" fillId="5" borderId="0" xfId="0" applyFont="1" applyFill="1" applyAlignment="1">
      <alignment vertical="center"/>
    </xf>
    <xf numFmtId="164" fontId="12" fillId="5" borderId="0" xfId="0" applyNumberFormat="1" applyFont="1" applyFill="1" applyAlignment="1">
      <alignment vertical="center"/>
    </xf>
    <xf numFmtId="0" fontId="13" fillId="7" borderId="3" xfId="0" applyFont="1" applyFill="1" applyBorder="1" applyAlignment="1">
      <alignment vertical="top"/>
    </xf>
    <xf numFmtId="164" fontId="13" fillId="8" borderId="3" xfId="0" applyNumberFormat="1" applyFont="1" applyFill="1" applyBorder="1" applyAlignment="1">
      <alignment vertical="top"/>
    </xf>
    <xf numFmtId="164" fontId="13" fillId="7" borderId="3" xfId="0" applyNumberFormat="1" applyFont="1" applyFill="1" applyBorder="1" applyAlignment="1">
      <alignment vertical="top"/>
    </xf>
    <xf numFmtId="0" fontId="6" fillId="5" borderId="0" xfId="0" applyFont="1" applyFill="1" applyAlignment="1">
      <alignment vertical="center"/>
    </xf>
    <xf numFmtId="164" fontId="13" fillId="7" borderId="36" xfId="1" applyFont="1" applyFill="1" applyBorder="1" applyAlignment="1">
      <alignment vertical="center" wrapText="1"/>
    </xf>
    <xf numFmtId="0" fontId="13" fillId="8" borderId="3" xfId="0" applyFont="1" applyFill="1" applyBorder="1" applyAlignment="1">
      <alignment vertical="center" wrapText="1"/>
    </xf>
    <xf numFmtId="0" fontId="13" fillId="7" borderId="37" xfId="0" applyFont="1" applyFill="1" applyBorder="1" applyAlignment="1">
      <alignment vertical="center" wrapText="1"/>
    </xf>
    <xf numFmtId="0" fontId="13" fillId="7" borderId="36" xfId="0" applyFont="1" applyFill="1" applyBorder="1" applyAlignment="1">
      <alignment horizontal="center" vertical="center" wrapText="1"/>
    </xf>
    <xf numFmtId="0" fontId="0" fillId="6" borderId="0" xfId="0" applyFill="1" applyAlignment="1">
      <alignment horizontal="left" vertical="top"/>
    </xf>
    <xf numFmtId="0" fontId="2" fillId="6" borderId="0" xfId="0" applyFont="1" applyFill="1"/>
    <xf numFmtId="0" fontId="0" fillId="6" borderId="40" xfId="0" applyFill="1" applyBorder="1"/>
    <xf numFmtId="0" fontId="2" fillId="6" borderId="47" xfId="0" applyFont="1" applyFill="1" applyBorder="1"/>
    <xf numFmtId="0" fontId="0" fillId="6" borderId="50" xfId="0" applyFill="1" applyBorder="1"/>
    <xf numFmtId="0" fontId="0" fillId="6" borderId="51" xfId="0" applyFill="1" applyBorder="1"/>
    <xf numFmtId="0" fontId="2" fillId="6" borderId="52" xfId="0" applyFont="1" applyFill="1" applyBorder="1"/>
    <xf numFmtId="0" fontId="2" fillId="6" borderId="53" xfId="0" applyFont="1" applyFill="1" applyBorder="1"/>
    <xf numFmtId="0" fontId="0" fillId="6" borderId="54" xfId="0" applyFill="1" applyBorder="1"/>
    <xf numFmtId="0" fontId="2" fillId="6" borderId="50" xfId="0" applyFont="1" applyFill="1" applyBorder="1"/>
    <xf numFmtId="0" fontId="0" fillId="6" borderId="55" xfId="0" applyFill="1" applyBorder="1"/>
    <xf numFmtId="0" fontId="0" fillId="6" borderId="48" xfId="0" applyFill="1" applyBorder="1"/>
    <xf numFmtId="0" fontId="0" fillId="6" borderId="49" xfId="0" applyFill="1" applyBorder="1"/>
    <xf numFmtId="0" fontId="0" fillId="7" borderId="40" xfId="0" applyFill="1" applyBorder="1"/>
    <xf numFmtId="164" fontId="0" fillId="7" borderId="40" xfId="1" applyFont="1" applyFill="1" applyBorder="1"/>
    <xf numFmtId="164" fontId="0" fillId="6" borderId="40" xfId="1" applyFont="1" applyFill="1" applyBorder="1"/>
    <xf numFmtId="166" fontId="0" fillId="7" borderId="40" xfId="0" applyNumberFormat="1" applyFill="1" applyBorder="1"/>
    <xf numFmtId="164" fontId="2" fillId="6" borderId="53" xfId="0" applyNumberFormat="1" applyFont="1" applyFill="1" applyBorder="1"/>
    <xf numFmtId="0" fontId="6" fillId="6" borderId="0" xfId="0" applyFont="1" applyFill="1" applyAlignment="1">
      <alignment horizontal="left" vertical="center"/>
    </xf>
    <xf numFmtId="1" fontId="2" fillId="6" borderId="53" xfId="0" applyNumberFormat="1" applyFont="1" applyFill="1" applyBorder="1"/>
    <xf numFmtId="164" fontId="2" fillId="6" borderId="53" xfId="1" applyFont="1" applyFill="1" applyBorder="1"/>
    <xf numFmtId="0" fontId="12" fillId="5" borderId="0" xfId="0" applyFont="1" applyFill="1" applyAlignment="1">
      <alignment horizontal="left" vertical="top" wrapText="1"/>
    </xf>
    <xf numFmtId="0" fontId="12" fillId="5" borderId="0" xfId="0" applyFont="1" applyFill="1" applyAlignment="1">
      <alignment horizontal="center" vertical="center" wrapText="1"/>
    </xf>
    <xf numFmtId="0" fontId="13" fillId="0" borderId="0" xfId="0" applyFont="1" applyAlignment="1">
      <alignment horizontal="left" vertical="center"/>
    </xf>
    <xf numFmtId="0" fontId="6" fillId="0" borderId="0" xfId="0" applyFont="1"/>
    <xf numFmtId="0" fontId="2" fillId="2" borderId="1" xfId="0" applyFont="1" applyFill="1" applyBorder="1" applyAlignment="1">
      <alignment horizontal="left" vertical="top" wrapText="1"/>
    </xf>
    <xf numFmtId="0" fontId="0" fillId="0" borderId="1" xfId="0" applyBorder="1" applyAlignment="1">
      <alignment vertical="top" wrapText="1"/>
    </xf>
    <xf numFmtId="2" fontId="0" fillId="0" borderId="1" xfId="0" applyNumberFormat="1" applyBorder="1" applyAlignment="1">
      <alignment horizontal="center" vertical="top" wrapText="1"/>
    </xf>
    <xf numFmtId="0" fontId="22" fillId="0" borderId="0" xfId="0" applyFont="1" applyAlignment="1">
      <alignment horizontal="left" vertical="center" indent="5"/>
    </xf>
    <xf numFmtId="0" fontId="0" fillId="0" borderId="0" xfId="0" applyAlignment="1">
      <alignment wrapText="1"/>
    </xf>
    <xf numFmtId="0" fontId="0" fillId="0" borderId="0" xfId="0" applyAlignment="1">
      <alignment vertical="top"/>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166" fontId="0" fillId="0" borderId="1" xfId="0" applyNumberFormat="1" applyBorder="1" applyAlignment="1">
      <alignment vertical="top"/>
    </xf>
    <xf numFmtId="166" fontId="0" fillId="0" borderId="1" xfId="0" applyNumberFormat="1" applyBorder="1" applyAlignment="1">
      <alignment horizontal="center" vertical="top"/>
    </xf>
    <xf numFmtId="0" fontId="0" fillId="0" borderId="0" xfId="0" applyAlignment="1">
      <alignment horizontal="center" vertical="top"/>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1" fontId="23" fillId="0" borderId="1" xfId="0" applyNumberFormat="1" applyFont="1" applyBorder="1" applyAlignment="1">
      <alignment horizontal="center" vertical="center" wrapText="1"/>
    </xf>
    <xf numFmtId="17" fontId="0" fillId="0" borderId="1" xfId="0" applyNumberFormat="1" applyBorder="1"/>
    <xf numFmtId="167" fontId="23" fillId="0" borderId="1" xfId="0" applyNumberFormat="1" applyFont="1" applyBorder="1" applyAlignment="1">
      <alignment horizontal="center" vertical="center" wrapText="1"/>
    </xf>
    <xf numFmtId="167" fontId="0" fillId="0" borderId="1" xfId="0" applyNumberFormat="1" applyBorder="1"/>
    <xf numFmtId="0" fontId="6" fillId="0" borderId="0" xfId="0" applyFont="1" applyAlignment="1">
      <alignment vertical="top"/>
    </xf>
    <xf numFmtId="0" fontId="2" fillId="0" borderId="0" xfId="0" applyFont="1" applyAlignment="1">
      <alignment vertical="top"/>
    </xf>
    <xf numFmtId="0" fontId="0" fillId="0" borderId="1" xfId="0" applyBorder="1" applyAlignment="1">
      <alignment vertical="top"/>
    </xf>
    <xf numFmtId="0" fontId="6" fillId="0" borderId="0" xfId="0" applyFont="1" applyAlignment="1">
      <alignment horizontal="left" vertical="top"/>
    </xf>
    <xf numFmtId="0" fontId="24" fillId="0" borderId="1" xfId="3" applyBorder="1" applyAlignment="1">
      <alignment horizontal="left" vertical="top" wrapText="1"/>
    </xf>
    <xf numFmtId="0" fontId="24" fillId="0" borderId="1" xfId="3" applyBorder="1" applyAlignment="1">
      <alignment vertical="top" wrapText="1"/>
    </xf>
    <xf numFmtId="17" fontId="0" fillId="0" borderId="1" xfId="0" applyNumberFormat="1" applyBorder="1" applyAlignment="1">
      <alignment vertical="top" wrapText="1"/>
    </xf>
    <xf numFmtId="0" fontId="23" fillId="0" borderId="57" xfId="0" applyFont="1" applyBorder="1" applyAlignment="1">
      <alignment horizontal="center" vertical="center" wrapText="1"/>
    </xf>
    <xf numFmtId="0" fontId="0" fillId="0" borderId="0" xfId="0" applyAlignment="1">
      <alignment horizontal="center" vertical="top" wrapText="1"/>
    </xf>
    <xf numFmtId="0" fontId="25" fillId="0" borderId="0" xfId="0" applyFont="1"/>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26" fillId="0" borderId="0" xfId="0" applyFont="1" applyAlignment="1">
      <alignment horizontal="left" vertical="top" wrapText="1"/>
    </xf>
    <xf numFmtId="168" fontId="25" fillId="0" borderId="1" xfId="0" applyNumberFormat="1" applyFont="1" applyBorder="1" applyAlignment="1">
      <alignment horizontal="right" vertical="top"/>
    </xf>
    <xf numFmtId="169" fontId="25" fillId="0" borderId="1" xfId="0" applyNumberFormat="1" applyFont="1" applyBorder="1" applyAlignment="1">
      <alignment horizontal="right" vertical="top"/>
    </xf>
    <xf numFmtId="169" fontId="0" fillId="0" borderId="1" xfId="0" applyNumberFormat="1" applyBorder="1"/>
    <xf numFmtId="3" fontId="25" fillId="0" borderId="1" xfId="0" applyNumberFormat="1" applyFont="1" applyBorder="1" applyAlignment="1">
      <alignment horizontal="right" vertical="top"/>
    </xf>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vertical="center" wrapText="1"/>
    </xf>
    <xf numFmtId="0" fontId="13" fillId="2" borderId="0" xfId="0" applyFont="1" applyFill="1"/>
    <xf numFmtId="0" fontId="13" fillId="2" borderId="0" xfId="0" applyFont="1" applyFill="1" applyAlignment="1">
      <alignment horizontal="left" vertical="center"/>
    </xf>
    <xf numFmtId="0" fontId="1" fillId="0" borderId="0" xfId="3" applyFont="1" applyAlignment="1">
      <alignment horizontal="left" vertical="top" wrapText="1"/>
    </xf>
    <xf numFmtId="0" fontId="1" fillId="0" borderId="60" xfId="3" applyFont="1" applyBorder="1" applyAlignment="1">
      <alignment horizontal="left" vertical="top" wrapText="1"/>
    </xf>
    <xf numFmtId="167" fontId="1" fillId="0" borderId="61" xfId="3" applyNumberFormat="1" applyFont="1" applyBorder="1" applyAlignment="1">
      <alignment horizontal="left" vertical="top" wrapText="1"/>
    </xf>
    <xf numFmtId="0" fontId="1" fillId="0" borderId="61" xfId="3" applyFont="1" applyBorder="1" applyAlignment="1">
      <alignment horizontal="left" vertical="top" wrapText="1"/>
    </xf>
    <xf numFmtId="166" fontId="1" fillId="0" borderId="61" xfId="3" applyNumberFormat="1" applyFont="1" applyBorder="1" applyAlignment="1">
      <alignment horizontal="left" vertical="top" wrapText="1"/>
    </xf>
    <xf numFmtId="2" fontId="1" fillId="0" borderId="61" xfId="3" applyNumberFormat="1" applyFont="1" applyBorder="1" applyAlignment="1">
      <alignment horizontal="left" vertical="top" wrapText="1"/>
    </xf>
    <xf numFmtId="0" fontId="1" fillId="0" borderId="62" xfId="3" applyFont="1" applyBorder="1" applyAlignment="1">
      <alignment horizontal="left" vertical="top" wrapText="1"/>
    </xf>
    <xf numFmtId="170" fontId="1" fillId="0" borderId="61" xfId="4" applyNumberFormat="1" applyFont="1" applyBorder="1" applyAlignment="1">
      <alignment horizontal="left" vertical="top" wrapText="1"/>
    </xf>
    <xf numFmtId="0" fontId="1" fillId="0" borderId="63" xfId="3" applyFont="1" applyBorder="1" applyAlignment="1">
      <alignment horizontal="left" vertical="top" wrapText="1"/>
    </xf>
    <xf numFmtId="167" fontId="1" fillId="0" borderId="1" xfId="3" applyNumberFormat="1" applyFont="1" applyBorder="1" applyAlignment="1">
      <alignment horizontal="left" vertical="top" wrapText="1"/>
    </xf>
    <xf numFmtId="166" fontId="1" fillId="0" borderId="1" xfId="3" applyNumberFormat="1" applyFont="1" applyBorder="1" applyAlignment="1">
      <alignment horizontal="left" vertical="top" wrapText="1"/>
    </xf>
    <xf numFmtId="2" fontId="1" fillId="0" borderId="1" xfId="3" applyNumberFormat="1" applyFont="1" applyBorder="1" applyAlignment="1">
      <alignment horizontal="left" vertical="top" wrapText="1"/>
    </xf>
    <xf numFmtId="0" fontId="1" fillId="0" borderId="64" xfId="3" applyFont="1" applyBorder="1" applyAlignment="1">
      <alignment horizontal="left" vertical="top" wrapText="1"/>
    </xf>
    <xf numFmtId="170" fontId="1" fillId="0" borderId="1" xfId="4" applyNumberFormat="1" applyFont="1" applyBorder="1" applyAlignment="1">
      <alignment horizontal="left" vertical="top" wrapText="1"/>
    </xf>
    <xf numFmtId="0" fontId="1" fillId="0" borderId="1" xfId="3" applyFont="1" applyBorder="1" applyAlignment="1">
      <alignment horizontal="left"/>
    </xf>
    <xf numFmtId="0" fontId="1" fillId="0" borderId="1" xfId="3" applyFont="1" applyBorder="1" applyAlignment="1">
      <alignment horizontal="left" wrapText="1"/>
    </xf>
    <xf numFmtId="0" fontId="1" fillId="0" borderId="1" xfId="3" applyFont="1" applyBorder="1"/>
    <xf numFmtId="0" fontId="1" fillId="0" borderId="1" xfId="3" applyFont="1" applyBorder="1" applyAlignment="1">
      <alignment horizontal="left" vertical="top" wrapText="1"/>
    </xf>
    <xf numFmtId="0" fontId="1" fillId="0" borderId="63" xfId="3" applyFont="1" applyBorder="1" applyAlignment="1">
      <alignment horizontal="center" vertical="top" wrapText="1"/>
    </xf>
    <xf numFmtId="170" fontId="1" fillId="0" borderId="1" xfId="4" applyNumberFormat="1" applyFont="1" applyBorder="1" applyAlignment="1">
      <alignment horizontal="center" vertical="top" wrapText="1"/>
    </xf>
    <xf numFmtId="0" fontId="1" fillId="0" borderId="1" xfId="3" applyFont="1" applyBorder="1" applyAlignment="1">
      <alignment vertical="top"/>
    </xf>
    <xf numFmtId="0" fontId="1" fillId="0" borderId="64" xfId="3" applyFont="1" applyBorder="1" applyAlignment="1">
      <alignment horizontal="left"/>
    </xf>
    <xf numFmtId="171" fontId="1" fillId="0" borderId="1" xfId="4" applyNumberFormat="1" applyFont="1" applyBorder="1" applyAlignment="1">
      <alignment horizontal="center" vertical="top" wrapText="1"/>
    </xf>
    <xf numFmtId="0" fontId="1" fillId="0" borderId="1" xfId="3" applyFont="1" applyBorder="1" applyAlignment="1">
      <alignment vertical="top" wrapText="1"/>
    </xf>
    <xf numFmtId="0" fontId="9" fillId="0" borderId="63" xfId="3" applyFont="1" applyBorder="1" applyAlignment="1">
      <alignment horizontal="left" vertical="top" wrapText="1"/>
    </xf>
    <xf numFmtId="170" fontId="1" fillId="0" borderId="1" xfId="4" applyNumberFormat="1" applyFont="1" applyFill="1" applyBorder="1" applyAlignment="1">
      <alignment horizontal="center" vertical="top" wrapText="1"/>
    </xf>
    <xf numFmtId="1" fontId="1" fillId="0" borderId="63" xfId="3" applyNumberFormat="1" applyFont="1" applyBorder="1" applyAlignment="1">
      <alignment horizontal="center" vertical="top" wrapText="1"/>
    </xf>
    <xf numFmtId="0" fontId="9" fillId="0" borderId="0" xfId="3" applyFont="1" applyAlignment="1">
      <alignment horizontal="left" vertical="top" wrapText="1"/>
    </xf>
    <xf numFmtId="0" fontId="1" fillId="0" borderId="63" xfId="3" applyFont="1" applyBorder="1" applyAlignment="1">
      <alignment horizontal="center"/>
    </xf>
    <xf numFmtId="170" fontId="1" fillId="0" borderId="1" xfId="4" applyNumberFormat="1" applyFont="1" applyFill="1" applyBorder="1" applyAlignment="1">
      <alignment horizontal="left" vertical="top" wrapText="1"/>
    </xf>
    <xf numFmtId="0" fontId="25" fillId="0" borderId="1" xfId="3" applyFont="1" applyBorder="1" applyAlignment="1">
      <alignment horizontal="left" vertical="top" wrapText="1"/>
    </xf>
    <xf numFmtId="0" fontId="9" fillId="0" borderId="1" xfId="3" applyFont="1" applyBorder="1" applyAlignment="1">
      <alignment horizontal="left" vertical="top" wrapText="1"/>
    </xf>
    <xf numFmtId="0" fontId="1" fillId="9" borderId="1" xfId="3" applyFont="1" applyFill="1" applyBorder="1" applyAlignment="1">
      <alignment vertical="center" wrapText="1"/>
    </xf>
    <xf numFmtId="0" fontId="25" fillId="9" borderId="1" xfId="3" applyFont="1" applyFill="1" applyBorder="1" applyAlignment="1">
      <alignment horizontal="center" vertical="center" wrapText="1"/>
    </xf>
    <xf numFmtId="0" fontId="2" fillId="0" borderId="0" xfId="3" applyFont="1" applyAlignment="1">
      <alignment horizontal="center" vertical="center" wrapText="1"/>
    </xf>
    <xf numFmtId="0" fontId="2" fillId="4" borderId="63" xfId="3" applyFont="1" applyFill="1" applyBorder="1" applyAlignment="1">
      <alignment horizontal="center" vertical="center" wrapText="1"/>
    </xf>
    <xf numFmtId="0" fontId="2" fillId="9" borderId="1" xfId="3" applyFont="1" applyFill="1" applyBorder="1" applyAlignment="1">
      <alignment horizontal="center" vertical="center" wrapText="1"/>
    </xf>
    <xf numFmtId="0" fontId="2" fillId="0" borderId="0" xfId="3" applyFont="1" applyAlignment="1">
      <alignment horizontal="center" vertical="top" wrapText="1"/>
    </xf>
    <xf numFmtId="0" fontId="27" fillId="2" borderId="0" xfId="0" applyFont="1" applyFill="1" applyAlignment="1">
      <alignment horizontal="left" vertical="center"/>
    </xf>
    <xf numFmtId="0" fontId="21" fillId="2" borderId="75" xfId="2" applyFont="1" applyFill="1" applyBorder="1" applyAlignment="1">
      <alignment horizontal="left" vertical="center" wrapText="1"/>
    </xf>
    <xf numFmtId="0" fontId="13" fillId="2" borderId="74" xfId="0" applyFont="1" applyFill="1" applyBorder="1" applyAlignment="1">
      <alignment horizontal="left" vertical="center"/>
    </xf>
    <xf numFmtId="0" fontId="13" fillId="2" borderId="76" xfId="0" applyFont="1" applyFill="1" applyBorder="1"/>
    <xf numFmtId="0" fontId="13" fillId="2" borderId="77" xfId="0" applyFont="1" applyFill="1" applyBorder="1"/>
    <xf numFmtId="0" fontId="13" fillId="2" borderId="78" xfId="0" applyFont="1" applyFill="1" applyBorder="1"/>
    <xf numFmtId="0" fontId="29" fillId="6" borderId="10" xfId="0" applyFont="1" applyFill="1" applyBorder="1" applyAlignment="1">
      <alignment horizontal="left" vertical="center"/>
    </xf>
    <xf numFmtId="0" fontId="13" fillId="2" borderId="0" xfId="0" applyFont="1" applyFill="1" applyAlignment="1">
      <alignment horizontal="left" vertical="top"/>
    </xf>
    <xf numFmtId="0" fontId="13" fillId="0" borderId="0" xfId="0" applyFont="1" applyAlignment="1">
      <alignment horizontal="left" vertical="top"/>
    </xf>
    <xf numFmtId="0" fontId="13" fillId="2" borderId="71" xfId="0" applyFont="1" applyFill="1" applyBorder="1" applyAlignment="1">
      <alignment horizontal="left" vertical="top"/>
    </xf>
    <xf numFmtId="0" fontId="6" fillId="2" borderId="72" xfId="0" applyFont="1" applyFill="1" applyBorder="1" applyAlignment="1">
      <alignment horizontal="left" vertical="top"/>
    </xf>
    <xf numFmtId="0" fontId="30" fillId="2" borderId="73" xfId="0" applyFont="1" applyFill="1" applyBorder="1" applyAlignment="1">
      <alignment horizontal="left" vertical="center"/>
    </xf>
    <xf numFmtId="0" fontId="28" fillId="6" borderId="0" xfId="0" applyFont="1" applyFill="1" applyAlignment="1">
      <alignment vertical="center"/>
    </xf>
    <xf numFmtId="0" fontId="21" fillId="6" borderId="12" xfId="2" applyFont="1" applyFill="1" applyBorder="1" applyAlignment="1">
      <alignment vertical="center"/>
    </xf>
    <xf numFmtId="0" fontId="13" fillId="2" borderId="0" xfId="0" applyFont="1" applyFill="1" applyAlignment="1">
      <alignment vertical="center"/>
    </xf>
    <xf numFmtId="0" fontId="13" fillId="2" borderId="74" xfId="0" applyFont="1" applyFill="1" applyBorder="1" applyAlignment="1">
      <alignment vertical="center"/>
    </xf>
    <xf numFmtId="0" fontId="12" fillId="5" borderId="0" xfId="0" applyFont="1" applyFill="1" applyAlignment="1">
      <alignment horizontal="left"/>
    </xf>
    <xf numFmtId="168" fontId="0" fillId="0" borderId="0" xfId="0" applyNumberFormat="1"/>
    <xf numFmtId="0" fontId="13" fillId="6" borderId="0" xfId="0" applyFont="1" applyFill="1" applyAlignment="1">
      <alignment vertical="top"/>
    </xf>
    <xf numFmtId="0" fontId="12" fillId="5" borderId="0" xfId="0" applyFont="1" applyFill="1" applyAlignment="1">
      <alignment horizontal="left" vertical="top"/>
    </xf>
    <xf numFmtId="0" fontId="13" fillId="0" borderId="0" xfId="0" applyFont="1" applyAlignment="1">
      <alignment vertical="top"/>
    </xf>
    <xf numFmtId="3" fontId="13" fillId="7" borderId="3" xfId="0" applyNumberFormat="1" applyFont="1" applyFill="1" applyBorder="1" applyAlignment="1">
      <alignment vertical="top" wrapText="1"/>
    </xf>
    <xf numFmtId="0" fontId="0" fillId="7" borderId="51" xfId="0" applyFill="1" applyBorder="1"/>
    <xf numFmtId="3" fontId="13" fillId="7" borderId="3" xfId="0" applyNumberFormat="1" applyFont="1" applyFill="1" applyBorder="1"/>
    <xf numFmtId="172" fontId="25" fillId="0" borderId="1" xfId="0" applyNumberFormat="1" applyFont="1" applyBorder="1" applyAlignment="1">
      <alignment horizontal="right" vertical="top"/>
    </xf>
    <xf numFmtId="0" fontId="2" fillId="4" borderId="1" xfId="3" applyFont="1" applyFill="1" applyBorder="1" applyAlignment="1">
      <alignment horizontal="center" vertical="center" wrapText="1"/>
    </xf>
    <xf numFmtId="0" fontId="25" fillId="0" borderId="1" xfId="3" applyFont="1" applyBorder="1"/>
    <xf numFmtId="0" fontId="2" fillId="0" borderId="1" xfId="3" applyFont="1" applyBorder="1" applyAlignment="1">
      <alignment horizontal="left" vertical="top" wrapText="1"/>
    </xf>
    <xf numFmtId="0" fontId="1" fillId="9" borderId="1" xfId="3" applyFont="1" applyFill="1" applyBorder="1" applyAlignment="1">
      <alignment horizontal="center" vertical="center" wrapText="1"/>
    </xf>
    <xf numFmtId="0" fontId="1" fillId="0" borderId="1" xfId="3" applyFont="1" applyBorder="1" applyAlignment="1">
      <alignment wrapText="1"/>
    </xf>
    <xf numFmtId="0" fontId="23" fillId="0" borderId="1" xfId="0" applyFont="1" applyBorder="1" applyAlignment="1">
      <alignment horizontal="center" vertical="top" wrapText="1"/>
    </xf>
    <xf numFmtId="0" fontId="23" fillId="0" borderId="1" xfId="0" applyFont="1" applyBorder="1" applyAlignment="1">
      <alignment horizontal="left" vertical="top" wrapText="1"/>
    </xf>
    <xf numFmtId="166" fontId="23" fillId="0" borderId="1" xfId="0" applyNumberFormat="1" applyFont="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166" fontId="23" fillId="0" borderId="1" xfId="0" applyNumberFormat="1" applyFont="1" applyBorder="1" applyAlignment="1">
      <alignment horizontal="center" vertical="center" wrapText="1"/>
    </xf>
    <xf numFmtId="0" fontId="23" fillId="10" borderId="1" xfId="0" applyFont="1" applyFill="1" applyBorder="1" applyAlignment="1">
      <alignment horizontal="center" vertical="top" wrapText="1"/>
    </xf>
    <xf numFmtId="0" fontId="23" fillId="10" borderId="1" xfId="0" applyFont="1" applyFill="1" applyBorder="1" applyAlignment="1">
      <alignment horizontal="left" vertical="top" wrapText="1"/>
    </xf>
    <xf numFmtId="166" fontId="23" fillId="10" borderId="1" xfId="0" applyNumberFormat="1" applyFont="1" applyFill="1" applyBorder="1" applyAlignment="1">
      <alignment horizontal="center" vertical="top" wrapText="1"/>
    </xf>
    <xf numFmtId="0" fontId="23" fillId="10" borderId="57" xfId="0" applyFont="1" applyFill="1" applyBorder="1" applyAlignment="1">
      <alignment horizontal="left" vertical="top" wrapText="1"/>
    </xf>
    <xf numFmtId="166" fontId="23" fillId="10" borderId="57" xfId="0" applyNumberFormat="1" applyFont="1" applyFill="1" applyBorder="1" applyAlignment="1">
      <alignment horizontal="center" vertical="top" wrapText="1"/>
    </xf>
    <xf numFmtId="17" fontId="0" fillId="0" borderId="1" xfId="0" applyNumberFormat="1" applyBorder="1" applyAlignment="1">
      <alignment horizontal="center" vertical="top"/>
    </xf>
    <xf numFmtId="0" fontId="24" fillId="10" borderId="1" xfId="3" applyFill="1" applyBorder="1" applyAlignment="1">
      <alignment horizontal="left" vertical="top" wrapText="1"/>
    </xf>
    <xf numFmtId="0" fontId="24" fillId="10" borderId="1" xfId="3" applyFill="1" applyBorder="1" applyAlignment="1">
      <alignment vertical="top" wrapText="1"/>
    </xf>
    <xf numFmtId="0" fontId="0" fillId="10" borderId="1" xfId="0" applyFill="1" applyBorder="1" applyAlignment="1">
      <alignment horizontal="center" vertical="top" wrapText="1"/>
    </xf>
    <xf numFmtId="0" fontId="1" fillId="0" borderId="1" xfId="3" applyFont="1" applyBorder="1" applyAlignment="1">
      <alignment horizontal="left" vertical="top"/>
    </xf>
    <xf numFmtId="0" fontId="0" fillId="0" borderId="1" xfId="3" applyFont="1" applyBorder="1" applyAlignment="1">
      <alignment horizontal="left" vertical="top" wrapText="1"/>
    </xf>
    <xf numFmtId="0" fontId="0" fillId="0" borderId="0" xfId="0" applyAlignment="1">
      <alignment horizontal="left" vertical="top" wrapText="1"/>
    </xf>
    <xf numFmtId="165" fontId="0" fillId="0" borderId="1" xfId="1" applyNumberFormat="1" applyFont="1" applyFill="1" applyBorder="1" applyAlignment="1">
      <alignment horizontal="left" vertical="top" wrapText="1"/>
    </xf>
    <xf numFmtId="0" fontId="11" fillId="6" borderId="0" xfId="0" applyFont="1" applyFill="1" applyAlignment="1">
      <alignment horizontal="center" vertical="top" wrapText="1"/>
    </xf>
    <xf numFmtId="0" fontId="15" fillId="6" borderId="0" xfId="0" applyFont="1" applyFill="1" applyAlignment="1">
      <alignment horizontal="center" vertical="top" wrapText="1"/>
    </xf>
    <xf numFmtId="173" fontId="13" fillId="8" borderId="3" xfId="0" applyNumberFormat="1" applyFont="1" applyFill="1" applyBorder="1" applyAlignment="1">
      <alignment vertical="top"/>
    </xf>
    <xf numFmtId="0" fontId="9" fillId="6" borderId="0" xfId="0" applyFont="1" applyFill="1" applyAlignment="1">
      <alignment vertical="top"/>
    </xf>
    <xf numFmtId="164" fontId="6" fillId="8" borderId="0" xfId="0" applyNumberFormat="1" applyFont="1" applyFill="1" applyAlignment="1">
      <alignment vertical="top"/>
    </xf>
    <xf numFmtId="164" fontId="13" fillId="8" borderId="80" xfId="0" applyNumberFormat="1" applyFont="1" applyFill="1" applyBorder="1" applyAlignment="1">
      <alignment vertical="top"/>
    </xf>
    <xf numFmtId="0" fontId="10" fillId="5" borderId="0" xfId="0" applyFont="1" applyFill="1" applyAlignment="1">
      <alignment horizontal="left" vertical="top" wrapText="1"/>
    </xf>
    <xf numFmtId="0" fontId="10" fillId="5" borderId="0" xfId="0" applyFont="1" applyFill="1" applyAlignment="1">
      <alignment vertical="top" wrapText="1"/>
    </xf>
    <xf numFmtId="0" fontId="6" fillId="8" borderId="6" xfId="0" applyFont="1" applyFill="1" applyBorder="1" applyAlignment="1">
      <alignment horizontal="center" vertical="top" wrapText="1"/>
    </xf>
    <xf numFmtId="164" fontId="6" fillId="8" borderId="3" xfId="0" applyNumberFormat="1" applyFont="1" applyFill="1" applyBorder="1" applyAlignment="1">
      <alignment vertical="top" wrapText="1"/>
    </xf>
    <xf numFmtId="0" fontId="22" fillId="0" borderId="0" xfId="0" applyFont="1"/>
    <xf numFmtId="0" fontId="22" fillId="0" borderId="1" xfId="0" applyFont="1" applyBorder="1" applyAlignment="1">
      <alignment horizontal="center" vertical="center" wrapText="1"/>
    </xf>
    <xf numFmtId="49" fontId="22" fillId="0" borderId="1" xfId="0" applyNumberFormat="1" applyFont="1" applyBorder="1" applyAlignment="1">
      <alignment horizontal="center" vertical="center" wrapText="1"/>
    </xf>
    <xf numFmtId="0" fontId="22" fillId="11" borderId="1" xfId="0" applyFont="1" applyFill="1" applyBorder="1" applyAlignment="1">
      <alignment horizontal="center" vertical="center" wrapText="1"/>
    </xf>
    <xf numFmtId="49" fontId="22" fillId="0" borderId="0" xfId="0" applyNumberFormat="1" applyFont="1"/>
    <xf numFmtId="0" fontId="0" fillId="12" borderId="0" xfId="0" applyFill="1"/>
    <xf numFmtId="0" fontId="13" fillId="12" borderId="0" xfId="0" applyFont="1" applyFill="1"/>
    <xf numFmtId="0" fontId="13" fillId="12" borderId="0" xfId="0" applyFont="1" applyFill="1" applyAlignment="1">
      <alignment horizontal="left" vertical="top" wrapText="1"/>
    </xf>
    <xf numFmtId="164" fontId="13" fillId="12" borderId="0" xfId="0" applyNumberFormat="1" applyFont="1" applyFill="1"/>
    <xf numFmtId="164" fontId="22" fillId="11" borderId="1" xfId="0" applyNumberFormat="1" applyFont="1" applyFill="1" applyBorder="1" applyAlignment="1">
      <alignment horizontal="center" vertical="center" wrapText="1"/>
    </xf>
    <xf numFmtId="0" fontId="12" fillId="5" borderId="0" xfId="0" applyFont="1" applyFill="1" applyAlignment="1">
      <alignment horizontal="center" vertical="top" wrapText="1"/>
    </xf>
    <xf numFmtId="0" fontId="12" fillId="5" borderId="0" xfId="0" applyFont="1" applyFill="1" applyAlignment="1">
      <alignment horizontal="left" vertical="center" wrapText="1"/>
    </xf>
    <xf numFmtId="174" fontId="13" fillId="12" borderId="0" xfId="0" applyNumberFormat="1" applyFont="1" applyFill="1"/>
    <xf numFmtId="174" fontId="6" fillId="12" borderId="0" xfId="0" applyNumberFormat="1" applyFont="1" applyFill="1"/>
    <xf numFmtId="0" fontId="6" fillId="12" borderId="0" xfId="0" applyFont="1" applyFill="1" applyAlignment="1">
      <alignment horizontal="left" vertical="top" wrapText="1"/>
    </xf>
    <xf numFmtId="0" fontId="6" fillId="12" borderId="0" xfId="0" applyFont="1" applyFill="1"/>
    <xf numFmtId="164" fontId="13" fillId="0" borderId="0" xfId="0" applyNumberFormat="1" applyFont="1"/>
    <xf numFmtId="174" fontId="31" fillId="12" borderId="0" xfId="0" applyNumberFormat="1" applyFont="1" applyFill="1"/>
    <xf numFmtId="174" fontId="32" fillId="12" borderId="0" xfId="0" applyNumberFormat="1" applyFont="1" applyFill="1"/>
    <xf numFmtId="174" fontId="18" fillId="12" borderId="0" xfId="0" applyNumberFormat="1" applyFont="1" applyFill="1"/>
    <xf numFmtId="0" fontId="12" fillId="5" borderId="24" xfId="0" applyFont="1" applyFill="1" applyBorder="1" applyAlignment="1">
      <alignment horizontal="left" vertical="top" wrapText="1"/>
    </xf>
    <xf numFmtId="0" fontId="12" fillId="5" borderId="30" xfId="0" applyFont="1" applyFill="1" applyBorder="1" applyAlignment="1">
      <alignment vertical="top" wrapText="1"/>
    </xf>
    <xf numFmtId="0" fontId="12" fillId="5" borderId="32" xfId="0" applyFont="1" applyFill="1" applyBorder="1" applyAlignment="1">
      <alignment vertical="top" wrapText="1"/>
    </xf>
    <xf numFmtId="0" fontId="12" fillId="5" borderId="81" xfId="0" applyFont="1" applyFill="1" applyBorder="1" applyAlignment="1">
      <alignment horizontal="left" vertical="top" wrapText="1"/>
    </xf>
    <xf numFmtId="0" fontId="12" fillId="5" borderId="82" xfId="0" applyFont="1" applyFill="1" applyBorder="1" applyAlignment="1">
      <alignment horizontal="left" vertical="top" wrapText="1"/>
    </xf>
    <xf numFmtId="0" fontId="12" fillId="5" borderId="83" xfId="0" applyFont="1" applyFill="1" applyBorder="1" applyAlignment="1">
      <alignment horizontal="left" vertical="top" wrapText="1"/>
    </xf>
    <xf numFmtId="0" fontId="12" fillId="5" borderId="14" xfId="0" applyFont="1" applyFill="1" applyBorder="1"/>
    <xf numFmtId="0" fontId="13" fillId="7" borderId="20" xfId="0" applyFont="1" applyFill="1" applyBorder="1" applyAlignment="1">
      <alignment wrapText="1"/>
    </xf>
    <xf numFmtId="0" fontId="2" fillId="12" borderId="0" xfId="0" applyFont="1" applyFill="1"/>
    <xf numFmtId="164" fontId="13" fillId="12" borderId="0" xfId="0" applyNumberFormat="1" applyFont="1" applyFill="1" applyAlignment="1">
      <alignment horizontal="left" vertical="top" wrapText="1"/>
    </xf>
    <xf numFmtId="0" fontId="13" fillId="12" borderId="0" xfId="0" applyFont="1" applyFill="1" applyAlignment="1">
      <alignment vertical="center"/>
    </xf>
    <xf numFmtId="174" fontId="31" fillId="12" borderId="0" xfId="0" applyNumberFormat="1" applyFont="1" applyFill="1" applyAlignment="1">
      <alignment horizontal="center"/>
    </xf>
    <xf numFmtId="174" fontId="32" fillId="12" borderId="0" xfId="0" applyNumberFormat="1" applyFont="1" applyFill="1" applyAlignment="1">
      <alignment horizontal="center"/>
    </xf>
    <xf numFmtId="174" fontId="18" fillId="12" borderId="0" xfId="0" applyNumberFormat="1" applyFont="1" applyFill="1" applyAlignment="1">
      <alignment horizontal="center" vertical="top" wrapText="1"/>
    </xf>
    <xf numFmtId="174" fontId="18" fillId="12" borderId="0" xfId="0" applyNumberFormat="1" applyFont="1" applyFill="1" applyAlignment="1">
      <alignment horizontal="center"/>
    </xf>
    <xf numFmtId="0" fontId="32" fillId="12" borderId="0" xfId="0" applyFont="1" applyFill="1" applyAlignment="1">
      <alignment horizontal="left" vertical="top" wrapText="1"/>
    </xf>
    <xf numFmtId="0" fontId="32" fillId="12" borderId="0" xfId="0" applyFont="1" applyFill="1"/>
    <xf numFmtId="0" fontId="25" fillId="12" borderId="0" xfId="0" applyFont="1" applyFill="1"/>
    <xf numFmtId="0" fontId="33" fillId="12" borderId="0" xfId="0" applyFont="1" applyFill="1"/>
    <xf numFmtId="0" fontId="18" fillId="12" borderId="0" xfId="0" applyFont="1" applyFill="1" applyAlignment="1">
      <alignment horizontal="left" vertical="top" wrapText="1"/>
    </xf>
    <xf numFmtId="0" fontId="22" fillId="0" borderId="1" xfId="0" applyFont="1" applyBorder="1" applyAlignment="1">
      <alignment horizontal="justify" vertical="center" wrapText="1"/>
    </xf>
    <xf numFmtId="164" fontId="22" fillId="10" borderId="1" xfId="0" applyNumberFormat="1" applyFont="1" applyFill="1" applyBorder="1" applyAlignment="1">
      <alignment horizontal="justify" vertical="center" wrapText="1"/>
    </xf>
    <xf numFmtId="0" fontId="13" fillId="8" borderId="4" xfId="0" applyFont="1" applyFill="1" applyBorder="1" applyAlignment="1">
      <alignment vertical="center" wrapText="1"/>
    </xf>
    <xf numFmtId="0" fontId="13" fillId="7" borderId="89" xfId="0" applyFont="1" applyFill="1" applyBorder="1" applyAlignment="1">
      <alignment vertical="center" wrapText="1"/>
    </xf>
    <xf numFmtId="0" fontId="12" fillId="5" borderId="27" xfId="0" applyFont="1" applyFill="1" applyBorder="1" applyAlignment="1">
      <alignment horizontal="left" vertical="center" wrapText="1"/>
    </xf>
    <xf numFmtId="49" fontId="12" fillId="5" borderId="0" xfId="0" applyNumberFormat="1" applyFont="1" applyFill="1" applyAlignment="1">
      <alignment horizontal="center" vertical="center" wrapText="1"/>
    </xf>
    <xf numFmtId="0" fontId="13" fillId="10" borderId="33" xfId="0" applyFont="1" applyFill="1" applyBorder="1" applyAlignment="1">
      <alignment horizontal="center" vertical="center" wrapText="1"/>
    </xf>
    <xf numFmtId="0" fontId="13" fillId="10" borderId="34" xfId="0" applyFont="1" applyFill="1" applyBorder="1" applyAlignment="1">
      <alignment vertical="center" wrapText="1"/>
    </xf>
    <xf numFmtId="0" fontId="13" fillId="10" borderId="35" xfId="0" applyFont="1" applyFill="1" applyBorder="1" applyAlignment="1">
      <alignment vertical="center" wrapText="1"/>
    </xf>
    <xf numFmtId="0" fontId="13" fillId="10" borderId="3" xfId="0" applyFont="1" applyFill="1" applyBorder="1" applyAlignment="1">
      <alignment vertical="center" wrapText="1"/>
    </xf>
    <xf numFmtId="0" fontId="13" fillId="10" borderId="37" xfId="0" applyFont="1" applyFill="1" applyBorder="1" applyAlignment="1">
      <alignment vertical="center" wrapText="1"/>
    </xf>
    <xf numFmtId="0" fontId="12" fillId="5" borderId="0" xfId="0" applyFont="1" applyFill="1" applyAlignment="1">
      <alignment horizontal="left" vertical="top" wrapText="1"/>
    </xf>
    <xf numFmtId="0" fontId="13" fillId="6" borderId="0" xfId="0" applyFont="1" applyFill="1" applyBorder="1"/>
    <xf numFmtId="0" fontId="13" fillId="6" borderId="0" xfId="0" applyFont="1" applyFill="1" applyBorder="1" applyAlignment="1">
      <alignment horizontal="left" vertical="top" wrapText="1"/>
    </xf>
    <xf numFmtId="0" fontId="13" fillId="6" borderId="0" xfId="0" applyFont="1" applyFill="1" applyBorder="1" applyAlignment="1">
      <alignment vertical="center"/>
    </xf>
    <xf numFmtId="0" fontId="32" fillId="10" borderId="36" xfId="0" applyFont="1" applyFill="1" applyBorder="1" applyAlignment="1">
      <alignment horizontal="center" vertical="center" wrapText="1"/>
    </xf>
    <xf numFmtId="175" fontId="32" fillId="10" borderId="36" xfId="0" applyNumberFormat="1" applyFont="1" applyFill="1" applyBorder="1" applyAlignment="1">
      <alignment horizontal="center" vertical="center" wrapText="1"/>
    </xf>
    <xf numFmtId="0" fontId="11" fillId="6" borderId="0" xfId="0" applyFont="1" applyFill="1" applyAlignment="1">
      <alignment horizontal="center" vertical="top" wrapText="1"/>
    </xf>
    <xf numFmtId="0" fontId="12" fillId="5" borderId="0" xfId="0" applyFont="1" applyFill="1" applyAlignment="1">
      <alignment horizontal="left" vertical="center" wrapText="1"/>
    </xf>
    <xf numFmtId="0" fontId="12" fillId="5" borderId="27" xfId="0" applyFont="1" applyFill="1" applyBorder="1" applyAlignment="1">
      <alignment horizontal="left" vertical="center" wrapText="1"/>
    </xf>
    <xf numFmtId="0" fontId="34" fillId="10" borderId="90" xfId="0" applyFont="1" applyFill="1" applyBorder="1" applyAlignment="1">
      <alignment horizontal="left" vertical="center" wrapText="1"/>
    </xf>
    <xf numFmtId="0" fontId="34" fillId="10" borderId="91" xfId="0" applyFont="1" applyFill="1" applyBorder="1" applyAlignment="1">
      <alignment horizontal="left" vertical="center" wrapText="1"/>
    </xf>
    <xf numFmtId="0" fontId="34" fillId="10" borderId="92" xfId="0" applyFont="1" applyFill="1" applyBorder="1" applyAlignment="1">
      <alignment horizontal="left" vertical="center" wrapText="1"/>
    </xf>
    <xf numFmtId="0" fontId="12" fillId="5" borderId="0" xfId="0" applyFont="1" applyFill="1" applyAlignment="1">
      <alignment horizontal="center" vertical="center" wrapText="1"/>
    </xf>
    <xf numFmtId="0" fontId="16" fillId="6" borderId="0" xfId="0" applyFont="1" applyFill="1" applyAlignment="1">
      <alignment horizontal="left" vertical="top" wrapText="1"/>
    </xf>
    <xf numFmtId="0" fontId="10" fillId="5" borderId="0" xfId="0" applyFont="1" applyFill="1" applyAlignment="1">
      <alignment horizontal="left" vertical="center"/>
    </xf>
    <xf numFmtId="0" fontId="13" fillId="7" borderId="0" xfId="0" applyFont="1" applyFill="1" applyAlignment="1">
      <alignment horizontal="left" vertical="top"/>
    </xf>
    <xf numFmtId="0" fontId="12" fillId="5" borderId="0" xfId="0" applyFont="1" applyFill="1" applyAlignment="1">
      <alignment horizontal="left" vertical="center"/>
    </xf>
    <xf numFmtId="0" fontId="10" fillId="5" borderId="0" xfId="0" applyFont="1" applyFill="1" applyAlignment="1">
      <alignment horizontal="center" vertical="center" wrapText="1"/>
    </xf>
    <xf numFmtId="164" fontId="13" fillId="8" borderId="0" xfId="0" applyNumberFormat="1" applyFont="1" applyFill="1" applyAlignment="1">
      <alignment horizontal="left" vertical="center"/>
    </xf>
    <xf numFmtId="164" fontId="6" fillId="8" borderId="0" xfId="0" applyNumberFormat="1" applyFont="1" applyFill="1" applyAlignment="1">
      <alignment horizontal="left" vertical="center"/>
    </xf>
    <xf numFmtId="0" fontId="12" fillId="5" borderId="0" xfId="0" applyFont="1" applyFill="1" applyAlignment="1">
      <alignment horizontal="left" vertical="top" wrapText="1"/>
    </xf>
    <xf numFmtId="0" fontId="12" fillId="5" borderId="0" xfId="0" applyFont="1" applyFill="1" applyAlignment="1">
      <alignment horizontal="center" vertical="top" wrapText="1"/>
    </xf>
    <xf numFmtId="0" fontId="13" fillId="7" borderId="3" xfId="0" applyFont="1" applyFill="1" applyBorder="1" applyAlignment="1">
      <alignment horizontal="center" vertical="top" wrapText="1"/>
    </xf>
    <xf numFmtId="0" fontId="13" fillId="7" borderId="41" xfId="0" applyFont="1" applyFill="1" applyBorder="1" applyAlignment="1">
      <alignment horizontal="left" vertical="top" wrapText="1"/>
    </xf>
    <xf numFmtId="0" fontId="13" fillId="7" borderId="38" xfId="0" applyFont="1" applyFill="1" applyBorder="1" applyAlignment="1">
      <alignment horizontal="left" vertical="top" wrapText="1"/>
    </xf>
    <xf numFmtId="0" fontId="13" fillId="7" borderId="39" xfId="0" applyFont="1" applyFill="1" applyBorder="1" applyAlignment="1">
      <alignment horizontal="left" vertical="top" wrapText="1"/>
    </xf>
    <xf numFmtId="0" fontId="13" fillId="7" borderId="42" xfId="0" applyFont="1" applyFill="1" applyBorder="1" applyAlignment="1">
      <alignment horizontal="left" vertical="top" wrapText="1"/>
    </xf>
    <xf numFmtId="0" fontId="13" fillId="7" borderId="0" xfId="0" applyFont="1" applyFill="1" applyAlignment="1">
      <alignment horizontal="left" vertical="top" wrapText="1"/>
    </xf>
    <xf numFmtId="0" fontId="13" fillId="7" borderId="43" xfId="0" applyFont="1" applyFill="1" applyBorder="1" applyAlignment="1">
      <alignment horizontal="left" vertical="top" wrapText="1"/>
    </xf>
    <xf numFmtId="0" fontId="13" fillId="7" borderId="44"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5" xfId="0" applyFont="1" applyFill="1" applyBorder="1" applyAlignment="1">
      <alignment horizontal="left" vertical="top" wrapText="1"/>
    </xf>
    <xf numFmtId="0" fontId="13" fillId="7" borderId="3" xfId="0" applyFont="1" applyFill="1" applyBorder="1" applyAlignment="1">
      <alignment horizontal="center" wrapText="1"/>
    </xf>
    <xf numFmtId="0" fontId="12" fillId="5" borderId="7" xfId="0" applyFont="1" applyFill="1" applyBorder="1" applyAlignment="1">
      <alignment horizontal="left" vertical="top" wrapText="1"/>
    </xf>
    <xf numFmtId="0" fontId="13" fillId="7" borderId="0" xfId="0" applyFont="1" applyFill="1" applyAlignment="1">
      <alignment horizontal="center" vertical="center"/>
    </xf>
    <xf numFmtId="0" fontId="10" fillId="5" borderId="0" xfId="0" applyFont="1" applyFill="1" applyAlignment="1">
      <alignment horizontal="left" vertical="center" wrapText="1"/>
    </xf>
    <xf numFmtId="0" fontId="12" fillId="5" borderId="27" xfId="0" applyFont="1" applyFill="1" applyBorder="1" applyAlignment="1">
      <alignment horizontal="left" vertical="top" wrapText="1"/>
    </xf>
    <xf numFmtId="0" fontId="12" fillId="5" borderId="26" xfId="0" applyFont="1" applyFill="1" applyBorder="1" applyAlignment="1">
      <alignment horizontal="left" vertical="top" wrapText="1"/>
    </xf>
    <xf numFmtId="0" fontId="12" fillId="5" borderId="28" xfId="0" applyFont="1" applyFill="1" applyBorder="1" applyAlignment="1">
      <alignment horizontal="center" vertical="top"/>
    </xf>
    <xf numFmtId="0" fontId="12" fillId="5" borderId="29" xfId="0" applyFont="1" applyFill="1" applyBorder="1" applyAlignment="1">
      <alignment horizontal="center" vertical="top"/>
    </xf>
    <xf numFmtId="0" fontId="12" fillId="5" borderId="85" xfId="0" applyFont="1" applyFill="1" applyBorder="1" applyAlignment="1">
      <alignment horizontal="center" vertical="top"/>
    </xf>
    <xf numFmtId="0" fontId="12" fillId="5" borderId="86" xfId="0" applyFont="1" applyFill="1" applyBorder="1" applyAlignment="1">
      <alignment horizontal="left" vertical="top" wrapText="1"/>
    </xf>
    <xf numFmtId="0" fontId="12" fillId="5" borderId="84" xfId="0" applyFont="1" applyFill="1" applyBorder="1" applyAlignment="1">
      <alignment horizontal="left" vertical="top" wrapText="1"/>
    </xf>
    <xf numFmtId="0" fontId="12" fillId="5" borderId="30"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24" xfId="0" applyFont="1" applyFill="1" applyBorder="1" applyAlignment="1">
      <alignment horizontal="left" vertical="top" wrapText="1"/>
    </xf>
    <xf numFmtId="0" fontId="12" fillId="5" borderId="23" xfId="0" applyFont="1" applyFill="1" applyBorder="1" applyAlignment="1">
      <alignment horizontal="left" vertical="top" wrapText="1"/>
    </xf>
    <xf numFmtId="164" fontId="13" fillId="7" borderId="16" xfId="1" applyFont="1" applyFill="1" applyBorder="1" applyAlignment="1">
      <alignment horizontal="center"/>
    </xf>
    <xf numFmtId="164" fontId="13" fillId="7" borderId="87" xfId="1" applyFont="1" applyFill="1" applyBorder="1" applyAlignment="1">
      <alignment horizontal="center"/>
    </xf>
    <xf numFmtId="164" fontId="13" fillId="7" borderId="25" xfId="1" applyFont="1" applyFill="1" applyBorder="1" applyAlignment="1">
      <alignment horizontal="center"/>
    </xf>
    <xf numFmtId="164" fontId="13" fillId="7" borderId="88" xfId="1" applyFont="1" applyFill="1" applyBorder="1" applyAlignment="1">
      <alignment horizontal="center"/>
    </xf>
    <xf numFmtId="0" fontId="22" fillId="0" borderId="1" xfId="0" applyFont="1" applyBorder="1" applyAlignment="1">
      <alignment horizontal="right" vertical="center" wrapText="1"/>
    </xf>
    <xf numFmtId="0" fontId="22" fillId="0" borderId="1" xfId="0" applyFont="1" applyBorder="1" applyAlignment="1">
      <alignment horizontal="justify" vertical="center" wrapText="1"/>
    </xf>
    <xf numFmtId="0" fontId="22" fillId="0" borderId="1" xfId="0" applyFont="1" applyBorder="1" applyAlignment="1">
      <alignment horizontal="center" vertical="center" wrapText="1"/>
    </xf>
    <xf numFmtId="0" fontId="2" fillId="7" borderId="45" xfId="0" applyFont="1" applyFill="1" applyBorder="1" applyAlignment="1">
      <alignment horizontal="left" vertical="top"/>
    </xf>
    <xf numFmtId="0" fontId="2" fillId="7" borderId="46" xfId="0" applyFont="1" applyFill="1" applyBorder="1" applyAlignment="1">
      <alignment horizontal="left" vertical="top"/>
    </xf>
    <xf numFmtId="0" fontId="2" fillId="7" borderId="56" xfId="0" applyFont="1" applyFill="1" applyBorder="1" applyAlignment="1">
      <alignment horizontal="left" vertical="top"/>
    </xf>
    <xf numFmtId="0" fontId="16" fillId="0" borderId="0" xfId="0" applyFont="1" applyAlignment="1">
      <alignment horizontal="left" vertical="top" wrapText="1"/>
    </xf>
    <xf numFmtId="0" fontId="2" fillId="7" borderId="48" xfId="0" applyFont="1" applyFill="1" applyBorder="1" applyAlignment="1">
      <alignment horizontal="left" vertical="top"/>
    </xf>
    <xf numFmtId="0" fontId="2" fillId="7" borderId="49" xfId="0" applyFont="1" applyFill="1" applyBorder="1" applyAlignment="1">
      <alignment horizontal="left" vertical="top"/>
    </xf>
    <xf numFmtId="0" fontId="2" fillId="7" borderId="40" xfId="0" applyFont="1" applyFill="1" applyBorder="1" applyAlignment="1">
      <alignment horizontal="left" vertical="top"/>
    </xf>
    <xf numFmtId="0" fontId="2" fillId="7" borderId="51" xfId="0" applyFont="1" applyFill="1" applyBorder="1" applyAlignment="1">
      <alignment horizontal="left" vertical="top"/>
    </xf>
    <xf numFmtId="14" fontId="13" fillId="7" borderId="79" xfId="0" applyNumberFormat="1" applyFont="1" applyFill="1" applyBorder="1" applyAlignment="1">
      <alignment horizontal="center" vertical="top" wrapText="1"/>
    </xf>
    <xf numFmtId="14" fontId="13" fillId="7" borderId="0" xfId="0" applyNumberFormat="1" applyFont="1" applyFill="1" applyAlignment="1">
      <alignment horizontal="center" vertical="top" wrapText="1"/>
    </xf>
    <xf numFmtId="0" fontId="13" fillId="7" borderId="79" xfId="0" applyFont="1" applyFill="1" applyBorder="1" applyAlignment="1">
      <alignment horizontal="center" vertical="top" wrapText="1"/>
    </xf>
    <xf numFmtId="0" fontId="13" fillId="7" borderId="0" xfId="0" applyFont="1" applyFill="1" applyAlignment="1">
      <alignment horizontal="center" vertical="top" wrapText="1"/>
    </xf>
    <xf numFmtId="0" fontId="13" fillId="8" borderId="79" xfId="0" applyFont="1" applyFill="1" applyBorder="1" applyAlignment="1">
      <alignment horizontal="center" vertical="top" wrapText="1"/>
    </xf>
    <xf numFmtId="0" fontId="13" fillId="8" borderId="0" xfId="0" applyFont="1" applyFill="1" applyAlignment="1">
      <alignment horizontal="center" vertical="top" wrapText="1"/>
    </xf>
    <xf numFmtId="0" fontId="12" fillId="5" borderId="2" xfId="0" applyFont="1" applyFill="1" applyBorder="1" applyAlignment="1">
      <alignment horizontal="left" vertical="center" wrapText="1"/>
    </xf>
    <xf numFmtId="0" fontId="15" fillId="6" borderId="0" xfId="0" applyFont="1" applyFill="1" applyAlignment="1">
      <alignment horizontal="center" vertical="top" wrapText="1"/>
    </xf>
    <xf numFmtId="0" fontId="12" fillId="5" borderId="2" xfId="0" applyFont="1" applyFill="1" applyBorder="1" applyAlignment="1">
      <alignment horizontal="left" vertical="top" wrapText="1"/>
    </xf>
    <xf numFmtId="0" fontId="35" fillId="6" borderId="0" xfId="0" applyFont="1" applyFill="1" applyAlignment="1">
      <alignment horizontal="left" vertical="top" wrapText="1"/>
    </xf>
    <xf numFmtId="0" fontId="1" fillId="0" borderId="1" xfId="3" applyFont="1" applyBorder="1" applyAlignment="1">
      <alignment horizontal="left" vertical="top" wrapText="1"/>
    </xf>
    <xf numFmtId="0" fontId="25" fillId="0" borderId="1" xfId="3" applyFont="1" applyBorder="1" applyAlignment="1">
      <alignment horizontal="left"/>
    </xf>
    <xf numFmtId="0" fontId="0" fillId="0" borderId="1" xfId="3" applyFont="1" applyBorder="1" applyAlignment="1">
      <alignment horizontal="left" vertical="top" wrapText="1"/>
    </xf>
    <xf numFmtId="0" fontId="1" fillId="0" borderId="57" xfId="3" applyFont="1" applyBorder="1" applyAlignment="1">
      <alignment horizontal="left" vertical="top" wrapText="1"/>
    </xf>
    <xf numFmtId="0" fontId="1" fillId="0" borderId="58" xfId="3" applyFont="1" applyBorder="1" applyAlignment="1">
      <alignment horizontal="left" vertical="top" wrapText="1"/>
    </xf>
    <xf numFmtId="0" fontId="1" fillId="0" borderId="59" xfId="3" applyFont="1" applyBorder="1" applyAlignment="1">
      <alignment horizontal="left" vertical="top" wrapText="1"/>
    </xf>
    <xf numFmtId="0" fontId="23" fillId="0" borderId="57" xfId="3" applyFont="1" applyBorder="1" applyAlignment="1">
      <alignment horizontal="center" vertical="top"/>
    </xf>
    <xf numFmtId="0" fontId="23" fillId="0" borderId="58" xfId="3" applyFont="1" applyBorder="1" applyAlignment="1">
      <alignment horizontal="center" vertical="top"/>
    </xf>
    <xf numFmtId="0" fontId="23" fillId="0" borderId="59" xfId="3" applyFont="1" applyBorder="1" applyAlignment="1">
      <alignment horizontal="center" vertical="top"/>
    </xf>
    <xf numFmtId="0" fontId="1" fillId="0" borderId="1" xfId="3" applyFont="1" applyBorder="1" applyAlignment="1">
      <alignment vertical="top" wrapText="1"/>
    </xf>
    <xf numFmtId="0" fontId="25" fillId="0" borderId="1" xfId="3" applyFont="1" applyBorder="1"/>
    <xf numFmtId="0" fontId="1" fillId="0" borderId="67" xfId="3" applyFont="1" applyBorder="1" applyAlignment="1">
      <alignment horizontal="center" vertical="top" wrapText="1"/>
    </xf>
    <xf numFmtId="0" fontId="1" fillId="0" borderId="66" xfId="3" applyFont="1" applyBorder="1" applyAlignment="1">
      <alignment horizontal="center" vertical="top" wrapText="1"/>
    </xf>
    <xf numFmtId="0" fontId="1" fillId="0" borderId="65" xfId="3" applyFont="1" applyBorder="1" applyAlignment="1">
      <alignment horizontal="center" vertical="top" wrapText="1"/>
    </xf>
    <xf numFmtId="0" fontId="2" fillId="0" borderId="57" xfId="3" applyFont="1" applyBorder="1" applyAlignment="1">
      <alignment horizontal="left" vertical="top" wrapText="1"/>
    </xf>
    <xf numFmtId="0" fontId="2" fillId="0" borderId="58" xfId="3" applyFont="1" applyBorder="1" applyAlignment="1">
      <alignment horizontal="left" vertical="top" wrapText="1"/>
    </xf>
    <xf numFmtId="0" fontId="2" fillId="0" borderId="59" xfId="3" applyFont="1" applyBorder="1" applyAlignment="1">
      <alignment horizontal="left" vertical="top" wrapText="1"/>
    </xf>
    <xf numFmtId="0" fontId="1" fillId="0" borderId="57" xfId="3" applyFont="1" applyBorder="1" applyAlignment="1">
      <alignment horizontal="left" vertical="top"/>
    </xf>
    <xf numFmtId="0" fontId="1" fillId="0" borderId="58" xfId="3" applyFont="1" applyBorder="1" applyAlignment="1">
      <alignment horizontal="left" vertical="top"/>
    </xf>
    <xf numFmtId="0" fontId="1" fillId="0" borderId="59" xfId="3" applyFont="1" applyBorder="1" applyAlignment="1">
      <alignment horizontal="left" vertical="top"/>
    </xf>
    <xf numFmtId="0" fontId="1" fillId="0" borderId="57" xfId="3" applyFont="1" applyBorder="1" applyAlignment="1">
      <alignment horizontal="center" vertical="top" wrapText="1"/>
    </xf>
    <xf numFmtId="0" fontId="1" fillId="0" borderId="58" xfId="3" applyFont="1" applyBorder="1" applyAlignment="1">
      <alignment horizontal="center" vertical="top" wrapText="1"/>
    </xf>
    <xf numFmtId="0" fontId="1" fillId="0" borderId="59" xfId="3" applyFont="1" applyBorder="1" applyAlignment="1">
      <alignment horizontal="center" vertical="top" wrapText="1"/>
    </xf>
    <xf numFmtId="0" fontId="1" fillId="0" borderId="1" xfId="3" applyFont="1" applyBorder="1" applyAlignment="1">
      <alignment wrapText="1"/>
    </xf>
    <xf numFmtId="0" fontId="23" fillId="0" borderId="57" xfId="3" applyFont="1" applyBorder="1" applyAlignment="1">
      <alignment horizontal="left" vertical="top" wrapText="1"/>
    </xf>
    <xf numFmtId="0" fontId="23" fillId="0" borderId="58" xfId="3" applyFont="1" applyBorder="1" applyAlignment="1">
      <alignment horizontal="left" vertical="top" wrapText="1"/>
    </xf>
    <xf numFmtId="0" fontId="23" fillId="0" borderId="59" xfId="3" applyFont="1" applyBorder="1" applyAlignment="1">
      <alignment horizontal="left" vertical="top" wrapText="1"/>
    </xf>
    <xf numFmtId="0" fontId="2" fillId="0" borderId="1" xfId="3" applyFont="1" applyBorder="1" applyAlignment="1">
      <alignment horizontal="center" vertical="top" wrapText="1"/>
    </xf>
    <xf numFmtId="0" fontId="1" fillId="0" borderId="64" xfId="3" applyFont="1" applyBorder="1" applyAlignment="1">
      <alignment horizontal="center" vertical="top" wrapText="1"/>
    </xf>
    <xf numFmtId="0" fontId="1" fillId="0" borderId="1" xfId="3" applyFont="1" applyBorder="1" applyAlignment="1">
      <alignment horizontal="left" vertical="top"/>
    </xf>
    <xf numFmtId="0" fontId="2" fillId="0" borderId="1" xfId="3" applyFont="1" applyBorder="1" applyAlignment="1">
      <alignment horizontal="left" vertical="top" wrapText="1"/>
    </xf>
    <xf numFmtId="0" fontId="2" fillId="9" borderId="70" xfId="3" applyFont="1" applyFill="1" applyBorder="1" applyAlignment="1">
      <alignment horizontal="center" vertical="top" wrapText="1"/>
    </xf>
    <xf numFmtId="0" fontId="2" fillId="9" borderId="69" xfId="3" applyFont="1" applyFill="1" applyBorder="1" applyAlignment="1">
      <alignment horizontal="center" vertical="top" wrapText="1"/>
    </xf>
    <xf numFmtId="0" fontId="2" fillId="9" borderId="68" xfId="3" applyFont="1" applyFill="1" applyBorder="1" applyAlignment="1">
      <alignment horizontal="center" vertical="top" wrapText="1"/>
    </xf>
    <xf numFmtId="0" fontId="1" fillId="9" borderId="64" xfId="3" applyFont="1" applyFill="1" applyBorder="1" applyAlignment="1">
      <alignment horizontal="center" vertical="center" wrapText="1"/>
    </xf>
    <xf numFmtId="0" fontId="1" fillId="9" borderId="1" xfId="3" applyFont="1" applyFill="1" applyBorder="1" applyAlignment="1">
      <alignment horizontal="center" vertical="center" wrapText="1"/>
    </xf>
    <xf numFmtId="0" fontId="1" fillId="9" borderId="63" xfId="3" applyFont="1" applyFill="1" applyBorder="1" applyAlignment="1">
      <alignment horizontal="center" vertical="center" wrapText="1"/>
    </xf>
    <xf numFmtId="0" fontId="2" fillId="4" borderId="69" xfId="3" applyFont="1" applyFill="1" applyBorder="1" applyAlignment="1">
      <alignment horizontal="center" vertical="top" wrapText="1"/>
    </xf>
    <xf numFmtId="0" fontId="2" fillId="4" borderId="68" xfId="3" applyFont="1" applyFill="1" applyBorder="1" applyAlignment="1">
      <alignment horizontal="center" vertical="top" wrapText="1"/>
    </xf>
    <xf numFmtId="0" fontId="2" fillId="4" borderId="1" xfId="3" applyFont="1" applyFill="1" applyBorder="1" applyAlignment="1">
      <alignment horizontal="center" vertical="top" wrapText="1"/>
    </xf>
    <xf numFmtId="0" fontId="2" fillId="4" borderId="63" xfId="3" applyFont="1" applyFill="1" applyBorder="1" applyAlignment="1">
      <alignment horizontal="center" vertical="top" wrapText="1"/>
    </xf>
    <xf numFmtId="0" fontId="2" fillId="4" borderId="70" xfId="3" applyFont="1" applyFill="1" applyBorder="1" applyAlignment="1">
      <alignment horizontal="center" vertical="center" wrapText="1"/>
    </xf>
    <xf numFmtId="0" fontId="2" fillId="4" borderId="64" xfId="3" applyFont="1" applyFill="1" applyBorder="1" applyAlignment="1">
      <alignment horizontal="center" vertical="center" wrapText="1"/>
    </xf>
    <xf numFmtId="0" fontId="2" fillId="4" borderId="69" xfId="3" applyFont="1" applyFill="1" applyBorder="1" applyAlignment="1">
      <alignment horizontal="center" vertical="center" wrapText="1"/>
    </xf>
    <xf numFmtId="0" fontId="2" fillId="4" borderId="1" xfId="3" applyFont="1" applyFill="1" applyBorder="1" applyAlignment="1">
      <alignment horizontal="center" vertical="center" wrapText="1"/>
    </xf>
    <xf numFmtId="0" fontId="2" fillId="9" borderId="1" xfId="3" applyFont="1" applyFill="1" applyBorder="1" applyAlignment="1">
      <alignment horizontal="center" vertical="top" wrapText="1"/>
    </xf>
    <xf numFmtId="0" fontId="0" fillId="0" borderId="57" xfId="0" applyBorder="1" applyAlignment="1">
      <alignment horizontal="center" vertical="top" wrapText="1"/>
    </xf>
    <xf numFmtId="0" fontId="0" fillId="0" borderId="58" xfId="0" applyBorder="1" applyAlignment="1">
      <alignment horizontal="center" vertical="top" wrapText="1"/>
    </xf>
    <xf numFmtId="0" fontId="0" fillId="0" borderId="59" xfId="0" applyBorder="1" applyAlignment="1">
      <alignment horizontal="center"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0" fontId="0" fillId="0" borderId="59" xfId="0" applyBorder="1" applyAlignment="1">
      <alignment horizontal="left" vertical="top" wrapText="1"/>
    </xf>
    <xf numFmtId="0" fontId="0" fillId="0" borderId="57" xfId="0" applyBorder="1" applyAlignment="1">
      <alignment vertical="top" wrapText="1"/>
    </xf>
    <xf numFmtId="0" fontId="0" fillId="0" borderId="58" xfId="0" applyBorder="1" applyAlignment="1">
      <alignment vertical="top" wrapText="1"/>
    </xf>
    <xf numFmtId="0" fontId="0" fillId="0" borderId="59" xfId="0" applyBorder="1" applyAlignment="1">
      <alignment vertical="top" wrapText="1"/>
    </xf>
    <xf numFmtId="0" fontId="23" fillId="0" borderId="1" xfId="0" applyFont="1" applyBorder="1" applyAlignment="1">
      <alignment horizontal="center" vertical="top" wrapText="1"/>
    </xf>
    <xf numFmtId="0" fontId="23" fillId="0" borderId="1" xfId="0" applyFont="1" applyBorder="1" applyAlignment="1">
      <alignment horizontal="left" vertical="top" wrapText="1"/>
    </xf>
    <xf numFmtId="0" fontId="23" fillId="0" borderId="57" xfId="0" applyFont="1" applyBorder="1" applyAlignment="1">
      <alignment horizontal="center" vertical="top" wrapText="1"/>
    </xf>
    <xf numFmtId="0" fontId="23" fillId="0" borderId="58" xfId="0" applyFont="1" applyBorder="1" applyAlignment="1">
      <alignment horizontal="center" vertical="top" wrapText="1"/>
    </xf>
    <xf numFmtId="0" fontId="23" fillId="0" borderId="59" xfId="0" applyFont="1" applyBorder="1" applyAlignment="1">
      <alignment horizontal="center" vertical="top" wrapText="1"/>
    </xf>
    <xf numFmtId="0" fontId="23" fillId="0" borderId="57" xfId="0" applyFont="1" applyBorder="1" applyAlignment="1">
      <alignment horizontal="left" vertical="top" wrapText="1"/>
    </xf>
    <xf numFmtId="0" fontId="23" fillId="0" borderId="58" xfId="0" applyFont="1" applyBorder="1" applyAlignment="1">
      <alignment horizontal="left" vertical="top" wrapText="1"/>
    </xf>
    <xf numFmtId="0" fontId="23" fillId="0" borderId="59" xfId="0" applyFont="1" applyBorder="1" applyAlignment="1">
      <alignment horizontal="left" vertical="top" wrapText="1"/>
    </xf>
    <xf numFmtId="0" fontId="0" fillId="0" borderId="57" xfId="0" applyBorder="1" applyAlignment="1">
      <alignment horizontal="center" vertical="top"/>
    </xf>
    <xf numFmtId="0" fontId="0" fillId="0" borderId="58" xfId="0" applyBorder="1" applyAlignment="1">
      <alignment horizontal="center" vertical="top"/>
    </xf>
    <xf numFmtId="0" fontId="0" fillId="0" borderId="59" xfId="0" applyBorder="1" applyAlignment="1">
      <alignment horizontal="center" vertical="top"/>
    </xf>
    <xf numFmtId="0" fontId="0" fillId="0" borderId="57" xfId="0" applyBorder="1" applyAlignment="1">
      <alignment horizontal="left" vertical="top"/>
    </xf>
    <xf numFmtId="0" fontId="0" fillId="0" borderId="58" xfId="0" applyBorder="1" applyAlignment="1">
      <alignment horizontal="left" vertical="top"/>
    </xf>
    <xf numFmtId="0" fontId="0" fillId="0" borderId="59" xfId="0" applyBorder="1" applyAlignment="1">
      <alignment horizontal="left" vertical="top"/>
    </xf>
    <xf numFmtId="0" fontId="23" fillId="10" borderId="1" xfId="0" applyFont="1" applyFill="1" applyBorder="1" applyAlignment="1">
      <alignment horizontal="left" vertical="top" wrapText="1"/>
    </xf>
    <xf numFmtId="166" fontId="23" fillId="10" borderId="1" xfId="0" applyNumberFormat="1" applyFon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wrapText="1"/>
    </xf>
  </cellXfs>
  <cellStyles count="5">
    <cellStyle name="Гиперссылка" xfId="2" builtinId="8"/>
    <cellStyle name="Обычный" xfId="0" builtinId="0"/>
    <cellStyle name="Обычный 2" xfId="3"/>
    <cellStyle name="Финансовый" xfId="1" builtinId="3"/>
    <cellStyle name="Финансовый 2" xfId="4"/>
  </cellStyles>
  <dxfs count="45">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
      <fill>
        <patternFill patternType="lightUp">
          <bgColor theme="2"/>
        </patternFill>
      </fill>
    </dxf>
  </dxfs>
  <tableStyles count="0" defaultTableStyle="TableStyleMedium2" defaultPivotStyle="PivotStyleLight16"/>
  <colors>
    <mruColors>
      <color rgb="FF0092AB"/>
      <color rgb="FFDFF3F4"/>
      <color rgb="FFF7F7F7"/>
      <color rgb="FFFFCABD"/>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24"/>
  <sheetViews>
    <sheetView zoomScale="98" zoomScaleNormal="98" workbookViewId="0"/>
  </sheetViews>
  <sheetFormatPr defaultColWidth="8.85546875" defaultRowHeight="15.75" x14ac:dyDescent="0.25"/>
  <cols>
    <col min="1" max="1" width="5.7109375" style="37" customWidth="1"/>
    <col min="2" max="2" width="5.140625" style="37" customWidth="1"/>
    <col min="3" max="3" width="7.140625" style="37" customWidth="1"/>
    <col min="4" max="4" width="91.7109375" style="37" customWidth="1"/>
    <col min="5" max="5" width="5.7109375" style="37" customWidth="1"/>
    <col min="6" max="16384" width="8.85546875" style="37"/>
  </cols>
  <sheetData>
    <row r="1" spans="1:5" ht="19.899999999999999" customHeight="1" x14ac:dyDescent="0.25">
      <c r="A1" s="43"/>
      <c r="B1" s="43"/>
      <c r="C1" s="43"/>
      <c r="D1" s="43"/>
      <c r="E1" s="43"/>
    </row>
    <row r="2" spans="1:5" ht="40.15" customHeight="1" x14ac:dyDescent="0.25">
      <c r="A2" s="43"/>
      <c r="B2" s="45"/>
      <c r="C2" s="46"/>
      <c r="D2" s="212" t="s">
        <v>1279</v>
      </c>
      <c r="E2" s="43"/>
    </row>
    <row r="3" spans="1:5" s="91" customFormat="1" ht="19.899999999999999" customHeight="1" x14ac:dyDescent="0.25">
      <c r="A3" s="90"/>
      <c r="B3" s="92"/>
      <c r="C3" s="218" t="s">
        <v>902</v>
      </c>
      <c r="D3" s="219" t="s">
        <v>911</v>
      </c>
      <c r="E3" s="90"/>
    </row>
    <row r="4" spans="1:5" s="91" customFormat="1" ht="19.899999999999999" customHeight="1" x14ac:dyDescent="0.25">
      <c r="A4" s="90"/>
      <c r="B4" s="92"/>
      <c r="C4" s="218" t="s">
        <v>903</v>
      </c>
      <c r="D4" s="219" t="s">
        <v>910</v>
      </c>
      <c r="E4" s="90"/>
    </row>
    <row r="5" spans="1:5" s="91" customFormat="1" ht="19.899999999999999" customHeight="1" x14ac:dyDescent="0.25">
      <c r="A5" s="90"/>
      <c r="B5" s="92"/>
      <c r="C5" s="218" t="s">
        <v>904</v>
      </c>
      <c r="D5" s="219" t="s">
        <v>909</v>
      </c>
      <c r="E5" s="90"/>
    </row>
    <row r="6" spans="1:5" s="91" customFormat="1" ht="19.899999999999999" customHeight="1" x14ac:dyDescent="0.25">
      <c r="A6" s="90"/>
      <c r="B6" s="92"/>
      <c r="C6" s="218" t="s">
        <v>905</v>
      </c>
      <c r="D6" s="219" t="s">
        <v>1177</v>
      </c>
      <c r="E6" s="90"/>
    </row>
    <row r="7" spans="1:5" s="91" customFormat="1" ht="19.899999999999999" customHeight="1" x14ac:dyDescent="0.25">
      <c r="A7" s="90"/>
      <c r="B7" s="92"/>
      <c r="C7" s="218" t="s">
        <v>906</v>
      </c>
      <c r="D7" s="219" t="s">
        <v>908</v>
      </c>
      <c r="E7" s="90"/>
    </row>
    <row r="8" spans="1:5" s="91" customFormat="1" ht="19.899999999999999" customHeight="1" x14ac:dyDescent="0.25">
      <c r="A8" s="90"/>
      <c r="B8" s="92"/>
      <c r="C8" s="218"/>
      <c r="D8" s="219" t="s">
        <v>1277</v>
      </c>
      <c r="E8" s="90"/>
    </row>
    <row r="9" spans="1:5" s="91" customFormat="1" ht="19.899999999999999" customHeight="1" x14ac:dyDescent="0.25">
      <c r="A9" s="90"/>
      <c r="B9" s="92"/>
      <c r="C9" s="218"/>
      <c r="D9" s="219" t="s">
        <v>901</v>
      </c>
      <c r="E9" s="90"/>
    </row>
    <row r="10" spans="1:5" s="91" customFormat="1" ht="19.899999999999999" customHeight="1" x14ac:dyDescent="0.25">
      <c r="A10" s="90"/>
      <c r="B10" s="92"/>
      <c r="C10" s="218"/>
      <c r="D10" s="219" t="s">
        <v>907</v>
      </c>
      <c r="E10" s="90"/>
    </row>
    <row r="11" spans="1:5" ht="19.899999999999999" customHeight="1" x14ac:dyDescent="0.25">
      <c r="A11" s="43"/>
      <c r="B11" s="53"/>
      <c r="C11" s="56"/>
      <c r="D11" s="54"/>
      <c r="E11" s="43"/>
    </row>
    <row r="12" spans="1:5" ht="19.899999999999999" customHeight="1" x14ac:dyDescent="0.25">
      <c r="A12" s="43"/>
      <c r="B12" s="43"/>
      <c r="C12" s="43"/>
      <c r="D12" s="43"/>
      <c r="E12" s="43"/>
    </row>
    <row r="13" spans="1:5" ht="19.899999999999999" hidden="1" customHeight="1" x14ac:dyDescent="0.25">
      <c r="A13" s="166"/>
      <c r="B13" s="166"/>
      <c r="C13" s="166"/>
      <c r="D13" s="166"/>
      <c r="E13" s="166"/>
    </row>
    <row r="14" spans="1:5" s="214" customFormat="1" ht="40.15" hidden="1" customHeight="1" x14ac:dyDescent="0.25">
      <c r="A14" s="213"/>
      <c r="B14" s="215"/>
      <c r="C14" s="216"/>
      <c r="D14" s="217" t="s">
        <v>900</v>
      </c>
      <c r="E14" s="213"/>
    </row>
    <row r="15" spans="1:5" s="91" customFormat="1" ht="19.899999999999999" hidden="1" customHeight="1" x14ac:dyDescent="0.25">
      <c r="A15" s="220"/>
      <c r="B15" s="221"/>
      <c r="C15" s="206" t="s">
        <v>912</v>
      </c>
      <c r="D15" s="207" t="s">
        <v>1138</v>
      </c>
      <c r="E15" s="220"/>
    </row>
    <row r="16" spans="1:5" s="127" customFormat="1" ht="19.899999999999999" hidden="1" customHeight="1" x14ac:dyDescent="0.25">
      <c r="A16" s="167"/>
      <c r="B16" s="208"/>
      <c r="C16" s="206" t="s">
        <v>159</v>
      </c>
      <c r="D16" s="207" t="s">
        <v>913</v>
      </c>
      <c r="E16" s="167"/>
    </row>
    <row r="17" spans="1:5" s="127" customFormat="1" ht="19.899999999999999" hidden="1" customHeight="1" x14ac:dyDescent="0.25">
      <c r="A17" s="167"/>
      <c r="B17" s="208"/>
      <c r="C17" s="206" t="s">
        <v>161</v>
      </c>
      <c r="D17" s="207" t="s">
        <v>914</v>
      </c>
      <c r="E17" s="167"/>
    </row>
    <row r="18" spans="1:5" s="127" customFormat="1" ht="19.899999999999999" hidden="1" customHeight="1" x14ac:dyDescent="0.25">
      <c r="A18" s="167"/>
      <c r="B18" s="208"/>
      <c r="C18" s="206" t="s">
        <v>163</v>
      </c>
      <c r="D18" s="207" t="s">
        <v>915</v>
      </c>
      <c r="E18" s="167"/>
    </row>
    <row r="19" spans="1:5" s="127" customFormat="1" ht="40.15" hidden="1" customHeight="1" x14ac:dyDescent="0.25">
      <c r="A19" s="167"/>
      <c r="B19" s="208"/>
      <c r="C19" s="206" t="s">
        <v>165</v>
      </c>
      <c r="D19" s="207" t="s">
        <v>916</v>
      </c>
      <c r="E19" s="167"/>
    </row>
    <row r="20" spans="1:5" s="127" customFormat="1" ht="19.899999999999999" hidden="1" customHeight="1" x14ac:dyDescent="0.25">
      <c r="A20" s="167"/>
      <c r="B20" s="208"/>
      <c r="C20" s="206" t="s">
        <v>167</v>
      </c>
      <c r="D20" s="207" t="s">
        <v>917</v>
      </c>
      <c r="E20" s="167"/>
    </row>
    <row r="21" spans="1:5" s="127" customFormat="1" ht="40.15" hidden="1" customHeight="1" x14ac:dyDescent="0.25">
      <c r="A21" s="167"/>
      <c r="B21" s="208"/>
      <c r="C21" s="206" t="s">
        <v>169</v>
      </c>
      <c r="D21" s="207" t="s">
        <v>918</v>
      </c>
      <c r="E21" s="167"/>
    </row>
    <row r="22" spans="1:5" s="127" customFormat="1" ht="40.15" hidden="1" customHeight="1" x14ac:dyDescent="0.25">
      <c r="A22" s="167"/>
      <c r="B22" s="208"/>
      <c r="C22" s="206" t="s">
        <v>171</v>
      </c>
      <c r="D22" s="207" t="s">
        <v>919</v>
      </c>
      <c r="E22" s="167"/>
    </row>
    <row r="23" spans="1:5" hidden="1" x14ac:dyDescent="0.25">
      <c r="A23" s="166"/>
      <c r="B23" s="209"/>
      <c r="C23" s="210"/>
      <c r="D23" s="211"/>
      <c r="E23" s="166"/>
    </row>
    <row r="24" spans="1:5" ht="19.899999999999999" hidden="1" customHeight="1" x14ac:dyDescent="0.25">
      <c r="A24" s="166"/>
      <c r="B24" s="166"/>
      <c r="C24" s="166"/>
      <c r="D24" s="166"/>
      <c r="E24" s="166"/>
    </row>
  </sheetData>
  <hyperlinks>
    <hyperlink ref="D16" location="'С1.Типовые операции'!A1" display="Справочник затрат рабочего времени на выполнение типовых операций"/>
    <hyperlink ref="D17" location="'С2.Средняя стоимость часа'!A1" display="Справочник стандартной стоимости часа работы персонала в разрезе видов деятельности "/>
    <hyperlink ref="D18" location="'С3.Оборудование - норматив срок'!A1" display="Справочник по нормативному сроку службы отдельных видов оборудования"/>
    <hyperlink ref="D22" location="'С7.Объекты - кол-во всего'!A1" display="Справочник по количественному составу отдельных групп объектов расчета, применяемому для оценки исполнения обязательных требований"/>
    <hyperlink ref="D20" location="'С5.Оборудование - обслуживание'!A1" display="Справочник стандартных значений частоты обслуживания отдельных видов оборудования"/>
    <hyperlink ref="D21" location="'С6.Работы - цена'!A1" display="Справочник средних цен на отдельные работы (услуги), применяемым для оценки исполнения обязательных требований"/>
    <hyperlink ref="D19" location="'С4.Оборудование - цены'!A1" display="Справочник по средним ценам отдельных видов оборудования, применяемым для оценки исполнения обязательных требований"/>
    <hyperlink ref="D4" location="'Шаг 2. Информационные'!A1" display="Расчет информационных издержек "/>
    <hyperlink ref="D5" location="'Шаг 3. Содержательные'!A1" display="Расчет содержательных издержек "/>
    <hyperlink ref="D6" location="'Шаг 4. Издержки простоя, НП'!A1" display="Расчет издержек простоя и недополученной прибыли"/>
    <hyperlink ref="D7" location="'Шаг 5. Альтернативные'!A1" display="Расчет альтернативных издержек "/>
    <hyperlink ref="D15" location="'С0.Справочник типовых оценок'!A1" display="Типовые оценки (аналогичные требования)"/>
    <hyperlink ref="D8" location="'Сводные результаты оценки'!A1" display="Сводные результаты оценки издержек исполнения ОТ"/>
    <hyperlink ref="D9" location="'Приложение № 1 к св. отчету'!A1" display="Выгрузка таблицы расчетов издержек в Сводный отчет об ОРВ"/>
    <hyperlink ref="D10" location="'Дополнительные расчеты'!A1" display="Отдельные вспомогательные таблицы для дополнительных расчетов"/>
    <hyperlink ref="D3" location="'Шаг 1. Основные исходные данные'!A1" display="Основные исходные данные"/>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K46"/>
  <sheetViews>
    <sheetView zoomScale="70" zoomScaleNormal="70" workbookViewId="0"/>
  </sheetViews>
  <sheetFormatPr defaultColWidth="8.85546875" defaultRowHeight="15" x14ac:dyDescent="0.25"/>
  <cols>
    <col min="1" max="1" width="8.85546875" style="14"/>
    <col min="2" max="2" width="5.85546875" style="14" customWidth="1"/>
    <col min="3" max="3" width="50.28515625" style="14" customWidth="1"/>
    <col min="4" max="4" width="13.85546875" style="14" customWidth="1"/>
    <col min="5" max="6" width="26.85546875" style="14" customWidth="1"/>
    <col min="7" max="16384" width="8.85546875" style="14"/>
  </cols>
  <sheetData>
    <row r="1" spans="1:7" x14ac:dyDescent="0.25">
      <c r="A1" s="13"/>
      <c r="B1" s="13"/>
      <c r="C1" s="13"/>
      <c r="D1" s="13"/>
      <c r="E1" s="13"/>
      <c r="F1" s="13"/>
      <c r="G1" s="13"/>
    </row>
    <row r="2" spans="1:7" ht="40.5" customHeight="1" x14ac:dyDescent="0.25">
      <c r="A2" s="13"/>
      <c r="B2" s="322" t="s">
        <v>1287</v>
      </c>
      <c r="C2" s="322"/>
      <c r="D2" s="322"/>
      <c r="E2" s="322"/>
      <c r="F2" s="255"/>
      <c r="G2" s="13"/>
    </row>
    <row r="3" spans="1:7" x14ac:dyDescent="0.25">
      <c r="A3" s="13"/>
      <c r="B3" s="386" t="s">
        <v>1179</v>
      </c>
      <c r="C3" s="386"/>
      <c r="D3" s="386"/>
      <c r="E3" s="386"/>
      <c r="F3" s="256"/>
      <c r="G3" s="13"/>
    </row>
    <row r="4" spans="1:7" x14ac:dyDescent="0.25">
      <c r="A4" s="13"/>
      <c r="B4" s="388" t="s">
        <v>1288</v>
      </c>
      <c r="C4" s="388"/>
      <c r="D4" s="388"/>
      <c r="E4" s="388"/>
      <c r="F4" s="256"/>
      <c r="G4" s="13"/>
    </row>
    <row r="5" spans="1:7" x14ac:dyDescent="0.25">
      <c r="A5" s="13"/>
      <c r="B5" s="19"/>
      <c r="C5" s="15"/>
      <c r="D5" s="13"/>
      <c r="E5" s="13"/>
      <c r="F5" s="13"/>
      <c r="G5" s="13"/>
    </row>
    <row r="6" spans="1:7" ht="19.899999999999999" customHeight="1" x14ac:dyDescent="0.25">
      <c r="A6" s="13"/>
      <c r="B6" s="323" t="s">
        <v>1</v>
      </c>
      <c r="C6" s="385"/>
      <c r="D6" s="379"/>
      <c r="E6" s="380"/>
      <c r="F6" s="380"/>
      <c r="G6" s="13"/>
    </row>
    <row r="7" spans="1:7" ht="10.15" customHeight="1" x14ac:dyDescent="0.25">
      <c r="A7" s="13"/>
      <c r="B7" s="20"/>
      <c r="C7" s="20"/>
      <c r="D7" s="22"/>
      <c r="E7" s="22"/>
      <c r="F7" s="22"/>
      <c r="G7" s="13"/>
    </row>
    <row r="8" spans="1:7" ht="70.900000000000006" customHeight="1" x14ac:dyDescent="0.25">
      <c r="A8" s="13"/>
      <c r="B8" s="336" t="s">
        <v>115</v>
      </c>
      <c r="C8" s="387"/>
      <c r="D8" s="381"/>
      <c r="E8" s="382"/>
      <c r="F8" s="382"/>
      <c r="G8" s="13"/>
    </row>
    <row r="9" spans="1:7" ht="10.15" customHeight="1" x14ac:dyDescent="0.25">
      <c r="A9" s="13"/>
      <c r="B9" s="21"/>
      <c r="C9" s="21"/>
      <c r="D9" s="22"/>
      <c r="E9" s="22"/>
      <c r="F9" s="22"/>
      <c r="G9" s="13"/>
    </row>
    <row r="10" spans="1:7" ht="250.9" customHeight="1" x14ac:dyDescent="0.25">
      <c r="A10" s="13"/>
      <c r="B10" s="336" t="s">
        <v>1276</v>
      </c>
      <c r="C10" s="387"/>
      <c r="D10" s="381"/>
      <c r="E10" s="382"/>
      <c r="F10" s="382"/>
      <c r="G10" s="13"/>
    </row>
    <row r="11" spans="1:7" ht="10.15" customHeight="1" x14ac:dyDescent="0.25">
      <c r="A11" s="13"/>
      <c r="B11" s="20"/>
      <c r="C11" s="20"/>
      <c r="D11" s="22"/>
      <c r="E11" s="22"/>
      <c r="F11" s="22"/>
      <c r="G11" s="13"/>
    </row>
    <row r="12" spans="1:7" ht="19.899999999999999" customHeight="1" x14ac:dyDescent="0.25">
      <c r="A12" s="13"/>
      <c r="B12" s="323" t="s">
        <v>1156</v>
      </c>
      <c r="C12" s="385"/>
      <c r="D12" s="381"/>
      <c r="E12" s="382"/>
      <c r="F12" s="382"/>
      <c r="G12" s="13"/>
    </row>
    <row r="13" spans="1:7" ht="10.15" customHeight="1" x14ac:dyDescent="0.25">
      <c r="A13" s="13"/>
      <c r="B13" s="20"/>
      <c r="C13" s="20"/>
      <c r="D13" s="22"/>
      <c r="E13" s="22"/>
      <c r="F13" s="22"/>
      <c r="G13" s="13"/>
    </row>
    <row r="14" spans="1:7" ht="19.899999999999999" customHeight="1" x14ac:dyDescent="0.25">
      <c r="A14" s="13"/>
      <c r="B14" s="323" t="s">
        <v>1278</v>
      </c>
      <c r="C14" s="385"/>
      <c r="D14" s="381"/>
      <c r="E14" s="382"/>
      <c r="F14" s="382"/>
      <c r="G14" s="13"/>
    </row>
    <row r="15" spans="1:7" ht="10.15" customHeight="1" x14ac:dyDescent="0.25">
      <c r="A15" s="13"/>
      <c r="B15" s="23"/>
      <c r="C15" s="23"/>
      <c r="D15" s="22"/>
      <c r="E15" s="22"/>
      <c r="F15" s="22"/>
      <c r="G15" s="13"/>
    </row>
    <row r="16" spans="1:7" ht="19.899999999999999" customHeight="1" x14ac:dyDescent="0.25">
      <c r="A16" s="13"/>
      <c r="B16" s="323" t="s">
        <v>1154</v>
      </c>
      <c r="C16" s="385"/>
      <c r="D16" s="381"/>
      <c r="E16" s="382"/>
      <c r="F16" s="382"/>
      <c r="G16" s="13"/>
    </row>
    <row r="17" spans="1:11" ht="10.15" customHeight="1" x14ac:dyDescent="0.25">
      <c r="A17" s="13"/>
      <c r="B17" s="23"/>
      <c r="C17" s="23"/>
      <c r="D17" s="22"/>
      <c r="E17" s="22"/>
      <c r="F17" s="22"/>
      <c r="G17" s="13"/>
    </row>
    <row r="18" spans="1:11" ht="19.899999999999999" customHeight="1" x14ac:dyDescent="0.25">
      <c r="A18" s="13"/>
      <c r="B18" s="323" t="s">
        <v>1155</v>
      </c>
      <c r="C18" s="385"/>
      <c r="D18" s="381"/>
      <c r="E18" s="382"/>
      <c r="F18" s="382"/>
      <c r="G18" s="13"/>
    </row>
    <row r="19" spans="1:11" ht="10.15" customHeight="1" x14ac:dyDescent="0.25">
      <c r="A19" s="13"/>
      <c r="B19" s="23"/>
      <c r="C19" s="23"/>
      <c r="D19" s="22"/>
      <c r="E19" s="22"/>
      <c r="F19" s="22"/>
      <c r="G19" s="13"/>
    </row>
    <row r="20" spans="1:11" ht="19.899999999999999" customHeight="1" x14ac:dyDescent="0.25">
      <c r="A20" s="13"/>
      <c r="B20" s="323" t="s">
        <v>31</v>
      </c>
      <c r="C20" s="385"/>
      <c r="D20" s="383">
        <f>'Шаг 1. Основные исходные данные'!E5</f>
        <v>6</v>
      </c>
      <c r="E20" s="384"/>
      <c r="F20" s="384"/>
      <c r="G20" s="13"/>
    </row>
    <row r="21" spans="1:11" ht="10.15" customHeight="1" x14ac:dyDescent="0.25">
      <c r="A21" s="13"/>
      <c r="B21" s="23"/>
      <c r="C21" s="23"/>
      <c r="D21" s="22"/>
      <c r="E21" s="22"/>
      <c r="F21" s="22"/>
      <c r="G21" s="13"/>
    </row>
    <row r="22" spans="1:11" ht="37.5" customHeight="1" x14ac:dyDescent="0.25">
      <c r="A22" s="13"/>
      <c r="B22" s="336" t="s">
        <v>1291</v>
      </c>
      <c r="C22" s="336"/>
      <c r="D22" s="384"/>
      <c r="E22" s="384"/>
      <c r="F22" s="384"/>
      <c r="G22" s="13"/>
    </row>
    <row r="23" spans="1:11" ht="10.15" customHeight="1" x14ac:dyDescent="0.25">
      <c r="A23" s="13"/>
      <c r="B23" s="23"/>
      <c r="C23" s="23"/>
      <c r="D23" s="22"/>
      <c r="E23" s="22"/>
      <c r="F23" s="22"/>
      <c r="G23" s="13"/>
    </row>
    <row r="24" spans="1:11" ht="192.75" customHeight="1" x14ac:dyDescent="0.25">
      <c r="A24" s="13"/>
      <c r="B24" s="336" t="s">
        <v>1157</v>
      </c>
      <c r="C24" s="336"/>
      <c r="D24" s="384"/>
      <c r="E24" s="384"/>
      <c r="F24" s="384"/>
      <c r="G24" s="13"/>
    </row>
    <row r="25" spans="1:11" x14ac:dyDescent="0.25">
      <c r="A25" s="13"/>
      <c r="B25" s="19"/>
      <c r="C25" s="15"/>
      <c r="D25" s="13"/>
      <c r="E25" s="13"/>
      <c r="F25" s="13"/>
      <c r="G25" s="13"/>
    </row>
    <row r="26" spans="1:11" x14ac:dyDescent="0.25">
      <c r="A26" s="13"/>
      <c r="B26" s="19"/>
      <c r="C26" s="13"/>
      <c r="D26" s="13"/>
      <c r="E26" s="13"/>
      <c r="F26" s="13"/>
      <c r="G26" s="13"/>
    </row>
    <row r="27" spans="1:11" ht="40.15" customHeight="1" x14ac:dyDescent="0.25">
      <c r="A27" s="13"/>
      <c r="B27" s="126" t="s">
        <v>62</v>
      </c>
      <c r="C27" s="126" t="s">
        <v>1180</v>
      </c>
      <c r="D27" s="126" t="s">
        <v>102</v>
      </c>
      <c r="E27" s="126" t="s">
        <v>1158</v>
      </c>
      <c r="F27" s="13"/>
      <c r="G27" s="13"/>
      <c r="K27" s="16"/>
    </row>
    <row r="28" spans="1:11" ht="19.899999999999999" customHeight="1" x14ac:dyDescent="0.25">
      <c r="A28" s="13"/>
      <c r="B28" s="125">
        <v>1</v>
      </c>
      <c r="C28" s="28" t="s">
        <v>116</v>
      </c>
      <c r="D28" s="26" t="str">
        <f>IF(E28&gt;0,"Да","Нет")</f>
        <v>Нет</v>
      </c>
      <c r="E28" s="24">
        <f>'Шаг 2. Информационные'!E8:F8</f>
        <v>0</v>
      </c>
      <c r="F28" s="13"/>
      <c r="G28" s="13"/>
      <c r="K28" s="16"/>
    </row>
    <row r="29" spans="1:11" s="18" customFormat="1" ht="15.75" x14ac:dyDescent="0.25">
      <c r="A29" s="17"/>
      <c r="B29" s="125"/>
      <c r="C29" s="29" t="s">
        <v>26</v>
      </c>
      <c r="D29" s="27"/>
      <c r="E29" s="25"/>
      <c r="F29" s="13"/>
      <c r="G29" s="17"/>
    </row>
    <row r="30" spans="1:11" ht="15.75" x14ac:dyDescent="0.25">
      <c r="A30" s="13"/>
      <c r="B30" s="30" t="s">
        <v>27</v>
      </c>
      <c r="C30" s="28" t="s">
        <v>63</v>
      </c>
      <c r="D30" s="27" t="str">
        <f>IF(E30&gt;0,"Да","Нет")</f>
        <v>Нет</v>
      </c>
      <c r="E30" s="25">
        <f>'Шаг 2. Информационные'!E6:F6</f>
        <v>0</v>
      </c>
      <c r="F30" s="13"/>
      <c r="G30" s="13"/>
      <c r="K30" s="16"/>
    </row>
    <row r="31" spans="1:11" ht="15.75" x14ac:dyDescent="0.25">
      <c r="A31" s="13"/>
      <c r="B31" s="125" t="s">
        <v>28</v>
      </c>
      <c r="C31" s="28" t="s">
        <v>80</v>
      </c>
      <c r="D31" s="27" t="str">
        <f>IF(E31&gt;0,"Да","Нет")</f>
        <v>Нет</v>
      </c>
      <c r="E31" s="25">
        <f>'Шаг 2. Информационные'!E7:F7</f>
        <v>0</v>
      </c>
      <c r="F31" s="13"/>
      <c r="G31" s="13"/>
      <c r="K31" s="16"/>
    </row>
    <row r="32" spans="1:11" ht="19.899999999999999" customHeight="1" x14ac:dyDescent="0.25">
      <c r="A32" s="13"/>
      <c r="B32" s="125">
        <v>2</v>
      </c>
      <c r="C32" s="28" t="s">
        <v>117</v>
      </c>
      <c r="D32" s="27" t="str">
        <f>IF(E32&gt;0,"Да","Нет")</f>
        <v>Нет</v>
      </c>
      <c r="E32" s="25">
        <f>'Шаг 3. Содержательные'!E8:F8</f>
        <v>0</v>
      </c>
      <c r="F32" s="13"/>
      <c r="G32" s="13"/>
    </row>
    <row r="33" spans="1:7" s="18" customFormat="1" ht="15.75" x14ac:dyDescent="0.25">
      <c r="A33" s="17"/>
      <c r="B33" s="125"/>
      <c r="C33" s="29" t="s">
        <v>26</v>
      </c>
      <c r="D33" s="27"/>
      <c r="E33" s="25"/>
      <c r="F33" s="13"/>
      <c r="G33" s="17"/>
    </row>
    <row r="34" spans="1:7" ht="15.75" x14ac:dyDescent="0.25">
      <c r="A34" s="13"/>
      <c r="B34" s="125" t="s">
        <v>29</v>
      </c>
      <c r="C34" s="28" t="s">
        <v>63</v>
      </c>
      <c r="D34" s="27" t="str">
        <f>IF(E34&gt;0,"Да","Нет")</f>
        <v>Нет</v>
      </c>
      <c r="E34" s="25">
        <f>'Шаг 3. Содержательные'!E6:F6</f>
        <v>0</v>
      </c>
      <c r="F34" s="13"/>
      <c r="G34" s="13"/>
    </row>
    <row r="35" spans="1:7" ht="15.75" x14ac:dyDescent="0.25">
      <c r="A35" s="13"/>
      <c r="B35" s="125" t="s">
        <v>30</v>
      </c>
      <c r="C35" s="28" t="s">
        <v>80</v>
      </c>
      <c r="D35" s="27" t="str">
        <f>IF(E35&gt;0,"Да","Нет")</f>
        <v>Нет</v>
      </c>
      <c r="E35" s="25">
        <f>'Шаг 3. Содержательные'!E7:F7</f>
        <v>0</v>
      </c>
      <c r="F35" s="13"/>
      <c r="G35" s="13"/>
    </row>
    <row r="36" spans="1:7" ht="19.899999999999999" customHeight="1" x14ac:dyDescent="0.25">
      <c r="A36" s="13"/>
      <c r="B36" s="125">
        <v>3</v>
      </c>
      <c r="C36" s="28" t="s">
        <v>1178</v>
      </c>
      <c r="D36" s="27" t="str">
        <f>IF(E36&gt;0,"Да","Нет")</f>
        <v>Нет</v>
      </c>
      <c r="E36" s="25">
        <f>'Шаг 4. Издержки простоя, НП'!E11+'Шаг 4. Издержки простоя, НП'!F11</f>
        <v>0</v>
      </c>
      <c r="F36" s="13"/>
      <c r="G36" s="13"/>
    </row>
    <row r="37" spans="1:7" s="18" customFormat="1" ht="15.75" x14ac:dyDescent="0.25">
      <c r="A37" s="17"/>
      <c r="B37" s="125"/>
      <c r="C37" s="29" t="s">
        <v>103</v>
      </c>
      <c r="D37" s="27"/>
      <c r="E37" s="25"/>
      <c r="F37" s="13"/>
      <c r="G37" s="17"/>
    </row>
    <row r="38" spans="1:7" ht="15.75" x14ac:dyDescent="0.25">
      <c r="A38" s="13"/>
      <c r="B38" s="125" t="s">
        <v>104</v>
      </c>
      <c r="C38" s="28" t="str">
        <f>IF('Шаг 4. Издержки простоя, НП'!D6=0,"",'Шаг 4. Издержки простоя, НП'!D6)</f>
        <v/>
      </c>
      <c r="D38" s="27" t="str">
        <f>IF(LEN(C38)&gt;0,"Да","Нет")</f>
        <v>Нет</v>
      </c>
      <c r="E38" s="25">
        <f>SUM('Шаг 4. Издержки простоя, НП'!E6:F6)</f>
        <v>0</v>
      </c>
      <c r="F38" s="13"/>
      <c r="G38" s="13"/>
    </row>
    <row r="39" spans="1:7" ht="15.75" x14ac:dyDescent="0.25">
      <c r="A39" s="13"/>
      <c r="B39" s="125" t="s">
        <v>105</v>
      </c>
      <c r="C39" s="28" t="str">
        <f>IF('Шаг 4. Издержки простоя, НП'!D7=0,"",'Шаг 4. Издержки простоя, НП'!D7)</f>
        <v/>
      </c>
      <c r="D39" s="27" t="str">
        <f>IF(LEN(C39)&gt;0,"Да","Нет")</f>
        <v>Нет</v>
      </c>
      <c r="E39" s="25">
        <f>SUM('Шаг 4. Издержки простоя, НП'!E7:F7)</f>
        <v>0</v>
      </c>
      <c r="F39" s="13"/>
      <c r="G39" s="13"/>
    </row>
    <row r="40" spans="1:7" ht="15.75" x14ac:dyDescent="0.25">
      <c r="A40" s="13"/>
      <c r="B40" s="125" t="s">
        <v>106</v>
      </c>
      <c r="C40" s="28" t="str">
        <f>IF('Шаг 4. Издержки простоя, НП'!D8=0,"",'Шаг 4. Издержки простоя, НП'!D8)</f>
        <v/>
      </c>
      <c r="D40" s="27" t="str">
        <f>IF(LEN(C40)&gt;0,"Да","Нет")</f>
        <v>Нет</v>
      </c>
      <c r="E40" s="25">
        <f>SUM('Шаг 4. Издержки простоя, НП'!E8:F8)</f>
        <v>0</v>
      </c>
      <c r="F40" s="13"/>
      <c r="G40" s="13"/>
    </row>
    <row r="41" spans="1:7" ht="15.75" x14ac:dyDescent="0.25">
      <c r="A41" s="13"/>
      <c r="B41" s="125" t="s">
        <v>107</v>
      </c>
      <c r="C41" s="28" t="str">
        <f>IF('Шаг 4. Издержки простоя, НП'!D9=0,"",'Шаг 4. Издержки простоя, НП'!D9)</f>
        <v/>
      </c>
      <c r="D41" s="27" t="str">
        <f>IF(LEN(C41)&gt;0,"Да","Нет")</f>
        <v>Нет</v>
      </c>
      <c r="E41" s="25">
        <f>SUM('Шаг 4. Издержки простоя, НП'!E9:F9)</f>
        <v>0</v>
      </c>
      <c r="F41" s="13"/>
      <c r="G41" s="13"/>
    </row>
    <row r="42" spans="1:7" ht="15.75" x14ac:dyDescent="0.25">
      <c r="A42" s="13"/>
      <c r="B42" s="125" t="s">
        <v>108</v>
      </c>
      <c r="C42" s="28" t="str">
        <f>IF('Шаг 4. Издержки простоя, НП'!D10=0,"",'Шаг 4. Издержки простоя, НП'!D10)</f>
        <v/>
      </c>
      <c r="D42" s="27" t="str">
        <f>IF(LEN(C42)&gt;0,"Да","Нет")</f>
        <v>Нет</v>
      </c>
      <c r="E42" s="25">
        <f>SUM('Шаг 4. Издержки простоя, НП'!E10:F10)</f>
        <v>0</v>
      </c>
      <c r="F42" s="13"/>
      <c r="G42" s="13"/>
    </row>
    <row r="43" spans="1:7" ht="19.899999999999999" customHeight="1" x14ac:dyDescent="0.25">
      <c r="A43" s="13"/>
      <c r="B43" s="125">
        <v>4</v>
      </c>
      <c r="C43" s="28" t="s">
        <v>118</v>
      </c>
      <c r="D43" s="27" t="str">
        <f>IF(E43&gt;0,"Да","Нет")</f>
        <v>Нет</v>
      </c>
      <c r="E43" s="25">
        <f>'Шаг 5. Альтернативные'!J12</f>
        <v>0</v>
      </c>
      <c r="F43" s="13"/>
      <c r="G43" s="13"/>
    </row>
    <row r="44" spans="1:7" ht="19.899999999999999" customHeight="1" x14ac:dyDescent="0.25">
      <c r="A44" s="13"/>
      <c r="B44" s="261">
        <v>5</v>
      </c>
      <c r="C44" s="262" t="s">
        <v>95</v>
      </c>
      <c r="D44" s="263" t="str">
        <f>IF(E44&gt;0,"Да","Нет")</f>
        <v>Нет</v>
      </c>
      <c r="E44" s="264">
        <f>SUM(E28,E32,E36,E43)</f>
        <v>0</v>
      </c>
      <c r="F44" s="13"/>
      <c r="G44" s="13"/>
    </row>
    <row r="45" spans="1:7" x14ac:dyDescent="0.25">
      <c r="A45" s="13"/>
      <c r="B45" s="19"/>
      <c r="C45" s="13"/>
      <c r="D45" s="13"/>
      <c r="E45" s="13"/>
      <c r="F45" s="13"/>
      <c r="G45" s="13"/>
    </row>
    <row r="46" spans="1:7" x14ac:dyDescent="0.25">
      <c r="A46" s="13"/>
      <c r="B46" s="13"/>
      <c r="C46" s="13"/>
      <c r="D46" s="13"/>
      <c r="E46" s="13"/>
      <c r="F46" s="13"/>
      <c r="G46" s="13"/>
    </row>
  </sheetData>
  <mergeCells count="23">
    <mergeCell ref="B2:E2"/>
    <mergeCell ref="B3:E3"/>
    <mergeCell ref="B6:C6"/>
    <mergeCell ref="B8:C8"/>
    <mergeCell ref="B20:C20"/>
    <mergeCell ref="B10:C10"/>
    <mergeCell ref="B14:C14"/>
    <mergeCell ref="B16:C16"/>
    <mergeCell ref="B18:C18"/>
    <mergeCell ref="B4:E4"/>
    <mergeCell ref="B24:C24"/>
    <mergeCell ref="D6:F6"/>
    <mergeCell ref="D8:F8"/>
    <mergeCell ref="D10:F10"/>
    <mergeCell ref="D12:F12"/>
    <mergeCell ref="D14:F14"/>
    <mergeCell ref="D16:F16"/>
    <mergeCell ref="D18:F18"/>
    <mergeCell ref="D20:F20"/>
    <mergeCell ref="D22:F22"/>
    <mergeCell ref="D24:F24"/>
    <mergeCell ref="B22:C22"/>
    <mergeCell ref="B12:C1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O5"/>
  <sheetViews>
    <sheetView zoomScale="70" zoomScaleNormal="70" workbookViewId="0">
      <selection sqref="A1:A3"/>
    </sheetView>
  </sheetViews>
  <sheetFormatPr defaultColWidth="8.85546875" defaultRowHeight="15.75" x14ac:dyDescent="0.25"/>
  <cols>
    <col min="1" max="1" width="8.85546875" style="265"/>
    <col min="2" max="2" width="24.28515625" style="265" customWidth="1"/>
    <col min="3" max="3" width="22.42578125" style="265" customWidth="1"/>
    <col min="4" max="5" width="16.85546875" style="265" customWidth="1"/>
    <col min="6" max="7" width="14.7109375" style="265" customWidth="1"/>
    <col min="8" max="8" width="15.7109375" style="265" customWidth="1"/>
    <col min="9" max="9" width="16.7109375" style="265" customWidth="1"/>
    <col min="10" max="11" width="15.5703125" style="265" customWidth="1"/>
    <col min="12" max="13" width="15.7109375" style="265" customWidth="1"/>
    <col min="14" max="15" width="14.28515625" style="265" customWidth="1"/>
    <col min="16" max="16384" width="8.85546875" style="265"/>
  </cols>
  <sheetData>
    <row r="1" spans="1:15" ht="66" customHeight="1" x14ac:dyDescent="0.25">
      <c r="A1" s="370" t="s">
        <v>62</v>
      </c>
      <c r="B1" s="370" t="s">
        <v>1183</v>
      </c>
      <c r="C1" s="370" t="s">
        <v>1184</v>
      </c>
      <c r="D1" s="370" t="s">
        <v>116</v>
      </c>
      <c r="E1" s="370"/>
      <c r="F1" s="370" t="s">
        <v>117</v>
      </c>
      <c r="G1" s="370"/>
      <c r="H1" s="370" t="s">
        <v>1185</v>
      </c>
      <c r="I1" s="370" t="s">
        <v>1186</v>
      </c>
      <c r="J1" s="370" t="s">
        <v>1187</v>
      </c>
      <c r="K1" s="370"/>
      <c r="L1" s="370" t="s">
        <v>1188</v>
      </c>
      <c r="M1" s="370"/>
      <c r="N1" s="370" t="s">
        <v>1189</v>
      </c>
      <c r="O1" s="370"/>
    </row>
    <row r="2" spans="1:15" x14ac:dyDescent="0.25">
      <c r="A2" s="370"/>
      <c r="B2" s="370"/>
      <c r="C2" s="370"/>
      <c r="D2" s="370" t="s">
        <v>1190</v>
      </c>
      <c r="E2" s="370" t="s">
        <v>1191</v>
      </c>
      <c r="F2" s="370" t="s">
        <v>1190</v>
      </c>
      <c r="G2" s="370" t="s">
        <v>1191</v>
      </c>
      <c r="H2" s="370"/>
      <c r="I2" s="370"/>
      <c r="J2" s="370" t="s">
        <v>1192</v>
      </c>
      <c r="K2" s="370" t="s">
        <v>1212</v>
      </c>
      <c r="L2" s="266" t="s">
        <v>1193</v>
      </c>
      <c r="M2" s="370" t="s">
        <v>1195</v>
      </c>
      <c r="N2" s="266" t="s">
        <v>1193</v>
      </c>
      <c r="O2" s="370" t="s">
        <v>1196</v>
      </c>
    </row>
    <row r="3" spans="1:15" ht="100.15" customHeight="1" x14ac:dyDescent="0.25">
      <c r="A3" s="370"/>
      <c r="B3" s="370"/>
      <c r="C3" s="370"/>
      <c r="D3" s="370"/>
      <c r="E3" s="370"/>
      <c r="F3" s="370"/>
      <c r="G3" s="370"/>
      <c r="H3" s="370"/>
      <c r="I3" s="370"/>
      <c r="J3" s="370"/>
      <c r="K3" s="370"/>
      <c r="L3" s="266" t="s">
        <v>1194</v>
      </c>
      <c r="M3" s="370"/>
      <c r="N3" s="266" t="s">
        <v>1194</v>
      </c>
      <c r="O3" s="370"/>
    </row>
    <row r="4" spans="1:15" s="269" customFormat="1" x14ac:dyDescent="0.25">
      <c r="A4" s="267" t="s">
        <v>1197</v>
      </c>
      <c r="B4" s="267" t="s">
        <v>1198</v>
      </c>
      <c r="C4" s="267" t="s">
        <v>1199</v>
      </c>
      <c r="D4" s="267" t="s">
        <v>1200</v>
      </c>
      <c r="E4" s="267" t="s">
        <v>1201</v>
      </c>
      <c r="F4" s="267" t="s">
        <v>1202</v>
      </c>
      <c r="G4" s="267" t="s">
        <v>1203</v>
      </c>
      <c r="H4" s="267" t="s">
        <v>1204</v>
      </c>
      <c r="I4" s="267" t="s">
        <v>1205</v>
      </c>
      <c r="J4" s="267" t="s">
        <v>1206</v>
      </c>
      <c r="K4" s="267" t="s">
        <v>1207</v>
      </c>
      <c r="L4" s="267" t="s">
        <v>1208</v>
      </c>
      <c r="M4" s="267" t="s">
        <v>1209</v>
      </c>
      <c r="N4" s="267" t="s">
        <v>1210</v>
      </c>
      <c r="O4" s="267" t="s">
        <v>1211</v>
      </c>
    </row>
    <row r="5" spans="1:15" x14ac:dyDescent="0.25">
      <c r="A5" s="268">
        <v>1</v>
      </c>
      <c r="B5" s="268">
        <f>'Сводные результаты оценки'!D14</f>
        <v>0</v>
      </c>
      <c r="C5" s="266"/>
      <c r="D5" s="274">
        <f>'Сводные результаты оценки'!E30</f>
        <v>0</v>
      </c>
      <c r="E5" s="274">
        <f>'Сводные результаты оценки'!E31</f>
        <v>0</v>
      </c>
      <c r="F5" s="274">
        <f>'Сводные результаты оценки'!E34</f>
        <v>0</v>
      </c>
      <c r="G5" s="274">
        <f>'Сводные результаты оценки'!E35</f>
        <v>0</v>
      </c>
      <c r="H5" s="274">
        <f>'Сводные результаты оценки'!E36</f>
        <v>0</v>
      </c>
      <c r="I5" s="274">
        <f>'Сводные результаты оценки'!E43</f>
        <v>0</v>
      </c>
      <c r="J5" s="274" t="e">
        <f>SUM(#REF!,#REF!,#REF!,'Шаг 5. Альтернативные'!#REF!)</f>
        <v>#REF!</v>
      </c>
      <c r="K5" s="274">
        <f>'Сводные результаты оценки'!E44</f>
        <v>0</v>
      </c>
      <c r="L5" s="266"/>
      <c r="M5" s="266"/>
      <c r="N5" s="266" t="s">
        <v>51</v>
      </c>
      <c r="O5" s="266"/>
    </row>
  </sheetData>
  <mergeCells count="18">
    <mergeCell ref="J2:J3"/>
    <mergeCell ref="H1:H3"/>
    <mergeCell ref="M2:M3"/>
    <mergeCell ref="O2:O3"/>
    <mergeCell ref="I1:I3"/>
    <mergeCell ref="J1:K1"/>
    <mergeCell ref="L1:M1"/>
    <mergeCell ref="N1:O1"/>
    <mergeCell ref="K2:K3"/>
    <mergeCell ref="A1:A3"/>
    <mergeCell ref="B1:B3"/>
    <mergeCell ref="C1:C3"/>
    <mergeCell ref="D1:E1"/>
    <mergeCell ref="F1:G1"/>
    <mergeCell ref="D2:D3"/>
    <mergeCell ref="E2:E3"/>
    <mergeCell ref="F2:F3"/>
    <mergeCell ref="G2:G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Dict!$A$2:$A$3</xm:f>
          </x14:formula1>
          <xm:sqref>L5 N5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FF3F4"/>
  </sheetPr>
  <dimension ref="A3:G22"/>
  <sheetViews>
    <sheetView zoomScale="70" zoomScaleNormal="70" workbookViewId="0">
      <selection activeCell="L14" sqref="L14"/>
    </sheetView>
  </sheetViews>
  <sheetFormatPr defaultColWidth="8.85546875" defaultRowHeight="15" x14ac:dyDescent="0.25"/>
  <cols>
    <col min="1" max="1" width="8.85546875" style="253"/>
    <col min="2" max="2" width="58.28515625" style="253" customWidth="1"/>
    <col min="3" max="3" width="23" style="253" customWidth="1"/>
    <col min="4" max="4" width="30.7109375" style="253" customWidth="1"/>
    <col min="5" max="5" width="19.7109375" style="253" customWidth="1"/>
    <col min="6" max="6" width="20.5703125" style="253" customWidth="1"/>
    <col min="7" max="16384" width="8.85546875" style="253"/>
  </cols>
  <sheetData>
    <row r="3" spans="1:7" ht="60" x14ac:dyDescent="0.25">
      <c r="A3" s="9" t="s">
        <v>62</v>
      </c>
      <c r="B3" s="9" t="s">
        <v>110</v>
      </c>
      <c r="C3" s="9" t="s">
        <v>111</v>
      </c>
      <c r="D3" s="9" t="s">
        <v>112</v>
      </c>
      <c r="E3" s="9" t="s">
        <v>113</v>
      </c>
      <c r="F3" s="9" t="s">
        <v>114</v>
      </c>
      <c r="G3" s="9" t="s">
        <v>125</v>
      </c>
    </row>
    <row r="4" spans="1:7" ht="30" x14ac:dyDescent="0.25">
      <c r="A4" s="11" t="s">
        <v>121</v>
      </c>
      <c r="B4" s="11" t="str">
        <f>CONCATENATE('Сводные результаты оценки'!$D$14," ",'Сводные результаты оценки'!$D$10)</f>
        <v xml:space="preserve"> </v>
      </c>
      <c r="C4" s="11" t="s">
        <v>116</v>
      </c>
      <c r="D4" s="11" t="s">
        <v>120</v>
      </c>
      <c r="E4" s="254" t="e">
        <f>F4/'Сводные результаты оценки'!$D$20</f>
        <v>#REF!</v>
      </c>
      <c r="F4" s="254" t="e">
        <f>SUM(F5:F9)</f>
        <v>#REF!</v>
      </c>
      <c r="G4" s="11" t="s">
        <v>0</v>
      </c>
    </row>
    <row r="5" spans="1:7" ht="30" x14ac:dyDescent="0.25">
      <c r="A5" s="11" t="s">
        <v>27</v>
      </c>
      <c r="B5" s="11" t="str">
        <f>CONCATENATE('Сводные результаты оценки'!$D$14," ",'Сводные результаты оценки'!$D$10)</f>
        <v xml:space="preserve"> </v>
      </c>
      <c r="C5" s="11" t="s">
        <v>116</v>
      </c>
      <c r="D5" s="11" t="e">
        <f>IF(#REF!=0,"",#REF!)</f>
        <v>#REF!</v>
      </c>
      <c r="E5" s="254" t="e">
        <f>F5/'Сводные результаты оценки'!$D$20</f>
        <v>#REF!</v>
      </c>
      <c r="F5" s="254" t="e">
        <f>#REF!+#REF!</f>
        <v>#REF!</v>
      </c>
      <c r="G5" s="11" t="s">
        <v>0</v>
      </c>
    </row>
    <row r="6" spans="1:7" ht="30" x14ac:dyDescent="0.25">
      <c r="A6" s="11" t="s">
        <v>28</v>
      </c>
      <c r="B6" s="11" t="str">
        <f>CONCATENATE('Сводные результаты оценки'!$D$14," ",'Сводные результаты оценки'!$D$10)</f>
        <v xml:space="preserve"> </v>
      </c>
      <c r="C6" s="11" t="s">
        <v>116</v>
      </c>
      <c r="D6" s="11" t="e">
        <f>IF(#REF!=0,"",#REF!)</f>
        <v>#REF!</v>
      </c>
      <c r="E6" s="254" t="e">
        <f>F6/'Сводные результаты оценки'!$D$20</f>
        <v>#REF!</v>
      </c>
      <c r="F6" s="254" t="e">
        <f>#REF!+#REF!</f>
        <v>#REF!</v>
      </c>
      <c r="G6" s="11" t="s">
        <v>0</v>
      </c>
    </row>
    <row r="7" spans="1:7" ht="30" x14ac:dyDescent="0.25">
      <c r="A7" s="11" t="s">
        <v>122</v>
      </c>
      <c r="B7" s="11" t="str">
        <f>CONCATENATE('Сводные результаты оценки'!$D$14," ",'Сводные результаты оценки'!$D$10)</f>
        <v xml:space="preserve"> </v>
      </c>
      <c r="C7" s="11" t="s">
        <v>116</v>
      </c>
      <c r="D7" s="11" t="e">
        <f>IF(#REF!=0,"",#REF!)</f>
        <v>#REF!</v>
      </c>
      <c r="E7" s="254" t="e">
        <f>F7/'Сводные результаты оценки'!$D$20</f>
        <v>#REF!</v>
      </c>
      <c r="F7" s="254" t="e">
        <f>#REF!+#REF!</f>
        <v>#REF!</v>
      </c>
      <c r="G7" s="11" t="s">
        <v>0</v>
      </c>
    </row>
    <row r="8" spans="1:7" ht="30" x14ac:dyDescent="0.25">
      <c r="A8" s="11" t="s">
        <v>123</v>
      </c>
      <c r="B8" s="11" t="str">
        <f>CONCATENATE('Сводные результаты оценки'!$D$14," ",'Сводные результаты оценки'!$D$10)</f>
        <v xml:space="preserve"> </v>
      </c>
      <c r="C8" s="11" t="s">
        <v>116</v>
      </c>
      <c r="D8" s="11" t="e">
        <f>IF(#REF!=0,"",#REF!)</f>
        <v>#REF!</v>
      </c>
      <c r="E8" s="254" t="e">
        <f>F8/'Сводные результаты оценки'!$D$20</f>
        <v>#REF!</v>
      </c>
      <c r="F8" s="254" t="e">
        <f>#REF!+#REF!</f>
        <v>#REF!</v>
      </c>
      <c r="G8" s="11" t="s">
        <v>0</v>
      </c>
    </row>
    <row r="9" spans="1:7" ht="30" x14ac:dyDescent="0.25">
      <c r="A9" s="11" t="s">
        <v>124</v>
      </c>
      <c r="B9" s="11" t="str">
        <f>CONCATENATE('Сводные результаты оценки'!$D$14," ",'Сводные результаты оценки'!$D$10)</f>
        <v xml:space="preserve"> </v>
      </c>
      <c r="C9" s="11" t="s">
        <v>116</v>
      </c>
      <c r="D9" s="11" t="e">
        <f>IF(#REF!=0,"",#REF!)</f>
        <v>#REF!</v>
      </c>
      <c r="E9" s="254" t="e">
        <f>F9/'Сводные результаты оценки'!$D$20</f>
        <v>#REF!</v>
      </c>
      <c r="F9" s="254" t="e">
        <f>#REF!+#REF!</f>
        <v>#REF!</v>
      </c>
      <c r="G9" s="11" t="s">
        <v>0</v>
      </c>
    </row>
    <row r="10" spans="1:7" ht="30" x14ac:dyDescent="0.25">
      <c r="A10" s="11" t="s">
        <v>126</v>
      </c>
      <c r="B10" s="11" t="str">
        <f>CONCATENATE('Сводные результаты оценки'!$D$14," ",'Сводные результаты оценки'!$D$10)</f>
        <v xml:space="preserve"> </v>
      </c>
      <c r="C10" s="11" t="s">
        <v>117</v>
      </c>
      <c r="D10" s="11" t="s">
        <v>120</v>
      </c>
      <c r="E10" s="254" t="e">
        <f>F10/'Сводные результаты оценки'!$D$20</f>
        <v>#REF!</v>
      </c>
      <c r="F10" s="254" t="e">
        <f>SUM(F11:F15)</f>
        <v>#REF!</v>
      </c>
      <c r="G10" s="11" t="s">
        <v>0</v>
      </c>
    </row>
    <row r="11" spans="1:7" ht="30" x14ac:dyDescent="0.25">
      <c r="A11" s="11" t="s">
        <v>29</v>
      </c>
      <c r="B11" s="11" t="str">
        <f>CONCATENATE('Сводные результаты оценки'!$D$14," ",'Сводные результаты оценки'!$D$10)</f>
        <v xml:space="preserve"> </v>
      </c>
      <c r="C11" s="11" t="s">
        <v>117</v>
      </c>
      <c r="D11" s="11" t="e">
        <f>IF(#REF!=0,"",#REF!)</f>
        <v>#REF!</v>
      </c>
      <c r="E11" s="254" t="e">
        <f>F11/'Сводные результаты оценки'!$D$20</f>
        <v>#REF!</v>
      </c>
      <c r="F11" s="254" t="e">
        <f>#REF!+#REF!</f>
        <v>#REF!</v>
      </c>
      <c r="G11" s="11" t="s">
        <v>0</v>
      </c>
    </row>
    <row r="12" spans="1:7" ht="30" x14ac:dyDescent="0.25">
      <c r="A12" s="11" t="s">
        <v>30</v>
      </c>
      <c r="B12" s="11" t="str">
        <f>CONCATENATE('Сводные результаты оценки'!$D$14," ",'Сводные результаты оценки'!$D$10)</f>
        <v xml:space="preserve"> </v>
      </c>
      <c r="C12" s="11" t="s">
        <v>117</v>
      </c>
      <c r="D12" s="11" t="e">
        <f>IF(#REF!=0,"",#REF!)</f>
        <v>#REF!</v>
      </c>
      <c r="E12" s="254" t="e">
        <f>F12/'Сводные результаты оценки'!$D$20</f>
        <v>#REF!</v>
      </c>
      <c r="F12" s="254" t="e">
        <f>#REF!+#REF!</f>
        <v>#REF!</v>
      </c>
      <c r="G12" s="11" t="s">
        <v>0</v>
      </c>
    </row>
    <row r="13" spans="1:7" ht="30" x14ac:dyDescent="0.25">
      <c r="A13" s="11" t="s">
        <v>127</v>
      </c>
      <c r="B13" s="11" t="str">
        <f>CONCATENATE('Сводные результаты оценки'!$D$14," ",'Сводные результаты оценки'!$D$10)</f>
        <v xml:space="preserve"> </v>
      </c>
      <c r="C13" s="11" t="s">
        <v>117</v>
      </c>
      <c r="D13" s="11" t="e">
        <f>IF(#REF!=0,"",#REF!)</f>
        <v>#REF!</v>
      </c>
      <c r="E13" s="254" t="e">
        <f>F13/'Сводные результаты оценки'!$D$20</f>
        <v>#REF!</v>
      </c>
      <c r="F13" s="254" t="e">
        <f>#REF!+#REF!</f>
        <v>#REF!</v>
      </c>
      <c r="G13" s="11" t="s">
        <v>0</v>
      </c>
    </row>
    <row r="14" spans="1:7" ht="30" x14ac:dyDescent="0.25">
      <c r="A14" s="11" t="s">
        <v>128</v>
      </c>
      <c r="B14" s="11" t="str">
        <f>CONCATENATE('Сводные результаты оценки'!$D$14," ",'Сводные результаты оценки'!$D$10)</f>
        <v xml:space="preserve"> </v>
      </c>
      <c r="C14" s="11" t="s">
        <v>117</v>
      </c>
      <c r="D14" s="11" t="e">
        <f>IF(#REF!=0,"",#REF!)</f>
        <v>#REF!</v>
      </c>
      <c r="E14" s="254" t="e">
        <f>F14/'Сводные результаты оценки'!$D$20</f>
        <v>#REF!</v>
      </c>
      <c r="F14" s="254" t="e">
        <f>#REF!+#REF!</f>
        <v>#REF!</v>
      </c>
      <c r="G14" s="11" t="s">
        <v>0</v>
      </c>
    </row>
    <row r="15" spans="1:7" ht="30" x14ac:dyDescent="0.25">
      <c r="A15" s="11" t="s">
        <v>129</v>
      </c>
      <c r="B15" s="11" t="str">
        <f>CONCATENATE('Сводные результаты оценки'!$D$14," ",'Сводные результаты оценки'!$D$10)</f>
        <v xml:space="preserve"> </v>
      </c>
      <c r="C15" s="11" t="s">
        <v>117</v>
      </c>
      <c r="D15" s="11" t="e">
        <f>IF(#REF!=0,"",#REF!)</f>
        <v>#REF!</v>
      </c>
      <c r="E15" s="254" t="e">
        <f>F15/'Сводные результаты оценки'!$D$20</f>
        <v>#REF!</v>
      </c>
      <c r="F15" s="254" t="e">
        <f>#REF!+#REF!</f>
        <v>#REF!</v>
      </c>
      <c r="G15" s="11" t="s">
        <v>0</v>
      </c>
    </row>
    <row r="16" spans="1:7" x14ac:dyDescent="0.25">
      <c r="A16" s="11" t="s">
        <v>130</v>
      </c>
      <c r="B16" s="11" t="str">
        <f>CONCATENATE('Сводные результаты оценки'!$D$14," ",'Сводные результаты оценки'!$D$10)</f>
        <v xml:space="preserve"> </v>
      </c>
      <c r="C16" s="11" t="s">
        <v>5</v>
      </c>
      <c r="D16" s="11" t="s">
        <v>120</v>
      </c>
      <c r="E16" s="254" t="e">
        <f>F16/'Сводные результаты оценки'!$D$20</f>
        <v>#REF!</v>
      </c>
      <c r="F16" s="254" t="e">
        <f>SUM(F17:F21)</f>
        <v>#REF!</v>
      </c>
      <c r="G16" s="11" t="s">
        <v>0</v>
      </c>
    </row>
    <row r="17" spans="1:7" x14ac:dyDescent="0.25">
      <c r="A17" s="11" t="s">
        <v>104</v>
      </c>
      <c r="B17" s="11" t="str">
        <f>CONCATENATE('Сводные результаты оценки'!$D$14," ",'Сводные результаты оценки'!$D$10)</f>
        <v xml:space="preserve"> </v>
      </c>
      <c r="C17" s="11" t="s">
        <v>5</v>
      </c>
      <c r="D17" s="11" t="e">
        <f>IF(#REF!=0,"",#REF!)</f>
        <v>#REF!</v>
      </c>
      <c r="E17" s="254" t="e">
        <f>F17/'Сводные результаты оценки'!$D$20</f>
        <v>#REF!</v>
      </c>
      <c r="F17" s="254" t="e">
        <f>#REF!</f>
        <v>#REF!</v>
      </c>
      <c r="G17" s="11" t="s">
        <v>0</v>
      </c>
    </row>
    <row r="18" spans="1:7" x14ac:dyDescent="0.25">
      <c r="A18" s="11" t="s">
        <v>105</v>
      </c>
      <c r="B18" s="11" t="str">
        <f>CONCATENATE('Сводные результаты оценки'!$D$14," ",'Сводные результаты оценки'!$D$10)</f>
        <v xml:space="preserve"> </v>
      </c>
      <c r="C18" s="11" t="s">
        <v>5</v>
      </c>
      <c r="D18" s="11" t="e">
        <f>IF(#REF!=0,"",#REF!)</f>
        <v>#REF!</v>
      </c>
      <c r="E18" s="254" t="e">
        <f>F18/'Сводные результаты оценки'!$D$20</f>
        <v>#REF!</v>
      </c>
      <c r="F18" s="254" t="e">
        <f>#REF!</f>
        <v>#REF!</v>
      </c>
      <c r="G18" s="11" t="s">
        <v>0</v>
      </c>
    </row>
    <row r="19" spans="1:7" x14ac:dyDescent="0.25">
      <c r="A19" s="11" t="s">
        <v>106</v>
      </c>
      <c r="B19" s="11" t="str">
        <f>CONCATENATE('Сводные результаты оценки'!$D$14," ",'Сводные результаты оценки'!$D$10)</f>
        <v xml:space="preserve"> </v>
      </c>
      <c r="C19" s="11" t="s">
        <v>5</v>
      </c>
      <c r="D19" s="11" t="e">
        <f>IF(#REF!=0,"",#REF!)</f>
        <v>#REF!</v>
      </c>
      <c r="E19" s="254" t="e">
        <f>F19/'Сводные результаты оценки'!$D$20</f>
        <v>#REF!</v>
      </c>
      <c r="F19" s="254" t="e">
        <f>#REF!</f>
        <v>#REF!</v>
      </c>
      <c r="G19" s="11" t="s">
        <v>0</v>
      </c>
    </row>
    <row r="20" spans="1:7" x14ac:dyDescent="0.25">
      <c r="A20" s="11" t="s">
        <v>107</v>
      </c>
      <c r="B20" s="11" t="str">
        <f>CONCATENATE('Сводные результаты оценки'!$D$14," ",'Сводные результаты оценки'!$D$10)</f>
        <v xml:space="preserve"> </v>
      </c>
      <c r="C20" s="11" t="s">
        <v>5</v>
      </c>
      <c r="D20" s="11" t="e">
        <f>IF(#REF!=0,"",#REF!)</f>
        <v>#REF!</v>
      </c>
      <c r="E20" s="254" t="e">
        <f>F20/'Сводные результаты оценки'!$D$20</f>
        <v>#REF!</v>
      </c>
      <c r="F20" s="254" t="e">
        <f>#REF!</f>
        <v>#REF!</v>
      </c>
      <c r="G20" s="11" t="s">
        <v>0</v>
      </c>
    </row>
    <row r="21" spans="1:7" x14ac:dyDescent="0.25">
      <c r="A21" s="11" t="s">
        <v>108</v>
      </c>
      <c r="B21" s="11" t="str">
        <f>CONCATENATE('Сводные результаты оценки'!$D$14," ",'Сводные результаты оценки'!$D$10)</f>
        <v xml:space="preserve"> </v>
      </c>
      <c r="C21" s="11" t="s">
        <v>5</v>
      </c>
      <c r="D21" s="11" t="e">
        <f>IF(#REF!=0,"",#REF!)</f>
        <v>#REF!</v>
      </c>
      <c r="E21" s="254" t="e">
        <f>F21/'Сводные результаты оценки'!$D$20</f>
        <v>#REF!</v>
      </c>
      <c r="F21" s="254" t="e">
        <f>#REF!</f>
        <v>#REF!</v>
      </c>
      <c r="G21" s="11" t="s">
        <v>0</v>
      </c>
    </row>
    <row r="22" spans="1:7" ht="30" x14ac:dyDescent="0.25">
      <c r="A22" s="11" t="s">
        <v>131</v>
      </c>
      <c r="B22" s="11" t="str">
        <f>CONCATENATE('Сводные результаты оценки'!$D$14," ",'Сводные результаты оценки'!$D$10)</f>
        <v xml:space="preserve"> </v>
      </c>
      <c r="C22" s="11" t="s">
        <v>118</v>
      </c>
      <c r="D22" s="11" t="s">
        <v>119</v>
      </c>
      <c r="E22" s="254">
        <f>F22/'Сводные результаты оценки'!$D$20</f>
        <v>0</v>
      </c>
      <c r="F22" s="254">
        <f>'Шаг 5. Альтернативные'!D12</f>
        <v>0</v>
      </c>
      <c r="G22" s="11" t="s">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AC225"/>
  <sheetViews>
    <sheetView topLeftCell="E1" zoomScale="85" zoomScaleNormal="85" workbookViewId="0">
      <selection activeCell="I5" sqref="I5"/>
    </sheetView>
  </sheetViews>
  <sheetFormatPr defaultColWidth="8.85546875" defaultRowHeight="15" x14ac:dyDescent="0.25"/>
  <cols>
    <col min="1" max="1" width="2.7109375" style="168" bestFit="1" customWidth="1"/>
    <col min="2" max="2" width="25.42578125" style="168" customWidth="1"/>
    <col min="3" max="3" width="39.5703125" style="168" customWidth="1"/>
    <col min="4" max="4" width="44.85546875" style="168" customWidth="1"/>
    <col min="5" max="5" width="50.5703125" style="168" customWidth="1"/>
    <col min="6" max="6" width="40.42578125" style="168" customWidth="1"/>
    <col min="7" max="7" width="18.28515625" style="168" customWidth="1"/>
    <col min="8" max="8" width="27.28515625" style="168" customWidth="1"/>
    <col min="9" max="9" width="27.85546875" style="168" customWidth="1"/>
    <col min="10" max="10" width="31.5703125" style="168" customWidth="1"/>
    <col min="11" max="11" width="4.28515625" style="168" customWidth="1"/>
    <col min="12" max="12" width="20.28515625" style="168" customWidth="1"/>
    <col min="13" max="13" width="15.28515625" style="168" bestFit="1" customWidth="1"/>
    <col min="14" max="14" width="17.140625" style="168" bestFit="1" customWidth="1"/>
    <col min="15" max="15" width="29.28515625" style="168" customWidth="1"/>
    <col min="16" max="16" width="20.85546875" style="168" bestFit="1" customWidth="1"/>
    <col min="17" max="17" width="15.28515625" style="168" customWidth="1"/>
    <col min="18" max="18" width="13.28515625" style="168" customWidth="1"/>
    <col min="19" max="19" width="17.28515625" style="168" customWidth="1"/>
    <col min="20" max="21" width="16.140625" style="168" customWidth="1"/>
    <col min="22" max="23" width="20.42578125" style="168" customWidth="1"/>
    <col min="24" max="24" width="24.7109375" style="168" customWidth="1"/>
    <col min="25" max="25" width="28.85546875" style="168" customWidth="1"/>
    <col min="26" max="26" width="16.85546875" style="168" customWidth="1"/>
    <col min="27" max="27" width="27.7109375" style="168" customWidth="1"/>
    <col min="28" max="16384" width="8.85546875" style="168"/>
  </cols>
  <sheetData>
    <row r="1" spans="1:27" ht="15.75" x14ac:dyDescent="0.25">
      <c r="B1" s="128" t="s">
        <v>1137</v>
      </c>
    </row>
    <row r="2" spans="1:27" ht="15.75" thickBot="1" x14ac:dyDescent="0.3"/>
    <row r="3" spans="1:27" x14ac:dyDescent="0.25">
      <c r="A3" s="430"/>
      <c r="B3" s="432" t="s">
        <v>1136</v>
      </c>
      <c r="C3" s="432" t="s">
        <v>1135</v>
      </c>
      <c r="D3" s="432" t="s">
        <v>1134</v>
      </c>
      <c r="E3" s="421" t="s">
        <v>1133</v>
      </c>
      <c r="F3" s="421"/>
      <c r="G3" s="421"/>
      <c r="H3" s="426" t="s">
        <v>1132</v>
      </c>
      <c r="I3" s="426"/>
      <c r="J3" s="427"/>
      <c r="K3" s="205"/>
      <c r="L3" s="420" t="s">
        <v>1131</v>
      </c>
      <c r="M3" s="421"/>
      <c r="N3" s="421"/>
      <c r="O3" s="421"/>
      <c r="P3" s="421"/>
      <c r="Q3" s="421"/>
      <c r="R3" s="421"/>
      <c r="S3" s="421"/>
      <c r="T3" s="421"/>
      <c r="U3" s="421"/>
      <c r="V3" s="421"/>
      <c r="W3" s="421"/>
      <c r="X3" s="421"/>
      <c r="Y3" s="421"/>
      <c r="Z3" s="421"/>
      <c r="AA3" s="422"/>
    </row>
    <row r="4" spans="1:27" x14ac:dyDescent="0.25">
      <c r="A4" s="431"/>
      <c r="B4" s="433"/>
      <c r="C4" s="433"/>
      <c r="D4" s="433"/>
      <c r="E4" s="434"/>
      <c r="F4" s="434"/>
      <c r="G4" s="434"/>
      <c r="H4" s="428"/>
      <c r="I4" s="428"/>
      <c r="J4" s="429"/>
      <c r="K4" s="205"/>
      <c r="L4" s="423" t="s">
        <v>1130</v>
      </c>
      <c r="M4" s="424" t="s">
        <v>1129</v>
      </c>
      <c r="N4" s="424" t="s">
        <v>1128</v>
      </c>
      <c r="O4" s="424"/>
      <c r="P4" s="424"/>
      <c r="Q4" s="424"/>
      <c r="R4" s="424"/>
      <c r="S4" s="424"/>
      <c r="T4" s="424"/>
      <c r="U4" s="424" t="s">
        <v>1127</v>
      </c>
      <c r="V4" s="424"/>
      <c r="W4" s="424"/>
      <c r="X4" s="424" t="s">
        <v>1126</v>
      </c>
      <c r="Y4" s="424" t="s">
        <v>1125</v>
      </c>
      <c r="Z4" s="424" t="s">
        <v>1124</v>
      </c>
      <c r="AA4" s="425" t="s">
        <v>1123</v>
      </c>
    </row>
    <row r="5" spans="1:27" ht="60" x14ac:dyDescent="0.25">
      <c r="A5" s="431"/>
      <c r="B5" s="433"/>
      <c r="C5" s="433"/>
      <c r="D5" s="433"/>
      <c r="E5" s="204" t="s">
        <v>1122</v>
      </c>
      <c r="F5" s="204" t="s">
        <v>1121</v>
      </c>
      <c r="G5" s="204" t="s">
        <v>1120</v>
      </c>
      <c r="H5" s="231" t="s">
        <v>1119</v>
      </c>
      <c r="I5" s="231" t="s">
        <v>1118</v>
      </c>
      <c r="J5" s="203" t="s">
        <v>1117</v>
      </c>
      <c r="K5" s="202"/>
      <c r="L5" s="423"/>
      <c r="M5" s="424"/>
      <c r="N5" s="234" t="s">
        <v>264</v>
      </c>
      <c r="O5" s="234" t="s">
        <v>1116</v>
      </c>
      <c r="P5" s="234" t="s">
        <v>1115</v>
      </c>
      <c r="Q5" s="234" t="s">
        <v>1114</v>
      </c>
      <c r="R5" s="234" t="s">
        <v>1113</v>
      </c>
      <c r="S5" s="234" t="s">
        <v>1112</v>
      </c>
      <c r="T5" s="201" t="s">
        <v>1109</v>
      </c>
      <c r="U5" s="201" t="s">
        <v>1111</v>
      </c>
      <c r="V5" s="200" t="s">
        <v>1110</v>
      </c>
      <c r="W5" s="234" t="s">
        <v>1109</v>
      </c>
      <c r="X5" s="424"/>
      <c r="Y5" s="424"/>
      <c r="Z5" s="424"/>
      <c r="AA5" s="425"/>
    </row>
    <row r="6" spans="1:27" ht="45" x14ac:dyDescent="0.25">
      <c r="A6" s="417">
        <v>1</v>
      </c>
      <c r="B6" s="416" t="s">
        <v>1108</v>
      </c>
      <c r="C6" s="389" t="s">
        <v>224</v>
      </c>
      <c r="D6" s="398" t="s">
        <v>225</v>
      </c>
      <c r="E6" s="251" t="s">
        <v>1107</v>
      </c>
      <c r="F6" s="185" t="s">
        <v>1106</v>
      </c>
      <c r="G6" s="389" t="s">
        <v>929</v>
      </c>
      <c r="H6" s="193">
        <f>I6*J6</f>
        <v>5942.3392000000003</v>
      </c>
      <c r="I6" s="193">
        <f>X6*Z6+Y6</f>
        <v>10.611320000000001</v>
      </c>
      <c r="J6" s="186">
        <v>560</v>
      </c>
      <c r="L6" s="180">
        <v>0.2</v>
      </c>
      <c r="M6" s="179">
        <f>1/6</f>
        <v>0.16666666666666666</v>
      </c>
      <c r="N6" s="185" t="s">
        <v>1105</v>
      </c>
      <c r="O6" s="185" t="s">
        <v>276</v>
      </c>
      <c r="P6" s="185">
        <v>2.85</v>
      </c>
      <c r="Q6" s="185">
        <v>3</v>
      </c>
      <c r="R6" s="179">
        <f>1/6</f>
        <v>0.16666666666666666</v>
      </c>
      <c r="S6" s="185"/>
      <c r="T6" s="199"/>
      <c r="U6" s="198" t="s">
        <v>1104</v>
      </c>
      <c r="V6" s="179">
        <v>2</v>
      </c>
      <c r="W6" s="179">
        <f>1/6</f>
        <v>0.16666666666666666</v>
      </c>
      <c r="X6" s="178">
        <f>(L6*M6+S6*T6)*6</f>
        <v>0.2</v>
      </c>
      <c r="Y6" s="185">
        <f>(P6*Q6*R6+V6*W6)*6</f>
        <v>10.55</v>
      </c>
      <c r="Z6" s="177">
        <v>0.30659999999999998</v>
      </c>
      <c r="AA6" s="176"/>
    </row>
    <row r="7" spans="1:27" ht="30" x14ac:dyDescent="0.25">
      <c r="A7" s="417"/>
      <c r="B7" s="416"/>
      <c r="C7" s="389"/>
      <c r="D7" s="398"/>
      <c r="E7" s="185" t="s">
        <v>1103</v>
      </c>
      <c r="F7" s="185"/>
      <c r="G7" s="389"/>
      <c r="H7" s="181"/>
      <c r="I7" s="181"/>
      <c r="J7" s="176"/>
      <c r="L7" s="180"/>
      <c r="M7" s="179"/>
      <c r="N7" s="185"/>
      <c r="O7" s="185"/>
      <c r="P7" s="185"/>
      <c r="Q7" s="185"/>
      <c r="R7" s="179">
        <v>10</v>
      </c>
      <c r="S7" s="185"/>
      <c r="T7" s="185"/>
      <c r="U7" s="185"/>
      <c r="V7" s="185"/>
      <c r="W7" s="179"/>
      <c r="X7" s="178"/>
      <c r="Y7" s="185"/>
      <c r="Z7" s="177"/>
      <c r="AA7" s="176"/>
    </row>
    <row r="8" spans="1:27" ht="45" x14ac:dyDescent="0.25">
      <c r="A8" s="417"/>
      <c r="B8" s="416"/>
      <c r="C8" s="389"/>
      <c r="D8" s="191" t="s">
        <v>1102</v>
      </c>
      <c r="E8" s="185" t="s">
        <v>1101</v>
      </c>
      <c r="F8" s="185"/>
      <c r="G8" s="185"/>
      <c r="H8" s="193">
        <f>I8*J8</f>
        <v>0</v>
      </c>
      <c r="I8" s="181"/>
      <c r="J8" s="176"/>
      <c r="L8" s="180"/>
      <c r="M8" s="179"/>
      <c r="N8" s="185"/>
      <c r="O8" s="185"/>
      <c r="P8" s="185"/>
      <c r="Q8" s="185"/>
      <c r="R8" s="179"/>
      <c r="S8" s="185"/>
      <c r="T8" s="185"/>
      <c r="U8" s="185"/>
      <c r="V8" s="185"/>
      <c r="W8" s="179"/>
      <c r="X8" s="178"/>
      <c r="Y8" s="185"/>
      <c r="Z8" s="177"/>
      <c r="AA8" s="176"/>
    </row>
    <row r="9" spans="1:27" ht="30" x14ac:dyDescent="0.25">
      <c r="A9" s="417"/>
      <c r="B9" s="416"/>
      <c r="C9" s="389" t="s">
        <v>227</v>
      </c>
      <c r="D9" s="389" t="s">
        <v>1100</v>
      </c>
      <c r="E9" s="185" t="s">
        <v>1097</v>
      </c>
      <c r="F9" s="185"/>
      <c r="G9" s="191" t="s">
        <v>929</v>
      </c>
      <c r="H9" s="193">
        <f>I9*J9</f>
        <v>0</v>
      </c>
      <c r="I9" s="193">
        <f>X9*(Z9+Z10+Z11)+Y9</f>
        <v>66.2256</v>
      </c>
      <c r="J9" s="176"/>
      <c r="L9" s="180">
        <v>1</v>
      </c>
      <c r="M9" s="179">
        <v>12</v>
      </c>
      <c r="N9" s="185"/>
      <c r="O9" s="185"/>
      <c r="P9" s="185"/>
      <c r="Q9" s="185"/>
      <c r="R9" s="179"/>
      <c r="S9" s="185"/>
      <c r="T9" s="185"/>
      <c r="U9" s="185"/>
      <c r="V9" s="185"/>
      <c r="W9" s="179"/>
      <c r="X9" s="178">
        <f>(L9*M9+L10*M10+L11*M11+L12*M12+S9*T9)*6</f>
        <v>216</v>
      </c>
      <c r="Y9" s="185">
        <f>(P9*Q9*R9+V9*W9)*6</f>
        <v>0</v>
      </c>
      <c r="Z9" s="177">
        <v>0.30659999999999998</v>
      </c>
      <c r="AA9" s="176"/>
    </row>
    <row r="10" spans="1:27" ht="30" x14ac:dyDescent="0.25">
      <c r="A10" s="417"/>
      <c r="B10" s="416"/>
      <c r="C10" s="389"/>
      <c r="D10" s="389"/>
      <c r="E10" s="185" t="s">
        <v>1096</v>
      </c>
      <c r="F10" s="185"/>
      <c r="G10" s="191"/>
      <c r="H10" s="197"/>
      <c r="I10" s="197"/>
      <c r="J10" s="176"/>
      <c r="L10" s="180"/>
      <c r="M10" s="179"/>
      <c r="N10" s="185"/>
      <c r="O10" s="185"/>
      <c r="P10" s="185"/>
      <c r="Q10" s="185"/>
      <c r="R10" s="179"/>
      <c r="S10" s="185"/>
      <c r="T10" s="185"/>
      <c r="U10" s="185"/>
      <c r="V10" s="185"/>
      <c r="W10" s="179"/>
      <c r="X10" s="178"/>
      <c r="Y10" s="185"/>
      <c r="Z10" s="177"/>
      <c r="AA10" s="176"/>
    </row>
    <row r="11" spans="1:27" ht="30" x14ac:dyDescent="0.25">
      <c r="A11" s="417"/>
      <c r="B11" s="416"/>
      <c r="C11" s="389"/>
      <c r="D11" s="389"/>
      <c r="E11" s="185" t="s">
        <v>1095</v>
      </c>
      <c r="F11" s="185"/>
      <c r="G11" s="191"/>
      <c r="H11" s="197"/>
      <c r="I11" s="197"/>
      <c r="J11" s="176"/>
      <c r="L11" s="180"/>
      <c r="M11" s="179"/>
      <c r="N11" s="185"/>
      <c r="O11" s="185"/>
      <c r="P11" s="185"/>
      <c r="Q11" s="185"/>
      <c r="R11" s="179"/>
      <c r="S11" s="185"/>
      <c r="T11" s="185"/>
      <c r="U11" s="185"/>
      <c r="V11" s="185"/>
      <c r="W11" s="179"/>
      <c r="X11" s="178"/>
      <c r="Y11" s="185"/>
      <c r="Z11" s="177"/>
      <c r="AA11" s="176"/>
    </row>
    <row r="12" spans="1:27" ht="45" x14ac:dyDescent="0.25">
      <c r="A12" s="417"/>
      <c r="B12" s="416"/>
      <c r="C12" s="389"/>
      <c r="D12" s="389"/>
      <c r="E12" s="185" t="s">
        <v>1099</v>
      </c>
      <c r="F12" s="185"/>
      <c r="G12" s="191"/>
      <c r="H12" s="197"/>
      <c r="I12" s="197"/>
      <c r="J12" s="176"/>
      <c r="L12" s="180">
        <v>2</v>
      </c>
      <c r="M12" s="179">
        <v>12</v>
      </c>
      <c r="N12" s="185"/>
      <c r="O12" s="185"/>
      <c r="P12" s="185"/>
      <c r="Q12" s="185"/>
      <c r="R12" s="179"/>
      <c r="S12" s="185"/>
      <c r="T12" s="185"/>
      <c r="U12" s="185"/>
      <c r="V12" s="185"/>
      <c r="W12" s="179"/>
      <c r="X12" s="178"/>
      <c r="Y12" s="185"/>
      <c r="Z12" s="177"/>
      <c r="AA12" s="176"/>
    </row>
    <row r="13" spans="1:27" ht="30" x14ac:dyDescent="0.25">
      <c r="A13" s="417"/>
      <c r="B13" s="416"/>
      <c r="C13" s="389"/>
      <c r="D13" s="389" t="s">
        <v>1098</v>
      </c>
      <c r="E13" s="185" t="s">
        <v>1097</v>
      </c>
      <c r="F13" s="185"/>
      <c r="G13" s="191" t="s">
        <v>929</v>
      </c>
      <c r="H13" s="193">
        <f>I13*J13</f>
        <v>0</v>
      </c>
      <c r="I13" s="193">
        <f>X13*(Z13+Z14+Z15)+Y13</f>
        <v>60.338879999999989</v>
      </c>
      <c r="J13" s="176"/>
      <c r="L13" s="180"/>
      <c r="M13" s="179"/>
      <c r="N13" s="185"/>
      <c r="O13" s="185"/>
      <c r="P13" s="185"/>
      <c r="Q13" s="185"/>
      <c r="R13" s="179"/>
      <c r="S13" s="185"/>
      <c r="T13" s="185"/>
      <c r="U13" s="185"/>
      <c r="V13" s="185"/>
      <c r="W13" s="179"/>
      <c r="X13" s="178">
        <f>(L13*M13+L14*M14+L15*M15+L16*M16+S13*T13)*6</f>
        <v>196.79999999999998</v>
      </c>
      <c r="Y13" s="185">
        <f>(P13*Q13*R13+V13*W13)*6</f>
        <v>0</v>
      </c>
      <c r="Z13" s="177">
        <v>0.30659999999999998</v>
      </c>
      <c r="AA13" s="176"/>
    </row>
    <row r="14" spans="1:27" ht="30" x14ac:dyDescent="0.25">
      <c r="A14" s="417"/>
      <c r="B14" s="416"/>
      <c r="C14" s="389"/>
      <c r="D14" s="389"/>
      <c r="E14" s="185" t="s">
        <v>1096</v>
      </c>
      <c r="F14" s="185"/>
      <c r="G14" s="191"/>
      <c r="H14" s="197"/>
      <c r="I14" s="197"/>
      <c r="J14" s="176"/>
      <c r="L14" s="180"/>
      <c r="M14" s="179"/>
      <c r="N14" s="185"/>
      <c r="O14" s="185"/>
      <c r="P14" s="185"/>
      <c r="Q14" s="185"/>
      <c r="R14" s="179"/>
      <c r="S14" s="185"/>
      <c r="T14" s="185"/>
      <c r="U14" s="185"/>
      <c r="V14" s="185"/>
      <c r="W14" s="179"/>
      <c r="X14" s="178"/>
      <c r="Y14" s="185"/>
      <c r="Z14" s="177"/>
      <c r="AA14" s="176"/>
    </row>
    <row r="15" spans="1:27" ht="30" x14ac:dyDescent="0.25">
      <c r="A15" s="417"/>
      <c r="B15" s="416"/>
      <c r="C15" s="389"/>
      <c r="D15" s="389"/>
      <c r="E15" s="185" t="s">
        <v>1095</v>
      </c>
      <c r="F15" s="185"/>
      <c r="G15" s="191"/>
      <c r="H15" s="197"/>
      <c r="I15" s="197"/>
      <c r="J15" s="176"/>
      <c r="L15" s="180">
        <v>8</v>
      </c>
      <c r="M15" s="179">
        <v>4</v>
      </c>
      <c r="N15" s="185"/>
      <c r="O15" s="185"/>
      <c r="P15" s="185"/>
      <c r="Q15" s="185"/>
      <c r="R15" s="179"/>
      <c r="S15" s="185"/>
      <c r="T15" s="185"/>
      <c r="U15" s="185"/>
      <c r="V15" s="185"/>
      <c r="W15" s="179"/>
      <c r="X15" s="178"/>
      <c r="Y15" s="185"/>
      <c r="Z15" s="177"/>
      <c r="AA15" s="176"/>
    </row>
    <row r="16" spans="1:27" x14ac:dyDescent="0.25">
      <c r="A16" s="417"/>
      <c r="B16" s="416"/>
      <c r="C16" s="389"/>
      <c r="D16" s="389"/>
      <c r="E16" s="185" t="s">
        <v>1094</v>
      </c>
      <c r="F16" s="185"/>
      <c r="G16" s="191"/>
      <c r="H16" s="181"/>
      <c r="I16" s="181"/>
      <c r="J16" s="176"/>
      <c r="L16" s="180">
        <v>0.2</v>
      </c>
      <c r="M16" s="179">
        <v>4</v>
      </c>
      <c r="N16" s="185"/>
      <c r="O16" s="185"/>
      <c r="P16" s="185"/>
      <c r="Q16" s="185"/>
      <c r="R16" s="179"/>
      <c r="S16" s="185"/>
      <c r="T16" s="185"/>
      <c r="U16" s="185"/>
      <c r="V16" s="185"/>
      <c r="W16" s="179"/>
      <c r="X16" s="178"/>
      <c r="Y16" s="185"/>
      <c r="Z16" s="177"/>
      <c r="AA16" s="176"/>
    </row>
    <row r="17" spans="1:27" x14ac:dyDescent="0.25">
      <c r="A17" s="417"/>
      <c r="B17" s="416"/>
      <c r="C17" s="389" t="s">
        <v>191</v>
      </c>
      <c r="D17" s="389" t="s">
        <v>1093</v>
      </c>
      <c r="E17" s="185" t="s">
        <v>1078</v>
      </c>
      <c r="F17" s="185"/>
      <c r="G17" s="185" t="s">
        <v>929</v>
      </c>
      <c r="H17" s="193">
        <f>I17*J17</f>
        <v>0</v>
      </c>
      <c r="I17" s="187">
        <f>X17*Z17+Y17</f>
        <v>139.07375999999999</v>
      </c>
      <c r="J17" s="176"/>
      <c r="L17" s="180">
        <v>0.1</v>
      </c>
      <c r="M17" s="179">
        <v>252</v>
      </c>
      <c r="N17" s="185"/>
      <c r="O17" s="185"/>
      <c r="P17" s="185"/>
      <c r="Q17" s="185"/>
      <c r="R17" s="179"/>
      <c r="S17" s="185"/>
      <c r="T17" s="185"/>
      <c r="U17" s="185"/>
      <c r="V17" s="185"/>
      <c r="W17" s="179"/>
      <c r="X17" s="178">
        <f>(L17*M17+L18*M18+S17*T17)*6</f>
        <v>453.6</v>
      </c>
      <c r="Y17" s="185">
        <f>(P17*Q17*R17+V17*W17)*6</f>
        <v>0</v>
      </c>
      <c r="Z17" s="177">
        <v>0.30659999999999998</v>
      </c>
      <c r="AA17" s="176"/>
    </row>
    <row r="18" spans="1:27" x14ac:dyDescent="0.25">
      <c r="A18" s="417"/>
      <c r="B18" s="416"/>
      <c r="C18" s="389"/>
      <c r="D18" s="389"/>
      <c r="E18" s="185" t="s">
        <v>1077</v>
      </c>
      <c r="F18" s="185"/>
      <c r="G18" s="185"/>
      <c r="H18" s="181"/>
      <c r="I18" s="187"/>
      <c r="J18" s="176"/>
      <c r="L18" s="180">
        <v>0.2</v>
      </c>
      <c r="M18" s="179">
        <v>252</v>
      </c>
      <c r="N18" s="185"/>
      <c r="O18" s="185"/>
      <c r="P18" s="185"/>
      <c r="Q18" s="185"/>
      <c r="R18" s="179"/>
      <c r="S18" s="185"/>
      <c r="T18" s="185"/>
      <c r="U18" s="185"/>
      <c r="V18" s="185"/>
      <c r="W18" s="179"/>
      <c r="X18" s="178"/>
      <c r="Y18" s="185"/>
      <c r="Z18" s="177"/>
      <c r="AA18" s="176"/>
    </row>
    <row r="19" spans="1:27" x14ac:dyDescent="0.25">
      <c r="A19" s="417"/>
      <c r="B19" s="416"/>
      <c r="C19" s="389"/>
      <c r="D19" s="389" t="s">
        <v>1092</v>
      </c>
      <c r="E19" s="185" t="s">
        <v>1078</v>
      </c>
      <c r="F19" s="185"/>
      <c r="G19" s="185" t="s">
        <v>929</v>
      </c>
      <c r="H19" s="193">
        <f>I19*J19</f>
        <v>0</v>
      </c>
      <c r="I19" s="187">
        <f>X19*Z19+Y19</f>
        <v>231.78959999999998</v>
      </c>
      <c r="J19" s="176"/>
      <c r="L19" s="180">
        <v>0.2</v>
      </c>
      <c r="M19" s="179">
        <v>252</v>
      </c>
      <c r="N19" s="185"/>
      <c r="O19" s="185"/>
      <c r="P19" s="185"/>
      <c r="Q19" s="185"/>
      <c r="R19" s="179"/>
      <c r="S19" s="185"/>
      <c r="T19" s="185"/>
      <c r="U19" s="185"/>
      <c r="V19" s="185"/>
      <c r="W19" s="179"/>
      <c r="X19" s="178">
        <f>(L19*M19+L20*M20+S19*T19)*6</f>
        <v>756</v>
      </c>
      <c r="Y19" s="185">
        <f>(P19*Q19*R19+V19*W19)*6</f>
        <v>0</v>
      </c>
      <c r="Z19" s="177">
        <v>0.30659999999999998</v>
      </c>
      <c r="AA19" s="176"/>
    </row>
    <row r="20" spans="1:27" x14ac:dyDescent="0.25">
      <c r="A20" s="417"/>
      <c r="B20" s="416"/>
      <c r="C20" s="389"/>
      <c r="D20" s="389"/>
      <c r="E20" s="185" t="s">
        <v>1077</v>
      </c>
      <c r="F20" s="185"/>
      <c r="G20" s="185"/>
      <c r="H20" s="181"/>
      <c r="I20" s="187"/>
      <c r="J20" s="176"/>
      <c r="L20" s="180">
        <v>0.3</v>
      </c>
      <c r="M20" s="179">
        <v>252</v>
      </c>
      <c r="N20" s="185"/>
      <c r="O20" s="185"/>
      <c r="P20" s="185"/>
      <c r="Q20" s="185"/>
      <c r="R20" s="179"/>
      <c r="S20" s="185"/>
      <c r="T20" s="185"/>
      <c r="U20" s="185"/>
      <c r="V20" s="185"/>
      <c r="W20" s="179"/>
      <c r="X20" s="178"/>
      <c r="Y20" s="185"/>
      <c r="Z20" s="177"/>
      <c r="AA20" s="176"/>
    </row>
    <row r="21" spans="1:27" x14ac:dyDescent="0.25">
      <c r="A21" s="417"/>
      <c r="B21" s="416"/>
      <c r="C21" s="389"/>
      <c r="D21" s="389" t="s">
        <v>1091</v>
      </c>
      <c r="E21" s="185" t="s">
        <v>1078</v>
      </c>
      <c r="F21" s="185"/>
      <c r="G21" s="185" t="s">
        <v>929</v>
      </c>
      <c r="H21" s="193">
        <f>I21*J21</f>
        <v>0</v>
      </c>
      <c r="I21" s="187">
        <f>X21*Z21+Y21</f>
        <v>324.50544000000002</v>
      </c>
      <c r="J21" s="176"/>
      <c r="L21" s="180">
        <v>0.3</v>
      </c>
      <c r="M21" s="179">
        <v>252</v>
      </c>
      <c r="N21" s="185"/>
      <c r="O21" s="185"/>
      <c r="P21" s="185"/>
      <c r="Q21" s="185"/>
      <c r="R21" s="179"/>
      <c r="S21" s="185"/>
      <c r="T21" s="185"/>
      <c r="U21" s="185"/>
      <c r="V21" s="185"/>
      <c r="W21" s="179"/>
      <c r="X21" s="178">
        <f>(L21*M21+L22*M22+S21*T21)*6</f>
        <v>1058.4000000000001</v>
      </c>
      <c r="Y21" s="185">
        <f>(P21*Q21*R21+V21*W21)*6</f>
        <v>0</v>
      </c>
      <c r="Z21" s="177">
        <v>0.30659999999999998</v>
      </c>
      <c r="AA21" s="176"/>
    </row>
    <row r="22" spans="1:27" x14ac:dyDescent="0.25">
      <c r="A22" s="417"/>
      <c r="B22" s="416"/>
      <c r="C22" s="389"/>
      <c r="D22" s="389"/>
      <c r="E22" s="185" t="s">
        <v>1077</v>
      </c>
      <c r="F22" s="185"/>
      <c r="G22" s="185"/>
      <c r="H22" s="181"/>
      <c r="I22" s="187"/>
      <c r="J22" s="176"/>
      <c r="L22" s="180">
        <v>0.4</v>
      </c>
      <c r="M22" s="179">
        <v>252</v>
      </c>
      <c r="N22" s="185"/>
      <c r="O22" s="185"/>
      <c r="P22" s="185"/>
      <c r="Q22" s="185"/>
      <c r="R22" s="179"/>
      <c r="S22" s="185"/>
      <c r="T22" s="185"/>
      <c r="U22" s="185"/>
      <c r="V22" s="185"/>
      <c r="W22" s="179"/>
      <c r="X22" s="178"/>
      <c r="Y22" s="185"/>
      <c r="Z22" s="177"/>
      <c r="AA22" s="176"/>
    </row>
    <row r="23" spans="1:27" x14ac:dyDescent="0.25">
      <c r="A23" s="417"/>
      <c r="B23" s="416"/>
      <c r="C23" s="389"/>
      <c r="D23" s="389" t="s">
        <v>1090</v>
      </c>
      <c r="E23" s="185" t="s">
        <v>1078</v>
      </c>
      <c r="F23" s="185"/>
      <c r="G23" s="185" t="s">
        <v>929</v>
      </c>
      <c r="H23" s="193">
        <f>I23*J23</f>
        <v>0</v>
      </c>
      <c r="I23" s="187">
        <f>X23*Z23+Y23</f>
        <v>91.728000000000009</v>
      </c>
      <c r="J23" s="176"/>
      <c r="L23" s="180">
        <v>0.1</v>
      </c>
      <c r="M23" s="179">
        <v>52</v>
      </c>
      <c r="N23" s="185"/>
      <c r="O23" s="185"/>
      <c r="P23" s="185"/>
      <c r="Q23" s="185"/>
      <c r="R23" s="179"/>
      <c r="S23" s="185"/>
      <c r="T23" s="185"/>
      <c r="U23" s="185"/>
      <c r="V23" s="185"/>
      <c r="W23" s="179"/>
      <c r="X23" s="178">
        <f>(L23*M23+L24*M24+S23*T23)*6</f>
        <v>93.600000000000009</v>
      </c>
      <c r="Y23" s="185">
        <f>(P23*Q23*R23+V23*W23)*6</f>
        <v>0</v>
      </c>
      <c r="Z23" s="177">
        <v>0.98</v>
      </c>
      <c r="AA23" s="176"/>
    </row>
    <row r="24" spans="1:27" x14ac:dyDescent="0.25">
      <c r="A24" s="417"/>
      <c r="B24" s="416"/>
      <c r="C24" s="389"/>
      <c r="D24" s="389"/>
      <c r="E24" s="185" t="s">
        <v>1077</v>
      </c>
      <c r="F24" s="185"/>
      <c r="G24" s="185"/>
      <c r="H24" s="181"/>
      <c r="I24" s="187"/>
      <c r="J24" s="176"/>
      <c r="L24" s="180">
        <v>0.2</v>
      </c>
      <c r="M24" s="179">
        <v>52</v>
      </c>
      <c r="N24" s="185"/>
      <c r="O24" s="185"/>
      <c r="P24" s="185"/>
      <c r="Q24" s="185"/>
      <c r="R24" s="179"/>
      <c r="S24" s="185"/>
      <c r="T24" s="185"/>
      <c r="U24" s="185"/>
      <c r="V24" s="185"/>
      <c r="W24" s="179"/>
      <c r="X24" s="178"/>
      <c r="Y24" s="185"/>
      <c r="Z24" s="177"/>
      <c r="AA24" s="176"/>
    </row>
    <row r="25" spans="1:27" x14ac:dyDescent="0.25">
      <c r="A25" s="417"/>
      <c r="B25" s="416"/>
      <c r="C25" s="389"/>
      <c r="D25" s="389" t="s">
        <v>1089</v>
      </c>
      <c r="E25" s="185" t="s">
        <v>1078</v>
      </c>
      <c r="F25" s="185"/>
      <c r="G25" s="185" t="s">
        <v>929</v>
      </c>
      <c r="H25" s="193">
        <f>I25*J25</f>
        <v>0</v>
      </c>
      <c r="I25" s="187">
        <f>X25*Z25+Y25</f>
        <v>47.829599999999999</v>
      </c>
      <c r="J25" s="176"/>
      <c r="L25" s="180">
        <v>0.2</v>
      </c>
      <c r="M25" s="179">
        <v>52</v>
      </c>
      <c r="N25" s="185"/>
      <c r="O25" s="185"/>
      <c r="P25" s="185"/>
      <c r="Q25" s="185"/>
      <c r="R25" s="179"/>
      <c r="S25" s="185"/>
      <c r="T25" s="185"/>
      <c r="U25" s="185"/>
      <c r="V25" s="185"/>
      <c r="W25" s="179"/>
      <c r="X25" s="178">
        <f>(L25*M25+L26*M26+S25*T25)*6</f>
        <v>156</v>
      </c>
      <c r="Y25" s="185">
        <f>(P25*Q25*R25+V25*W25)*6</f>
        <v>0</v>
      </c>
      <c r="Z25" s="177">
        <v>0.30659999999999998</v>
      </c>
      <c r="AA25" s="176"/>
    </row>
    <row r="26" spans="1:27" x14ac:dyDescent="0.25">
      <c r="A26" s="417"/>
      <c r="B26" s="416"/>
      <c r="C26" s="389"/>
      <c r="D26" s="389"/>
      <c r="E26" s="185" t="s">
        <v>1077</v>
      </c>
      <c r="F26" s="185"/>
      <c r="G26" s="185"/>
      <c r="H26" s="181"/>
      <c r="I26" s="187"/>
      <c r="J26" s="176"/>
      <c r="L26" s="180">
        <v>0.3</v>
      </c>
      <c r="M26" s="179">
        <v>52</v>
      </c>
      <c r="N26" s="185"/>
      <c r="O26" s="185"/>
      <c r="P26" s="185"/>
      <c r="Q26" s="185"/>
      <c r="R26" s="179"/>
      <c r="S26" s="185"/>
      <c r="T26" s="185"/>
      <c r="U26" s="185"/>
      <c r="V26" s="185"/>
      <c r="W26" s="179"/>
      <c r="X26" s="178"/>
      <c r="Y26" s="185"/>
      <c r="Z26" s="177"/>
      <c r="AA26" s="176"/>
    </row>
    <row r="27" spans="1:27" x14ac:dyDescent="0.25">
      <c r="A27" s="417"/>
      <c r="B27" s="416"/>
      <c r="C27" s="389"/>
      <c r="D27" s="389" t="s">
        <v>1088</v>
      </c>
      <c r="E27" s="185" t="s">
        <v>1078</v>
      </c>
      <c r="F27" s="185"/>
      <c r="G27" s="185" t="s">
        <v>929</v>
      </c>
      <c r="H27" s="193">
        <f>I27*J27</f>
        <v>0</v>
      </c>
      <c r="I27" s="187">
        <f>X27*Z27+Y27</f>
        <v>66.961439999999996</v>
      </c>
      <c r="J27" s="176"/>
      <c r="L27" s="180">
        <v>0.3</v>
      </c>
      <c r="M27" s="179">
        <v>52</v>
      </c>
      <c r="N27" s="185"/>
      <c r="O27" s="185"/>
      <c r="P27" s="185"/>
      <c r="Q27" s="185"/>
      <c r="R27" s="179"/>
      <c r="S27" s="185"/>
      <c r="T27" s="185"/>
      <c r="U27" s="185"/>
      <c r="V27" s="185"/>
      <c r="W27" s="179"/>
      <c r="X27" s="178">
        <f>(L27*M27+L28*M28+S27*T27)*6</f>
        <v>218.39999999999998</v>
      </c>
      <c r="Y27" s="185">
        <f>(P27*Q27*R27+V27*W27)*6</f>
        <v>0</v>
      </c>
      <c r="Z27" s="177">
        <v>0.30659999999999998</v>
      </c>
      <c r="AA27" s="176"/>
    </row>
    <row r="28" spans="1:27" x14ac:dyDescent="0.25">
      <c r="A28" s="417"/>
      <c r="B28" s="416"/>
      <c r="C28" s="389"/>
      <c r="D28" s="389"/>
      <c r="E28" s="185" t="s">
        <v>1077</v>
      </c>
      <c r="F28" s="185"/>
      <c r="G28" s="185"/>
      <c r="H28" s="181"/>
      <c r="I28" s="187"/>
      <c r="J28" s="176"/>
      <c r="L28" s="180">
        <v>0.4</v>
      </c>
      <c r="M28" s="179">
        <v>52</v>
      </c>
      <c r="N28" s="185"/>
      <c r="O28" s="185"/>
      <c r="P28" s="185"/>
      <c r="Q28" s="185"/>
      <c r="R28" s="179"/>
      <c r="S28" s="185"/>
      <c r="T28" s="185"/>
      <c r="U28" s="185"/>
      <c r="V28" s="185"/>
      <c r="W28" s="179"/>
      <c r="X28" s="178"/>
      <c r="Y28" s="185"/>
      <c r="Z28" s="177"/>
      <c r="AA28" s="176"/>
    </row>
    <row r="29" spans="1:27" x14ac:dyDescent="0.25">
      <c r="A29" s="417"/>
      <c r="B29" s="416"/>
      <c r="C29" s="389"/>
      <c r="D29" s="389" t="s">
        <v>1087</v>
      </c>
      <c r="E29" s="185" t="s">
        <v>1078</v>
      </c>
      <c r="F29" s="185"/>
      <c r="G29" s="185" t="s">
        <v>929</v>
      </c>
      <c r="H29" s="193">
        <f>I29*J29</f>
        <v>0</v>
      </c>
      <c r="I29" s="187">
        <f>X29*Z29+Y29</f>
        <v>6.62256</v>
      </c>
      <c r="J29" s="176"/>
      <c r="L29" s="180">
        <v>0.1</v>
      </c>
      <c r="M29" s="179">
        <v>12</v>
      </c>
      <c r="N29" s="185"/>
      <c r="O29" s="185"/>
      <c r="P29" s="185"/>
      <c r="Q29" s="185"/>
      <c r="R29" s="179"/>
      <c r="S29" s="185"/>
      <c r="T29" s="185"/>
      <c r="U29" s="185"/>
      <c r="V29" s="185"/>
      <c r="W29" s="179"/>
      <c r="X29" s="178">
        <f>(L29*M29+L30*M30+S29*T29)*6</f>
        <v>21.6</v>
      </c>
      <c r="Y29" s="185">
        <f>(P29*Q29*R29+V29*W29)*6</f>
        <v>0</v>
      </c>
      <c r="Z29" s="177">
        <v>0.30659999999999998</v>
      </c>
      <c r="AA29" s="176"/>
    </row>
    <row r="30" spans="1:27" x14ac:dyDescent="0.25">
      <c r="A30" s="417"/>
      <c r="B30" s="416"/>
      <c r="C30" s="389"/>
      <c r="D30" s="389"/>
      <c r="E30" s="185" t="s">
        <v>1077</v>
      </c>
      <c r="F30" s="185"/>
      <c r="G30" s="185"/>
      <c r="H30" s="181"/>
      <c r="I30" s="187"/>
      <c r="J30" s="176"/>
      <c r="L30" s="180">
        <v>0.2</v>
      </c>
      <c r="M30" s="179">
        <v>12</v>
      </c>
      <c r="N30" s="185"/>
      <c r="O30" s="185"/>
      <c r="P30" s="185"/>
      <c r="Q30" s="185"/>
      <c r="R30" s="179"/>
      <c r="S30" s="185"/>
      <c r="T30" s="185"/>
      <c r="U30" s="185"/>
      <c r="V30" s="185"/>
      <c r="W30" s="179"/>
      <c r="X30" s="178"/>
      <c r="Y30" s="185"/>
      <c r="Z30" s="177"/>
      <c r="AA30" s="176"/>
    </row>
    <row r="31" spans="1:27" x14ac:dyDescent="0.25">
      <c r="A31" s="417"/>
      <c r="B31" s="416"/>
      <c r="C31" s="389"/>
      <c r="D31" s="389" t="s">
        <v>1086</v>
      </c>
      <c r="E31" s="185" t="s">
        <v>1078</v>
      </c>
      <c r="F31" s="185"/>
      <c r="G31" s="185" t="s">
        <v>929</v>
      </c>
      <c r="H31" s="193">
        <f>I31*J31</f>
        <v>0</v>
      </c>
      <c r="I31" s="187">
        <f>X31*Z31+Y31</f>
        <v>11.037599999999999</v>
      </c>
      <c r="J31" s="176"/>
      <c r="L31" s="180">
        <v>0.2</v>
      </c>
      <c r="M31" s="179">
        <v>12</v>
      </c>
      <c r="N31" s="185"/>
      <c r="O31" s="185"/>
      <c r="P31" s="185"/>
      <c r="Q31" s="185"/>
      <c r="R31" s="179"/>
      <c r="S31" s="185"/>
      <c r="T31" s="185"/>
      <c r="U31" s="185"/>
      <c r="V31" s="185"/>
      <c r="W31" s="179"/>
      <c r="X31" s="178">
        <f>(L31*M31+L32*M32+S31*T31)*6</f>
        <v>36</v>
      </c>
      <c r="Y31" s="185">
        <f>(P31*Q31*R31+V31*W31)*6</f>
        <v>0</v>
      </c>
      <c r="Z31" s="177">
        <v>0.30659999999999998</v>
      </c>
      <c r="AA31" s="176"/>
    </row>
    <row r="32" spans="1:27" x14ac:dyDescent="0.25">
      <c r="A32" s="417"/>
      <c r="B32" s="416"/>
      <c r="C32" s="389"/>
      <c r="D32" s="389"/>
      <c r="E32" s="185" t="s">
        <v>1077</v>
      </c>
      <c r="F32" s="185"/>
      <c r="G32" s="185"/>
      <c r="H32" s="181"/>
      <c r="I32" s="187"/>
      <c r="J32" s="176"/>
      <c r="L32" s="180">
        <v>0.3</v>
      </c>
      <c r="M32" s="179">
        <v>12</v>
      </c>
      <c r="N32" s="185"/>
      <c r="O32" s="185"/>
      <c r="P32" s="185"/>
      <c r="Q32" s="185"/>
      <c r="R32" s="179"/>
      <c r="S32" s="185"/>
      <c r="T32" s="185"/>
      <c r="U32" s="185"/>
      <c r="V32" s="185"/>
      <c r="W32" s="179"/>
      <c r="X32" s="178"/>
      <c r="Y32" s="185"/>
      <c r="Z32" s="177"/>
      <c r="AA32" s="176"/>
    </row>
    <row r="33" spans="1:27" x14ac:dyDescent="0.25">
      <c r="A33" s="417"/>
      <c r="B33" s="416"/>
      <c r="C33" s="389"/>
      <c r="D33" s="389" t="s">
        <v>1085</v>
      </c>
      <c r="E33" s="185" t="s">
        <v>1078</v>
      </c>
      <c r="F33" s="185"/>
      <c r="G33" s="185" t="s">
        <v>929</v>
      </c>
      <c r="H33" s="193">
        <f>I33*J33</f>
        <v>0</v>
      </c>
      <c r="I33" s="187">
        <f>X33*Z33+Y33</f>
        <v>15.452640000000001</v>
      </c>
      <c r="J33" s="176"/>
      <c r="L33" s="180">
        <v>0.3</v>
      </c>
      <c r="M33" s="179">
        <v>12</v>
      </c>
      <c r="N33" s="185"/>
      <c r="O33" s="185"/>
      <c r="P33" s="185"/>
      <c r="Q33" s="185"/>
      <c r="R33" s="179"/>
      <c r="S33" s="185"/>
      <c r="T33" s="185"/>
      <c r="U33" s="185"/>
      <c r="V33" s="185"/>
      <c r="W33" s="179"/>
      <c r="X33" s="178">
        <f>(L33*M33+L34*M34+S33*T33)*6</f>
        <v>50.400000000000006</v>
      </c>
      <c r="Y33" s="185">
        <f>(P33*Q33*R33+V33*W33)*6</f>
        <v>0</v>
      </c>
      <c r="Z33" s="177">
        <v>0.30659999999999998</v>
      </c>
      <c r="AA33" s="176"/>
    </row>
    <row r="34" spans="1:27" x14ac:dyDescent="0.25">
      <c r="A34" s="417"/>
      <c r="B34" s="416"/>
      <c r="C34" s="389"/>
      <c r="D34" s="389"/>
      <c r="E34" s="185" t="s">
        <v>1077</v>
      </c>
      <c r="F34" s="185"/>
      <c r="G34" s="185"/>
      <c r="H34" s="181"/>
      <c r="I34" s="187"/>
      <c r="J34" s="176"/>
      <c r="L34" s="180">
        <v>0.4</v>
      </c>
      <c r="M34" s="179">
        <v>12</v>
      </c>
      <c r="N34" s="185"/>
      <c r="O34" s="185"/>
      <c r="P34" s="185"/>
      <c r="Q34" s="185"/>
      <c r="R34" s="179"/>
      <c r="S34" s="185"/>
      <c r="T34" s="185"/>
      <c r="U34" s="185"/>
      <c r="V34" s="185"/>
      <c r="W34" s="179"/>
      <c r="X34" s="178"/>
      <c r="Y34" s="185"/>
      <c r="Z34" s="177"/>
      <c r="AA34" s="176"/>
    </row>
    <row r="35" spans="1:27" x14ac:dyDescent="0.25">
      <c r="A35" s="417"/>
      <c r="B35" s="416"/>
      <c r="C35" s="389"/>
      <c r="D35" s="389" t="s">
        <v>1084</v>
      </c>
      <c r="E35" s="185" t="s">
        <v>1078</v>
      </c>
      <c r="F35" s="185"/>
      <c r="G35" s="185" t="s">
        <v>929</v>
      </c>
      <c r="H35" s="193">
        <f>I35*J35</f>
        <v>0</v>
      </c>
      <c r="I35" s="187">
        <f>X35*Z35+Y35</f>
        <v>1.1037600000000001</v>
      </c>
      <c r="J35" s="176"/>
      <c r="L35" s="180">
        <v>0.1</v>
      </c>
      <c r="M35" s="179">
        <v>2</v>
      </c>
      <c r="N35" s="185"/>
      <c r="O35" s="185"/>
      <c r="P35" s="185"/>
      <c r="Q35" s="185"/>
      <c r="R35" s="179"/>
      <c r="S35" s="185"/>
      <c r="T35" s="185"/>
      <c r="U35" s="185"/>
      <c r="V35" s="185"/>
      <c r="W35" s="179"/>
      <c r="X35" s="178">
        <f>(L35*M35+L36*M36+S35*T35)*6</f>
        <v>3.6000000000000005</v>
      </c>
      <c r="Y35" s="185">
        <f>(P35*Q35*R35+V35*W35)*6</f>
        <v>0</v>
      </c>
      <c r="Z35" s="177">
        <v>0.30659999999999998</v>
      </c>
      <c r="AA35" s="176"/>
    </row>
    <row r="36" spans="1:27" x14ac:dyDescent="0.25">
      <c r="A36" s="417"/>
      <c r="B36" s="416"/>
      <c r="C36" s="389"/>
      <c r="D36" s="389"/>
      <c r="E36" s="185" t="s">
        <v>1077</v>
      </c>
      <c r="F36" s="185"/>
      <c r="G36" s="185"/>
      <c r="H36" s="181"/>
      <c r="I36" s="187"/>
      <c r="J36" s="176"/>
      <c r="L36" s="180">
        <v>0.2</v>
      </c>
      <c r="M36" s="179">
        <v>2</v>
      </c>
      <c r="N36" s="185"/>
      <c r="O36" s="185"/>
      <c r="P36" s="185"/>
      <c r="Q36" s="185"/>
      <c r="R36" s="179"/>
      <c r="S36" s="185"/>
      <c r="T36" s="185"/>
      <c r="U36" s="185"/>
      <c r="V36" s="185"/>
      <c r="W36" s="179"/>
      <c r="X36" s="178"/>
      <c r="Y36" s="185"/>
      <c r="Z36" s="177"/>
      <c r="AA36" s="176"/>
    </row>
    <row r="37" spans="1:27" x14ac:dyDescent="0.25">
      <c r="A37" s="417"/>
      <c r="B37" s="416"/>
      <c r="C37" s="389"/>
      <c r="D37" s="389" t="s">
        <v>1083</v>
      </c>
      <c r="E37" s="185" t="s">
        <v>1078</v>
      </c>
      <c r="F37" s="185"/>
      <c r="G37" s="185" t="s">
        <v>929</v>
      </c>
      <c r="H37" s="193">
        <f>I37*J37</f>
        <v>0</v>
      </c>
      <c r="I37" s="187">
        <f>X37*Z37+Y37</f>
        <v>1.8395999999999999</v>
      </c>
      <c r="J37" s="176"/>
      <c r="L37" s="180">
        <v>0.2</v>
      </c>
      <c r="M37" s="179">
        <v>2</v>
      </c>
      <c r="N37" s="185"/>
      <c r="O37" s="185"/>
      <c r="P37" s="185"/>
      <c r="Q37" s="185"/>
      <c r="R37" s="179"/>
      <c r="S37" s="185"/>
      <c r="T37" s="185"/>
      <c r="U37" s="185"/>
      <c r="V37" s="185"/>
      <c r="W37" s="179"/>
      <c r="X37" s="178">
        <f>(L37*M37+L38*M38+S37*T37)*6</f>
        <v>6</v>
      </c>
      <c r="Y37" s="185">
        <f>(P37*Q37*R37+V37*W37)*6</f>
        <v>0</v>
      </c>
      <c r="Z37" s="177">
        <v>0.30659999999999998</v>
      </c>
      <c r="AA37" s="176"/>
    </row>
    <row r="38" spans="1:27" x14ac:dyDescent="0.25">
      <c r="A38" s="417"/>
      <c r="B38" s="416"/>
      <c r="C38" s="389"/>
      <c r="D38" s="389"/>
      <c r="E38" s="185" t="s">
        <v>1077</v>
      </c>
      <c r="F38" s="185"/>
      <c r="G38" s="185"/>
      <c r="H38" s="181"/>
      <c r="I38" s="187"/>
      <c r="J38" s="176"/>
      <c r="L38" s="180">
        <v>0.3</v>
      </c>
      <c r="M38" s="179">
        <v>2</v>
      </c>
      <c r="N38" s="185"/>
      <c r="O38" s="185"/>
      <c r="P38" s="185"/>
      <c r="Q38" s="185"/>
      <c r="R38" s="179"/>
      <c r="S38" s="185"/>
      <c r="T38" s="185"/>
      <c r="U38" s="185"/>
      <c r="V38" s="185"/>
      <c r="W38" s="179"/>
      <c r="X38" s="178"/>
      <c r="Y38" s="185"/>
      <c r="Z38" s="177"/>
      <c r="AA38" s="176"/>
    </row>
    <row r="39" spans="1:27" x14ac:dyDescent="0.25">
      <c r="A39" s="417"/>
      <c r="B39" s="416"/>
      <c r="C39" s="389"/>
      <c r="D39" s="389" t="s">
        <v>1082</v>
      </c>
      <c r="E39" s="185" t="s">
        <v>1078</v>
      </c>
      <c r="F39" s="185"/>
      <c r="G39" s="185" t="s">
        <v>929</v>
      </c>
      <c r="H39" s="193">
        <f>I39*J39</f>
        <v>0</v>
      </c>
      <c r="I39" s="187">
        <f>X39*Z39+Y39</f>
        <v>2.5754399999999995</v>
      </c>
      <c r="J39" s="176"/>
      <c r="L39" s="180">
        <v>0.3</v>
      </c>
      <c r="M39" s="179">
        <v>2</v>
      </c>
      <c r="N39" s="185"/>
      <c r="O39" s="185"/>
      <c r="P39" s="185"/>
      <c r="Q39" s="185"/>
      <c r="R39" s="179"/>
      <c r="S39" s="185"/>
      <c r="T39" s="185"/>
      <c r="U39" s="185"/>
      <c r="V39" s="185"/>
      <c r="W39" s="179"/>
      <c r="X39" s="178">
        <f>(L39*M39+L40*M40+S39*T39)*6</f>
        <v>8.3999999999999986</v>
      </c>
      <c r="Y39" s="185">
        <f>(P39*Q39*R39+V39*W39)*6</f>
        <v>0</v>
      </c>
      <c r="Z39" s="177">
        <v>0.30659999999999998</v>
      </c>
      <c r="AA39" s="176"/>
    </row>
    <row r="40" spans="1:27" x14ac:dyDescent="0.25">
      <c r="A40" s="417"/>
      <c r="B40" s="416"/>
      <c r="C40" s="389"/>
      <c r="D40" s="389"/>
      <c r="E40" s="185" t="s">
        <v>1077</v>
      </c>
      <c r="F40" s="185"/>
      <c r="G40" s="185"/>
      <c r="H40" s="181"/>
      <c r="I40" s="187"/>
      <c r="J40" s="176"/>
      <c r="L40" s="180">
        <v>0.4</v>
      </c>
      <c r="M40" s="179">
        <v>2</v>
      </c>
      <c r="N40" s="185"/>
      <c r="O40" s="185"/>
      <c r="P40" s="185"/>
      <c r="Q40" s="185"/>
      <c r="R40" s="179"/>
      <c r="S40" s="185"/>
      <c r="T40" s="185"/>
      <c r="U40" s="185"/>
      <c r="V40" s="185"/>
      <c r="W40" s="179"/>
      <c r="X40" s="178"/>
      <c r="Y40" s="185"/>
      <c r="Z40" s="177"/>
      <c r="AA40" s="176"/>
    </row>
    <row r="41" spans="1:27" x14ac:dyDescent="0.25">
      <c r="A41" s="417"/>
      <c r="B41" s="416"/>
      <c r="C41" s="389"/>
      <c r="D41" s="389" t="s">
        <v>1081</v>
      </c>
      <c r="E41" s="185" t="s">
        <v>1078</v>
      </c>
      <c r="F41" s="185"/>
      <c r="G41" s="185" t="s">
        <v>929</v>
      </c>
      <c r="H41" s="193">
        <f>I41*J41</f>
        <v>0</v>
      </c>
      <c r="I41" s="187">
        <f>X41*Z41+Y41</f>
        <v>0.55188000000000004</v>
      </c>
      <c r="J41" s="176"/>
      <c r="L41" s="180">
        <v>0.1</v>
      </c>
      <c r="M41" s="179">
        <v>1</v>
      </c>
      <c r="N41" s="185"/>
      <c r="O41" s="185"/>
      <c r="P41" s="185"/>
      <c r="Q41" s="185"/>
      <c r="R41" s="179"/>
      <c r="S41" s="185"/>
      <c r="T41" s="185"/>
      <c r="U41" s="185"/>
      <c r="V41" s="185"/>
      <c r="W41" s="179"/>
      <c r="X41" s="178">
        <f>(L41*M41+L42*M42+S41*T41)*6</f>
        <v>1.8000000000000003</v>
      </c>
      <c r="Y41" s="185">
        <f>(P41*Q41*R41+V41*W41)*6</f>
        <v>0</v>
      </c>
      <c r="Z41" s="177">
        <v>0.30659999999999998</v>
      </c>
      <c r="AA41" s="176"/>
    </row>
    <row r="42" spans="1:27" x14ac:dyDescent="0.25">
      <c r="A42" s="417"/>
      <c r="B42" s="416"/>
      <c r="C42" s="389"/>
      <c r="D42" s="389"/>
      <c r="E42" s="185" t="s">
        <v>1077</v>
      </c>
      <c r="F42" s="185"/>
      <c r="G42" s="185"/>
      <c r="H42" s="181"/>
      <c r="I42" s="187"/>
      <c r="J42" s="176"/>
      <c r="L42" s="180">
        <v>0.2</v>
      </c>
      <c r="M42" s="179">
        <v>1</v>
      </c>
      <c r="N42" s="185"/>
      <c r="O42" s="185"/>
      <c r="P42" s="185"/>
      <c r="Q42" s="185"/>
      <c r="R42" s="179"/>
      <c r="S42" s="185"/>
      <c r="T42" s="185"/>
      <c r="U42" s="185"/>
      <c r="V42" s="185"/>
      <c r="W42" s="179"/>
      <c r="X42" s="178"/>
      <c r="Y42" s="185"/>
      <c r="Z42" s="177"/>
      <c r="AA42" s="176"/>
    </row>
    <row r="43" spans="1:27" x14ac:dyDescent="0.25">
      <c r="A43" s="417"/>
      <c r="B43" s="416"/>
      <c r="C43" s="389"/>
      <c r="D43" s="389" t="s">
        <v>1080</v>
      </c>
      <c r="E43" s="185" t="s">
        <v>1078</v>
      </c>
      <c r="F43" s="185"/>
      <c r="G43" s="185" t="s">
        <v>929</v>
      </c>
      <c r="H43" s="193">
        <f>I43*J43</f>
        <v>0</v>
      </c>
      <c r="I43" s="187">
        <f>X43*Z43+Y43</f>
        <v>0.91979999999999995</v>
      </c>
      <c r="J43" s="176"/>
      <c r="L43" s="180">
        <v>0.2</v>
      </c>
      <c r="M43" s="179">
        <v>1</v>
      </c>
      <c r="N43" s="185"/>
      <c r="O43" s="185"/>
      <c r="P43" s="185"/>
      <c r="Q43" s="185"/>
      <c r="R43" s="179"/>
      <c r="S43" s="185"/>
      <c r="T43" s="185"/>
      <c r="U43" s="185"/>
      <c r="V43" s="185"/>
      <c r="W43" s="179"/>
      <c r="X43" s="178">
        <f>(L43*M43+L44*M44+S43*T43)*6</f>
        <v>3</v>
      </c>
      <c r="Y43" s="185">
        <f>(P43*Q43*R43+V43*W43)*6</f>
        <v>0</v>
      </c>
      <c r="Z43" s="177">
        <v>0.30659999999999998</v>
      </c>
      <c r="AA43" s="176"/>
    </row>
    <row r="44" spans="1:27" x14ac:dyDescent="0.25">
      <c r="A44" s="417"/>
      <c r="B44" s="416"/>
      <c r="C44" s="389"/>
      <c r="D44" s="389"/>
      <c r="E44" s="185" t="s">
        <v>1077</v>
      </c>
      <c r="F44" s="185"/>
      <c r="G44" s="185"/>
      <c r="H44" s="181"/>
      <c r="I44" s="187"/>
      <c r="J44" s="176"/>
      <c r="L44" s="180">
        <v>0.3</v>
      </c>
      <c r="M44" s="179">
        <v>1</v>
      </c>
      <c r="N44" s="185"/>
      <c r="O44" s="185"/>
      <c r="P44" s="185"/>
      <c r="Q44" s="185"/>
      <c r="R44" s="179"/>
      <c r="S44" s="185"/>
      <c r="T44" s="185"/>
      <c r="U44" s="185"/>
      <c r="V44" s="185"/>
      <c r="W44" s="179"/>
      <c r="X44" s="178"/>
      <c r="Y44" s="185"/>
      <c r="Z44" s="177"/>
      <c r="AA44" s="176"/>
    </row>
    <row r="45" spans="1:27" x14ac:dyDescent="0.25">
      <c r="A45" s="417"/>
      <c r="B45" s="416"/>
      <c r="C45" s="389"/>
      <c r="D45" s="389" t="s">
        <v>1079</v>
      </c>
      <c r="E45" s="185" t="s">
        <v>1078</v>
      </c>
      <c r="F45" s="185"/>
      <c r="G45" s="185" t="s">
        <v>929</v>
      </c>
      <c r="H45" s="193">
        <f>I45*J45</f>
        <v>0</v>
      </c>
      <c r="I45" s="187">
        <f>X45*Z45+Y45</f>
        <v>1.2877199999999998</v>
      </c>
      <c r="J45" s="176"/>
      <c r="L45" s="180">
        <v>0.3</v>
      </c>
      <c r="M45" s="179">
        <v>1</v>
      </c>
      <c r="N45" s="185"/>
      <c r="O45" s="185"/>
      <c r="P45" s="185"/>
      <c r="Q45" s="185"/>
      <c r="R45" s="179"/>
      <c r="S45" s="185"/>
      <c r="T45" s="185"/>
      <c r="U45" s="185"/>
      <c r="V45" s="185"/>
      <c r="W45" s="179"/>
      <c r="X45" s="178">
        <f>(L45*M45+L46*M46+S45*T45)*6</f>
        <v>4.1999999999999993</v>
      </c>
      <c r="Y45" s="185">
        <f>(P45*Q45*R45+V45*W45)*6</f>
        <v>0</v>
      </c>
      <c r="Z45" s="177">
        <v>0.30659999999999998</v>
      </c>
      <c r="AA45" s="176"/>
    </row>
    <row r="46" spans="1:27" x14ac:dyDescent="0.25">
      <c r="A46" s="417"/>
      <c r="B46" s="416"/>
      <c r="C46" s="389"/>
      <c r="D46" s="389"/>
      <c r="E46" s="185" t="s">
        <v>1077</v>
      </c>
      <c r="F46" s="185"/>
      <c r="G46" s="185"/>
      <c r="H46" s="181"/>
      <c r="I46" s="187"/>
      <c r="J46" s="176"/>
      <c r="L46" s="180">
        <v>0.4</v>
      </c>
      <c r="M46" s="179">
        <v>1</v>
      </c>
      <c r="N46" s="185"/>
      <c r="O46" s="185"/>
      <c r="P46" s="185"/>
      <c r="Q46" s="185"/>
      <c r="R46" s="179"/>
      <c r="S46" s="185"/>
      <c r="T46" s="185"/>
      <c r="U46" s="185"/>
      <c r="V46" s="185"/>
      <c r="W46" s="179"/>
      <c r="X46" s="178"/>
      <c r="Y46" s="185"/>
      <c r="Z46" s="177"/>
      <c r="AA46" s="176"/>
    </row>
    <row r="47" spans="1:27" ht="30" x14ac:dyDescent="0.25">
      <c r="A47" s="417"/>
      <c r="B47" s="416"/>
      <c r="C47" s="389" t="s">
        <v>1076</v>
      </c>
      <c r="D47" s="185" t="s">
        <v>1075</v>
      </c>
      <c r="E47" s="185"/>
      <c r="F47" s="185"/>
      <c r="G47" s="185"/>
      <c r="H47" s="193">
        <f>I47*J47</f>
        <v>0</v>
      </c>
      <c r="I47" s="187">
        <f>X47*Z47+Y47</f>
        <v>0</v>
      </c>
      <c r="J47" s="176"/>
      <c r="L47" s="180"/>
      <c r="M47" s="179"/>
      <c r="N47" s="185"/>
      <c r="O47" s="185"/>
      <c r="P47" s="185"/>
      <c r="Q47" s="185"/>
      <c r="R47" s="179"/>
      <c r="S47" s="185"/>
      <c r="T47" s="185"/>
      <c r="U47" s="185"/>
      <c r="V47" s="185"/>
      <c r="W47" s="179"/>
      <c r="X47" s="178"/>
      <c r="Y47" s="185"/>
      <c r="Z47" s="177"/>
      <c r="AA47" s="176"/>
    </row>
    <row r="48" spans="1:27" x14ac:dyDescent="0.25">
      <c r="A48" s="417"/>
      <c r="B48" s="416"/>
      <c r="C48" s="389"/>
      <c r="D48" s="185"/>
      <c r="E48" s="185"/>
      <c r="F48" s="185"/>
      <c r="G48" s="185"/>
      <c r="H48" s="181"/>
      <c r="I48" s="181"/>
      <c r="J48" s="176"/>
      <c r="L48" s="180"/>
      <c r="M48" s="179"/>
      <c r="N48" s="185"/>
      <c r="O48" s="185"/>
      <c r="P48" s="185"/>
      <c r="Q48" s="185"/>
      <c r="R48" s="179"/>
      <c r="S48" s="185"/>
      <c r="T48" s="185"/>
      <c r="U48" s="185"/>
      <c r="V48" s="185"/>
      <c r="W48" s="179"/>
      <c r="X48" s="178"/>
      <c r="Y48" s="185"/>
      <c r="Z48" s="177"/>
      <c r="AA48" s="176"/>
    </row>
    <row r="49" spans="1:27" x14ac:dyDescent="0.25">
      <c r="A49" s="417"/>
      <c r="B49" s="416"/>
      <c r="C49" s="389"/>
      <c r="D49" s="185"/>
      <c r="E49" s="185"/>
      <c r="F49" s="185"/>
      <c r="G49" s="185"/>
      <c r="H49" s="181"/>
      <c r="I49" s="181"/>
      <c r="J49" s="176"/>
      <c r="L49" s="180"/>
      <c r="M49" s="179"/>
      <c r="N49" s="185"/>
      <c r="O49" s="185"/>
      <c r="P49" s="185"/>
      <c r="Q49" s="185"/>
      <c r="R49" s="179"/>
      <c r="S49" s="185"/>
      <c r="T49" s="185"/>
      <c r="U49" s="185"/>
      <c r="V49" s="185"/>
      <c r="W49" s="179"/>
      <c r="X49" s="178"/>
      <c r="Y49" s="185"/>
      <c r="Z49" s="177"/>
      <c r="AA49" s="176"/>
    </row>
    <row r="50" spans="1:27" ht="30" x14ac:dyDescent="0.25">
      <c r="A50" s="417"/>
      <c r="B50" s="416"/>
      <c r="C50" s="389"/>
      <c r="D50" s="185" t="s">
        <v>1074</v>
      </c>
      <c r="E50" s="185" t="s">
        <v>1073</v>
      </c>
      <c r="F50" s="185"/>
      <c r="G50" s="185"/>
      <c r="H50" s="187">
        <f>H51+H55</f>
        <v>29934927.294</v>
      </c>
      <c r="I50" s="187">
        <f>(I51*J51+I55*J55)/(J51+J55)</f>
        <v>157.38740631654215</v>
      </c>
      <c r="J50" s="176"/>
      <c r="L50" s="180"/>
      <c r="M50" s="179"/>
      <c r="N50" s="185"/>
      <c r="O50" s="185"/>
      <c r="P50" s="185"/>
      <c r="Q50" s="185"/>
      <c r="R50" s="179"/>
      <c r="S50" s="185"/>
      <c r="T50" s="185"/>
      <c r="U50" s="185"/>
      <c r="V50" s="185"/>
      <c r="W50" s="179"/>
      <c r="X50" s="178"/>
      <c r="Y50" s="185"/>
      <c r="Z50" s="177"/>
      <c r="AA50" s="176"/>
    </row>
    <row r="51" spans="1:27" ht="45" x14ac:dyDescent="0.25">
      <c r="A51" s="417"/>
      <c r="B51" s="416"/>
      <c r="C51" s="389"/>
      <c r="D51" s="185" t="s">
        <v>1072</v>
      </c>
      <c r="E51" s="185" t="s">
        <v>1071</v>
      </c>
      <c r="F51" s="185" t="s">
        <v>1070</v>
      </c>
      <c r="G51" s="185" t="s">
        <v>929</v>
      </c>
      <c r="H51" s="193">
        <f>I51*J51</f>
        <v>5002642.392</v>
      </c>
      <c r="I51" s="193">
        <f>X51*Z51+Y51</f>
        <v>51.545999999999999</v>
      </c>
      <c r="J51" s="196">
        <v>97052</v>
      </c>
      <c r="L51" s="180">
        <v>16</v>
      </c>
      <c r="M51" s="179">
        <v>1</v>
      </c>
      <c r="N51" s="185"/>
      <c r="O51" s="185" t="s">
        <v>1070</v>
      </c>
      <c r="P51" s="185">
        <v>0.25900000000000001</v>
      </c>
      <c r="Q51" s="185">
        <v>4</v>
      </c>
      <c r="R51" s="179">
        <v>1</v>
      </c>
      <c r="S51" s="185"/>
      <c r="T51" s="185"/>
      <c r="U51" s="185" t="s">
        <v>1069</v>
      </c>
      <c r="V51" s="185">
        <v>6.3299999999999995E-2</v>
      </c>
      <c r="W51" s="179">
        <v>8</v>
      </c>
      <c r="X51" s="178">
        <f>(L51*M51+L52*M52+L53*M53+L54*M54+S51*T51)*6</f>
        <v>120</v>
      </c>
      <c r="Y51" s="185">
        <f>(P51*Q51*R51+P52*Q52*R52+P53*Q53*R53+P54*Q54*R54+V51*W51+V52*W52+V53*W53+V54*W54)*6</f>
        <v>14.753999999999998</v>
      </c>
      <c r="Z51" s="177">
        <v>0.30659999999999998</v>
      </c>
      <c r="AA51" s="176"/>
    </row>
    <row r="52" spans="1:27" ht="30" x14ac:dyDescent="0.25">
      <c r="A52" s="417"/>
      <c r="B52" s="416"/>
      <c r="C52" s="389"/>
      <c r="D52" s="185"/>
      <c r="E52" s="185" t="s">
        <v>1063</v>
      </c>
      <c r="F52" s="185"/>
      <c r="G52" s="185"/>
      <c r="H52" s="193"/>
      <c r="I52" s="197"/>
      <c r="J52" s="196"/>
      <c r="L52" s="180">
        <v>4</v>
      </c>
      <c r="M52" s="179">
        <v>1</v>
      </c>
      <c r="N52" s="185"/>
      <c r="O52" s="185"/>
      <c r="P52" s="185"/>
      <c r="Q52" s="185"/>
      <c r="R52" s="179"/>
      <c r="S52" s="185"/>
      <c r="T52" s="185"/>
      <c r="U52" s="185" t="s">
        <v>1062</v>
      </c>
      <c r="V52" s="185">
        <v>1.4999999999999999E-2</v>
      </c>
      <c r="W52" s="179">
        <v>1</v>
      </c>
      <c r="X52" s="178"/>
      <c r="Y52" s="177"/>
      <c r="Z52" s="177"/>
      <c r="AA52" s="176"/>
    </row>
    <row r="53" spans="1:27" x14ac:dyDescent="0.25">
      <c r="A53" s="417"/>
      <c r="B53" s="416"/>
      <c r="C53" s="389"/>
      <c r="D53" s="185"/>
      <c r="E53" s="185" t="s">
        <v>1068</v>
      </c>
      <c r="F53" s="185"/>
      <c r="G53" s="185"/>
      <c r="H53" s="181"/>
      <c r="I53" s="181"/>
      <c r="J53" s="176"/>
      <c r="L53" s="180"/>
      <c r="M53" s="179"/>
      <c r="N53" s="185"/>
      <c r="O53" s="185"/>
      <c r="P53" s="185"/>
      <c r="Q53" s="185"/>
      <c r="R53" s="179"/>
      <c r="S53" s="185"/>
      <c r="T53" s="185"/>
      <c r="U53" s="185" t="s">
        <v>1060</v>
      </c>
      <c r="V53" s="185">
        <f>0.0023</f>
        <v>2.3E-3</v>
      </c>
      <c r="W53" s="179">
        <v>392</v>
      </c>
      <c r="X53" s="178"/>
      <c r="Y53" s="177"/>
      <c r="Z53" s="177"/>
      <c r="AA53" s="176"/>
    </row>
    <row r="54" spans="1:27" x14ac:dyDescent="0.25">
      <c r="A54" s="417"/>
      <c r="B54" s="416"/>
      <c r="C54" s="389"/>
      <c r="D54" s="185"/>
      <c r="E54" s="185" t="s">
        <v>1067</v>
      </c>
      <c r="F54" s="185"/>
      <c r="G54" s="185"/>
      <c r="H54" s="181"/>
      <c r="I54" s="181"/>
      <c r="J54" s="176"/>
      <c r="L54" s="180"/>
      <c r="M54" s="179"/>
      <c r="N54" s="185"/>
      <c r="O54" s="185"/>
      <c r="P54" s="185"/>
      <c r="Q54" s="185"/>
      <c r="R54" s="179"/>
      <c r="S54" s="185"/>
      <c r="T54" s="185"/>
      <c r="U54" s="185"/>
      <c r="V54" s="185"/>
      <c r="W54" s="179"/>
      <c r="X54" s="178"/>
      <c r="Y54" s="177"/>
      <c r="Z54" s="177"/>
      <c r="AA54" s="176"/>
    </row>
    <row r="55" spans="1:27" ht="45" x14ac:dyDescent="0.25">
      <c r="A55" s="417"/>
      <c r="B55" s="416"/>
      <c r="C55" s="389"/>
      <c r="D55" s="185" t="s">
        <v>1066</v>
      </c>
      <c r="E55" s="185" t="s">
        <v>1065</v>
      </c>
      <c r="F55" s="185"/>
      <c r="G55" s="185" t="s">
        <v>929</v>
      </c>
      <c r="H55" s="193">
        <f>I55*J55</f>
        <v>24932284.901999999</v>
      </c>
      <c r="I55" s="193">
        <f>X55*Z55+Y55</f>
        <v>267.666</v>
      </c>
      <c r="J55" s="186">
        <v>93147</v>
      </c>
      <c r="L55" s="180">
        <v>16</v>
      </c>
      <c r="M55" s="179">
        <v>1</v>
      </c>
      <c r="N55" s="185"/>
      <c r="O55" s="185"/>
      <c r="P55" s="185"/>
      <c r="Q55" s="185"/>
      <c r="R55" s="179"/>
      <c r="S55" s="185"/>
      <c r="T55" s="185"/>
      <c r="U55" s="185" t="s">
        <v>1064</v>
      </c>
      <c r="V55" s="179">
        <v>4</v>
      </c>
      <c r="W55" s="179">
        <v>4</v>
      </c>
      <c r="X55" s="178">
        <f>(L55*M55+L56*M56+L57*M57+L58*M58+S55*T55)*6</f>
        <v>120</v>
      </c>
      <c r="Y55" s="185">
        <f>(P55*Q55*R55+P56*Q56*R56+P57*Q57*R57+P58*Q58*R58+V55*W55+V56*W56+V57*W57+V58*W58)*6</f>
        <v>230.874</v>
      </c>
      <c r="Z55" s="177">
        <v>0.30659999999999998</v>
      </c>
      <c r="AA55" s="176"/>
    </row>
    <row r="56" spans="1:27" ht="30" x14ac:dyDescent="0.25">
      <c r="A56" s="417"/>
      <c r="B56" s="416"/>
      <c r="C56" s="389"/>
      <c r="D56" s="185"/>
      <c r="E56" s="185" t="s">
        <v>1063</v>
      </c>
      <c r="F56" s="185"/>
      <c r="G56" s="185"/>
      <c r="H56" s="193"/>
      <c r="I56" s="181"/>
      <c r="J56" s="186"/>
      <c r="L56" s="180">
        <v>4</v>
      </c>
      <c r="M56" s="179">
        <v>1</v>
      </c>
      <c r="N56" s="185"/>
      <c r="O56" s="185"/>
      <c r="P56" s="185"/>
      <c r="Q56" s="185"/>
      <c r="R56" s="179"/>
      <c r="S56" s="185"/>
      <c r="T56" s="185"/>
      <c r="U56" s="185" t="s">
        <v>1062</v>
      </c>
      <c r="V56" s="185">
        <v>1.4999999999999999E-2</v>
      </c>
      <c r="W56" s="179">
        <v>1</v>
      </c>
      <c r="X56" s="178"/>
      <c r="Y56" s="177"/>
      <c r="Z56" s="177"/>
      <c r="AA56" s="176"/>
    </row>
    <row r="57" spans="1:27" x14ac:dyDescent="0.25">
      <c r="A57" s="417"/>
      <c r="B57" s="416"/>
      <c r="C57" s="389"/>
      <c r="D57" s="185"/>
      <c r="E57" s="185" t="s">
        <v>1061</v>
      </c>
      <c r="F57" s="185"/>
      <c r="G57" s="185"/>
      <c r="H57" s="181"/>
      <c r="I57" s="181"/>
      <c r="J57" s="176"/>
      <c r="L57" s="180"/>
      <c r="M57" s="179"/>
      <c r="N57" s="185"/>
      <c r="O57" s="185"/>
      <c r="P57" s="185"/>
      <c r="Q57" s="185"/>
      <c r="R57" s="179"/>
      <c r="S57" s="185"/>
      <c r="T57" s="185"/>
      <c r="U57" s="185" t="s">
        <v>1060</v>
      </c>
      <c r="V57" s="185">
        <f>0.234*0.5*48</f>
        <v>5.6160000000000005</v>
      </c>
      <c r="W57" s="179">
        <v>4</v>
      </c>
      <c r="X57" s="178"/>
      <c r="Y57" s="177"/>
      <c r="Z57" s="177"/>
      <c r="AA57" s="176"/>
    </row>
    <row r="58" spans="1:27" x14ac:dyDescent="0.25">
      <c r="A58" s="417"/>
      <c r="B58" s="416"/>
      <c r="C58" s="389"/>
      <c r="D58" s="185"/>
      <c r="E58" s="185" t="s">
        <v>1059</v>
      </c>
      <c r="F58" s="185"/>
      <c r="G58" s="185"/>
      <c r="H58" s="181"/>
      <c r="I58" s="181"/>
      <c r="J58" s="176"/>
      <c r="L58" s="180"/>
      <c r="M58" s="179"/>
      <c r="N58" s="185"/>
      <c r="O58" s="185"/>
      <c r="P58" s="185"/>
      <c r="Q58" s="185"/>
      <c r="R58" s="179"/>
      <c r="S58" s="185"/>
      <c r="T58" s="185"/>
      <c r="U58" s="185"/>
      <c r="V58" s="185"/>
      <c r="W58" s="179"/>
      <c r="X58" s="178"/>
      <c r="Y58" s="177"/>
      <c r="Z58" s="177"/>
      <c r="AA58" s="176"/>
    </row>
    <row r="59" spans="1:27" x14ac:dyDescent="0.25">
      <c r="A59" s="417"/>
      <c r="B59" s="416"/>
      <c r="C59" s="389"/>
      <c r="D59" s="185"/>
      <c r="E59" s="185"/>
      <c r="F59" s="185"/>
      <c r="G59" s="185"/>
      <c r="H59" s="181"/>
      <c r="I59" s="181"/>
      <c r="J59" s="176"/>
      <c r="L59" s="180"/>
      <c r="M59" s="179"/>
      <c r="N59" s="185"/>
      <c r="O59" s="185"/>
      <c r="P59" s="185"/>
      <c r="Q59" s="185"/>
      <c r="R59" s="179"/>
      <c r="S59" s="185"/>
      <c r="T59" s="185"/>
      <c r="U59" s="185"/>
      <c r="V59" s="185"/>
      <c r="W59" s="179"/>
      <c r="X59" s="178"/>
      <c r="Y59" s="177"/>
      <c r="Z59" s="177"/>
      <c r="AA59" s="176"/>
    </row>
    <row r="60" spans="1:27" x14ac:dyDescent="0.25">
      <c r="A60" s="417"/>
      <c r="B60" s="416"/>
      <c r="C60" s="389"/>
      <c r="D60" s="185"/>
      <c r="E60" s="185"/>
      <c r="F60" s="185"/>
      <c r="G60" s="185"/>
      <c r="H60" s="181"/>
      <c r="I60" s="181"/>
      <c r="J60" s="176"/>
      <c r="L60" s="180"/>
      <c r="M60" s="179"/>
      <c r="N60" s="185"/>
      <c r="O60" s="185"/>
      <c r="P60" s="185"/>
      <c r="Q60" s="185"/>
      <c r="R60" s="179"/>
      <c r="S60" s="185"/>
      <c r="T60" s="185"/>
      <c r="U60" s="185"/>
      <c r="V60" s="185"/>
      <c r="W60" s="179"/>
      <c r="X60" s="178"/>
      <c r="Y60" s="177"/>
      <c r="Z60" s="177"/>
      <c r="AA60" s="176"/>
    </row>
    <row r="61" spans="1:27" x14ac:dyDescent="0.25">
      <c r="A61" s="417"/>
      <c r="B61" s="416"/>
      <c r="C61" s="389"/>
      <c r="D61" s="185"/>
      <c r="E61" s="185"/>
      <c r="F61" s="185"/>
      <c r="G61" s="185"/>
      <c r="H61" s="181"/>
      <c r="I61" s="181"/>
      <c r="J61" s="176"/>
      <c r="L61" s="180"/>
      <c r="M61" s="179"/>
      <c r="N61" s="185"/>
      <c r="O61" s="185"/>
      <c r="P61" s="185"/>
      <c r="Q61" s="185"/>
      <c r="R61" s="179"/>
      <c r="S61" s="185"/>
      <c r="T61" s="185"/>
      <c r="U61" s="185"/>
      <c r="V61" s="185"/>
      <c r="W61" s="179"/>
      <c r="X61" s="178"/>
      <c r="Y61" s="177"/>
      <c r="Z61" s="177"/>
      <c r="AA61" s="176"/>
    </row>
    <row r="62" spans="1:27" ht="30" x14ac:dyDescent="0.25">
      <c r="A62" s="417"/>
      <c r="B62" s="416"/>
      <c r="C62" s="389"/>
      <c r="D62" s="185" t="s">
        <v>1058</v>
      </c>
      <c r="E62" s="185"/>
      <c r="F62" s="185"/>
      <c r="G62" s="185"/>
      <c r="H62" s="193">
        <f>I62*J62</f>
        <v>0</v>
      </c>
      <c r="I62" s="181"/>
      <c r="J62" s="176"/>
      <c r="L62" s="180"/>
      <c r="M62" s="179"/>
      <c r="N62" s="185"/>
      <c r="O62" s="185"/>
      <c r="P62" s="185"/>
      <c r="Q62" s="185"/>
      <c r="R62" s="179"/>
      <c r="S62" s="185"/>
      <c r="T62" s="185"/>
      <c r="U62" s="185"/>
      <c r="V62" s="185"/>
      <c r="W62" s="179"/>
      <c r="X62" s="178"/>
      <c r="Y62" s="177"/>
      <c r="Z62" s="177"/>
      <c r="AA62" s="176"/>
    </row>
    <row r="63" spans="1:27" x14ac:dyDescent="0.25">
      <c r="A63" s="417"/>
      <c r="B63" s="416"/>
      <c r="C63" s="389"/>
      <c r="D63" s="185"/>
      <c r="E63" s="185"/>
      <c r="F63" s="185"/>
      <c r="G63" s="185"/>
      <c r="H63" s="181"/>
      <c r="I63" s="181"/>
      <c r="J63" s="176"/>
      <c r="L63" s="180"/>
      <c r="M63" s="179"/>
      <c r="N63" s="185"/>
      <c r="O63" s="185"/>
      <c r="P63" s="185"/>
      <c r="Q63" s="185"/>
      <c r="R63" s="179"/>
      <c r="S63" s="185"/>
      <c r="T63" s="185"/>
      <c r="U63" s="185"/>
      <c r="V63" s="185"/>
      <c r="W63" s="179"/>
      <c r="X63" s="178"/>
      <c r="Y63" s="177"/>
      <c r="Z63" s="177"/>
      <c r="AA63" s="176"/>
    </row>
    <row r="64" spans="1:27" x14ac:dyDescent="0.25">
      <c r="A64" s="417"/>
      <c r="B64" s="416"/>
      <c r="C64" s="389"/>
      <c r="D64" s="185"/>
      <c r="E64" s="185"/>
      <c r="F64" s="185"/>
      <c r="G64" s="185"/>
      <c r="H64" s="181"/>
      <c r="I64" s="181"/>
      <c r="J64" s="176"/>
      <c r="L64" s="180"/>
      <c r="M64" s="179"/>
      <c r="N64" s="185"/>
      <c r="O64" s="185"/>
      <c r="P64" s="185"/>
      <c r="Q64" s="185"/>
      <c r="R64" s="179"/>
      <c r="S64" s="185"/>
      <c r="T64" s="185"/>
      <c r="U64" s="185"/>
      <c r="V64" s="185"/>
      <c r="W64" s="179"/>
      <c r="X64" s="178"/>
      <c r="Y64" s="177"/>
      <c r="Z64" s="177"/>
      <c r="AA64" s="176"/>
    </row>
    <row r="65" spans="1:27" x14ac:dyDescent="0.25">
      <c r="A65" s="417"/>
      <c r="B65" s="416"/>
      <c r="C65" s="389"/>
      <c r="D65" s="185"/>
      <c r="E65" s="185"/>
      <c r="F65" s="185"/>
      <c r="G65" s="185"/>
      <c r="H65" s="181"/>
      <c r="I65" s="181"/>
      <c r="J65" s="176"/>
      <c r="L65" s="180"/>
      <c r="M65" s="179"/>
      <c r="N65" s="185"/>
      <c r="O65" s="185"/>
      <c r="P65" s="185"/>
      <c r="Q65" s="185"/>
      <c r="R65" s="179"/>
      <c r="S65" s="185"/>
      <c r="T65" s="185"/>
      <c r="U65" s="185"/>
      <c r="V65" s="185"/>
      <c r="W65" s="179"/>
      <c r="X65" s="178"/>
      <c r="Y65" s="185"/>
      <c r="Z65" s="177"/>
      <c r="AA65" s="176"/>
    </row>
    <row r="66" spans="1:27" x14ac:dyDescent="0.25">
      <c r="A66" s="417"/>
      <c r="B66" s="416"/>
      <c r="C66" s="389"/>
      <c r="D66" s="185"/>
      <c r="E66" s="185"/>
      <c r="F66" s="185"/>
      <c r="G66" s="185"/>
      <c r="H66" s="181"/>
      <c r="I66" s="181"/>
      <c r="J66" s="176"/>
      <c r="L66" s="180"/>
      <c r="M66" s="179"/>
      <c r="N66" s="185"/>
      <c r="O66" s="185"/>
      <c r="P66" s="185"/>
      <c r="Q66" s="185"/>
      <c r="R66" s="179"/>
      <c r="S66" s="185"/>
      <c r="T66" s="185"/>
      <c r="U66" s="185"/>
      <c r="V66" s="185"/>
      <c r="W66" s="179"/>
      <c r="X66" s="178"/>
      <c r="Y66" s="185"/>
      <c r="Z66" s="177"/>
      <c r="AA66" s="176"/>
    </row>
    <row r="67" spans="1:27" x14ac:dyDescent="0.25">
      <c r="A67" s="417">
        <v>2</v>
      </c>
      <c r="B67" s="419" t="s">
        <v>1057</v>
      </c>
      <c r="C67" s="389" t="s">
        <v>1056</v>
      </c>
      <c r="D67" s="185" t="s">
        <v>1055</v>
      </c>
      <c r="E67" s="185"/>
      <c r="F67" s="185"/>
      <c r="G67" s="185"/>
      <c r="H67" s="181"/>
      <c r="I67" s="181"/>
      <c r="J67" s="176"/>
      <c r="L67" s="180"/>
      <c r="M67" s="179"/>
      <c r="N67" s="185"/>
      <c r="O67" s="185"/>
      <c r="P67" s="185"/>
      <c r="Q67" s="185"/>
      <c r="R67" s="179"/>
      <c r="S67" s="185"/>
      <c r="T67" s="185"/>
      <c r="U67" s="185"/>
      <c r="V67" s="185"/>
      <c r="W67" s="179"/>
      <c r="X67" s="178"/>
      <c r="Y67" s="185"/>
      <c r="Z67" s="177"/>
      <c r="AA67" s="176"/>
    </row>
    <row r="68" spans="1:27" x14ac:dyDescent="0.25">
      <c r="A68" s="417"/>
      <c r="B68" s="419"/>
      <c r="C68" s="389"/>
      <c r="D68" s="185"/>
      <c r="E68" s="185"/>
      <c r="F68" s="185"/>
      <c r="G68" s="185"/>
      <c r="H68" s="181"/>
      <c r="I68" s="181"/>
      <c r="J68" s="176"/>
      <c r="L68" s="180"/>
      <c r="M68" s="179"/>
      <c r="N68" s="185"/>
      <c r="O68" s="185"/>
      <c r="P68" s="185"/>
      <c r="Q68" s="185"/>
      <c r="R68" s="179"/>
      <c r="S68" s="185"/>
      <c r="T68" s="185"/>
      <c r="U68" s="185"/>
      <c r="V68" s="185"/>
      <c r="W68" s="179"/>
      <c r="X68" s="178"/>
      <c r="Y68" s="185"/>
      <c r="Z68" s="177"/>
      <c r="AA68" s="176"/>
    </row>
    <row r="69" spans="1:27" x14ac:dyDescent="0.25">
      <c r="A69" s="417"/>
      <c r="B69" s="419"/>
      <c r="C69" s="389"/>
      <c r="D69" s="185"/>
      <c r="E69" s="185"/>
      <c r="F69" s="185"/>
      <c r="G69" s="185"/>
      <c r="H69" s="181"/>
      <c r="I69" s="181"/>
      <c r="J69" s="176"/>
      <c r="L69" s="180"/>
      <c r="M69" s="179"/>
      <c r="N69" s="185"/>
      <c r="O69" s="185"/>
      <c r="P69" s="185"/>
      <c r="Q69" s="185"/>
      <c r="R69" s="179"/>
      <c r="S69" s="185"/>
      <c r="T69" s="185"/>
      <c r="U69" s="185"/>
      <c r="V69" s="185"/>
      <c r="W69" s="179"/>
      <c r="X69" s="178"/>
      <c r="Y69" s="185"/>
      <c r="Z69" s="177"/>
      <c r="AA69" s="176"/>
    </row>
    <row r="70" spans="1:27" x14ac:dyDescent="0.25">
      <c r="A70" s="417"/>
      <c r="B70" s="419"/>
      <c r="C70" s="389"/>
      <c r="D70" s="185"/>
      <c r="E70" s="185"/>
      <c r="F70" s="185"/>
      <c r="G70" s="185"/>
      <c r="H70" s="181"/>
      <c r="I70" s="181"/>
      <c r="J70" s="176"/>
      <c r="L70" s="180"/>
      <c r="M70" s="179"/>
      <c r="N70" s="185"/>
      <c r="O70" s="185"/>
      <c r="P70" s="185"/>
      <c r="Q70" s="185"/>
      <c r="R70" s="179"/>
      <c r="S70" s="185"/>
      <c r="T70" s="185"/>
      <c r="U70" s="185"/>
      <c r="V70" s="185"/>
      <c r="W70" s="179"/>
      <c r="X70" s="178"/>
      <c r="Y70" s="185"/>
      <c r="Z70" s="177"/>
      <c r="AA70" s="176"/>
    </row>
    <row r="71" spans="1:27" x14ac:dyDescent="0.25">
      <c r="A71" s="417"/>
      <c r="B71" s="419"/>
      <c r="C71" s="389"/>
      <c r="D71" s="185" t="s">
        <v>1054</v>
      </c>
      <c r="E71" s="185"/>
      <c r="F71" s="185"/>
      <c r="G71" s="185"/>
      <c r="H71" s="181"/>
      <c r="I71" s="181"/>
      <c r="J71" s="176"/>
      <c r="L71" s="180"/>
      <c r="M71" s="179"/>
      <c r="N71" s="185"/>
      <c r="O71" s="185"/>
      <c r="P71" s="185"/>
      <c r="Q71" s="185"/>
      <c r="R71" s="179"/>
      <c r="S71" s="185"/>
      <c r="T71" s="185"/>
      <c r="U71" s="185"/>
      <c r="V71" s="185"/>
      <c r="W71" s="179"/>
      <c r="X71" s="178"/>
      <c r="Y71" s="185"/>
      <c r="Z71" s="177"/>
      <c r="AA71" s="176"/>
    </row>
    <row r="72" spans="1:27" x14ac:dyDescent="0.25">
      <c r="A72" s="417"/>
      <c r="B72" s="419"/>
      <c r="C72" s="389"/>
      <c r="D72" s="185"/>
      <c r="E72" s="185"/>
      <c r="F72" s="185"/>
      <c r="G72" s="185"/>
      <c r="H72" s="181"/>
      <c r="I72" s="181"/>
      <c r="J72" s="176"/>
      <c r="L72" s="180"/>
      <c r="M72" s="179"/>
      <c r="N72" s="185"/>
      <c r="O72" s="185"/>
      <c r="P72" s="185"/>
      <c r="Q72" s="185"/>
      <c r="R72" s="179"/>
      <c r="S72" s="185"/>
      <c r="T72" s="185"/>
      <c r="U72" s="185"/>
      <c r="V72" s="185"/>
      <c r="W72" s="179"/>
      <c r="X72" s="178"/>
      <c r="Y72" s="185"/>
      <c r="Z72" s="177"/>
      <c r="AA72" s="176"/>
    </row>
    <row r="73" spans="1:27" x14ac:dyDescent="0.25">
      <c r="A73" s="417"/>
      <c r="B73" s="419"/>
      <c r="C73" s="389"/>
      <c r="D73" s="185"/>
      <c r="E73" s="185"/>
      <c r="F73" s="185"/>
      <c r="G73" s="185"/>
      <c r="H73" s="181"/>
      <c r="I73" s="181"/>
      <c r="J73" s="176"/>
      <c r="L73" s="180"/>
      <c r="M73" s="179"/>
      <c r="N73" s="185"/>
      <c r="O73" s="185"/>
      <c r="P73" s="185"/>
      <c r="Q73" s="185"/>
      <c r="R73" s="179"/>
      <c r="S73" s="185"/>
      <c r="T73" s="185"/>
      <c r="U73" s="185"/>
      <c r="V73" s="185"/>
      <c r="W73" s="179"/>
      <c r="X73" s="178"/>
      <c r="Y73" s="185"/>
      <c r="Z73" s="177"/>
      <c r="AA73" s="176"/>
    </row>
    <row r="74" spans="1:27" x14ac:dyDescent="0.25">
      <c r="A74" s="417"/>
      <c r="B74" s="419"/>
      <c r="C74" s="389"/>
      <c r="D74" s="185" t="s">
        <v>1053</v>
      </c>
      <c r="E74" s="185"/>
      <c r="F74" s="185"/>
      <c r="G74" s="185"/>
      <c r="H74" s="181"/>
      <c r="I74" s="181"/>
      <c r="J74" s="176"/>
      <c r="L74" s="180"/>
      <c r="M74" s="179"/>
      <c r="N74" s="185"/>
      <c r="O74" s="185"/>
      <c r="P74" s="185"/>
      <c r="Q74" s="185"/>
      <c r="R74" s="179"/>
      <c r="S74" s="185"/>
      <c r="T74" s="185"/>
      <c r="U74" s="185"/>
      <c r="V74" s="185"/>
      <c r="W74" s="179"/>
      <c r="X74" s="178"/>
      <c r="Y74" s="185"/>
      <c r="Z74" s="177"/>
      <c r="AA74" s="176"/>
    </row>
    <row r="75" spans="1:27" x14ac:dyDescent="0.25">
      <c r="A75" s="417"/>
      <c r="B75" s="419"/>
      <c r="C75" s="389"/>
      <c r="D75" s="185"/>
      <c r="E75" s="185"/>
      <c r="F75" s="185"/>
      <c r="G75" s="185"/>
      <c r="H75" s="181"/>
      <c r="I75" s="181"/>
      <c r="J75" s="176"/>
      <c r="L75" s="180"/>
      <c r="M75" s="179"/>
      <c r="N75" s="185"/>
      <c r="O75" s="185"/>
      <c r="P75" s="185"/>
      <c r="Q75" s="185"/>
      <c r="R75" s="179"/>
      <c r="S75" s="185"/>
      <c r="T75" s="185"/>
      <c r="U75" s="185"/>
      <c r="V75" s="185"/>
      <c r="W75" s="179"/>
      <c r="X75" s="178"/>
      <c r="Y75" s="185"/>
      <c r="Z75" s="177"/>
      <c r="AA75" s="176"/>
    </row>
    <row r="76" spans="1:27" x14ac:dyDescent="0.25">
      <c r="A76" s="417"/>
      <c r="B76" s="419"/>
      <c r="C76" s="389"/>
      <c r="D76" s="185"/>
      <c r="E76" s="185"/>
      <c r="F76" s="185"/>
      <c r="G76" s="185"/>
      <c r="H76" s="181"/>
      <c r="I76" s="181"/>
      <c r="J76" s="176"/>
      <c r="L76" s="180"/>
      <c r="M76" s="179"/>
      <c r="N76" s="185"/>
      <c r="O76" s="185"/>
      <c r="P76" s="185"/>
      <c r="Q76" s="185"/>
      <c r="R76" s="179"/>
      <c r="S76" s="185"/>
      <c r="T76" s="185"/>
      <c r="U76" s="185"/>
      <c r="V76" s="185"/>
      <c r="W76" s="179"/>
      <c r="X76" s="178"/>
      <c r="Y76" s="185"/>
      <c r="Z76" s="177"/>
      <c r="AA76" s="176"/>
    </row>
    <row r="77" spans="1:27" x14ac:dyDescent="0.25">
      <c r="A77" s="417"/>
      <c r="B77" s="419"/>
      <c r="C77" s="389"/>
      <c r="D77" s="185" t="s">
        <v>1052</v>
      </c>
      <c r="E77" s="185"/>
      <c r="F77" s="185"/>
      <c r="G77" s="185"/>
      <c r="H77" s="181"/>
      <c r="I77" s="181"/>
      <c r="J77" s="176"/>
      <c r="L77" s="180"/>
      <c r="M77" s="179"/>
      <c r="N77" s="185"/>
      <c r="O77" s="185"/>
      <c r="P77" s="185"/>
      <c r="Q77" s="185"/>
      <c r="R77" s="179"/>
      <c r="S77" s="185"/>
      <c r="T77" s="185"/>
      <c r="U77" s="185"/>
      <c r="V77" s="185"/>
      <c r="W77" s="179"/>
      <c r="X77" s="178"/>
      <c r="Y77" s="185"/>
      <c r="Z77" s="177"/>
      <c r="AA77" s="176"/>
    </row>
    <row r="78" spans="1:27" x14ac:dyDescent="0.25">
      <c r="A78" s="417"/>
      <c r="B78" s="419"/>
      <c r="C78" s="389"/>
      <c r="D78" s="185"/>
      <c r="E78" s="185"/>
      <c r="F78" s="185"/>
      <c r="G78" s="185"/>
      <c r="H78" s="181"/>
      <c r="I78" s="181"/>
      <c r="J78" s="176"/>
      <c r="L78" s="180"/>
      <c r="M78" s="179"/>
      <c r="N78" s="185"/>
      <c r="O78" s="185"/>
      <c r="P78" s="185"/>
      <c r="Q78" s="185"/>
      <c r="R78" s="179"/>
      <c r="S78" s="185"/>
      <c r="T78" s="185"/>
      <c r="U78" s="185"/>
      <c r="V78" s="185"/>
      <c r="W78" s="179"/>
      <c r="X78" s="178"/>
      <c r="Y78" s="185"/>
      <c r="Z78" s="177"/>
      <c r="AA78" s="176"/>
    </row>
    <row r="79" spans="1:27" x14ac:dyDescent="0.25">
      <c r="A79" s="417"/>
      <c r="B79" s="419"/>
      <c r="C79" s="389"/>
      <c r="D79" s="185"/>
      <c r="E79" s="185"/>
      <c r="F79" s="185"/>
      <c r="G79" s="185"/>
      <c r="H79" s="181"/>
      <c r="I79" s="181"/>
      <c r="J79" s="176"/>
      <c r="L79" s="180"/>
      <c r="M79" s="179"/>
      <c r="N79" s="185"/>
      <c r="O79" s="185"/>
      <c r="P79" s="185"/>
      <c r="Q79" s="185"/>
      <c r="R79" s="179"/>
      <c r="S79" s="185"/>
      <c r="T79" s="185"/>
      <c r="U79" s="185"/>
      <c r="V79" s="185"/>
      <c r="W79" s="179"/>
      <c r="X79" s="178"/>
      <c r="Y79" s="185"/>
      <c r="Z79" s="177"/>
      <c r="AA79" s="176"/>
    </row>
    <row r="80" spans="1:27" x14ac:dyDescent="0.25">
      <c r="A80" s="417"/>
      <c r="B80" s="419"/>
      <c r="C80" s="389"/>
      <c r="D80" s="185"/>
      <c r="E80" s="185"/>
      <c r="F80" s="185"/>
      <c r="G80" s="185"/>
      <c r="H80" s="181"/>
      <c r="I80" s="181"/>
      <c r="J80" s="176"/>
      <c r="L80" s="180"/>
      <c r="M80" s="179"/>
      <c r="N80" s="185"/>
      <c r="O80" s="185"/>
      <c r="P80" s="185"/>
      <c r="Q80" s="185"/>
      <c r="R80" s="179"/>
      <c r="S80" s="185"/>
      <c r="T80" s="185"/>
      <c r="U80" s="185"/>
      <c r="V80" s="185"/>
      <c r="W80" s="179"/>
      <c r="X80" s="178"/>
      <c r="Y80" s="185"/>
      <c r="Z80" s="177"/>
      <c r="AA80" s="176"/>
    </row>
    <row r="81" spans="1:27" x14ac:dyDescent="0.25">
      <c r="A81" s="417"/>
      <c r="B81" s="419"/>
      <c r="C81" s="389"/>
      <c r="D81" s="185"/>
      <c r="E81" s="185"/>
      <c r="F81" s="185"/>
      <c r="G81" s="185"/>
      <c r="H81" s="181"/>
      <c r="I81" s="181"/>
      <c r="J81" s="176"/>
      <c r="L81" s="180"/>
      <c r="M81" s="179"/>
      <c r="N81" s="185"/>
      <c r="O81" s="185"/>
      <c r="P81" s="185"/>
      <c r="Q81" s="185"/>
      <c r="R81" s="179"/>
      <c r="S81" s="185"/>
      <c r="T81" s="185"/>
      <c r="U81" s="185"/>
      <c r="V81" s="185"/>
      <c r="W81" s="179"/>
      <c r="X81" s="178"/>
      <c r="Y81" s="185"/>
      <c r="Z81" s="177"/>
      <c r="AA81" s="176"/>
    </row>
    <row r="82" spans="1:27" ht="30" x14ac:dyDescent="0.25">
      <c r="A82" s="417"/>
      <c r="B82" s="419"/>
      <c r="C82" s="389" t="s">
        <v>240</v>
      </c>
      <c r="D82" s="185" t="s">
        <v>1051</v>
      </c>
      <c r="E82" s="185"/>
      <c r="F82" s="185"/>
      <c r="G82" s="185"/>
      <c r="H82" s="181"/>
      <c r="I82" s="181"/>
      <c r="J82" s="176"/>
      <c r="L82" s="180"/>
      <c r="M82" s="179"/>
      <c r="N82" s="185"/>
      <c r="O82" s="185"/>
      <c r="P82" s="185"/>
      <c r="Q82" s="185"/>
      <c r="R82" s="179"/>
      <c r="S82" s="185"/>
      <c r="T82" s="185"/>
      <c r="U82" s="185"/>
      <c r="V82" s="185"/>
      <c r="W82" s="179"/>
      <c r="X82" s="178"/>
      <c r="Y82" s="185"/>
      <c r="Z82" s="177"/>
      <c r="AA82" s="176"/>
    </row>
    <row r="83" spans="1:27" x14ac:dyDescent="0.25">
      <c r="A83" s="417"/>
      <c r="B83" s="419"/>
      <c r="C83" s="389"/>
      <c r="D83" s="185"/>
      <c r="E83" s="185"/>
      <c r="F83" s="185"/>
      <c r="G83" s="185"/>
      <c r="H83" s="181"/>
      <c r="I83" s="181"/>
      <c r="J83" s="176"/>
      <c r="L83" s="180"/>
      <c r="M83" s="179"/>
      <c r="N83" s="185"/>
      <c r="O83" s="185"/>
      <c r="P83" s="185"/>
      <c r="Q83" s="185"/>
      <c r="R83" s="179"/>
      <c r="S83" s="185"/>
      <c r="T83" s="185"/>
      <c r="U83" s="185"/>
      <c r="V83" s="185"/>
      <c r="W83" s="179"/>
      <c r="X83" s="178"/>
      <c r="Y83" s="185"/>
      <c r="Z83" s="177"/>
      <c r="AA83" s="176"/>
    </row>
    <row r="84" spans="1:27" x14ac:dyDescent="0.25">
      <c r="A84" s="417"/>
      <c r="B84" s="419"/>
      <c r="C84" s="389"/>
      <c r="D84" s="185"/>
      <c r="E84" s="185"/>
      <c r="F84" s="185"/>
      <c r="G84" s="185"/>
      <c r="H84" s="181"/>
      <c r="I84" s="181"/>
      <c r="J84" s="176"/>
      <c r="L84" s="180"/>
      <c r="M84" s="179"/>
      <c r="N84" s="185"/>
      <c r="O84" s="185"/>
      <c r="P84" s="185"/>
      <c r="Q84" s="185"/>
      <c r="R84" s="179"/>
      <c r="S84" s="185"/>
      <c r="T84" s="185"/>
      <c r="U84" s="185"/>
      <c r="V84" s="185"/>
      <c r="W84" s="179"/>
      <c r="X84" s="178"/>
      <c r="Y84" s="185"/>
      <c r="Z84" s="177"/>
      <c r="AA84" s="176"/>
    </row>
    <row r="85" spans="1:27" x14ac:dyDescent="0.25">
      <c r="A85" s="417"/>
      <c r="B85" s="419"/>
      <c r="C85" s="389"/>
      <c r="D85" s="185"/>
      <c r="E85" s="185"/>
      <c r="F85" s="185"/>
      <c r="G85" s="185"/>
      <c r="H85" s="181"/>
      <c r="I85" s="181"/>
      <c r="J85" s="176"/>
      <c r="L85" s="180"/>
      <c r="M85" s="179"/>
      <c r="N85" s="185"/>
      <c r="O85" s="185"/>
      <c r="P85" s="185"/>
      <c r="Q85" s="185"/>
      <c r="R85" s="179"/>
      <c r="S85" s="185"/>
      <c r="T85" s="185"/>
      <c r="U85" s="185"/>
      <c r="V85" s="185"/>
      <c r="W85" s="179"/>
      <c r="X85" s="178"/>
      <c r="Y85" s="185"/>
      <c r="Z85" s="177"/>
      <c r="AA85" s="176"/>
    </row>
    <row r="86" spans="1:27" x14ac:dyDescent="0.25">
      <c r="A86" s="417"/>
      <c r="B86" s="419"/>
      <c r="C86" s="389"/>
      <c r="D86" s="185"/>
      <c r="E86" s="185"/>
      <c r="F86" s="185"/>
      <c r="G86" s="185"/>
      <c r="H86" s="181"/>
      <c r="I86" s="181"/>
      <c r="J86" s="176"/>
      <c r="L86" s="180"/>
      <c r="M86" s="179"/>
      <c r="N86" s="185"/>
      <c r="O86" s="185"/>
      <c r="P86" s="185"/>
      <c r="Q86" s="185"/>
      <c r="R86" s="179"/>
      <c r="S86" s="185"/>
      <c r="T86" s="185"/>
      <c r="U86" s="185"/>
      <c r="V86" s="185"/>
      <c r="W86" s="179"/>
      <c r="X86" s="178"/>
      <c r="Y86" s="185"/>
      <c r="Z86" s="177"/>
      <c r="AA86" s="176"/>
    </row>
    <row r="87" spans="1:27" ht="30" x14ac:dyDescent="0.25">
      <c r="A87" s="417"/>
      <c r="B87" s="419"/>
      <c r="C87" s="389"/>
      <c r="D87" s="185" t="s">
        <v>1050</v>
      </c>
      <c r="E87" s="185"/>
      <c r="F87" s="185"/>
      <c r="G87" s="185"/>
      <c r="H87" s="181"/>
      <c r="I87" s="181"/>
      <c r="J87" s="176"/>
      <c r="L87" s="180"/>
      <c r="M87" s="179"/>
      <c r="N87" s="185"/>
      <c r="O87" s="185"/>
      <c r="P87" s="185"/>
      <c r="Q87" s="185"/>
      <c r="R87" s="179"/>
      <c r="S87" s="185"/>
      <c r="T87" s="185"/>
      <c r="U87" s="185"/>
      <c r="V87" s="185"/>
      <c r="W87" s="179"/>
      <c r="X87" s="178"/>
      <c r="Y87" s="185"/>
      <c r="Z87" s="177"/>
      <c r="AA87" s="176"/>
    </row>
    <row r="88" spans="1:27" x14ac:dyDescent="0.25">
      <c r="A88" s="417"/>
      <c r="B88" s="419"/>
      <c r="C88" s="389"/>
      <c r="D88" s="185"/>
      <c r="E88" s="185"/>
      <c r="F88" s="185"/>
      <c r="G88" s="185"/>
      <c r="H88" s="181"/>
      <c r="I88" s="181"/>
      <c r="J88" s="176"/>
      <c r="L88" s="180"/>
      <c r="M88" s="179"/>
      <c r="N88" s="185"/>
      <c r="O88" s="185"/>
      <c r="P88" s="185"/>
      <c r="Q88" s="185"/>
      <c r="R88" s="179"/>
      <c r="S88" s="185"/>
      <c r="T88" s="185"/>
      <c r="U88" s="185"/>
      <c r="V88" s="185"/>
      <c r="W88" s="179"/>
      <c r="X88" s="178"/>
      <c r="Y88" s="185"/>
      <c r="Z88" s="177"/>
      <c r="AA88" s="176"/>
    </row>
    <row r="89" spans="1:27" x14ac:dyDescent="0.25">
      <c r="A89" s="417"/>
      <c r="B89" s="419"/>
      <c r="C89" s="389"/>
      <c r="D89" s="185"/>
      <c r="E89" s="185"/>
      <c r="F89" s="185"/>
      <c r="G89" s="185"/>
      <c r="H89" s="181"/>
      <c r="I89" s="181"/>
      <c r="J89" s="176"/>
      <c r="L89" s="180"/>
      <c r="M89" s="179"/>
      <c r="N89" s="185"/>
      <c r="O89" s="185"/>
      <c r="P89" s="185"/>
      <c r="Q89" s="185"/>
      <c r="R89" s="179"/>
      <c r="S89" s="185"/>
      <c r="T89" s="185"/>
      <c r="U89" s="185"/>
      <c r="V89" s="185"/>
      <c r="W89" s="179"/>
      <c r="X89" s="178"/>
      <c r="Y89" s="185"/>
      <c r="Z89" s="177"/>
      <c r="AA89" s="176"/>
    </row>
    <row r="90" spans="1:27" x14ac:dyDescent="0.25">
      <c r="A90" s="417"/>
      <c r="B90" s="419"/>
      <c r="C90" s="389"/>
      <c r="D90" s="185"/>
      <c r="E90" s="185"/>
      <c r="F90" s="185"/>
      <c r="G90" s="185"/>
      <c r="H90" s="181"/>
      <c r="I90" s="181"/>
      <c r="J90" s="176"/>
      <c r="L90" s="180"/>
      <c r="M90" s="179"/>
      <c r="N90" s="185"/>
      <c r="O90" s="185"/>
      <c r="P90" s="185"/>
      <c r="Q90" s="185"/>
      <c r="R90" s="179"/>
      <c r="S90" s="185"/>
      <c r="T90" s="185"/>
      <c r="U90" s="185"/>
      <c r="V90" s="185"/>
      <c r="W90" s="179"/>
      <c r="X90" s="178"/>
      <c r="Y90" s="185"/>
      <c r="Z90" s="177"/>
      <c r="AA90" s="176"/>
    </row>
    <row r="91" spans="1:27" x14ac:dyDescent="0.25">
      <c r="A91" s="417"/>
      <c r="B91" s="419"/>
      <c r="C91" s="389"/>
      <c r="D91" s="185"/>
      <c r="E91" s="185"/>
      <c r="F91" s="185"/>
      <c r="G91" s="185"/>
      <c r="H91" s="181"/>
      <c r="I91" s="181"/>
      <c r="J91" s="176"/>
      <c r="L91" s="180"/>
      <c r="M91" s="179"/>
      <c r="N91" s="185"/>
      <c r="O91" s="185"/>
      <c r="P91" s="185"/>
      <c r="Q91" s="185"/>
      <c r="R91" s="179"/>
      <c r="S91" s="185"/>
      <c r="T91" s="185"/>
      <c r="U91" s="185"/>
      <c r="V91" s="185"/>
      <c r="W91" s="179"/>
      <c r="X91" s="178"/>
      <c r="Y91" s="185"/>
      <c r="Z91" s="177"/>
      <c r="AA91" s="176"/>
    </row>
    <row r="92" spans="1:27" ht="30" x14ac:dyDescent="0.25">
      <c r="A92" s="417"/>
      <c r="B92" s="419"/>
      <c r="C92" s="389"/>
      <c r="D92" s="185" t="s">
        <v>1049</v>
      </c>
      <c r="E92" s="185"/>
      <c r="F92" s="185"/>
      <c r="G92" s="185"/>
      <c r="H92" s="181"/>
      <c r="I92" s="181"/>
      <c r="J92" s="176"/>
      <c r="L92" s="180"/>
      <c r="M92" s="179"/>
      <c r="N92" s="185"/>
      <c r="O92" s="185"/>
      <c r="P92" s="185"/>
      <c r="Q92" s="185"/>
      <c r="R92" s="179"/>
      <c r="S92" s="185"/>
      <c r="T92" s="185"/>
      <c r="U92" s="185"/>
      <c r="V92" s="185"/>
      <c r="W92" s="179"/>
      <c r="X92" s="178"/>
      <c r="Y92" s="185"/>
      <c r="Z92" s="177"/>
      <c r="AA92" s="176"/>
    </row>
    <row r="93" spans="1:27" x14ac:dyDescent="0.25">
      <c r="A93" s="417"/>
      <c r="B93" s="419"/>
      <c r="C93" s="389"/>
      <c r="D93" s="185"/>
      <c r="E93" s="185"/>
      <c r="F93" s="185"/>
      <c r="G93" s="185"/>
      <c r="H93" s="181"/>
      <c r="I93" s="181"/>
      <c r="J93" s="176"/>
      <c r="L93" s="180"/>
      <c r="M93" s="179"/>
      <c r="N93" s="185"/>
      <c r="O93" s="185"/>
      <c r="P93" s="185"/>
      <c r="Q93" s="185"/>
      <c r="R93" s="179"/>
      <c r="S93" s="185"/>
      <c r="T93" s="185"/>
      <c r="U93" s="185"/>
      <c r="V93" s="185"/>
      <c r="W93" s="179"/>
      <c r="X93" s="178"/>
      <c r="Y93" s="185"/>
      <c r="Z93" s="177"/>
      <c r="AA93" s="176"/>
    </row>
    <row r="94" spans="1:27" x14ac:dyDescent="0.25">
      <c r="A94" s="417"/>
      <c r="B94" s="419"/>
      <c r="C94" s="389"/>
      <c r="D94" s="185"/>
      <c r="E94" s="185"/>
      <c r="F94" s="185"/>
      <c r="G94" s="185"/>
      <c r="H94" s="181"/>
      <c r="I94" s="181"/>
      <c r="J94" s="176"/>
      <c r="L94" s="180"/>
      <c r="M94" s="179"/>
      <c r="N94" s="185"/>
      <c r="O94" s="185"/>
      <c r="P94" s="185"/>
      <c r="Q94" s="185"/>
      <c r="R94" s="179"/>
      <c r="S94" s="185"/>
      <c r="T94" s="185"/>
      <c r="U94" s="185"/>
      <c r="V94" s="185"/>
      <c r="W94" s="179"/>
      <c r="X94" s="178"/>
      <c r="Y94" s="185"/>
      <c r="Z94" s="177"/>
      <c r="AA94" s="176"/>
    </row>
    <row r="95" spans="1:27" x14ac:dyDescent="0.25">
      <c r="A95" s="417"/>
      <c r="B95" s="419"/>
      <c r="C95" s="389"/>
      <c r="D95" s="185"/>
      <c r="E95" s="185"/>
      <c r="F95" s="185"/>
      <c r="G95" s="185"/>
      <c r="H95" s="181"/>
      <c r="I95" s="181"/>
      <c r="J95" s="176"/>
      <c r="L95" s="180"/>
      <c r="M95" s="179"/>
      <c r="N95" s="185"/>
      <c r="O95" s="185"/>
      <c r="P95" s="185"/>
      <c r="Q95" s="185"/>
      <c r="R95" s="179"/>
      <c r="S95" s="185"/>
      <c r="T95" s="185"/>
      <c r="U95" s="185"/>
      <c r="V95" s="185"/>
      <c r="W95" s="179"/>
      <c r="X95" s="178"/>
      <c r="Y95" s="185"/>
      <c r="Z95" s="177"/>
      <c r="AA95" s="176"/>
    </row>
    <row r="96" spans="1:27" x14ac:dyDescent="0.25">
      <c r="A96" s="417"/>
      <c r="B96" s="419"/>
      <c r="C96" s="389"/>
      <c r="D96" s="185"/>
      <c r="E96" s="185"/>
      <c r="F96" s="185"/>
      <c r="G96" s="185"/>
      <c r="H96" s="181"/>
      <c r="I96" s="181"/>
      <c r="J96" s="176"/>
      <c r="L96" s="180"/>
      <c r="M96" s="179"/>
      <c r="N96" s="185"/>
      <c r="O96" s="185"/>
      <c r="P96" s="185"/>
      <c r="Q96" s="185"/>
      <c r="R96" s="179"/>
      <c r="S96" s="185"/>
      <c r="T96" s="185"/>
      <c r="U96" s="185"/>
      <c r="V96" s="185"/>
      <c r="W96" s="179"/>
      <c r="X96" s="178"/>
      <c r="Y96" s="185"/>
      <c r="Z96" s="177"/>
      <c r="AA96" s="176"/>
    </row>
    <row r="97" spans="1:27" x14ac:dyDescent="0.25">
      <c r="A97" s="417"/>
      <c r="B97" s="419"/>
      <c r="C97" s="389" t="s">
        <v>1048</v>
      </c>
      <c r="D97" s="185"/>
      <c r="E97" s="185"/>
      <c r="F97" s="185"/>
      <c r="G97" s="185"/>
      <c r="H97" s="181"/>
      <c r="I97" s="181"/>
      <c r="J97" s="176"/>
      <c r="L97" s="180"/>
      <c r="M97" s="179"/>
      <c r="N97" s="185"/>
      <c r="O97" s="185"/>
      <c r="P97" s="185"/>
      <c r="Q97" s="185"/>
      <c r="R97" s="179"/>
      <c r="S97" s="185"/>
      <c r="T97" s="185"/>
      <c r="U97" s="185"/>
      <c r="V97" s="185"/>
      <c r="W97" s="179"/>
      <c r="X97" s="178"/>
      <c r="Y97" s="185"/>
      <c r="Z97" s="177"/>
      <c r="AA97" s="176"/>
    </row>
    <row r="98" spans="1:27" x14ac:dyDescent="0.25">
      <c r="A98" s="417"/>
      <c r="B98" s="419"/>
      <c r="C98" s="389"/>
      <c r="D98" s="185"/>
      <c r="E98" s="185"/>
      <c r="F98" s="185"/>
      <c r="G98" s="185"/>
      <c r="H98" s="181"/>
      <c r="I98" s="181"/>
      <c r="J98" s="176"/>
      <c r="L98" s="180"/>
      <c r="M98" s="179"/>
      <c r="N98" s="185"/>
      <c r="O98" s="185"/>
      <c r="P98" s="185"/>
      <c r="Q98" s="185"/>
      <c r="R98" s="179"/>
      <c r="S98" s="185"/>
      <c r="T98" s="185"/>
      <c r="U98" s="185"/>
      <c r="V98" s="185"/>
      <c r="W98" s="179"/>
      <c r="X98" s="178"/>
      <c r="Y98" s="185"/>
      <c r="Z98" s="177"/>
      <c r="AA98" s="176"/>
    </row>
    <row r="99" spans="1:27" x14ac:dyDescent="0.25">
      <c r="A99" s="417"/>
      <c r="B99" s="419"/>
      <c r="C99" s="389"/>
      <c r="D99" s="185"/>
      <c r="E99" s="185"/>
      <c r="F99" s="185"/>
      <c r="G99" s="185"/>
      <c r="H99" s="181"/>
      <c r="I99" s="181"/>
      <c r="J99" s="176"/>
      <c r="L99" s="180"/>
      <c r="M99" s="179"/>
      <c r="N99" s="185"/>
      <c r="O99" s="185"/>
      <c r="P99" s="185"/>
      <c r="Q99" s="185"/>
      <c r="R99" s="179"/>
      <c r="S99" s="185"/>
      <c r="T99" s="185"/>
      <c r="U99" s="185"/>
      <c r="V99" s="185"/>
      <c r="W99" s="179"/>
      <c r="X99" s="178"/>
      <c r="Y99" s="185"/>
      <c r="Z99" s="177"/>
      <c r="AA99" s="176"/>
    </row>
    <row r="100" spans="1:27" x14ac:dyDescent="0.25">
      <c r="A100" s="417"/>
      <c r="B100" s="419"/>
      <c r="C100" s="389"/>
      <c r="D100" s="185"/>
      <c r="E100" s="185"/>
      <c r="F100" s="185"/>
      <c r="G100" s="185"/>
      <c r="H100" s="181"/>
      <c r="I100" s="181"/>
      <c r="J100" s="176"/>
      <c r="L100" s="180"/>
      <c r="M100" s="179"/>
      <c r="N100" s="185"/>
      <c r="O100" s="185"/>
      <c r="P100" s="185"/>
      <c r="Q100" s="185"/>
      <c r="R100" s="179"/>
      <c r="S100" s="185"/>
      <c r="T100" s="185"/>
      <c r="U100" s="185"/>
      <c r="V100" s="185"/>
      <c r="W100" s="179"/>
      <c r="X100" s="178"/>
      <c r="Y100" s="185"/>
      <c r="Z100" s="177"/>
      <c r="AA100" s="176"/>
    </row>
    <row r="101" spans="1:27" x14ac:dyDescent="0.25">
      <c r="A101" s="417"/>
      <c r="B101" s="419"/>
      <c r="C101" s="389"/>
      <c r="D101" s="185"/>
      <c r="E101" s="185"/>
      <c r="F101" s="185"/>
      <c r="G101" s="185"/>
      <c r="H101" s="181"/>
      <c r="I101" s="181"/>
      <c r="J101" s="176"/>
      <c r="L101" s="180"/>
      <c r="M101" s="179"/>
      <c r="N101" s="185"/>
      <c r="O101" s="185"/>
      <c r="P101" s="185"/>
      <c r="Q101" s="185"/>
      <c r="R101" s="179"/>
      <c r="S101" s="185"/>
      <c r="T101" s="185"/>
      <c r="U101" s="185"/>
      <c r="V101" s="185"/>
      <c r="W101" s="179"/>
      <c r="X101" s="178"/>
      <c r="Y101" s="185"/>
      <c r="Z101" s="177"/>
      <c r="AA101" s="176"/>
    </row>
    <row r="102" spans="1:27" x14ac:dyDescent="0.25">
      <c r="A102" s="417"/>
      <c r="B102" s="419"/>
      <c r="C102" s="389"/>
      <c r="D102" s="185"/>
      <c r="E102" s="185"/>
      <c r="F102" s="185"/>
      <c r="G102" s="185"/>
      <c r="H102" s="181"/>
      <c r="I102" s="181"/>
      <c r="J102" s="176"/>
      <c r="L102" s="180"/>
      <c r="M102" s="179"/>
      <c r="N102" s="185"/>
      <c r="O102" s="185"/>
      <c r="P102" s="185"/>
      <c r="Q102" s="185"/>
      <c r="R102" s="179"/>
      <c r="S102" s="185"/>
      <c r="T102" s="185"/>
      <c r="U102" s="185"/>
      <c r="V102" s="185"/>
      <c r="W102" s="179"/>
      <c r="X102" s="178"/>
      <c r="Y102" s="185"/>
      <c r="Z102" s="177"/>
      <c r="AA102" s="176"/>
    </row>
    <row r="103" spans="1:27" x14ac:dyDescent="0.25">
      <c r="A103" s="417">
        <v>3</v>
      </c>
      <c r="B103" s="416" t="s">
        <v>1047</v>
      </c>
      <c r="C103" s="392" t="s">
        <v>208</v>
      </c>
      <c r="D103" s="185" t="s">
        <v>1046</v>
      </c>
      <c r="E103" s="185" t="s">
        <v>1040</v>
      </c>
      <c r="F103" s="185"/>
      <c r="G103" s="185" t="s">
        <v>929</v>
      </c>
      <c r="H103" s="187">
        <f>I103*J103</f>
        <v>0</v>
      </c>
      <c r="I103" s="187">
        <f>X103*Z103+Y103</f>
        <v>8.5504607999999998</v>
      </c>
      <c r="J103" s="176"/>
      <c r="L103" s="180">
        <v>4</v>
      </c>
      <c r="M103" s="179" t="s">
        <v>1026</v>
      </c>
      <c r="N103" s="185"/>
      <c r="O103" s="185"/>
      <c r="P103" s="185"/>
      <c r="Q103" s="185"/>
      <c r="R103" s="179"/>
      <c r="S103" s="185"/>
      <c r="T103" s="185"/>
      <c r="U103" s="185"/>
      <c r="V103" s="185"/>
      <c r="W103" s="179"/>
      <c r="X103" s="178">
        <f>(L103*M103+L104*M104+L105*M105)*6</f>
        <v>27.887999999999998</v>
      </c>
      <c r="Y103" s="185">
        <f>(P103*Q103*R103+V103*W103)*6</f>
        <v>0</v>
      </c>
      <c r="Z103" s="177">
        <v>0.30659999999999998</v>
      </c>
      <c r="AA103" s="176"/>
    </row>
    <row r="104" spans="1:27" ht="30" x14ac:dyDescent="0.25">
      <c r="A104" s="417"/>
      <c r="B104" s="416"/>
      <c r="C104" s="393"/>
      <c r="D104" s="185"/>
      <c r="E104" s="185" t="s">
        <v>1028</v>
      </c>
      <c r="F104" s="185"/>
      <c r="G104" s="185"/>
      <c r="H104" s="181"/>
      <c r="I104" s="181"/>
      <c r="J104" s="176"/>
      <c r="L104" s="180">
        <v>8</v>
      </c>
      <c r="M104" s="179" t="s">
        <v>1026</v>
      </c>
      <c r="N104" s="185"/>
      <c r="O104" s="185"/>
      <c r="P104" s="185"/>
      <c r="Q104" s="185"/>
      <c r="R104" s="179"/>
      <c r="S104" s="185"/>
      <c r="T104" s="185"/>
      <c r="U104" s="185"/>
      <c r="V104" s="185"/>
      <c r="W104" s="179"/>
      <c r="X104" s="178"/>
      <c r="Y104" s="185"/>
      <c r="Z104" s="177"/>
      <c r="AA104" s="176"/>
    </row>
    <row r="105" spans="1:27" x14ac:dyDescent="0.25">
      <c r="A105" s="417"/>
      <c r="B105" s="416"/>
      <c r="C105" s="393"/>
      <c r="D105" s="185"/>
      <c r="E105" s="185" t="s">
        <v>1043</v>
      </c>
      <c r="F105" s="185"/>
      <c r="G105" s="185"/>
      <c r="H105" s="181"/>
      <c r="I105" s="181"/>
      <c r="J105" s="176"/>
      <c r="L105" s="180">
        <v>16</v>
      </c>
      <c r="M105" s="179" t="s">
        <v>1026</v>
      </c>
      <c r="N105" s="185"/>
      <c r="O105" s="185"/>
      <c r="P105" s="185"/>
      <c r="Q105" s="185"/>
      <c r="R105" s="179"/>
      <c r="S105" s="185"/>
      <c r="T105" s="185"/>
      <c r="U105" s="185"/>
      <c r="V105" s="185"/>
      <c r="W105" s="179"/>
      <c r="X105" s="178"/>
      <c r="Y105" s="185"/>
      <c r="Z105" s="177"/>
      <c r="AA105" s="176"/>
    </row>
    <row r="106" spans="1:27" ht="30" x14ac:dyDescent="0.25">
      <c r="A106" s="417"/>
      <c r="B106" s="416"/>
      <c r="C106" s="393"/>
      <c r="D106" s="185" t="s">
        <v>1045</v>
      </c>
      <c r="E106" s="185" t="s">
        <v>1038</v>
      </c>
      <c r="F106" s="185"/>
      <c r="G106" s="185" t="s">
        <v>929</v>
      </c>
      <c r="H106" s="187">
        <f>I106*J106</f>
        <v>0</v>
      </c>
      <c r="I106" s="187">
        <f>X106*Z106+Y106</f>
        <v>14.657932799999999</v>
      </c>
      <c r="J106" s="176"/>
      <c r="L106" s="180">
        <v>8</v>
      </c>
      <c r="M106" s="179" t="s">
        <v>1026</v>
      </c>
      <c r="N106" s="185"/>
      <c r="O106" s="185"/>
      <c r="P106" s="185"/>
      <c r="Q106" s="185"/>
      <c r="R106" s="179"/>
      <c r="S106" s="185"/>
      <c r="T106" s="185"/>
      <c r="U106" s="185"/>
      <c r="V106" s="185"/>
      <c r="W106" s="179"/>
      <c r="X106" s="178">
        <f>(L106*M106+L107*M107+L108*M108)*6</f>
        <v>47.808</v>
      </c>
      <c r="Y106" s="185">
        <f>(P106*Q106*R106+V106*W106)*6</f>
        <v>0</v>
      </c>
      <c r="Z106" s="177">
        <v>0.30659999999999998</v>
      </c>
      <c r="AA106" s="176"/>
    </row>
    <row r="107" spans="1:27" ht="30" x14ac:dyDescent="0.25">
      <c r="A107" s="417"/>
      <c r="B107" s="416"/>
      <c r="C107" s="393"/>
      <c r="D107" s="185"/>
      <c r="E107" s="185" t="s">
        <v>1028</v>
      </c>
      <c r="F107" s="185"/>
      <c r="G107" s="185"/>
      <c r="H107" s="181"/>
      <c r="I107" s="181"/>
      <c r="J107" s="176"/>
      <c r="L107" s="180">
        <v>16</v>
      </c>
      <c r="M107" s="179" t="s">
        <v>1026</v>
      </c>
      <c r="N107" s="185"/>
      <c r="O107" s="185"/>
      <c r="P107" s="185"/>
      <c r="Q107" s="185"/>
      <c r="R107" s="179"/>
      <c r="S107" s="185"/>
      <c r="T107" s="185"/>
      <c r="U107" s="185"/>
      <c r="V107" s="185"/>
      <c r="W107" s="179"/>
      <c r="X107" s="178"/>
      <c r="Y107" s="185"/>
      <c r="Z107" s="177"/>
      <c r="AA107" s="176"/>
    </row>
    <row r="108" spans="1:27" x14ac:dyDescent="0.25">
      <c r="A108" s="417"/>
      <c r="B108" s="416"/>
      <c r="C108" s="393"/>
      <c r="D108" s="185"/>
      <c r="E108" s="185" t="s">
        <v>1043</v>
      </c>
      <c r="F108" s="185"/>
      <c r="G108" s="185"/>
      <c r="H108" s="181"/>
      <c r="I108" s="181"/>
      <c r="J108" s="176"/>
      <c r="L108" s="180">
        <v>24</v>
      </c>
      <c r="M108" s="179" t="s">
        <v>1026</v>
      </c>
      <c r="N108" s="185"/>
      <c r="O108" s="185"/>
      <c r="P108" s="185"/>
      <c r="Q108" s="185"/>
      <c r="R108" s="179"/>
      <c r="S108" s="185"/>
      <c r="T108" s="185"/>
      <c r="U108" s="185"/>
      <c r="V108" s="185"/>
      <c r="W108" s="179"/>
      <c r="X108" s="178"/>
      <c r="Y108" s="185"/>
      <c r="Z108" s="177"/>
      <c r="AA108" s="176"/>
    </row>
    <row r="109" spans="1:27" ht="30" x14ac:dyDescent="0.25">
      <c r="A109" s="417"/>
      <c r="B109" s="416"/>
      <c r="C109" s="393"/>
      <c r="D109" s="185" t="s">
        <v>1044</v>
      </c>
      <c r="E109" s="185" t="s">
        <v>1036</v>
      </c>
      <c r="F109" s="185"/>
      <c r="G109" s="185" t="s">
        <v>929</v>
      </c>
      <c r="H109" s="187">
        <f>I109*J109</f>
        <v>0</v>
      </c>
      <c r="I109" s="187">
        <f>X109*Z109+Y109</f>
        <v>29.315865599999999</v>
      </c>
      <c r="J109" s="176"/>
      <c r="L109" s="180">
        <v>16</v>
      </c>
      <c r="M109" s="179" t="s">
        <v>1026</v>
      </c>
      <c r="N109" s="185"/>
      <c r="O109" s="185"/>
      <c r="P109" s="185"/>
      <c r="Q109" s="185"/>
      <c r="R109" s="179"/>
      <c r="S109" s="185"/>
      <c r="T109" s="185"/>
      <c r="U109" s="185"/>
      <c r="V109" s="185"/>
      <c r="W109" s="179"/>
      <c r="X109" s="178">
        <f>(L109*M109+L110*M110+L111*M111)*6</f>
        <v>95.616</v>
      </c>
      <c r="Y109" s="185">
        <f>(P109*Q109*R109+V109*W109)*6</f>
        <v>0</v>
      </c>
      <c r="Z109" s="177">
        <v>0.30659999999999998</v>
      </c>
      <c r="AA109" s="176"/>
    </row>
    <row r="110" spans="1:27" ht="30" x14ac:dyDescent="0.25">
      <c r="A110" s="417"/>
      <c r="B110" s="416"/>
      <c r="C110" s="393"/>
      <c r="D110" s="185"/>
      <c r="E110" s="185" t="s">
        <v>1028</v>
      </c>
      <c r="F110" s="185"/>
      <c r="G110" s="185"/>
      <c r="H110" s="181"/>
      <c r="I110" s="181"/>
      <c r="J110" s="176"/>
      <c r="L110" s="180">
        <v>32</v>
      </c>
      <c r="M110" s="179" t="s">
        <v>1026</v>
      </c>
      <c r="N110" s="185"/>
      <c r="O110" s="185"/>
      <c r="P110" s="185"/>
      <c r="Q110" s="185"/>
      <c r="R110" s="179"/>
      <c r="S110" s="185"/>
      <c r="T110" s="185"/>
      <c r="U110" s="185"/>
      <c r="V110" s="185"/>
      <c r="W110" s="179"/>
      <c r="X110" s="178"/>
      <c r="Y110" s="185"/>
      <c r="Z110" s="177"/>
      <c r="AA110" s="176"/>
    </row>
    <row r="111" spans="1:27" x14ac:dyDescent="0.25">
      <c r="A111" s="417"/>
      <c r="B111" s="416"/>
      <c r="C111" s="394"/>
      <c r="D111" s="185"/>
      <c r="E111" s="185" t="s">
        <v>1043</v>
      </c>
      <c r="F111" s="185"/>
      <c r="G111" s="185"/>
      <c r="H111" s="181"/>
      <c r="I111" s="181"/>
      <c r="J111" s="176"/>
      <c r="L111" s="180">
        <v>48</v>
      </c>
      <c r="M111" s="179" t="s">
        <v>1026</v>
      </c>
      <c r="N111" s="185"/>
      <c r="O111" s="185"/>
      <c r="P111" s="185"/>
      <c r="Q111" s="185"/>
      <c r="R111" s="179"/>
      <c r="S111" s="185"/>
      <c r="T111" s="185"/>
      <c r="U111" s="185"/>
      <c r="V111" s="185"/>
      <c r="W111" s="179"/>
      <c r="X111" s="178"/>
      <c r="Y111" s="185"/>
      <c r="Z111" s="177"/>
      <c r="AA111" s="176"/>
    </row>
    <row r="112" spans="1:27" x14ac:dyDescent="0.25">
      <c r="A112" s="417"/>
      <c r="B112" s="416"/>
      <c r="C112" s="392" t="s">
        <v>1042</v>
      </c>
      <c r="D112" s="185" t="s">
        <v>1041</v>
      </c>
      <c r="E112" s="185" t="s">
        <v>1040</v>
      </c>
      <c r="F112" s="185"/>
      <c r="G112" s="185" t="s">
        <v>929</v>
      </c>
      <c r="H112" s="187">
        <f>I112*J112</f>
        <v>0</v>
      </c>
      <c r="I112" s="187">
        <f>X112*Z112+Y112</f>
        <v>8.5504607999999998</v>
      </c>
      <c r="J112" s="176"/>
      <c r="L112" s="180">
        <v>4</v>
      </c>
      <c r="M112" s="179" t="s">
        <v>1026</v>
      </c>
      <c r="N112" s="185"/>
      <c r="O112" s="185"/>
      <c r="P112" s="185"/>
      <c r="Q112" s="185"/>
      <c r="R112" s="179"/>
      <c r="S112" s="185"/>
      <c r="T112" s="185"/>
      <c r="U112" s="185"/>
      <c r="V112" s="185"/>
      <c r="W112" s="179"/>
      <c r="X112" s="178">
        <f>(L112*M112+L113*M113+L114*M114)*6</f>
        <v>27.887999999999998</v>
      </c>
      <c r="Y112" s="185">
        <f>(P112*Q112*R112+V112*W112)*6</f>
        <v>0</v>
      </c>
      <c r="Z112" s="177">
        <v>0.30659999999999998</v>
      </c>
      <c r="AA112" s="176"/>
    </row>
    <row r="113" spans="1:27" ht="30" x14ac:dyDescent="0.25">
      <c r="A113" s="417"/>
      <c r="B113" s="416"/>
      <c r="C113" s="393"/>
      <c r="D113" s="185"/>
      <c r="E113" s="185" t="s">
        <v>1028</v>
      </c>
      <c r="F113" s="185"/>
      <c r="G113" s="185"/>
      <c r="H113" s="181"/>
      <c r="I113" s="181"/>
      <c r="J113" s="176"/>
      <c r="L113" s="180">
        <v>8</v>
      </c>
      <c r="M113" s="179" t="s">
        <v>1026</v>
      </c>
      <c r="N113" s="185"/>
      <c r="O113" s="185"/>
      <c r="P113" s="185"/>
      <c r="Q113" s="185"/>
      <c r="R113" s="179"/>
      <c r="S113" s="185"/>
      <c r="T113" s="185"/>
      <c r="U113" s="185"/>
      <c r="V113" s="185"/>
      <c r="W113" s="179"/>
      <c r="X113" s="178"/>
      <c r="Y113" s="185"/>
      <c r="Z113" s="177"/>
      <c r="AA113" s="176"/>
    </row>
    <row r="114" spans="1:27" x14ac:dyDescent="0.25">
      <c r="A114" s="417"/>
      <c r="B114" s="416"/>
      <c r="C114" s="393"/>
      <c r="D114" s="185"/>
      <c r="E114" s="185" t="s">
        <v>1035</v>
      </c>
      <c r="F114" s="185"/>
      <c r="G114" s="185"/>
      <c r="H114" s="181"/>
      <c r="I114" s="181"/>
      <c r="J114" s="176"/>
      <c r="L114" s="180">
        <v>16</v>
      </c>
      <c r="M114" s="179" t="s">
        <v>1026</v>
      </c>
      <c r="N114" s="185"/>
      <c r="O114" s="185"/>
      <c r="P114" s="185"/>
      <c r="Q114" s="185"/>
      <c r="R114" s="179"/>
      <c r="S114" s="185"/>
      <c r="T114" s="185"/>
      <c r="U114" s="185"/>
      <c r="V114" s="185"/>
      <c r="W114" s="179"/>
      <c r="X114" s="178"/>
      <c r="Y114" s="185"/>
      <c r="Z114" s="177"/>
      <c r="AA114" s="176"/>
    </row>
    <row r="115" spans="1:27" ht="30" x14ac:dyDescent="0.25">
      <c r="A115" s="417"/>
      <c r="B115" s="416"/>
      <c r="C115" s="393"/>
      <c r="D115" s="185" t="s">
        <v>1039</v>
      </c>
      <c r="E115" s="185" t="s">
        <v>1038</v>
      </c>
      <c r="F115" s="185"/>
      <c r="G115" s="185" t="s">
        <v>929</v>
      </c>
      <c r="H115" s="187">
        <f>I115*J115</f>
        <v>0</v>
      </c>
      <c r="I115" s="187">
        <f>X115*Z115+Y115</f>
        <v>14.657932799999999</v>
      </c>
      <c r="J115" s="176"/>
      <c r="L115" s="180">
        <v>8</v>
      </c>
      <c r="M115" s="179" t="s">
        <v>1026</v>
      </c>
      <c r="N115" s="185"/>
      <c r="O115" s="185"/>
      <c r="P115" s="185"/>
      <c r="Q115" s="185"/>
      <c r="R115" s="179"/>
      <c r="S115" s="185"/>
      <c r="T115" s="185"/>
      <c r="U115" s="185"/>
      <c r="V115" s="185"/>
      <c r="W115" s="179"/>
      <c r="X115" s="178">
        <f>(L115*M115+L116*M116+L117*M117)*6</f>
        <v>47.808</v>
      </c>
      <c r="Y115" s="185">
        <f>(P115*Q115*R115+V115*W115)*6</f>
        <v>0</v>
      </c>
      <c r="Z115" s="177">
        <v>0.30659999999999998</v>
      </c>
      <c r="AA115" s="176"/>
    </row>
    <row r="116" spans="1:27" ht="30" x14ac:dyDescent="0.25">
      <c r="A116" s="417"/>
      <c r="B116" s="416"/>
      <c r="C116" s="393"/>
      <c r="D116" s="185"/>
      <c r="E116" s="185" t="s">
        <v>1028</v>
      </c>
      <c r="F116" s="185"/>
      <c r="G116" s="185"/>
      <c r="H116" s="181"/>
      <c r="I116" s="181"/>
      <c r="J116" s="176"/>
      <c r="L116" s="180">
        <v>16</v>
      </c>
      <c r="M116" s="179" t="s">
        <v>1026</v>
      </c>
      <c r="N116" s="185"/>
      <c r="O116" s="185"/>
      <c r="P116" s="185"/>
      <c r="Q116" s="185"/>
      <c r="R116" s="179"/>
      <c r="S116" s="185"/>
      <c r="T116" s="185"/>
      <c r="U116" s="185"/>
      <c r="V116" s="185"/>
      <c r="W116" s="179"/>
      <c r="X116" s="178"/>
      <c r="Y116" s="185"/>
      <c r="Z116" s="177"/>
      <c r="AA116" s="176"/>
    </row>
    <row r="117" spans="1:27" x14ac:dyDescent="0.25">
      <c r="A117" s="417"/>
      <c r="B117" s="416"/>
      <c r="C117" s="393"/>
      <c r="D117" s="185"/>
      <c r="E117" s="185" t="s">
        <v>1035</v>
      </c>
      <c r="F117" s="185"/>
      <c r="G117" s="185"/>
      <c r="H117" s="181"/>
      <c r="I117" s="181"/>
      <c r="J117" s="176"/>
      <c r="L117" s="180">
        <v>24</v>
      </c>
      <c r="M117" s="179" t="s">
        <v>1026</v>
      </c>
      <c r="N117" s="185"/>
      <c r="O117" s="185"/>
      <c r="P117" s="185"/>
      <c r="Q117" s="185"/>
      <c r="R117" s="179"/>
      <c r="S117" s="185"/>
      <c r="T117" s="185"/>
      <c r="U117" s="185"/>
      <c r="V117" s="185"/>
      <c r="W117" s="179"/>
      <c r="X117" s="178"/>
      <c r="Y117" s="185"/>
      <c r="Z117" s="177"/>
      <c r="AA117" s="176"/>
    </row>
    <row r="118" spans="1:27" ht="30" x14ac:dyDescent="0.25">
      <c r="A118" s="417"/>
      <c r="B118" s="416"/>
      <c r="C118" s="393"/>
      <c r="D118" s="185" t="s">
        <v>1037</v>
      </c>
      <c r="E118" s="185" t="s">
        <v>1036</v>
      </c>
      <c r="F118" s="185"/>
      <c r="G118" s="185" t="s">
        <v>929</v>
      </c>
      <c r="H118" s="187">
        <f>I118*J118</f>
        <v>0</v>
      </c>
      <c r="I118" s="187">
        <f>X118*Z118+Y118</f>
        <v>29.315865599999999</v>
      </c>
      <c r="J118" s="176"/>
      <c r="L118" s="180">
        <v>16</v>
      </c>
      <c r="M118" s="179" t="s">
        <v>1026</v>
      </c>
      <c r="N118" s="185"/>
      <c r="O118" s="185"/>
      <c r="P118" s="185"/>
      <c r="Q118" s="185"/>
      <c r="R118" s="179"/>
      <c r="S118" s="185"/>
      <c r="T118" s="185"/>
      <c r="U118" s="185"/>
      <c r="V118" s="185"/>
      <c r="W118" s="179"/>
      <c r="X118" s="178">
        <f>(L118*M118+L119*M119+L120*M120)*6</f>
        <v>95.616</v>
      </c>
      <c r="Y118" s="185">
        <f>(P118*Q118*R118+V118*W118)*6</f>
        <v>0</v>
      </c>
      <c r="Z118" s="177">
        <v>0.30659999999999998</v>
      </c>
      <c r="AA118" s="176"/>
    </row>
    <row r="119" spans="1:27" ht="30" x14ac:dyDescent="0.25">
      <c r="A119" s="417"/>
      <c r="B119" s="416"/>
      <c r="C119" s="393"/>
      <c r="D119" s="185"/>
      <c r="E119" s="185" t="s">
        <v>1028</v>
      </c>
      <c r="F119" s="185"/>
      <c r="G119" s="185"/>
      <c r="H119" s="181"/>
      <c r="I119" s="181"/>
      <c r="J119" s="176"/>
      <c r="L119" s="180">
        <v>32</v>
      </c>
      <c r="M119" s="179" t="s">
        <v>1026</v>
      </c>
      <c r="N119" s="185"/>
      <c r="O119" s="185"/>
      <c r="P119" s="185"/>
      <c r="Q119" s="185"/>
      <c r="R119" s="179"/>
      <c r="S119" s="185"/>
      <c r="T119" s="185"/>
      <c r="U119" s="185"/>
      <c r="V119" s="185"/>
      <c r="W119" s="179"/>
      <c r="X119" s="178"/>
      <c r="Y119" s="185"/>
      <c r="Z119" s="177"/>
      <c r="AA119" s="176"/>
    </row>
    <row r="120" spans="1:27" x14ac:dyDescent="0.25">
      <c r="A120" s="417"/>
      <c r="B120" s="416"/>
      <c r="C120" s="394"/>
      <c r="D120" s="185"/>
      <c r="E120" s="185" t="s">
        <v>1035</v>
      </c>
      <c r="F120" s="185"/>
      <c r="G120" s="185"/>
      <c r="H120" s="181"/>
      <c r="I120" s="181"/>
      <c r="J120" s="176"/>
      <c r="L120" s="180">
        <v>48</v>
      </c>
      <c r="M120" s="179" t="s">
        <v>1026</v>
      </c>
      <c r="N120" s="185"/>
      <c r="O120" s="185"/>
      <c r="P120" s="185"/>
      <c r="Q120" s="185"/>
      <c r="R120" s="179"/>
      <c r="S120" s="185"/>
      <c r="T120" s="185"/>
      <c r="U120" s="185"/>
      <c r="V120" s="185"/>
      <c r="W120" s="179"/>
      <c r="X120" s="178"/>
      <c r="Y120" s="185"/>
      <c r="Z120" s="177"/>
      <c r="AA120" s="176"/>
    </row>
    <row r="121" spans="1:27" x14ac:dyDescent="0.25">
      <c r="A121" s="417"/>
      <c r="B121" s="416"/>
      <c r="C121" s="392" t="s">
        <v>1034</v>
      </c>
      <c r="D121" s="185" t="s">
        <v>1033</v>
      </c>
      <c r="E121" s="185" t="s">
        <v>1032</v>
      </c>
      <c r="F121" s="185"/>
      <c r="G121" s="185" t="s">
        <v>929</v>
      </c>
      <c r="H121" s="187">
        <f>I121*J121</f>
        <v>0</v>
      </c>
      <c r="I121" s="187">
        <f>X121*Z121+Y121</f>
        <v>8.5504607999999998</v>
      </c>
      <c r="J121" s="176"/>
      <c r="L121" s="180">
        <v>4</v>
      </c>
      <c r="M121" s="179" t="s">
        <v>1026</v>
      </c>
      <c r="N121" s="185"/>
      <c r="O121" s="185"/>
      <c r="P121" s="185"/>
      <c r="Q121" s="185"/>
      <c r="R121" s="179"/>
      <c r="S121" s="185"/>
      <c r="T121" s="185"/>
      <c r="U121" s="185"/>
      <c r="V121" s="185"/>
      <c r="W121" s="179"/>
      <c r="X121" s="178">
        <f>(L121*M121+L122*M122+L123*M123)*6</f>
        <v>27.887999999999998</v>
      </c>
      <c r="Y121" s="185">
        <f>(P121*Q121*R121+V121*W121)*6</f>
        <v>0</v>
      </c>
      <c r="Z121" s="177">
        <v>0.30659999999999998</v>
      </c>
      <c r="AA121" s="176"/>
    </row>
    <row r="122" spans="1:27" ht="30" x14ac:dyDescent="0.25">
      <c r="A122" s="417"/>
      <c r="B122" s="416"/>
      <c r="C122" s="393"/>
      <c r="D122" s="185"/>
      <c r="E122" s="185" t="s">
        <v>1028</v>
      </c>
      <c r="F122" s="185"/>
      <c r="G122" s="185"/>
      <c r="H122" s="181"/>
      <c r="I122" s="181"/>
      <c r="J122" s="176"/>
      <c r="L122" s="180">
        <v>8</v>
      </c>
      <c r="M122" s="179" t="s">
        <v>1026</v>
      </c>
      <c r="N122" s="185"/>
      <c r="O122" s="185"/>
      <c r="P122" s="185"/>
      <c r="Q122" s="185"/>
      <c r="R122" s="179"/>
      <c r="S122" s="185"/>
      <c r="T122" s="185"/>
      <c r="U122" s="185"/>
      <c r="V122" s="185"/>
      <c r="W122" s="179"/>
      <c r="X122" s="178"/>
      <c r="Y122" s="185"/>
      <c r="Z122" s="177"/>
      <c r="AA122" s="176"/>
    </row>
    <row r="123" spans="1:27" x14ac:dyDescent="0.25">
      <c r="A123" s="417"/>
      <c r="B123" s="416"/>
      <c r="C123" s="393"/>
      <c r="D123" s="185"/>
      <c r="E123" s="185" t="s">
        <v>1027</v>
      </c>
      <c r="F123" s="185"/>
      <c r="G123" s="185"/>
      <c r="H123" s="181"/>
      <c r="I123" s="181"/>
      <c r="J123" s="176"/>
      <c r="L123" s="180">
        <v>16</v>
      </c>
      <c r="M123" s="179" t="s">
        <v>1026</v>
      </c>
      <c r="N123" s="185"/>
      <c r="O123" s="185"/>
      <c r="P123" s="185"/>
      <c r="Q123" s="185"/>
      <c r="R123" s="179"/>
      <c r="S123" s="185"/>
      <c r="T123" s="185"/>
      <c r="U123" s="185"/>
      <c r="V123" s="185"/>
      <c r="W123" s="179"/>
      <c r="X123" s="178"/>
      <c r="Y123" s="185"/>
      <c r="Z123" s="177"/>
      <c r="AA123" s="176"/>
    </row>
    <row r="124" spans="1:27" x14ac:dyDescent="0.25">
      <c r="A124" s="417"/>
      <c r="B124" s="416"/>
      <c r="C124" s="393"/>
      <c r="D124" s="185" t="s">
        <v>1031</v>
      </c>
      <c r="E124" s="185" t="s">
        <v>1029</v>
      </c>
      <c r="F124" s="185"/>
      <c r="G124" s="185" t="s">
        <v>929</v>
      </c>
      <c r="H124" s="187">
        <f>I124*J124</f>
        <v>0</v>
      </c>
      <c r="I124" s="187">
        <f>X124*Z124+Y124</f>
        <v>14.657932799999999</v>
      </c>
      <c r="J124" s="176"/>
      <c r="L124" s="180">
        <v>8</v>
      </c>
      <c r="M124" s="179" t="s">
        <v>1026</v>
      </c>
      <c r="N124" s="185"/>
      <c r="O124" s="185"/>
      <c r="P124" s="185"/>
      <c r="Q124" s="185"/>
      <c r="R124" s="179"/>
      <c r="S124" s="185"/>
      <c r="T124" s="185"/>
      <c r="U124" s="185"/>
      <c r="V124" s="185"/>
      <c r="W124" s="179"/>
      <c r="X124" s="178">
        <f>(L124*M124+L125*M125+L126*M126)*6</f>
        <v>47.808</v>
      </c>
      <c r="Y124" s="185">
        <f>(P124*Q124*R124+V124*W124)*6</f>
        <v>0</v>
      </c>
      <c r="Z124" s="177">
        <v>0.30659999999999998</v>
      </c>
      <c r="AA124" s="176"/>
    </row>
    <row r="125" spans="1:27" ht="30" x14ac:dyDescent="0.25">
      <c r="A125" s="417"/>
      <c r="B125" s="416"/>
      <c r="C125" s="393"/>
      <c r="D125" s="185"/>
      <c r="E125" s="185" t="s">
        <v>1028</v>
      </c>
      <c r="F125" s="185"/>
      <c r="G125" s="185"/>
      <c r="H125" s="181"/>
      <c r="I125" s="181"/>
      <c r="J125" s="176"/>
      <c r="L125" s="180">
        <v>16</v>
      </c>
      <c r="M125" s="179" t="s">
        <v>1026</v>
      </c>
      <c r="N125" s="185"/>
      <c r="O125" s="185"/>
      <c r="P125" s="185"/>
      <c r="Q125" s="185"/>
      <c r="R125" s="179"/>
      <c r="S125" s="185"/>
      <c r="T125" s="185"/>
      <c r="U125" s="185"/>
      <c r="V125" s="185"/>
      <c r="W125" s="179"/>
      <c r="X125" s="178"/>
      <c r="Y125" s="185"/>
      <c r="Z125" s="177"/>
      <c r="AA125" s="176"/>
    </row>
    <row r="126" spans="1:27" x14ac:dyDescent="0.25">
      <c r="A126" s="417"/>
      <c r="B126" s="416"/>
      <c r="C126" s="393"/>
      <c r="D126" s="185"/>
      <c r="E126" s="185" t="s">
        <v>1027</v>
      </c>
      <c r="F126" s="185"/>
      <c r="G126" s="185"/>
      <c r="H126" s="181"/>
      <c r="I126" s="181"/>
      <c r="J126" s="176"/>
      <c r="L126" s="180">
        <v>24</v>
      </c>
      <c r="M126" s="179" t="s">
        <v>1026</v>
      </c>
      <c r="N126" s="185"/>
      <c r="O126" s="185"/>
      <c r="P126" s="185"/>
      <c r="Q126" s="185"/>
      <c r="R126" s="179"/>
      <c r="S126" s="185"/>
      <c r="T126" s="185"/>
      <c r="U126" s="185"/>
      <c r="V126" s="185"/>
      <c r="W126" s="179"/>
      <c r="X126" s="178"/>
      <c r="Y126" s="185"/>
      <c r="Z126" s="177"/>
      <c r="AA126" s="176"/>
    </row>
    <row r="127" spans="1:27" ht="30" x14ac:dyDescent="0.25">
      <c r="A127" s="417"/>
      <c r="B127" s="416"/>
      <c r="C127" s="393"/>
      <c r="D127" s="185" t="s">
        <v>1030</v>
      </c>
      <c r="E127" s="185" t="s">
        <v>1029</v>
      </c>
      <c r="F127" s="185"/>
      <c r="G127" s="185" t="s">
        <v>929</v>
      </c>
      <c r="H127" s="187">
        <f>I127*J127</f>
        <v>0</v>
      </c>
      <c r="I127" s="187">
        <f>X127*Z127+Y127</f>
        <v>29.315865599999999</v>
      </c>
      <c r="J127" s="176"/>
      <c r="L127" s="180">
        <v>16</v>
      </c>
      <c r="M127" s="179" t="s">
        <v>1026</v>
      </c>
      <c r="N127" s="185"/>
      <c r="O127" s="185"/>
      <c r="P127" s="185"/>
      <c r="Q127" s="185"/>
      <c r="R127" s="179"/>
      <c r="S127" s="185"/>
      <c r="T127" s="185"/>
      <c r="U127" s="185"/>
      <c r="V127" s="185"/>
      <c r="W127" s="179"/>
      <c r="X127" s="178">
        <f>(L127*M127+L128*M128+L129*M129)*6</f>
        <v>95.616</v>
      </c>
      <c r="Y127" s="185">
        <f>(P127*Q127*R127+V127*W127)*6</f>
        <v>0</v>
      </c>
      <c r="Z127" s="177">
        <v>0.30659999999999998</v>
      </c>
      <c r="AA127" s="176"/>
    </row>
    <row r="128" spans="1:27" ht="30" x14ac:dyDescent="0.25">
      <c r="A128" s="417"/>
      <c r="B128" s="416"/>
      <c r="C128" s="393"/>
      <c r="D128" s="185"/>
      <c r="E128" s="185" t="s">
        <v>1028</v>
      </c>
      <c r="F128" s="185"/>
      <c r="G128" s="185"/>
      <c r="H128" s="181"/>
      <c r="I128" s="181"/>
      <c r="J128" s="176"/>
      <c r="L128" s="180">
        <v>32</v>
      </c>
      <c r="M128" s="179" t="s">
        <v>1026</v>
      </c>
      <c r="N128" s="185"/>
      <c r="O128" s="185"/>
      <c r="P128" s="185"/>
      <c r="Q128" s="185"/>
      <c r="R128" s="179"/>
      <c r="S128" s="185"/>
      <c r="T128" s="185"/>
      <c r="U128" s="185"/>
      <c r="V128" s="185"/>
      <c r="W128" s="179"/>
      <c r="X128" s="178"/>
      <c r="Y128" s="185"/>
      <c r="Z128" s="177"/>
      <c r="AA128" s="176"/>
    </row>
    <row r="129" spans="1:29" x14ac:dyDescent="0.25">
      <c r="A129" s="417"/>
      <c r="B129" s="416"/>
      <c r="C129" s="394"/>
      <c r="D129" s="185"/>
      <c r="E129" s="185" t="s">
        <v>1027</v>
      </c>
      <c r="F129" s="185"/>
      <c r="G129" s="185"/>
      <c r="H129" s="181"/>
      <c r="I129" s="181"/>
      <c r="J129" s="176"/>
      <c r="L129" s="180">
        <v>48</v>
      </c>
      <c r="M129" s="179" t="s">
        <v>1026</v>
      </c>
      <c r="N129" s="185"/>
      <c r="O129" s="185"/>
      <c r="P129" s="185"/>
      <c r="Q129" s="185"/>
      <c r="R129" s="179"/>
      <c r="S129" s="185"/>
      <c r="T129" s="185"/>
      <c r="U129" s="185"/>
      <c r="V129" s="185"/>
      <c r="W129" s="179"/>
      <c r="X129" s="178"/>
      <c r="Y129" s="185"/>
      <c r="Z129" s="177"/>
      <c r="AA129" s="176"/>
    </row>
    <row r="130" spans="1:29" x14ac:dyDescent="0.25">
      <c r="A130" s="417">
        <v>4</v>
      </c>
      <c r="B130" s="416" t="s">
        <v>1025</v>
      </c>
      <c r="C130" s="392" t="s">
        <v>1024</v>
      </c>
      <c r="D130" s="185"/>
      <c r="E130" s="185"/>
      <c r="F130" s="185"/>
      <c r="G130" s="185"/>
      <c r="H130" s="181"/>
      <c r="I130" s="181"/>
      <c r="J130" s="176"/>
      <c r="L130" s="180"/>
      <c r="M130" s="179"/>
      <c r="N130" s="185"/>
      <c r="O130" s="185"/>
      <c r="P130" s="185"/>
      <c r="Q130" s="185"/>
      <c r="R130" s="179"/>
      <c r="S130" s="185"/>
      <c r="T130" s="185"/>
      <c r="U130" s="185"/>
      <c r="V130" s="185"/>
      <c r="W130" s="179"/>
      <c r="X130" s="178"/>
      <c r="Y130" s="185"/>
      <c r="Z130" s="177"/>
      <c r="AA130" s="176"/>
    </row>
    <row r="131" spans="1:29" x14ac:dyDescent="0.25">
      <c r="A131" s="417"/>
      <c r="B131" s="416"/>
      <c r="C131" s="393"/>
      <c r="D131" s="185"/>
      <c r="E131" s="185"/>
      <c r="F131" s="185"/>
      <c r="G131" s="185"/>
      <c r="H131" s="181"/>
      <c r="I131" s="181"/>
      <c r="J131" s="176"/>
      <c r="L131" s="180"/>
      <c r="M131" s="179"/>
      <c r="N131" s="185"/>
      <c r="O131" s="185"/>
      <c r="P131" s="185"/>
      <c r="Q131" s="185"/>
      <c r="R131" s="179"/>
      <c r="S131" s="185"/>
      <c r="T131" s="185"/>
      <c r="U131" s="185"/>
      <c r="V131" s="185"/>
      <c r="W131" s="179"/>
      <c r="X131" s="178"/>
      <c r="Y131" s="185"/>
      <c r="Z131" s="177"/>
      <c r="AA131" s="176"/>
    </row>
    <row r="132" spans="1:29" x14ac:dyDescent="0.25">
      <c r="A132" s="417"/>
      <c r="B132" s="416"/>
      <c r="C132" s="393"/>
      <c r="D132" s="185"/>
      <c r="E132" s="185"/>
      <c r="F132" s="185"/>
      <c r="G132" s="185"/>
      <c r="H132" s="181"/>
      <c r="I132" s="181"/>
      <c r="J132" s="176"/>
      <c r="L132" s="180"/>
      <c r="M132" s="179"/>
      <c r="N132" s="185"/>
      <c r="O132" s="185"/>
      <c r="P132" s="185"/>
      <c r="Q132" s="185"/>
      <c r="R132" s="179"/>
      <c r="S132" s="185"/>
      <c r="T132" s="185"/>
      <c r="U132" s="185"/>
      <c r="V132" s="185"/>
      <c r="W132" s="179"/>
      <c r="X132" s="178"/>
      <c r="Y132" s="185"/>
      <c r="Z132" s="177"/>
      <c r="AA132" s="176"/>
    </row>
    <row r="133" spans="1:29" x14ac:dyDescent="0.25">
      <c r="A133" s="417"/>
      <c r="B133" s="416"/>
      <c r="C133" s="393"/>
      <c r="D133" s="185"/>
      <c r="E133" s="185"/>
      <c r="F133" s="185"/>
      <c r="G133" s="185"/>
      <c r="H133" s="181"/>
      <c r="I133" s="181"/>
      <c r="J133" s="176"/>
      <c r="L133" s="180"/>
      <c r="M133" s="179"/>
      <c r="N133" s="185"/>
      <c r="O133" s="185"/>
      <c r="P133" s="185"/>
      <c r="Q133" s="185"/>
      <c r="R133" s="179"/>
      <c r="S133" s="185"/>
      <c r="T133" s="185"/>
      <c r="U133" s="185"/>
      <c r="V133" s="185"/>
      <c r="W133" s="179"/>
      <c r="X133" s="178"/>
      <c r="Y133" s="185"/>
      <c r="Z133" s="177"/>
      <c r="AA133" s="176"/>
    </row>
    <row r="134" spans="1:29" x14ac:dyDescent="0.25">
      <c r="A134" s="417"/>
      <c r="B134" s="416"/>
      <c r="C134" s="393"/>
      <c r="D134" s="185"/>
      <c r="E134" s="185"/>
      <c r="F134" s="185"/>
      <c r="G134" s="185"/>
      <c r="H134" s="181"/>
      <c r="I134" s="181"/>
      <c r="J134" s="176"/>
      <c r="L134" s="180"/>
      <c r="M134" s="179"/>
      <c r="N134" s="185"/>
      <c r="O134" s="185"/>
      <c r="P134" s="185"/>
      <c r="Q134" s="185"/>
      <c r="R134" s="179"/>
      <c r="S134" s="185"/>
      <c r="T134" s="185"/>
      <c r="U134" s="185"/>
      <c r="V134" s="185"/>
      <c r="W134" s="179"/>
      <c r="X134" s="178"/>
      <c r="Y134" s="185"/>
      <c r="Z134" s="177"/>
      <c r="AA134" s="176"/>
    </row>
    <row r="135" spans="1:29" x14ac:dyDescent="0.25">
      <c r="A135" s="417"/>
      <c r="B135" s="416"/>
      <c r="C135" s="394"/>
      <c r="D135" s="185"/>
      <c r="E135" s="185"/>
      <c r="F135" s="185"/>
      <c r="G135" s="185"/>
      <c r="H135" s="181"/>
      <c r="I135" s="181"/>
      <c r="J135" s="176"/>
      <c r="L135" s="180"/>
      <c r="M135" s="179"/>
      <c r="N135" s="185"/>
      <c r="O135" s="185"/>
      <c r="P135" s="185"/>
      <c r="Q135" s="185"/>
      <c r="R135" s="179"/>
      <c r="S135" s="185"/>
      <c r="T135" s="185"/>
      <c r="U135" s="185"/>
      <c r="V135" s="185"/>
      <c r="W135" s="179"/>
      <c r="X135" s="178"/>
      <c r="Y135" s="185"/>
      <c r="Z135" s="177"/>
      <c r="AA135" s="176"/>
    </row>
    <row r="136" spans="1:29" x14ac:dyDescent="0.25">
      <c r="A136" s="417"/>
      <c r="B136" s="416"/>
      <c r="C136" s="409" t="s">
        <v>249</v>
      </c>
      <c r="D136" s="185"/>
      <c r="E136" s="185"/>
      <c r="F136" s="185"/>
      <c r="G136" s="185"/>
      <c r="H136" s="181"/>
      <c r="I136" s="181"/>
      <c r="J136" s="176"/>
      <c r="L136" s="180"/>
      <c r="M136" s="179"/>
      <c r="N136" s="185"/>
      <c r="O136" s="185"/>
      <c r="P136" s="185"/>
      <c r="Q136" s="185"/>
      <c r="R136" s="179"/>
      <c r="S136" s="185"/>
      <c r="T136" s="185"/>
      <c r="U136" s="185"/>
      <c r="V136" s="185"/>
      <c r="W136" s="179"/>
      <c r="X136" s="178"/>
      <c r="Y136" s="185"/>
      <c r="Z136" s="177"/>
      <c r="AA136" s="176"/>
    </row>
    <row r="137" spans="1:29" x14ac:dyDescent="0.25">
      <c r="A137" s="417"/>
      <c r="B137" s="416"/>
      <c r="C137" s="410"/>
      <c r="D137" s="185"/>
      <c r="E137" s="185"/>
      <c r="F137" s="185"/>
      <c r="G137" s="185"/>
      <c r="H137" s="181"/>
      <c r="I137" s="181"/>
      <c r="J137" s="176"/>
      <c r="L137" s="180"/>
      <c r="M137" s="179"/>
      <c r="N137" s="185"/>
      <c r="O137" s="185"/>
      <c r="P137" s="185"/>
      <c r="Q137" s="185"/>
      <c r="R137" s="179"/>
      <c r="S137" s="185"/>
      <c r="T137" s="185"/>
      <c r="U137" s="185"/>
      <c r="V137" s="185"/>
      <c r="W137" s="179"/>
      <c r="X137" s="178"/>
      <c r="Y137" s="185"/>
      <c r="Z137" s="177"/>
      <c r="AA137" s="176"/>
    </row>
    <row r="138" spans="1:29" x14ac:dyDescent="0.25">
      <c r="A138" s="417"/>
      <c r="B138" s="416"/>
      <c r="C138" s="410"/>
      <c r="D138" s="185"/>
      <c r="E138" s="185"/>
      <c r="F138" s="185"/>
      <c r="G138" s="185"/>
      <c r="H138" s="181"/>
      <c r="I138" s="181"/>
      <c r="J138" s="176"/>
      <c r="L138" s="180"/>
      <c r="M138" s="179"/>
      <c r="N138" s="185"/>
      <c r="O138" s="185"/>
      <c r="P138" s="185"/>
      <c r="Q138" s="185"/>
      <c r="R138" s="179"/>
      <c r="S138" s="185"/>
      <c r="T138" s="185"/>
      <c r="U138" s="185"/>
      <c r="V138" s="185"/>
      <c r="W138" s="179"/>
      <c r="X138" s="178"/>
      <c r="Y138" s="185"/>
      <c r="Z138" s="177"/>
      <c r="AA138" s="176"/>
    </row>
    <row r="139" spans="1:29" x14ac:dyDescent="0.25">
      <c r="A139" s="417"/>
      <c r="B139" s="416"/>
      <c r="C139" s="410"/>
      <c r="D139" s="185"/>
      <c r="E139" s="185"/>
      <c r="F139" s="185"/>
      <c r="G139" s="185"/>
      <c r="H139" s="181"/>
      <c r="I139" s="181"/>
      <c r="J139" s="176"/>
      <c r="L139" s="180"/>
      <c r="M139" s="179"/>
      <c r="N139" s="185"/>
      <c r="O139" s="185"/>
      <c r="P139" s="185"/>
      <c r="Q139" s="185"/>
      <c r="R139" s="179"/>
      <c r="S139" s="185"/>
      <c r="T139" s="185"/>
      <c r="U139" s="185"/>
      <c r="V139" s="185"/>
      <c r="W139" s="179"/>
      <c r="X139" s="178"/>
      <c r="Y139" s="185"/>
      <c r="Z139" s="177"/>
      <c r="AA139" s="176"/>
    </row>
    <row r="140" spans="1:29" x14ac:dyDescent="0.25">
      <c r="A140" s="417"/>
      <c r="B140" s="416"/>
      <c r="C140" s="410"/>
      <c r="D140" s="185"/>
      <c r="E140" s="185"/>
      <c r="F140" s="185"/>
      <c r="G140" s="185"/>
      <c r="H140" s="181"/>
      <c r="I140" s="181"/>
      <c r="J140" s="176"/>
      <c r="L140" s="180"/>
      <c r="M140" s="179"/>
      <c r="N140" s="185"/>
      <c r="O140" s="185"/>
      <c r="P140" s="185"/>
      <c r="Q140" s="185"/>
      <c r="R140" s="179"/>
      <c r="S140" s="185"/>
      <c r="T140" s="185"/>
      <c r="U140" s="185"/>
      <c r="V140" s="185"/>
      <c r="W140" s="179"/>
      <c r="X140" s="178"/>
      <c r="Y140" s="185"/>
      <c r="Z140" s="177"/>
      <c r="AA140" s="176"/>
    </row>
    <row r="141" spans="1:29" x14ac:dyDescent="0.25">
      <c r="A141" s="417"/>
      <c r="B141" s="416"/>
      <c r="C141" s="411"/>
      <c r="D141" s="185"/>
      <c r="E141" s="185"/>
      <c r="F141" s="185"/>
      <c r="G141" s="185"/>
      <c r="H141" s="181"/>
      <c r="I141" s="181"/>
      <c r="J141" s="176"/>
      <c r="L141" s="180"/>
      <c r="M141" s="179"/>
      <c r="N141" s="185"/>
      <c r="O141" s="185"/>
      <c r="P141" s="185"/>
      <c r="Q141" s="185"/>
      <c r="R141" s="179"/>
      <c r="S141" s="185"/>
      <c r="T141" s="185"/>
      <c r="U141" s="185"/>
      <c r="V141" s="185"/>
      <c r="W141" s="179"/>
      <c r="X141" s="178"/>
      <c r="Y141" s="185"/>
      <c r="Z141" s="177"/>
      <c r="AA141" s="176"/>
    </row>
    <row r="142" spans="1:29" ht="30" x14ac:dyDescent="0.25">
      <c r="A142" s="400">
        <v>5</v>
      </c>
      <c r="B142" s="403" t="s">
        <v>1023</v>
      </c>
      <c r="C142" s="392" t="s">
        <v>1022</v>
      </c>
      <c r="D142" s="185" t="s">
        <v>1148</v>
      </c>
      <c r="E142" s="185"/>
      <c r="F142" s="185"/>
      <c r="G142" s="185"/>
      <c r="H142" s="187">
        <f>H143+H145+H148</f>
        <v>116173101.3275812</v>
      </c>
      <c r="I142" s="187">
        <f>(I143*J143+I145*J145+I148*J148)/(J143+J145+J148)</f>
        <v>610.79780581113187</v>
      </c>
      <c r="J142" s="186">
        <v>190199</v>
      </c>
      <c r="L142" s="180"/>
      <c r="M142" s="179"/>
      <c r="N142" s="185"/>
      <c r="O142" s="185"/>
      <c r="P142" s="185"/>
      <c r="Q142" s="185"/>
      <c r="R142" s="179"/>
      <c r="S142" s="185"/>
      <c r="T142" s="185"/>
      <c r="U142" s="185"/>
      <c r="V142" s="185"/>
      <c r="W142" s="179"/>
      <c r="X142" s="178"/>
      <c r="Y142" s="185"/>
      <c r="Z142" s="177"/>
      <c r="AA142" s="176"/>
    </row>
    <row r="143" spans="1:29" x14ac:dyDescent="0.25">
      <c r="A143" s="401"/>
      <c r="B143" s="404"/>
      <c r="C143" s="393"/>
      <c r="D143" s="389" t="s">
        <v>1151</v>
      </c>
      <c r="E143" s="185" t="s">
        <v>1021</v>
      </c>
      <c r="F143" s="185"/>
      <c r="G143" s="185" t="s">
        <v>929</v>
      </c>
      <c r="H143" s="187">
        <f>I143*J143</f>
        <v>34311623.918471202</v>
      </c>
      <c r="I143" s="187">
        <f>X143*Z143+Y143</f>
        <v>300.6653048</v>
      </c>
      <c r="J143" s="194">
        <v>114119</v>
      </c>
      <c r="L143" s="180"/>
      <c r="M143" s="179"/>
      <c r="N143" s="185"/>
      <c r="O143" s="185"/>
      <c r="P143" s="185"/>
      <c r="Q143" s="185"/>
      <c r="R143" s="179"/>
      <c r="S143" s="185"/>
      <c r="T143" s="185"/>
      <c r="U143" s="185" t="s">
        <v>1020</v>
      </c>
      <c r="V143" s="185">
        <v>3.5</v>
      </c>
      <c r="W143" s="179">
        <f>1/6</f>
        <v>0.16666666666666666</v>
      </c>
      <c r="X143" s="178">
        <f>(L143*M143+L144*M144+S143*T143)*6</f>
        <v>969.22800000000007</v>
      </c>
      <c r="Y143" s="185">
        <f>(P143*Q143*R143+V143*W143)*6</f>
        <v>3.4999999999999996</v>
      </c>
      <c r="Z143" s="177">
        <v>0.30659999999999998</v>
      </c>
      <c r="AA143" s="192" t="s">
        <v>1019</v>
      </c>
      <c r="AC143" s="195" t="s">
        <v>1018</v>
      </c>
    </row>
    <row r="144" spans="1:29" x14ac:dyDescent="0.25">
      <c r="A144" s="401"/>
      <c r="B144" s="404"/>
      <c r="C144" s="393"/>
      <c r="D144" s="389"/>
      <c r="E144" s="252" t="s">
        <v>1149</v>
      </c>
      <c r="F144" s="185"/>
      <c r="G144" s="185" t="s">
        <v>1009</v>
      </c>
      <c r="H144" s="187"/>
      <c r="I144" s="187"/>
      <c r="J144" s="186"/>
      <c r="L144" s="180">
        <v>0.65400000000000003</v>
      </c>
      <c r="M144" s="179">
        <v>247</v>
      </c>
      <c r="N144" s="185"/>
      <c r="O144" s="185"/>
      <c r="P144" s="185"/>
      <c r="Q144" s="185"/>
      <c r="R144" s="179"/>
      <c r="S144" s="185"/>
      <c r="T144" s="185"/>
      <c r="U144" s="185"/>
      <c r="V144" s="185"/>
      <c r="W144" s="179"/>
      <c r="X144" s="178"/>
      <c r="Y144" s="185"/>
      <c r="Z144" s="177"/>
      <c r="AA144" s="176"/>
    </row>
    <row r="145" spans="1:27" ht="30" x14ac:dyDescent="0.25">
      <c r="A145" s="401"/>
      <c r="B145" s="404"/>
      <c r="C145" s="393"/>
      <c r="D145" s="389" t="s">
        <v>1152</v>
      </c>
      <c r="E145" s="185" t="s">
        <v>1017</v>
      </c>
      <c r="F145" s="185"/>
      <c r="G145" s="185" t="s">
        <v>929</v>
      </c>
      <c r="H145" s="187">
        <f>I145*J145</f>
        <v>17299148.725109998</v>
      </c>
      <c r="I145" s="187">
        <f>X145*Z145+Y145</f>
        <v>1819.0577999999998</v>
      </c>
      <c r="J145" s="194">
        <f>190199*0.05</f>
        <v>9509.9500000000007</v>
      </c>
      <c r="L145" s="180">
        <v>3</v>
      </c>
      <c r="M145" s="179">
        <f>1/6</f>
        <v>0.16666666666666666</v>
      </c>
      <c r="N145" s="185"/>
      <c r="O145" s="185"/>
      <c r="P145" s="185"/>
      <c r="Q145" s="185"/>
      <c r="R145" s="179"/>
      <c r="S145" s="185"/>
      <c r="T145" s="185"/>
      <c r="U145" s="185"/>
      <c r="V145" s="185">
        <f>Z145*0.5*8</f>
        <v>1.2263999999999999</v>
      </c>
      <c r="W145" s="179">
        <v>247</v>
      </c>
      <c r="X145" s="178">
        <f>(L145*M145+L146*M146+L147*M147)*6</f>
        <v>5</v>
      </c>
      <c r="Y145" s="185">
        <f>(P145*Q145*R145+V145*W145)*6</f>
        <v>1817.5247999999999</v>
      </c>
      <c r="Z145" s="177">
        <v>0.30659999999999998</v>
      </c>
      <c r="AA145" s="176" t="s">
        <v>1016</v>
      </c>
    </row>
    <row r="146" spans="1:27" x14ac:dyDescent="0.25">
      <c r="A146" s="401"/>
      <c r="B146" s="404"/>
      <c r="C146" s="393"/>
      <c r="D146" s="389"/>
      <c r="E146" s="185" t="s">
        <v>1015</v>
      </c>
      <c r="F146" s="185"/>
      <c r="G146" s="185" t="s">
        <v>929</v>
      </c>
      <c r="H146" s="187"/>
      <c r="I146" s="187"/>
      <c r="J146" s="186"/>
      <c r="L146" s="180">
        <v>2</v>
      </c>
      <c r="M146" s="179">
        <f>1/6</f>
        <v>0.16666666666666666</v>
      </c>
      <c r="N146" s="185"/>
      <c r="O146" s="185"/>
      <c r="P146" s="185"/>
      <c r="Q146" s="185"/>
      <c r="R146" s="179"/>
      <c r="S146" s="185"/>
      <c r="T146" s="185"/>
      <c r="U146" s="185"/>
      <c r="V146" s="185"/>
      <c r="W146" s="179"/>
      <c r="X146" s="178"/>
      <c r="Y146" s="185"/>
      <c r="Z146" s="177"/>
      <c r="AA146" s="176"/>
    </row>
    <row r="147" spans="1:27" x14ac:dyDescent="0.25">
      <c r="A147" s="401"/>
      <c r="B147" s="404"/>
      <c r="C147" s="393"/>
      <c r="D147" s="389"/>
      <c r="E147" s="252" t="s">
        <v>1150</v>
      </c>
      <c r="F147" s="185"/>
      <c r="G147" s="185" t="s">
        <v>1009</v>
      </c>
      <c r="H147" s="187"/>
      <c r="I147" s="187"/>
      <c r="J147" s="186"/>
      <c r="L147" s="180"/>
      <c r="M147" s="179"/>
      <c r="N147" s="185"/>
      <c r="O147" s="185"/>
      <c r="P147" s="185"/>
      <c r="Q147" s="185"/>
      <c r="R147" s="179"/>
      <c r="S147" s="185"/>
      <c r="T147" s="185"/>
      <c r="U147" s="185"/>
      <c r="V147" s="185"/>
      <c r="W147" s="179"/>
      <c r="X147" s="178"/>
      <c r="Y147" s="185"/>
      <c r="Z147" s="177"/>
      <c r="AA147" s="176"/>
    </row>
    <row r="148" spans="1:27" ht="90" x14ac:dyDescent="0.25">
      <c r="A148" s="401"/>
      <c r="B148" s="404"/>
      <c r="C148" s="393"/>
      <c r="D148" s="418" t="s">
        <v>1153</v>
      </c>
      <c r="E148" s="185" t="s">
        <v>1014</v>
      </c>
      <c r="F148" s="185"/>
      <c r="G148" s="185" t="s">
        <v>929</v>
      </c>
      <c r="H148" s="187">
        <f>I148*J148</f>
        <v>64562328.684000008</v>
      </c>
      <c r="I148" s="187">
        <f>X148*Z148+Y148</f>
        <v>969.84120000000007</v>
      </c>
      <c r="J148" s="194">
        <v>66570</v>
      </c>
      <c r="L148" s="180">
        <v>1</v>
      </c>
      <c r="M148" s="179">
        <f>1/6</f>
        <v>0.16666666666666666</v>
      </c>
      <c r="N148" s="185"/>
      <c r="O148" s="185"/>
      <c r="P148" s="185"/>
      <c r="Q148" s="185"/>
      <c r="R148" s="179"/>
      <c r="S148" s="185"/>
      <c r="T148" s="185"/>
      <c r="U148" s="185" t="s">
        <v>1013</v>
      </c>
      <c r="V148" s="185">
        <v>0.65400000000000003</v>
      </c>
      <c r="W148" s="179">
        <v>247</v>
      </c>
      <c r="X148" s="178">
        <f>(L148*M148+L149*M149+L150*M150)*6</f>
        <v>2</v>
      </c>
      <c r="Y148" s="185">
        <f>(P148*Q148*R148+V148*W148)*6</f>
        <v>969.22800000000007</v>
      </c>
      <c r="Z148" s="177">
        <v>0.30659999999999998</v>
      </c>
      <c r="AA148" s="176" t="s">
        <v>1012</v>
      </c>
    </row>
    <row r="149" spans="1:27" ht="30" x14ac:dyDescent="0.25">
      <c r="A149" s="401"/>
      <c r="B149" s="404"/>
      <c r="C149" s="393"/>
      <c r="D149" s="418"/>
      <c r="E149" s="185" t="s">
        <v>1011</v>
      </c>
      <c r="F149" s="185"/>
      <c r="G149" s="185" t="s">
        <v>929</v>
      </c>
      <c r="H149" s="187"/>
      <c r="I149" s="187"/>
      <c r="J149" s="186"/>
      <c r="L149" s="180">
        <v>1</v>
      </c>
      <c r="M149" s="179">
        <f>1/6</f>
        <v>0.16666666666666666</v>
      </c>
      <c r="N149" s="185"/>
      <c r="O149" s="185"/>
      <c r="P149" s="185"/>
      <c r="Q149" s="185"/>
      <c r="R149" s="179"/>
      <c r="S149" s="185"/>
      <c r="T149" s="185"/>
      <c r="U149" s="185"/>
      <c r="V149" s="185"/>
      <c r="W149" s="179"/>
      <c r="X149" s="178"/>
      <c r="Y149" s="185"/>
      <c r="Z149" s="177"/>
      <c r="AA149" s="176" t="s">
        <v>1010</v>
      </c>
    </row>
    <row r="150" spans="1:27" ht="45" x14ac:dyDescent="0.25">
      <c r="A150" s="402"/>
      <c r="B150" s="405"/>
      <c r="C150" s="394"/>
      <c r="D150" s="418"/>
      <c r="E150" s="252" t="s">
        <v>1150</v>
      </c>
      <c r="F150" s="185"/>
      <c r="G150" s="185" t="s">
        <v>1009</v>
      </c>
      <c r="H150" s="193"/>
      <c r="I150" s="187"/>
      <c r="J150" s="186"/>
      <c r="L150" s="180"/>
      <c r="M150" s="179"/>
      <c r="N150" s="185"/>
      <c r="O150" s="185"/>
      <c r="P150" s="185"/>
      <c r="Q150" s="185"/>
      <c r="R150" s="179"/>
      <c r="S150" s="185"/>
      <c r="T150" s="185"/>
      <c r="U150" s="185"/>
      <c r="V150" s="185"/>
      <c r="W150" s="179"/>
      <c r="X150" s="178"/>
      <c r="Y150" s="185"/>
      <c r="Z150" s="177"/>
      <c r="AA150" s="192" t="s">
        <v>1008</v>
      </c>
    </row>
    <row r="151" spans="1:27" ht="30" x14ac:dyDescent="0.25">
      <c r="A151" s="400">
        <v>6</v>
      </c>
      <c r="B151" s="403" t="s">
        <v>1007</v>
      </c>
      <c r="C151" s="392" t="s">
        <v>1006</v>
      </c>
      <c r="D151" s="406" t="s">
        <v>1005</v>
      </c>
      <c r="E151" s="185" t="s">
        <v>211</v>
      </c>
      <c r="F151" s="185"/>
      <c r="G151" s="185"/>
      <c r="H151" s="181"/>
      <c r="I151" s="181"/>
      <c r="J151" s="176"/>
      <c r="L151" s="180"/>
      <c r="M151" s="179"/>
      <c r="N151" s="185"/>
      <c r="O151" s="185"/>
      <c r="P151" s="185"/>
      <c r="Q151" s="185"/>
      <c r="R151" s="179"/>
      <c r="S151" s="185"/>
      <c r="T151" s="185"/>
      <c r="U151" s="185"/>
      <c r="V151" s="185"/>
      <c r="W151" s="179"/>
      <c r="X151" s="178"/>
      <c r="Y151" s="185"/>
      <c r="Z151" s="177"/>
      <c r="AA151" s="176"/>
    </row>
    <row r="152" spans="1:27" x14ac:dyDescent="0.25">
      <c r="A152" s="401"/>
      <c r="B152" s="404"/>
      <c r="C152" s="393"/>
      <c r="D152" s="407"/>
      <c r="E152" s="191" t="s">
        <v>212</v>
      </c>
      <c r="F152" s="185"/>
      <c r="G152" s="185"/>
      <c r="H152" s="181"/>
      <c r="I152" s="181"/>
      <c r="J152" s="176"/>
      <c r="L152" s="180"/>
      <c r="M152" s="179"/>
      <c r="N152" s="185"/>
      <c r="O152" s="185"/>
      <c r="P152" s="185"/>
      <c r="Q152" s="185"/>
      <c r="R152" s="179"/>
      <c r="S152" s="185"/>
      <c r="T152" s="185"/>
      <c r="U152" s="185"/>
      <c r="V152" s="185"/>
      <c r="W152" s="179"/>
      <c r="X152" s="178"/>
      <c r="Y152" s="185"/>
      <c r="Z152" s="177"/>
      <c r="AA152" s="176"/>
    </row>
    <row r="153" spans="1:27" ht="45" x14ac:dyDescent="0.25">
      <c r="A153" s="401"/>
      <c r="B153" s="404"/>
      <c r="C153" s="393"/>
      <c r="D153" s="407"/>
      <c r="E153" s="191" t="s">
        <v>213</v>
      </c>
      <c r="F153" s="185"/>
      <c r="G153" s="185"/>
      <c r="H153" s="181"/>
      <c r="I153" s="181"/>
      <c r="J153" s="176"/>
      <c r="L153" s="180"/>
      <c r="M153" s="179"/>
      <c r="N153" s="185"/>
      <c r="O153" s="185"/>
      <c r="P153" s="185"/>
      <c r="Q153" s="185"/>
      <c r="R153" s="179"/>
      <c r="S153" s="185"/>
      <c r="T153" s="185"/>
      <c r="U153" s="185"/>
      <c r="V153" s="185"/>
      <c r="W153" s="179"/>
      <c r="X153" s="178"/>
      <c r="Y153" s="185"/>
      <c r="Z153" s="177"/>
      <c r="AA153" s="176"/>
    </row>
    <row r="154" spans="1:27" ht="45" x14ac:dyDescent="0.25">
      <c r="A154" s="401"/>
      <c r="B154" s="404"/>
      <c r="C154" s="393"/>
      <c r="D154" s="407"/>
      <c r="E154" s="191" t="s">
        <v>214</v>
      </c>
      <c r="F154" s="185"/>
      <c r="G154" s="185"/>
      <c r="H154" s="181"/>
      <c r="I154" s="181"/>
      <c r="J154" s="176"/>
      <c r="L154" s="180"/>
      <c r="M154" s="179"/>
      <c r="N154" s="185"/>
      <c r="O154" s="185"/>
      <c r="P154" s="185"/>
      <c r="Q154" s="185"/>
      <c r="R154" s="179"/>
      <c r="S154" s="185"/>
      <c r="T154" s="185"/>
      <c r="U154" s="185"/>
      <c r="V154" s="185"/>
      <c r="W154" s="179"/>
      <c r="X154" s="178"/>
      <c r="Y154" s="185"/>
      <c r="Z154" s="177"/>
      <c r="AA154" s="176"/>
    </row>
    <row r="155" spans="1:27" x14ac:dyDescent="0.25">
      <c r="A155" s="401"/>
      <c r="B155" s="404"/>
      <c r="C155" s="393"/>
      <c r="D155" s="407"/>
      <c r="E155" s="191" t="s">
        <v>215</v>
      </c>
      <c r="F155" s="185"/>
      <c r="G155" s="185"/>
      <c r="H155" s="181"/>
      <c r="I155" s="181"/>
      <c r="J155" s="176"/>
      <c r="L155" s="180"/>
      <c r="M155" s="179"/>
      <c r="N155" s="185"/>
      <c r="O155" s="185"/>
      <c r="P155" s="185"/>
      <c r="Q155" s="185"/>
      <c r="R155" s="179"/>
      <c r="S155" s="185"/>
      <c r="T155" s="185"/>
      <c r="U155" s="185"/>
      <c r="V155" s="185"/>
      <c r="W155" s="179"/>
      <c r="X155" s="178"/>
      <c r="Y155" s="185"/>
      <c r="Z155" s="177"/>
      <c r="AA155" s="176"/>
    </row>
    <row r="156" spans="1:27" ht="30" x14ac:dyDescent="0.25">
      <c r="A156" s="401"/>
      <c r="B156" s="404"/>
      <c r="C156" s="393"/>
      <c r="D156" s="407"/>
      <c r="E156" s="191" t="s">
        <v>216</v>
      </c>
      <c r="F156" s="185"/>
      <c r="G156" s="185"/>
      <c r="H156" s="181"/>
      <c r="I156" s="181"/>
      <c r="J156" s="176"/>
      <c r="L156" s="180"/>
      <c r="M156" s="179"/>
      <c r="N156" s="185"/>
      <c r="O156" s="185"/>
      <c r="P156" s="185"/>
      <c r="Q156" s="185"/>
      <c r="R156" s="179"/>
      <c r="S156" s="185"/>
      <c r="T156" s="185"/>
      <c r="U156" s="185"/>
      <c r="V156" s="185"/>
      <c r="W156" s="179"/>
      <c r="X156" s="178"/>
      <c r="Y156" s="185"/>
      <c r="Z156" s="177"/>
      <c r="AA156" s="176"/>
    </row>
    <row r="157" spans="1:27" x14ac:dyDescent="0.25">
      <c r="A157" s="401"/>
      <c r="B157" s="404"/>
      <c r="C157" s="393"/>
      <c r="D157" s="407"/>
      <c r="E157" s="191" t="s">
        <v>217</v>
      </c>
      <c r="F157" s="185"/>
      <c r="G157" s="185"/>
      <c r="H157" s="181"/>
      <c r="I157" s="181"/>
      <c r="J157" s="176"/>
      <c r="L157" s="180"/>
      <c r="M157" s="179"/>
      <c r="N157" s="185"/>
      <c r="O157" s="185"/>
      <c r="P157" s="185"/>
      <c r="Q157" s="185"/>
      <c r="R157" s="179"/>
      <c r="S157" s="185"/>
      <c r="T157" s="185"/>
      <c r="U157" s="185"/>
      <c r="V157" s="185"/>
      <c r="W157" s="179"/>
      <c r="X157" s="178"/>
      <c r="Y157" s="185"/>
      <c r="Z157" s="177"/>
      <c r="AA157" s="176"/>
    </row>
    <row r="158" spans="1:27" x14ac:dyDescent="0.25">
      <c r="A158" s="401"/>
      <c r="B158" s="404"/>
      <c r="C158" s="393"/>
      <c r="D158" s="408"/>
      <c r="E158" s="191" t="s">
        <v>218</v>
      </c>
      <c r="F158" s="185"/>
      <c r="G158" s="185"/>
      <c r="H158" s="181"/>
      <c r="I158" s="181"/>
      <c r="J158" s="176"/>
      <c r="L158" s="180"/>
      <c r="M158" s="179"/>
      <c r="N158" s="185"/>
      <c r="O158" s="185"/>
      <c r="P158" s="185"/>
      <c r="Q158" s="185"/>
      <c r="R158" s="179"/>
      <c r="S158" s="185"/>
      <c r="T158" s="185"/>
      <c r="U158" s="185"/>
      <c r="V158" s="185"/>
      <c r="W158" s="179"/>
      <c r="X158" s="178"/>
      <c r="Y158" s="185"/>
      <c r="Z158" s="177"/>
      <c r="AA158" s="176"/>
    </row>
    <row r="159" spans="1:27" ht="45" x14ac:dyDescent="0.25">
      <c r="A159" s="401"/>
      <c r="B159" s="404"/>
      <c r="C159" s="393"/>
      <c r="D159" s="392" t="s">
        <v>1004</v>
      </c>
      <c r="E159" s="185" t="s">
        <v>220</v>
      </c>
      <c r="F159" s="185"/>
      <c r="G159" s="185"/>
      <c r="H159" s="181"/>
      <c r="I159" s="181"/>
      <c r="J159" s="176"/>
      <c r="L159" s="180"/>
      <c r="M159" s="179"/>
      <c r="N159" s="185"/>
      <c r="O159" s="185"/>
      <c r="P159" s="185"/>
      <c r="Q159" s="185"/>
      <c r="R159" s="179"/>
      <c r="S159" s="185"/>
      <c r="T159" s="185"/>
      <c r="U159" s="185"/>
      <c r="V159" s="185"/>
      <c r="W159" s="179"/>
      <c r="X159" s="178"/>
      <c r="Y159" s="185"/>
      <c r="Z159" s="177"/>
      <c r="AA159" s="176"/>
    </row>
    <row r="160" spans="1:27" x14ac:dyDescent="0.25">
      <c r="A160" s="401"/>
      <c r="B160" s="404"/>
      <c r="C160" s="393"/>
      <c r="D160" s="393"/>
      <c r="E160" s="191" t="s">
        <v>212</v>
      </c>
      <c r="F160" s="185"/>
      <c r="G160" s="185"/>
      <c r="H160" s="181"/>
      <c r="I160" s="181"/>
      <c r="J160" s="176"/>
      <c r="L160" s="180"/>
      <c r="M160" s="179"/>
      <c r="N160" s="185"/>
      <c r="O160" s="185"/>
      <c r="P160" s="185"/>
      <c r="Q160" s="185"/>
      <c r="R160" s="179"/>
      <c r="S160" s="185"/>
      <c r="T160" s="185"/>
      <c r="U160" s="185"/>
      <c r="V160" s="185"/>
      <c r="W160" s="179"/>
      <c r="X160" s="178"/>
      <c r="Y160" s="185"/>
      <c r="Z160" s="177"/>
      <c r="AA160" s="176"/>
    </row>
    <row r="161" spans="1:27" ht="45" x14ac:dyDescent="0.25">
      <c r="A161" s="401"/>
      <c r="B161" s="404"/>
      <c r="C161" s="393"/>
      <c r="D161" s="393"/>
      <c r="E161" s="191" t="s">
        <v>213</v>
      </c>
      <c r="F161" s="185"/>
      <c r="G161" s="185"/>
      <c r="H161" s="181"/>
      <c r="I161" s="181"/>
      <c r="J161" s="176"/>
      <c r="L161" s="180"/>
      <c r="M161" s="179"/>
      <c r="N161" s="185"/>
      <c r="O161" s="185"/>
      <c r="P161" s="185"/>
      <c r="Q161" s="185"/>
      <c r="R161" s="179"/>
      <c r="S161" s="185"/>
      <c r="T161" s="185"/>
      <c r="U161" s="185"/>
      <c r="V161" s="185"/>
      <c r="W161" s="179"/>
      <c r="X161" s="178"/>
      <c r="Y161" s="185"/>
      <c r="Z161" s="177"/>
      <c r="AA161" s="176"/>
    </row>
    <row r="162" spans="1:27" ht="45" x14ac:dyDescent="0.25">
      <c r="A162" s="401"/>
      <c r="B162" s="404"/>
      <c r="C162" s="393"/>
      <c r="D162" s="393"/>
      <c r="E162" s="191" t="s">
        <v>214</v>
      </c>
      <c r="F162" s="185"/>
      <c r="G162" s="185"/>
      <c r="H162" s="181"/>
      <c r="I162" s="181"/>
      <c r="J162" s="176"/>
      <c r="L162" s="180"/>
      <c r="M162" s="179"/>
      <c r="N162" s="185"/>
      <c r="O162" s="185"/>
      <c r="P162" s="185"/>
      <c r="Q162" s="185"/>
      <c r="R162" s="179"/>
      <c r="S162" s="185"/>
      <c r="T162" s="185"/>
      <c r="U162" s="185"/>
      <c r="V162" s="185"/>
      <c r="W162" s="179"/>
      <c r="X162" s="178"/>
      <c r="Y162" s="185"/>
      <c r="Z162" s="177"/>
      <c r="AA162" s="176"/>
    </row>
    <row r="163" spans="1:27" x14ac:dyDescent="0.25">
      <c r="A163" s="401"/>
      <c r="B163" s="404"/>
      <c r="C163" s="393"/>
      <c r="D163" s="393"/>
      <c r="E163" s="191" t="s">
        <v>221</v>
      </c>
      <c r="F163" s="185"/>
      <c r="G163" s="185"/>
      <c r="H163" s="181"/>
      <c r="I163" s="181"/>
      <c r="J163" s="176"/>
      <c r="L163" s="180"/>
      <c r="M163" s="179"/>
      <c r="N163" s="185"/>
      <c r="O163" s="185"/>
      <c r="P163" s="185"/>
      <c r="Q163" s="185"/>
      <c r="R163" s="179"/>
      <c r="S163" s="185"/>
      <c r="T163" s="185"/>
      <c r="U163" s="185"/>
      <c r="V163" s="185"/>
      <c r="W163" s="179"/>
      <c r="X163" s="178"/>
      <c r="Y163" s="185"/>
      <c r="Z163" s="177"/>
      <c r="AA163" s="176"/>
    </row>
    <row r="164" spans="1:27" x14ac:dyDescent="0.25">
      <c r="A164" s="401"/>
      <c r="B164" s="404"/>
      <c r="C164" s="393"/>
      <c r="D164" s="393"/>
      <c r="E164" s="191" t="s">
        <v>222</v>
      </c>
      <c r="F164" s="185"/>
      <c r="G164" s="185"/>
      <c r="H164" s="181"/>
      <c r="I164" s="181"/>
      <c r="J164" s="176"/>
      <c r="L164" s="180"/>
      <c r="M164" s="179"/>
      <c r="N164" s="185"/>
      <c r="O164" s="185"/>
      <c r="P164" s="185"/>
      <c r="Q164" s="185"/>
      <c r="R164" s="179"/>
      <c r="S164" s="185"/>
      <c r="T164" s="185"/>
      <c r="U164" s="185"/>
      <c r="V164" s="185"/>
      <c r="W164" s="179"/>
      <c r="X164" s="178"/>
      <c r="Y164" s="185"/>
      <c r="Z164" s="177"/>
      <c r="AA164" s="176"/>
    </row>
    <row r="165" spans="1:27" ht="30" x14ac:dyDescent="0.25">
      <c r="A165" s="402"/>
      <c r="B165" s="405"/>
      <c r="C165" s="394"/>
      <c r="D165" s="394"/>
      <c r="E165" s="191" t="s">
        <v>223</v>
      </c>
      <c r="F165" s="185"/>
      <c r="G165" s="185"/>
      <c r="H165" s="181"/>
      <c r="I165" s="181"/>
      <c r="J165" s="176"/>
      <c r="L165" s="180"/>
      <c r="M165" s="179"/>
      <c r="N165" s="185"/>
      <c r="O165" s="185"/>
      <c r="P165" s="185"/>
      <c r="Q165" s="185"/>
      <c r="R165" s="179"/>
      <c r="S165" s="185"/>
      <c r="T165" s="185"/>
      <c r="U165" s="185"/>
      <c r="V165" s="185"/>
      <c r="W165" s="179"/>
      <c r="X165" s="178"/>
      <c r="Y165" s="185"/>
      <c r="Z165" s="177"/>
      <c r="AA165" s="176"/>
    </row>
    <row r="166" spans="1:27" ht="30" x14ac:dyDescent="0.25">
      <c r="A166" s="400">
        <v>7</v>
      </c>
      <c r="B166" s="403" t="s">
        <v>1003</v>
      </c>
      <c r="C166" s="409" t="s">
        <v>1002</v>
      </c>
      <c r="D166" s="392" t="s">
        <v>1001</v>
      </c>
      <c r="E166" s="185" t="s">
        <v>1000</v>
      </c>
      <c r="F166" s="185" t="s">
        <v>289</v>
      </c>
      <c r="G166" s="185"/>
      <c r="H166" s="187">
        <f>I166*J166</f>
        <v>1393344.6182799998</v>
      </c>
      <c r="I166" s="190">
        <f>I167*0.85+I168*0.15</f>
        <v>7.3257199999999996</v>
      </c>
      <c r="J166" s="186">
        <v>190199</v>
      </c>
      <c r="L166" s="180">
        <v>2</v>
      </c>
      <c r="M166" s="179">
        <f>1/6</f>
        <v>0.16666666666666666</v>
      </c>
      <c r="N166" s="185" t="s">
        <v>999</v>
      </c>
      <c r="O166" s="185" t="s">
        <v>998</v>
      </c>
      <c r="P166" s="185">
        <v>1.4123000000000001</v>
      </c>
      <c r="Q166" s="185">
        <v>4</v>
      </c>
      <c r="R166" s="179">
        <f>1/6</f>
        <v>0.16666666666666666</v>
      </c>
      <c r="S166" s="185"/>
      <c r="T166" s="185"/>
      <c r="U166" s="185"/>
      <c r="V166" s="185"/>
      <c r="W166" s="179"/>
      <c r="X166" s="178">
        <f>(L166*M166+L167*M167+L168*M168+L169*M169+L170*M170*Q166+S166*T166)*6</f>
        <v>6.9999999999999991</v>
      </c>
      <c r="Y166" s="177">
        <f>(P166*Q166*R166+V166*W166)*6</f>
        <v>5.6492000000000004</v>
      </c>
      <c r="Z166" s="177">
        <v>0.30659999999999998</v>
      </c>
      <c r="AA166" s="176"/>
    </row>
    <row r="167" spans="1:27" ht="30" x14ac:dyDescent="0.25">
      <c r="A167" s="401"/>
      <c r="B167" s="404"/>
      <c r="C167" s="410"/>
      <c r="D167" s="393"/>
      <c r="E167" s="185" t="s">
        <v>997</v>
      </c>
      <c r="F167" s="185"/>
      <c r="G167" s="185"/>
      <c r="H167" s="187">
        <f>I167*J167</f>
        <v>1260274.5226</v>
      </c>
      <c r="I167" s="190">
        <f>X166*Z166+Y166</f>
        <v>7.7953999999999999</v>
      </c>
      <c r="J167" s="186">
        <v>161669</v>
      </c>
      <c r="L167" s="180">
        <v>1</v>
      </c>
      <c r="M167" s="179">
        <f>1/6</f>
        <v>0.16666666666666666</v>
      </c>
      <c r="N167" s="185"/>
      <c r="O167" s="185" t="s">
        <v>996</v>
      </c>
      <c r="P167" s="185">
        <v>1.4123000000000001</v>
      </c>
      <c r="Q167" s="185">
        <v>2</v>
      </c>
      <c r="R167" s="179">
        <f>1/6</f>
        <v>0.16666666666666666</v>
      </c>
      <c r="S167" s="185"/>
      <c r="T167" s="185"/>
      <c r="U167" s="185"/>
      <c r="V167" s="185"/>
      <c r="W167" s="179"/>
      <c r="X167" s="178">
        <f>(L166*M166+L167*M167+L168*M168+L169*M169+L170*M170*Q167+S167*T167)*6</f>
        <v>5.9999999999999991</v>
      </c>
      <c r="Y167" s="177">
        <f>(P167*Q167*R167+V167*W167)*6</f>
        <v>2.8246000000000002</v>
      </c>
      <c r="Z167" s="177"/>
      <c r="AA167" s="176"/>
    </row>
    <row r="168" spans="1:27" x14ac:dyDescent="0.25">
      <c r="A168" s="401"/>
      <c r="B168" s="404"/>
      <c r="C168" s="410"/>
      <c r="D168" s="393"/>
      <c r="E168" s="185" t="s">
        <v>995</v>
      </c>
      <c r="F168" s="185"/>
      <c r="G168" s="185"/>
      <c r="H168" s="187">
        <f>I168*J168</f>
        <v>133069.62599999999</v>
      </c>
      <c r="I168" s="190">
        <f>X167*Z166+Y167</f>
        <v>4.6642000000000001</v>
      </c>
      <c r="J168" s="186">
        <v>28530</v>
      </c>
      <c r="L168" s="180"/>
      <c r="M168" s="179"/>
      <c r="N168" s="185"/>
      <c r="O168" s="185"/>
      <c r="P168" s="185"/>
      <c r="Q168" s="185"/>
      <c r="R168" s="179"/>
      <c r="S168" s="185"/>
      <c r="T168" s="185"/>
      <c r="U168" s="185"/>
      <c r="V168" s="185"/>
      <c r="W168" s="179"/>
      <c r="X168" s="178"/>
      <c r="Y168" s="185"/>
      <c r="Z168" s="177"/>
      <c r="AA168" s="176"/>
    </row>
    <row r="169" spans="1:27" x14ac:dyDescent="0.25">
      <c r="A169" s="401"/>
      <c r="B169" s="404"/>
      <c r="C169" s="410"/>
      <c r="D169" s="393"/>
      <c r="E169" s="185" t="s">
        <v>994</v>
      </c>
      <c r="F169" s="185"/>
      <c r="G169" s="185"/>
      <c r="H169" s="181"/>
      <c r="I169" s="181"/>
      <c r="J169" s="176"/>
      <c r="L169" s="180">
        <v>2</v>
      </c>
      <c r="M169" s="179">
        <f>1/6</f>
        <v>0.16666666666666666</v>
      </c>
      <c r="N169" s="185"/>
      <c r="O169" s="185"/>
      <c r="P169" s="185"/>
      <c r="Q169" s="185"/>
      <c r="R169" s="179"/>
      <c r="S169" s="185"/>
      <c r="T169" s="185"/>
      <c r="U169" s="185"/>
      <c r="V169" s="185"/>
      <c r="W169" s="179"/>
      <c r="X169" s="178"/>
      <c r="Y169" s="185"/>
      <c r="Z169" s="177"/>
      <c r="AA169" s="176"/>
    </row>
    <row r="170" spans="1:27" x14ac:dyDescent="0.25">
      <c r="A170" s="401"/>
      <c r="B170" s="404"/>
      <c r="C170" s="410"/>
      <c r="D170" s="394"/>
      <c r="E170" s="185" t="s">
        <v>993</v>
      </c>
      <c r="F170" s="185"/>
      <c r="G170" s="185"/>
      <c r="H170" s="181"/>
      <c r="I170" s="181"/>
      <c r="J170" s="176"/>
      <c r="L170" s="180">
        <v>0.5</v>
      </c>
      <c r="M170" s="179">
        <f>1/6</f>
        <v>0.16666666666666666</v>
      </c>
      <c r="N170" s="185"/>
      <c r="O170" s="185"/>
      <c r="P170" s="185"/>
      <c r="Q170" s="185"/>
      <c r="R170" s="179"/>
      <c r="S170" s="185"/>
      <c r="T170" s="185"/>
      <c r="U170" s="185"/>
      <c r="V170" s="185"/>
      <c r="W170" s="179"/>
      <c r="X170" s="178"/>
      <c r="Y170" s="185"/>
      <c r="Z170" s="177"/>
      <c r="AA170" s="176"/>
    </row>
    <row r="171" spans="1:27" ht="30" x14ac:dyDescent="0.25">
      <c r="A171" s="401"/>
      <c r="B171" s="404"/>
      <c r="C171" s="410"/>
      <c r="D171" s="398" t="s">
        <v>992</v>
      </c>
      <c r="E171" s="191" t="s">
        <v>991</v>
      </c>
      <c r="F171" s="185"/>
      <c r="G171" s="185" t="s">
        <v>990</v>
      </c>
      <c r="H171" s="187">
        <f>I171*J171</f>
        <v>0</v>
      </c>
      <c r="I171" s="187">
        <f>X171*Z171+Y171</f>
        <v>52.989480000000015</v>
      </c>
      <c r="J171" s="176"/>
      <c r="L171" s="180">
        <v>2</v>
      </c>
      <c r="M171" s="179">
        <f>1/6</f>
        <v>0.16666666666666666</v>
      </c>
      <c r="N171" s="389" t="s">
        <v>268</v>
      </c>
      <c r="O171" s="183" t="s">
        <v>984</v>
      </c>
      <c r="P171" s="185">
        <v>1</v>
      </c>
      <c r="Q171" s="185">
        <v>1</v>
      </c>
      <c r="R171" s="179">
        <f t="shared" ref="R171:R190" si="0">1/10</f>
        <v>0.1</v>
      </c>
      <c r="S171" s="185">
        <f t="shared" ref="S171:S190" si="1">1/20</f>
        <v>0.05</v>
      </c>
      <c r="T171" s="185">
        <v>4</v>
      </c>
      <c r="U171" s="185"/>
      <c r="V171" s="185"/>
      <c r="W171" s="179"/>
      <c r="X171" s="178">
        <f>(L171*M171+L172*M172+L173*M173+L174*M174+L175*M175+S171*T171+S172*T172+S173*T173+S174*T174+S175*T175+S176*T176+S177*T177+S178*T178+S179*T1908+S180*T180+S181*T181+S182*T182+S183*T183+S184*T184+S185*T185+S186*T186+S187*T187+S188*T188+S189*T189+S190*T190)*6</f>
        <v>37.800000000000018</v>
      </c>
      <c r="Y171" s="185">
        <f>(P171*Q171*R171+P172*Q172*R172+P173*Q173*R173+P174*Q174*R174+P175*Q175*R175+P176*Q176*R176+P177*Q177*R177+P178*Q178*R178+P179*Q179*R179+P180*Q180*R180+P181*Q181*R171+P182*Q182*R182+P183*Q183*R183+P184*Q184*R184+P185*Q185*R185+P186*Q186*R186+P187*Q187*R187+P188*Q188*R188+P189*Q189*R189+P190*Q190*R190+V171*W171)*6</f>
        <v>41.400000000000006</v>
      </c>
      <c r="Z171" s="177">
        <v>0.30659999999999998</v>
      </c>
      <c r="AA171" s="176"/>
    </row>
    <row r="172" spans="1:27" x14ac:dyDescent="0.25">
      <c r="A172" s="401"/>
      <c r="B172" s="404"/>
      <c r="C172" s="410"/>
      <c r="D172" s="399"/>
      <c r="E172" s="235" t="s">
        <v>970</v>
      </c>
      <c r="F172" s="185"/>
      <c r="G172" s="185"/>
      <c r="H172" s="181"/>
      <c r="I172" s="181"/>
      <c r="J172" s="176"/>
      <c r="L172" s="180">
        <v>1</v>
      </c>
      <c r="M172" s="179">
        <f>1/6</f>
        <v>0.16666666666666666</v>
      </c>
      <c r="N172" s="390"/>
      <c r="O172" s="183" t="s">
        <v>989</v>
      </c>
      <c r="P172" s="185">
        <v>0.4</v>
      </c>
      <c r="Q172" s="185">
        <v>1</v>
      </c>
      <c r="R172" s="179">
        <f t="shared" si="0"/>
        <v>0.1</v>
      </c>
      <c r="S172" s="185">
        <f t="shared" si="1"/>
        <v>0.05</v>
      </c>
      <c r="T172" s="185">
        <v>4</v>
      </c>
      <c r="U172" s="185"/>
      <c r="V172" s="185"/>
      <c r="W172" s="179"/>
      <c r="X172" s="178"/>
      <c r="Y172" s="185"/>
      <c r="Z172" s="177"/>
      <c r="AA172" s="176"/>
    </row>
    <row r="173" spans="1:27" x14ac:dyDescent="0.25">
      <c r="A173" s="401"/>
      <c r="B173" s="404"/>
      <c r="C173" s="410"/>
      <c r="D173" s="399"/>
      <c r="E173" s="235" t="s">
        <v>988</v>
      </c>
      <c r="F173" s="185"/>
      <c r="G173" s="185"/>
      <c r="H173" s="181"/>
      <c r="I173" s="181"/>
      <c r="J173" s="176"/>
      <c r="L173" s="180">
        <v>12</v>
      </c>
      <c r="M173" s="179">
        <f>1/6</f>
        <v>0.16666666666666666</v>
      </c>
      <c r="N173" s="390"/>
      <c r="O173" s="183" t="s">
        <v>987</v>
      </c>
      <c r="P173" s="185">
        <v>0.5</v>
      </c>
      <c r="Q173" s="185">
        <v>2</v>
      </c>
      <c r="R173" s="179">
        <f t="shared" si="0"/>
        <v>0.1</v>
      </c>
      <c r="S173" s="185">
        <f t="shared" si="1"/>
        <v>0.05</v>
      </c>
      <c r="T173" s="185">
        <v>4</v>
      </c>
      <c r="U173" s="185"/>
      <c r="V173" s="185"/>
      <c r="W173" s="179"/>
      <c r="X173" s="178"/>
      <c r="Y173" s="185"/>
      <c r="Z173" s="177"/>
      <c r="AA173" s="176"/>
    </row>
    <row r="174" spans="1:27" ht="30" x14ac:dyDescent="0.25">
      <c r="A174" s="401"/>
      <c r="B174" s="404"/>
      <c r="C174" s="410"/>
      <c r="D174" s="399"/>
      <c r="E174" s="185"/>
      <c r="F174" s="185"/>
      <c r="G174" s="185"/>
      <c r="H174" s="181"/>
      <c r="I174" s="181"/>
      <c r="J174" s="176"/>
      <c r="L174" s="180"/>
      <c r="M174" s="179"/>
      <c r="N174" s="390"/>
      <c r="O174" s="183" t="s">
        <v>978</v>
      </c>
      <c r="P174" s="185">
        <v>1</v>
      </c>
      <c r="Q174" s="185">
        <v>1</v>
      </c>
      <c r="R174" s="179">
        <f t="shared" si="0"/>
        <v>0.1</v>
      </c>
      <c r="S174" s="185">
        <f t="shared" si="1"/>
        <v>0.05</v>
      </c>
      <c r="T174" s="185">
        <v>4</v>
      </c>
      <c r="U174" s="185"/>
      <c r="V174" s="185"/>
      <c r="W174" s="179"/>
      <c r="X174" s="178"/>
      <c r="Y174" s="185"/>
      <c r="Z174" s="177"/>
      <c r="AA174" s="176"/>
    </row>
    <row r="175" spans="1:27" x14ac:dyDescent="0.25">
      <c r="A175" s="401"/>
      <c r="B175" s="404"/>
      <c r="C175" s="410"/>
      <c r="D175" s="399"/>
      <c r="E175" s="185"/>
      <c r="F175" s="185"/>
      <c r="G175" s="185"/>
      <c r="H175" s="181"/>
      <c r="I175" s="181"/>
      <c r="J175" s="176"/>
      <c r="L175" s="180"/>
      <c r="M175" s="179"/>
      <c r="N175" s="390"/>
      <c r="O175" s="183" t="s">
        <v>982</v>
      </c>
      <c r="P175" s="185">
        <v>0.7</v>
      </c>
      <c r="Q175" s="185">
        <v>1</v>
      </c>
      <c r="R175" s="179">
        <f t="shared" si="0"/>
        <v>0.1</v>
      </c>
      <c r="S175" s="185">
        <f t="shared" si="1"/>
        <v>0.05</v>
      </c>
      <c r="T175" s="185">
        <v>4</v>
      </c>
      <c r="U175" s="185"/>
      <c r="V175" s="185"/>
      <c r="W175" s="179"/>
      <c r="X175" s="178"/>
      <c r="Y175" s="185"/>
      <c r="Z175" s="177"/>
      <c r="AA175" s="176"/>
    </row>
    <row r="176" spans="1:27" x14ac:dyDescent="0.25">
      <c r="A176" s="401"/>
      <c r="B176" s="404"/>
      <c r="C176" s="410"/>
      <c r="D176" s="399"/>
      <c r="E176" s="185"/>
      <c r="F176" s="185"/>
      <c r="G176" s="185"/>
      <c r="H176" s="181"/>
      <c r="I176" s="181"/>
      <c r="J176" s="176"/>
      <c r="L176" s="180"/>
      <c r="M176" s="179"/>
      <c r="N176" s="390"/>
      <c r="O176" s="183" t="s">
        <v>977</v>
      </c>
      <c r="P176" s="185">
        <v>0.6</v>
      </c>
      <c r="Q176" s="185">
        <v>1</v>
      </c>
      <c r="R176" s="179">
        <f t="shared" si="0"/>
        <v>0.1</v>
      </c>
      <c r="S176" s="185">
        <f t="shared" si="1"/>
        <v>0.05</v>
      </c>
      <c r="T176" s="185">
        <v>4</v>
      </c>
      <c r="U176" s="185"/>
      <c r="V176" s="185"/>
      <c r="W176" s="179"/>
      <c r="X176" s="178"/>
      <c r="Y176" s="185"/>
      <c r="Z176" s="177"/>
      <c r="AA176" s="176"/>
    </row>
    <row r="177" spans="1:27" ht="30" x14ac:dyDescent="0.25">
      <c r="A177" s="401"/>
      <c r="B177" s="404"/>
      <c r="C177" s="410"/>
      <c r="D177" s="399"/>
      <c r="E177" s="185"/>
      <c r="F177" s="185"/>
      <c r="G177" s="185"/>
      <c r="H177" s="181"/>
      <c r="I177" s="181"/>
      <c r="J177" s="176"/>
      <c r="L177" s="180"/>
      <c r="M177" s="179"/>
      <c r="N177" s="390"/>
      <c r="O177" s="183" t="s">
        <v>986</v>
      </c>
      <c r="P177" s="185">
        <v>6</v>
      </c>
      <c r="Q177" s="185">
        <v>1</v>
      </c>
      <c r="R177" s="179">
        <f t="shared" si="0"/>
        <v>0.1</v>
      </c>
      <c r="S177" s="185">
        <f t="shared" si="1"/>
        <v>0.05</v>
      </c>
      <c r="T177" s="185">
        <v>4</v>
      </c>
      <c r="U177" s="185"/>
      <c r="V177" s="185"/>
      <c r="W177" s="179"/>
      <c r="X177" s="178"/>
      <c r="Y177" s="185"/>
      <c r="Z177" s="177"/>
      <c r="AA177" s="176"/>
    </row>
    <row r="178" spans="1:27" x14ac:dyDescent="0.25">
      <c r="A178" s="401"/>
      <c r="B178" s="404"/>
      <c r="C178" s="410"/>
      <c r="D178" s="399"/>
      <c r="E178" s="185"/>
      <c r="F178" s="185"/>
      <c r="G178" s="185"/>
      <c r="H178" s="181"/>
      <c r="I178" s="181"/>
      <c r="J178" s="176"/>
      <c r="L178" s="180"/>
      <c r="M178" s="179"/>
      <c r="N178" s="391" t="s">
        <v>985</v>
      </c>
      <c r="O178" s="183" t="s">
        <v>984</v>
      </c>
      <c r="P178" s="185">
        <v>1</v>
      </c>
      <c r="Q178" s="185">
        <v>1</v>
      </c>
      <c r="R178" s="179">
        <f t="shared" si="0"/>
        <v>0.1</v>
      </c>
      <c r="S178" s="185">
        <f t="shared" si="1"/>
        <v>0.05</v>
      </c>
      <c r="T178" s="185">
        <v>4</v>
      </c>
      <c r="U178" s="185"/>
      <c r="V178" s="185"/>
      <c r="W178" s="179"/>
      <c r="X178" s="178"/>
      <c r="Y178" s="185"/>
      <c r="Z178" s="177"/>
      <c r="AA178" s="176"/>
    </row>
    <row r="179" spans="1:27" x14ac:dyDescent="0.25">
      <c r="A179" s="401"/>
      <c r="B179" s="404"/>
      <c r="C179" s="410"/>
      <c r="D179" s="399"/>
      <c r="E179" s="185"/>
      <c r="F179" s="185"/>
      <c r="G179" s="185"/>
      <c r="H179" s="181"/>
      <c r="I179" s="181"/>
      <c r="J179" s="176"/>
      <c r="L179" s="180"/>
      <c r="M179" s="179"/>
      <c r="N179" s="390"/>
      <c r="O179" s="183" t="s">
        <v>983</v>
      </c>
      <c r="P179" s="185">
        <v>0.5</v>
      </c>
      <c r="Q179" s="185">
        <v>1</v>
      </c>
      <c r="R179" s="179">
        <f t="shared" si="0"/>
        <v>0.1</v>
      </c>
      <c r="S179" s="185">
        <f t="shared" si="1"/>
        <v>0.05</v>
      </c>
      <c r="T179" s="185">
        <v>4</v>
      </c>
      <c r="U179" s="185"/>
      <c r="V179" s="185"/>
      <c r="W179" s="179"/>
      <c r="X179" s="178"/>
      <c r="Y179" s="185"/>
      <c r="Z179" s="177"/>
      <c r="AA179" s="176"/>
    </row>
    <row r="180" spans="1:27" ht="30" x14ac:dyDescent="0.25">
      <c r="A180" s="401"/>
      <c r="B180" s="404"/>
      <c r="C180" s="410"/>
      <c r="D180" s="399"/>
      <c r="E180" s="185"/>
      <c r="F180" s="185"/>
      <c r="G180" s="185"/>
      <c r="H180" s="181"/>
      <c r="I180" s="181"/>
      <c r="J180" s="176"/>
      <c r="L180" s="180"/>
      <c r="M180" s="179"/>
      <c r="N180" s="390"/>
      <c r="O180" s="183" t="s">
        <v>978</v>
      </c>
      <c r="P180" s="185">
        <v>1</v>
      </c>
      <c r="Q180" s="185">
        <v>1</v>
      </c>
      <c r="R180" s="179">
        <f t="shared" si="0"/>
        <v>0.1</v>
      </c>
      <c r="S180" s="185">
        <f t="shared" si="1"/>
        <v>0.05</v>
      </c>
      <c r="T180" s="185">
        <v>4</v>
      </c>
      <c r="U180" s="185"/>
      <c r="V180" s="185"/>
      <c r="W180" s="179"/>
      <c r="X180" s="178"/>
      <c r="Y180" s="185"/>
      <c r="Z180" s="177"/>
      <c r="AA180" s="176"/>
    </row>
    <row r="181" spans="1:27" x14ac:dyDescent="0.25">
      <c r="A181" s="401"/>
      <c r="B181" s="404"/>
      <c r="C181" s="410"/>
      <c r="D181" s="399"/>
      <c r="E181" s="185"/>
      <c r="F181" s="185"/>
      <c r="G181" s="185"/>
      <c r="H181" s="181"/>
      <c r="I181" s="181"/>
      <c r="J181" s="176"/>
      <c r="L181" s="180"/>
      <c r="M181" s="179"/>
      <c r="N181" s="390"/>
      <c r="O181" s="183" t="s">
        <v>982</v>
      </c>
      <c r="P181" s="185">
        <v>0.6</v>
      </c>
      <c r="Q181" s="185">
        <v>1</v>
      </c>
      <c r="R181" s="179">
        <f t="shared" si="0"/>
        <v>0.1</v>
      </c>
      <c r="S181" s="185">
        <f t="shared" si="1"/>
        <v>0.05</v>
      </c>
      <c r="T181" s="185">
        <v>4</v>
      </c>
      <c r="U181" s="185"/>
      <c r="V181" s="185"/>
      <c r="W181" s="179"/>
      <c r="X181" s="178"/>
      <c r="Y181" s="185"/>
      <c r="Z181" s="177"/>
      <c r="AA181" s="176"/>
    </row>
    <row r="182" spans="1:27" x14ac:dyDescent="0.25">
      <c r="A182" s="401"/>
      <c r="B182" s="404"/>
      <c r="C182" s="410"/>
      <c r="D182" s="399"/>
      <c r="E182" s="185"/>
      <c r="F182" s="185"/>
      <c r="G182" s="185"/>
      <c r="H182" s="181"/>
      <c r="I182" s="181"/>
      <c r="J182" s="176"/>
      <c r="L182" s="180"/>
      <c r="M182" s="179"/>
      <c r="N182" s="390"/>
      <c r="O182" s="183" t="s">
        <v>977</v>
      </c>
      <c r="P182" s="185">
        <v>0.7</v>
      </c>
      <c r="Q182" s="185">
        <v>1</v>
      </c>
      <c r="R182" s="179">
        <f t="shared" si="0"/>
        <v>0.1</v>
      </c>
      <c r="S182" s="185">
        <f t="shared" si="1"/>
        <v>0.05</v>
      </c>
      <c r="T182" s="185">
        <v>4</v>
      </c>
      <c r="U182" s="185"/>
      <c r="V182" s="185"/>
      <c r="W182" s="179"/>
      <c r="X182" s="178"/>
      <c r="Y182" s="185"/>
      <c r="Z182" s="177"/>
      <c r="AA182" s="176"/>
    </row>
    <row r="183" spans="1:27" x14ac:dyDescent="0.25">
      <c r="A183" s="401"/>
      <c r="B183" s="404"/>
      <c r="C183" s="410"/>
      <c r="D183" s="399"/>
      <c r="E183" s="185"/>
      <c r="F183" s="185"/>
      <c r="G183" s="185"/>
      <c r="H183" s="181"/>
      <c r="I183" s="181"/>
      <c r="J183" s="176"/>
      <c r="L183" s="180"/>
      <c r="M183" s="179"/>
      <c r="N183" s="390"/>
      <c r="O183" s="183" t="s">
        <v>976</v>
      </c>
      <c r="P183" s="185">
        <v>7</v>
      </c>
      <c r="Q183" s="185">
        <v>1</v>
      </c>
      <c r="R183" s="179">
        <f t="shared" si="0"/>
        <v>0.1</v>
      </c>
      <c r="S183" s="185">
        <f t="shared" si="1"/>
        <v>0.05</v>
      </c>
      <c r="T183" s="185">
        <v>4</v>
      </c>
      <c r="U183" s="185"/>
      <c r="V183" s="185"/>
      <c r="W183" s="179"/>
      <c r="X183" s="178"/>
      <c r="Y183" s="185"/>
      <c r="Z183" s="177"/>
      <c r="AA183" s="176"/>
    </row>
    <row r="184" spans="1:27" x14ac:dyDescent="0.25">
      <c r="A184" s="401"/>
      <c r="B184" s="404"/>
      <c r="C184" s="410"/>
      <c r="D184" s="399"/>
      <c r="E184" s="185"/>
      <c r="F184" s="185"/>
      <c r="G184" s="185"/>
      <c r="H184" s="181"/>
      <c r="I184" s="181"/>
      <c r="J184" s="176"/>
      <c r="L184" s="180"/>
      <c r="M184" s="179"/>
      <c r="N184" s="390"/>
      <c r="O184" s="185" t="s">
        <v>975</v>
      </c>
      <c r="P184" s="185">
        <v>17</v>
      </c>
      <c r="Q184" s="185">
        <v>1</v>
      </c>
      <c r="R184" s="179">
        <f t="shared" si="0"/>
        <v>0.1</v>
      </c>
      <c r="S184" s="185">
        <f t="shared" si="1"/>
        <v>0.05</v>
      </c>
      <c r="T184" s="185">
        <v>4</v>
      </c>
      <c r="U184" s="185"/>
      <c r="V184" s="185"/>
      <c r="W184" s="179"/>
      <c r="X184" s="178"/>
      <c r="Y184" s="185"/>
      <c r="Z184" s="177"/>
      <c r="AA184" s="176"/>
    </row>
    <row r="185" spans="1:27" x14ac:dyDescent="0.25">
      <c r="A185" s="401"/>
      <c r="B185" s="404"/>
      <c r="C185" s="410"/>
      <c r="D185" s="399"/>
      <c r="E185" s="185"/>
      <c r="F185" s="185"/>
      <c r="G185" s="185"/>
      <c r="H185" s="181"/>
      <c r="I185" s="181"/>
      <c r="J185" s="176"/>
      <c r="L185" s="180"/>
      <c r="M185" s="179"/>
      <c r="N185" s="391" t="s">
        <v>981</v>
      </c>
      <c r="O185" s="183" t="s">
        <v>980</v>
      </c>
      <c r="P185" s="185">
        <v>0.8</v>
      </c>
      <c r="Q185" s="185">
        <v>1</v>
      </c>
      <c r="R185" s="179">
        <f t="shared" si="0"/>
        <v>0.1</v>
      </c>
      <c r="S185" s="185">
        <f t="shared" si="1"/>
        <v>0.05</v>
      </c>
      <c r="T185" s="185">
        <v>4</v>
      </c>
      <c r="U185" s="185"/>
      <c r="V185" s="185"/>
      <c r="W185" s="179"/>
      <c r="X185" s="178"/>
      <c r="Y185" s="185"/>
      <c r="Z185" s="177"/>
      <c r="AA185" s="176"/>
    </row>
    <row r="186" spans="1:27" ht="60" x14ac:dyDescent="0.25">
      <c r="A186" s="401"/>
      <c r="B186" s="404"/>
      <c r="C186" s="410"/>
      <c r="D186" s="399"/>
      <c r="E186" s="185"/>
      <c r="F186" s="185"/>
      <c r="G186" s="185"/>
      <c r="H186" s="181"/>
      <c r="I186" s="181"/>
      <c r="J186" s="176"/>
      <c r="L186" s="180"/>
      <c r="M186" s="179"/>
      <c r="N186" s="390"/>
      <c r="O186" s="183" t="s">
        <v>979</v>
      </c>
      <c r="P186" s="185">
        <v>4</v>
      </c>
      <c r="Q186" s="185">
        <v>1</v>
      </c>
      <c r="R186" s="179">
        <f t="shared" si="0"/>
        <v>0.1</v>
      </c>
      <c r="S186" s="185">
        <f t="shared" si="1"/>
        <v>0.05</v>
      </c>
      <c r="T186" s="185">
        <v>4</v>
      </c>
      <c r="U186" s="185"/>
      <c r="V186" s="185"/>
      <c r="W186" s="179"/>
      <c r="X186" s="178"/>
      <c r="Y186" s="185"/>
      <c r="Z186" s="177"/>
      <c r="AA186" s="176"/>
    </row>
    <row r="187" spans="1:27" ht="30" x14ac:dyDescent="0.25">
      <c r="A187" s="401"/>
      <c r="B187" s="404"/>
      <c r="C187" s="410"/>
      <c r="D187" s="399"/>
      <c r="E187" s="185"/>
      <c r="F187" s="185"/>
      <c r="G187" s="185"/>
      <c r="H187" s="181"/>
      <c r="I187" s="181"/>
      <c r="J187" s="176"/>
      <c r="L187" s="180"/>
      <c r="M187" s="179"/>
      <c r="N187" s="390"/>
      <c r="O187" s="183" t="s">
        <v>978</v>
      </c>
      <c r="P187" s="185">
        <v>1</v>
      </c>
      <c r="Q187" s="185">
        <v>1</v>
      </c>
      <c r="R187" s="179">
        <f t="shared" si="0"/>
        <v>0.1</v>
      </c>
      <c r="S187" s="185">
        <f t="shared" si="1"/>
        <v>0.05</v>
      </c>
      <c r="T187" s="185">
        <v>4</v>
      </c>
      <c r="U187" s="185"/>
      <c r="V187" s="185"/>
      <c r="W187" s="179"/>
      <c r="X187" s="178"/>
      <c r="Y187" s="185"/>
      <c r="Z187" s="177"/>
      <c r="AA187" s="176"/>
    </row>
    <row r="188" spans="1:27" x14ac:dyDescent="0.25">
      <c r="A188" s="401"/>
      <c r="B188" s="404"/>
      <c r="C188" s="410"/>
      <c r="D188" s="399"/>
      <c r="E188" s="185"/>
      <c r="F188" s="185"/>
      <c r="G188" s="185"/>
      <c r="H188" s="181"/>
      <c r="I188" s="181"/>
      <c r="J188" s="176"/>
      <c r="L188" s="180"/>
      <c r="M188" s="179"/>
      <c r="N188" s="390"/>
      <c r="O188" s="183" t="s">
        <v>977</v>
      </c>
      <c r="P188" s="185">
        <v>0.7</v>
      </c>
      <c r="Q188" s="185">
        <v>1</v>
      </c>
      <c r="R188" s="179">
        <f t="shared" si="0"/>
        <v>0.1</v>
      </c>
      <c r="S188" s="185">
        <f t="shared" si="1"/>
        <v>0.05</v>
      </c>
      <c r="T188" s="185">
        <v>4</v>
      </c>
      <c r="U188" s="185"/>
      <c r="V188" s="185"/>
      <c r="W188" s="179"/>
      <c r="X188" s="178"/>
      <c r="Y188" s="185"/>
      <c r="Z188" s="177"/>
      <c r="AA188" s="176"/>
    </row>
    <row r="189" spans="1:27" x14ac:dyDescent="0.25">
      <c r="A189" s="401"/>
      <c r="B189" s="404"/>
      <c r="C189" s="410"/>
      <c r="D189" s="399"/>
      <c r="E189" s="185"/>
      <c r="F189" s="185"/>
      <c r="G189" s="185"/>
      <c r="H189" s="181"/>
      <c r="I189" s="181"/>
      <c r="J189" s="176"/>
      <c r="L189" s="180"/>
      <c r="M189" s="179"/>
      <c r="N189" s="390"/>
      <c r="O189" s="183" t="s">
        <v>976</v>
      </c>
      <c r="P189" s="185">
        <v>7</v>
      </c>
      <c r="Q189" s="185">
        <v>1</v>
      </c>
      <c r="R189" s="179">
        <f t="shared" si="0"/>
        <v>0.1</v>
      </c>
      <c r="S189" s="185">
        <f t="shared" si="1"/>
        <v>0.05</v>
      </c>
      <c r="T189" s="185">
        <v>4</v>
      </c>
      <c r="U189" s="185"/>
      <c r="V189" s="185"/>
      <c r="W189" s="179"/>
      <c r="X189" s="178"/>
      <c r="Y189" s="185"/>
      <c r="Z189" s="177"/>
      <c r="AA189" s="176"/>
    </row>
    <row r="190" spans="1:27" x14ac:dyDescent="0.25">
      <c r="A190" s="401"/>
      <c r="B190" s="404"/>
      <c r="C190" s="411"/>
      <c r="D190" s="399"/>
      <c r="E190" s="185"/>
      <c r="F190" s="185"/>
      <c r="G190" s="185"/>
      <c r="H190" s="181"/>
      <c r="I190" s="181"/>
      <c r="J190" s="176"/>
      <c r="L190" s="180"/>
      <c r="M190" s="179"/>
      <c r="N190" s="390"/>
      <c r="O190" s="185" t="s">
        <v>975</v>
      </c>
      <c r="P190" s="185">
        <v>17</v>
      </c>
      <c r="Q190" s="185">
        <v>1</v>
      </c>
      <c r="R190" s="179">
        <f t="shared" si="0"/>
        <v>0.1</v>
      </c>
      <c r="S190" s="185">
        <f t="shared" si="1"/>
        <v>0.05</v>
      </c>
      <c r="T190" s="185">
        <v>4</v>
      </c>
      <c r="U190" s="185"/>
      <c r="V190" s="185"/>
      <c r="W190" s="179"/>
      <c r="X190" s="178"/>
      <c r="Y190" s="185"/>
      <c r="Z190" s="177"/>
      <c r="AA190" s="176"/>
    </row>
    <row r="191" spans="1:27" ht="30" x14ac:dyDescent="0.25">
      <c r="A191" s="401"/>
      <c r="B191" s="404"/>
      <c r="C191" s="392" t="s">
        <v>253</v>
      </c>
      <c r="D191" s="395" t="s">
        <v>974</v>
      </c>
      <c r="E191" s="184" t="s">
        <v>973</v>
      </c>
      <c r="F191" s="185"/>
      <c r="G191" s="185" t="s">
        <v>929</v>
      </c>
      <c r="H191" s="187">
        <f>I191*J191</f>
        <v>1087805.1406999999</v>
      </c>
      <c r="I191" s="187">
        <f>X191*Z191+Y191</f>
        <v>5.7192999999999996</v>
      </c>
      <c r="J191" s="186">
        <v>190199</v>
      </c>
      <c r="L191" s="189">
        <v>0.5</v>
      </c>
      <c r="M191" s="179">
        <f>1/6</f>
        <v>0.16666666666666666</v>
      </c>
      <c r="N191" s="185" t="s">
        <v>972</v>
      </c>
      <c r="O191" s="185" t="s">
        <v>971</v>
      </c>
      <c r="P191" s="185">
        <v>3.5</v>
      </c>
      <c r="Q191" s="185">
        <v>1</v>
      </c>
      <c r="R191" s="179">
        <f>2/6</f>
        <v>0.33333333333333331</v>
      </c>
      <c r="S191" s="185">
        <v>0.1</v>
      </c>
      <c r="T191" s="185">
        <v>2</v>
      </c>
      <c r="U191" s="185"/>
      <c r="V191" s="185">
        <v>2.5</v>
      </c>
      <c r="W191" s="179">
        <f>1/6</f>
        <v>0.16666666666666666</v>
      </c>
      <c r="X191" s="178">
        <f>(L191*M191+L192*M192+L193*M193+L208*M208+R191*T191)*6</f>
        <v>10.5</v>
      </c>
      <c r="Y191" s="185">
        <f>(P192*Q192*R192+P193*Q193*R193+V191*W191)*6</f>
        <v>2.5</v>
      </c>
      <c r="Z191" s="177">
        <v>0.30659999999999998</v>
      </c>
      <c r="AA191" s="176"/>
    </row>
    <row r="192" spans="1:27" x14ac:dyDescent="0.25">
      <c r="A192" s="401"/>
      <c r="B192" s="404"/>
      <c r="C192" s="393"/>
      <c r="D192" s="396"/>
      <c r="E192" s="184" t="s">
        <v>970</v>
      </c>
      <c r="F192" s="185"/>
      <c r="G192" s="185"/>
      <c r="H192" s="181"/>
      <c r="I192" s="181"/>
      <c r="J192" s="176"/>
      <c r="L192" s="189">
        <v>1</v>
      </c>
      <c r="M192" s="179">
        <f>1/6</f>
        <v>0.16666666666666666</v>
      </c>
      <c r="N192" s="185"/>
      <c r="O192" s="185"/>
      <c r="P192" s="185"/>
      <c r="Q192" s="185"/>
      <c r="R192" s="179"/>
      <c r="S192" s="185"/>
      <c r="T192" s="185"/>
      <c r="U192" s="185"/>
      <c r="V192" s="185"/>
      <c r="W192" s="179"/>
      <c r="X192" s="178"/>
      <c r="Y192" s="185"/>
      <c r="Z192" s="177"/>
      <c r="AA192" s="176"/>
    </row>
    <row r="193" spans="1:27" x14ac:dyDescent="0.25">
      <c r="A193" s="401"/>
      <c r="B193" s="404"/>
      <c r="C193" s="393"/>
      <c r="D193" s="397"/>
      <c r="E193" s="184" t="s">
        <v>969</v>
      </c>
      <c r="F193" s="185"/>
      <c r="G193" s="185"/>
      <c r="H193" s="181"/>
      <c r="I193" s="181"/>
      <c r="J193" s="176"/>
      <c r="L193" s="189">
        <v>1</v>
      </c>
      <c r="M193" s="179">
        <f>2/6</f>
        <v>0.33333333333333331</v>
      </c>
      <c r="N193" s="185"/>
      <c r="O193" s="185"/>
      <c r="P193" s="185"/>
      <c r="Q193" s="185"/>
      <c r="R193" s="179"/>
      <c r="S193" s="185"/>
      <c r="T193" s="185"/>
      <c r="U193" s="185"/>
      <c r="V193" s="185"/>
      <c r="W193" s="179"/>
      <c r="X193" s="178"/>
      <c r="Y193" s="185"/>
      <c r="Z193" s="177"/>
      <c r="AA193" s="176"/>
    </row>
    <row r="194" spans="1:27" ht="90" x14ac:dyDescent="0.25">
      <c r="A194" s="401"/>
      <c r="B194" s="404"/>
      <c r="C194" s="393"/>
      <c r="D194" s="398" t="s">
        <v>968</v>
      </c>
      <c r="E194" s="184" t="s">
        <v>967</v>
      </c>
      <c r="F194" s="185"/>
      <c r="G194" s="185" t="s">
        <v>929</v>
      </c>
      <c r="H194" s="187">
        <f>I194*J194</f>
        <v>6106548.1138999993</v>
      </c>
      <c r="I194" s="187">
        <f>X194*Z194+Y194</f>
        <v>32.106099999999998</v>
      </c>
      <c r="J194" s="186">
        <v>190199</v>
      </c>
      <c r="L194" s="180">
        <v>2</v>
      </c>
      <c r="M194" s="179">
        <f t="shared" ref="M194:M201" si="2">1/6</f>
        <v>0.16666666666666666</v>
      </c>
      <c r="N194" s="183" t="s">
        <v>966</v>
      </c>
      <c r="O194" s="183" t="s">
        <v>274</v>
      </c>
      <c r="P194" s="185">
        <v>2.5</v>
      </c>
      <c r="Q194" s="185">
        <v>10</v>
      </c>
      <c r="R194" s="179">
        <f>1/6</f>
        <v>0.16666666666666666</v>
      </c>
      <c r="S194" s="185">
        <v>0.5</v>
      </c>
      <c r="T194" s="185">
        <v>1</v>
      </c>
      <c r="U194" s="185"/>
      <c r="V194" s="185"/>
      <c r="W194" s="179"/>
      <c r="X194" s="178">
        <f>(L194*M194+L195*M195+L196*M196+L197*M197+S194*T194)*6</f>
        <v>8.5</v>
      </c>
      <c r="Y194" s="185">
        <f>(P194*Q194*R194+P195*Q195*R195+V194*W194)*6</f>
        <v>29.499999999999996</v>
      </c>
      <c r="Z194" s="177">
        <v>0.30659999999999998</v>
      </c>
      <c r="AA194" s="176"/>
    </row>
    <row r="195" spans="1:27" ht="30" x14ac:dyDescent="0.25">
      <c r="A195" s="401"/>
      <c r="B195" s="404"/>
      <c r="C195" s="393"/>
      <c r="D195" s="399"/>
      <c r="E195" s="184" t="s">
        <v>965</v>
      </c>
      <c r="F195" s="185"/>
      <c r="G195" s="185" t="s">
        <v>929</v>
      </c>
      <c r="H195" s="181"/>
      <c r="I195" s="181"/>
      <c r="J195" s="176"/>
      <c r="L195" s="180">
        <v>1</v>
      </c>
      <c r="M195" s="179">
        <f t="shared" si="2"/>
        <v>0.16666666666666666</v>
      </c>
      <c r="N195" s="185"/>
      <c r="O195" s="183" t="s">
        <v>964</v>
      </c>
      <c r="P195" s="185">
        <v>4.5</v>
      </c>
      <c r="Q195" s="185">
        <v>1</v>
      </c>
      <c r="R195" s="179">
        <f>1/6</f>
        <v>0.16666666666666666</v>
      </c>
      <c r="S195" s="185">
        <v>0.1</v>
      </c>
      <c r="T195" s="185">
        <v>1</v>
      </c>
      <c r="U195" s="185"/>
      <c r="V195" s="185"/>
      <c r="W195" s="179"/>
      <c r="X195" s="178"/>
      <c r="Y195" s="185"/>
      <c r="Z195" s="177"/>
      <c r="AA195" s="176"/>
    </row>
    <row r="196" spans="1:27" x14ac:dyDescent="0.25">
      <c r="A196" s="401"/>
      <c r="B196" s="404"/>
      <c r="C196" s="393"/>
      <c r="D196" s="399"/>
      <c r="E196" s="184" t="s">
        <v>963</v>
      </c>
      <c r="F196" s="185"/>
      <c r="G196" s="185"/>
      <c r="H196" s="181"/>
      <c r="I196" s="181"/>
      <c r="J196" s="176"/>
      <c r="L196" s="180">
        <v>1</v>
      </c>
      <c r="M196" s="179">
        <f t="shared" si="2"/>
        <v>0.16666666666666666</v>
      </c>
      <c r="N196" s="185"/>
      <c r="O196" s="185"/>
      <c r="P196" s="185"/>
      <c r="Q196" s="185"/>
      <c r="R196" s="179"/>
      <c r="S196" s="185"/>
      <c r="T196" s="185"/>
      <c r="U196" s="185"/>
      <c r="V196" s="185"/>
      <c r="W196" s="179"/>
      <c r="X196" s="178"/>
      <c r="Y196" s="185"/>
      <c r="Z196" s="177"/>
      <c r="AA196" s="176"/>
    </row>
    <row r="197" spans="1:27" x14ac:dyDescent="0.25">
      <c r="A197" s="401"/>
      <c r="B197" s="404"/>
      <c r="C197" s="393"/>
      <c r="D197" s="399"/>
      <c r="E197" s="184" t="s">
        <v>962</v>
      </c>
      <c r="F197" s="235" t="s">
        <v>274</v>
      </c>
      <c r="G197" s="185"/>
      <c r="H197" s="181"/>
      <c r="I197" s="181"/>
      <c r="J197" s="176"/>
      <c r="L197" s="180">
        <v>1.5</v>
      </c>
      <c r="M197" s="179">
        <f t="shared" si="2"/>
        <v>0.16666666666666666</v>
      </c>
      <c r="N197" s="185"/>
      <c r="O197" s="185"/>
      <c r="P197" s="185"/>
      <c r="Q197" s="185"/>
      <c r="R197" s="179"/>
      <c r="S197" s="185"/>
      <c r="T197" s="185"/>
      <c r="U197" s="185"/>
      <c r="V197" s="185"/>
      <c r="W197" s="179"/>
      <c r="X197" s="178"/>
      <c r="Y197" s="185"/>
      <c r="Z197" s="177"/>
      <c r="AA197" s="176"/>
    </row>
    <row r="198" spans="1:27" ht="45" x14ac:dyDescent="0.25">
      <c r="A198" s="401"/>
      <c r="B198" s="404"/>
      <c r="C198" s="393"/>
      <c r="D198" s="398" t="s">
        <v>961</v>
      </c>
      <c r="E198" s="184" t="s">
        <v>960</v>
      </c>
      <c r="F198" s="185"/>
      <c r="G198" s="185" t="s">
        <v>929</v>
      </c>
      <c r="H198" s="187">
        <f>I198*J198</f>
        <v>6766842.9622999988</v>
      </c>
      <c r="I198" s="187">
        <f>X198*Z198+Y198</f>
        <v>35.577699999999993</v>
      </c>
      <c r="J198" s="186">
        <v>190199</v>
      </c>
      <c r="L198" s="180">
        <v>0.5</v>
      </c>
      <c r="M198" s="179">
        <f t="shared" si="2"/>
        <v>0.16666666666666666</v>
      </c>
      <c r="N198" s="182" t="s">
        <v>959</v>
      </c>
      <c r="O198" s="183" t="s">
        <v>955</v>
      </c>
      <c r="P198" s="185">
        <v>25</v>
      </c>
      <c r="Q198" s="185">
        <v>1</v>
      </c>
      <c r="R198" s="179">
        <f>1/6</f>
        <v>0.16666666666666666</v>
      </c>
      <c r="S198" s="185">
        <v>1</v>
      </c>
      <c r="T198" s="185">
        <v>4</v>
      </c>
      <c r="U198" s="185"/>
      <c r="V198" s="185"/>
      <c r="W198" s="179"/>
      <c r="X198" s="178">
        <f>(L198*M198+L199*M199+L200*M200+L201*M201+S198*T198)*6</f>
        <v>34.5</v>
      </c>
      <c r="Y198" s="185">
        <f>(P198*Q198*R198+P199*Q199*R199+V198*W198)*6</f>
        <v>24.999999999999996</v>
      </c>
      <c r="Z198" s="177">
        <v>0.30659999999999998</v>
      </c>
      <c r="AA198" s="176"/>
    </row>
    <row r="199" spans="1:27" x14ac:dyDescent="0.25">
      <c r="A199" s="401"/>
      <c r="B199" s="404"/>
      <c r="C199" s="393"/>
      <c r="D199" s="399"/>
      <c r="E199" s="184" t="s">
        <v>958</v>
      </c>
      <c r="F199" s="185"/>
      <c r="G199" s="185"/>
      <c r="H199" s="181"/>
      <c r="I199" s="181"/>
      <c r="J199" s="176"/>
      <c r="L199" s="180">
        <v>1</v>
      </c>
      <c r="M199" s="179">
        <f t="shared" si="2"/>
        <v>0.16666666666666666</v>
      </c>
      <c r="N199" s="185"/>
      <c r="O199" s="185"/>
      <c r="P199" s="185"/>
      <c r="Q199" s="185"/>
      <c r="R199" s="179"/>
      <c r="S199" s="185"/>
      <c r="T199" s="185"/>
      <c r="U199" s="185"/>
      <c r="V199" s="185"/>
      <c r="W199" s="179"/>
      <c r="X199" s="178"/>
      <c r="Y199" s="185"/>
      <c r="Z199" s="177"/>
      <c r="AA199" s="176"/>
    </row>
    <row r="200" spans="1:27" x14ac:dyDescent="0.25">
      <c r="A200" s="401"/>
      <c r="B200" s="404"/>
      <c r="C200" s="393"/>
      <c r="D200" s="399"/>
      <c r="E200" s="184" t="s">
        <v>957</v>
      </c>
      <c r="F200" s="185"/>
      <c r="G200" s="185"/>
      <c r="H200" s="181"/>
      <c r="I200" s="181"/>
      <c r="J200" s="176"/>
      <c r="L200" s="180">
        <v>1</v>
      </c>
      <c r="M200" s="179">
        <f t="shared" si="2"/>
        <v>0.16666666666666666</v>
      </c>
      <c r="N200" s="185"/>
      <c r="O200" s="185"/>
      <c r="P200" s="185"/>
      <c r="Q200" s="185"/>
      <c r="R200" s="179"/>
      <c r="S200" s="185"/>
      <c r="T200" s="185"/>
      <c r="U200" s="185"/>
      <c r="V200" s="185"/>
      <c r="W200" s="179"/>
      <c r="X200" s="178"/>
      <c r="Y200" s="185"/>
      <c r="Z200" s="177"/>
      <c r="AA200" s="176"/>
    </row>
    <row r="201" spans="1:27" ht="45" x14ac:dyDescent="0.25">
      <c r="A201" s="401"/>
      <c r="B201" s="404"/>
      <c r="C201" s="394"/>
      <c r="D201" s="399"/>
      <c r="E201" s="184" t="s">
        <v>956</v>
      </c>
      <c r="F201" s="235" t="s">
        <v>955</v>
      </c>
      <c r="G201" s="185"/>
      <c r="H201" s="181"/>
      <c r="I201" s="181"/>
      <c r="J201" s="176"/>
      <c r="L201" s="180">
        <v>8</v>
      </c>
      <c r="M201" s="179">
        <f t="shared" si="2"/>
        <v>0.16666666666666666</v>
      </c>
      <c r="N201" s="185"/>
      <c r="O201" s="185"/>
      <c r="P201" s="185"/>
      <c r="Q201" s="185"/>
      <c r="R201" s="179"/>
      <c r="S201" s="185"/>
      <c r="T201" s="185"/>
      <c r="U201" s="185"/>
      <c r="V201" s="185"/>
      <c r="W201" s="179"/>
      <c r="X201" s="178"/>
      <c r="Y201" s="185"/>
      <c r="Z201" s="177"/>
      <c r="AA201" s="176"/>
    </row>
    <row r="202" spans="1:27" ht="45" x14ac:dyDescent="0.25">
      <c r="A202" s="401"/>
      <c r="B202" s="404"/>
      <c r="C202" s="406" t="s">
        <v>954</v>
      </c>
      <c r="D202" s="412" t="s">
        <v>187</v>
      </c>
      <c r="E202" s="235" t="s">
        <v>953</v>
      </c>
      <c r="F202" s="185"/>
      <c r="G202" s="185" t="s">
        <v>929</v>
      </c>
      <c r="H202" s="187">
        <f>I202*J202</f>
        <v>20013712.59888</v>
      </c>
      <c r="I202" s="187">
        <f>X202*Z202+Y202</f>
        <v>105.22512</v>
      </c>
      <c r="J202" s="186">
        <v>190199</v>
      </c>
      <c r="L202" s="180">
        <v>28</v>
      </c>
      <c r="M202" s="179">
        <v>1</v>
      </c>
      <c r="N202" s="185"/>
      <c r="O202" s="185"/>
      <c r="P202" s="185"/>
      <c r="Q202" s="185"/>
      <c r="R202" s="179"/>
      <c r="S202" s="185"/>
      <c r="T202" s="185"/>
      <c r="U202" s="185"/>
      <c r="V202" s="185"/>
      <c r="W202" s="179"/>
      <c r="X202" s="178">
        <f>(L202*M202+L203*M203+L204*M204+L205*M205+S202*T202)*6</f>
        <v>343.20000000000005</v>
      </c>
      <c r="Y202" s="185">
        <f>(P202*Q202*R202+P203*Q203*R203+V202*W202)*6</f>
        <v>0</v>
      </c>
      <c r="Z202" s="177">
        <v>0.30659999999999998</v>
      </c>
      <c r="AA202" s="176"/>
    </row>
    <row r="203" spans="1:27" x14ac:dyDescent="0.25">
      <c r="A203" s="401"/>
      <c r="B203" s="404"/>
      <c r="C203" s="407"/>
      <c r="D203" s="399"/>
      <c r="E203" s="235" t="s">
        <v>949</v>
      </c>
      <c r="F203" s="185"/>
      <c r="G203" s="185" t="s">
        <v>929</v>
      </c>
      <c r="H203" s="181"/>
      <c r="I203" s="181"/>
      <c r="J203" s="186"/>
      <c r="L203" s="180">
        <v>1</v>
      </c>
      <c r="M203" s="179">
        <v>1</v>
      </c>
      <c r="N203" s="185"/>
      <c r="O203" s="185"/>
      <c r="P203" s="185"/>
      <c r="Q203" s="185"/>
      <c r="R203" s="179"/>
      <c r="S203" s="185"/>
      <c r="T203" s="185"/>
      <c r="U203" s="185"/>
      <c r="V203" s="185"/>
      <c r="W203" s="179"/>
      <c r="X203" s="178"/>
      <c r="Y203" s="185"/>
      <c r="Z203" s="177"/>
      <c r="AA203" s="176"/>
    </row>
    <row r="204" spans="1:27" x14ac:dyDescent="0.25">
      <c r="A204" s="401"/>
      <c r="B204" s="404"/>
      <c r="C204" s="407"/>
      <c r="D204" s="412" t="s">
        <v>188</v>
      </c>
      <c r="E204" s="235" t="s">
        <v>952</v>
      </c>
      <c r="F204" s="185"/>
      <c r="G204" s="185" t="s">
        <v>929</v>
      </c>
      <c r="H204" s="181"/>
      <c r="I204" s="181"/>
      <c r="J204" s="186"/>
      <c r="L204" s="180">
        <v>28</v>
      </c>
      <c r="M204" s="179">
        <v>1</v>
      </c>
      <c r="N204" s="185"/>
      <c r="O204" s="185"/>
      <c r="P204" s="185"/>
      <c r="Q204" s="185"/>
      <c r="R204" s="179"/>
      <c r="S204" s="185"/>
      <c r="T204" s="185"/>
      <c r="U204" s="185"/>
      <c r="V204" s="185"/>
      <c r="W204" s="179"/>
      <c r="X204" s="178"/>
      <c r="Y204" s="185"/>
      <c r="Z204" s="177"/>
      <c r="AA204" s="176"/>
    </row>
    <row r="205" spans="1:27" x14ac:dyDescent="0.25">
      <c r="A205" s="401"/>
      <c r="B205" s="404"/>
      <c r="C205" s="407"/>
      <c r="D205" s="399"/>
      <c r="E205" s="235" t="s">
        <v>951</v>
      </c>
      <c r="F205" s="185"/>
      <c r="G205" s="185" t="s">
        <v>929</v>
      </c>
      <c r="H205" s="181"/>
      <c r="I205" s="181"/>
      <c r="J205" s="186"/>
      <c r="L205" s="180">
        <v>0.2</v>
      </c>
      <c r="M205" s="179">
        <v>1</v>
      </c>
      <c r="N205" s="185"/>
      <c r="O205" s="185"/>
      <c r="P205" s="185"/>
      <c r="Q205" s="185"/>
      <c r="R205" s="179"/>
      <c r="S205" s="185"/>
      <c r="T205" s="185"/>
      <c r="U205" s="185"/>
      <c r="V205" s="185"/>
      <c r="W205" s="179"/>
      <c r="X205" s="178"/>
      <c r="Y205" s="185"/>
      <c r="Z205" s="177"/>
      <c r="AA205" s="176"/>
    </row>
    <row r="206" spans="1:27" ht="30" x14ac:dyDescent="0.25">
      <c r="A206" s="401"/>
      <c r="B206" s="404"/>
      <c r="C206" s="407"/>
      <c r="D206" s="412" t="s">
        <v>189</v>
      </c>
      <c r="E206" s="235" t="s">
        <v>950</v>
      </c>
      <c r="F206" s="185"/>
      <c r="G206" s="185" t="s">
        <v>929</v>
      </c>
      <c r="H206" s="181"/>
      <c r="I206" s="181"/>
      <c r="J206" s="186"/>
      <c r="L206" s="180">
        <v>1</v>
      </c>
      <c r="M206" s="179">
        <v>1</v>
      </c>
      <c r="N206" s="185"/>
      <c r="O206" s="185"/>
      <c r="P206" s="185"/>
      <c r="Q206" s="185"/>
      <c r="R206" s="179"/>
      <c r="S206" s="185"/>
      <c r="T206" s="185"/>
      <c r="U206" s="185"/>
      <c r="V206" s="185"/>
      <c r="W206" s="179"/>
      <c r="X206" s="178"/>
      <c r="Y206" s="185"/>
      <c r="Z206" s="177"/>
      <c r="AA206" s="176"/>
    </row>
    <row r="207" spans="1:27" x14ac:dyDescent="0.25">
      <c r="A207" s="401"/>
      <c r="B207" s="404"/>
      <c r="C207" s="407"/>
      <c r="D207" s="399"/>
      <c r="E207" s="235" t="s">
        <v>949</v>
      </c>
      <c r="F207" s="185"/>
      <c r="G207" s="185" t="s">
        <v>929</v>
      </c>
      <c r="H207" s="181"/>
      <c r="I207" s="181"/>
      <c r="J207" s="186"/>
      <c r="L207" s="180">
        <v>0.2</v>
      </c>
      <c r="M207" s="179">
        <v>1</v>
      </c>
      <c r="N207" s="185"/>
      <c r="O207" s="185"/>
      <c r="P207" s="185"/>
      <c r="Q207" s="185"/>
      <c r="R207" s="179"/>
      <c r="S207" s="185"/>
      <c r="T207" s="185"/>
      <c r="U207" s="185"/>
      <c r="V207" s="185"/>
      <c r="W207" s="179"/>
      <c r="X207" s="178"/>
      <c r="Y207" s="185"/>
      <c r="Z207" s="177"/>
      <c r="AA207" s="176"/>
    </row>
    <row r="208" spans="1:27" ht="30" x14ac:dyDescent="0.25">
      <c r="A208" s="401"/>
      <c r="B208" s="404"/>
      <c r="C208" s="407"/>
      <c r="D208" s="398" t="s">
        <v>190</v>
      </c>
      <c r="E208" s="184" t="s">
        <v>948</v>
      </c>
      <c r="F208" s="185"/>
      <c r="G208" s="185"/>
      <c r="H208" s="187">
        <f>I208*J208</f>
        <v>2200016.6170800002</v>
      </c>
      <c r="I208" s="187">
        <f>X208*Z208+Y208</f>
        <v>11.566920000000001</v>
      </c>
      <c r="J208" s="186">
        <v>190199</v>
      </c>
      <c r="L208" s="180">
        <v>1</v>
      </c>
      <c r="M208" s="179">
        <f>3/6</f>
        <v>0.5</v>
      </c>
      <c r="N208" s="183" t="s">
        <v>947</v>
      </c>
      <c r="O208" s="183" t="s">
        <v>946</v>
      </c>
      <c r="P208" s="182">
        <v>0.1</v>
      </c>
      <c r="Q208" s="185">
        <v>1</v>
      </c>
      <c r="R208" s="179">
        <f t="shared" ref="R208:R219" si="3">3/6</f>
        <v>0.5</v>
      </c>
      <c r="S208" s="185">
        <f t="shared" ref="S208:S219" si="4">1/20</f>
        <v>0.05</v>
      </c>
      <c r="T208" s="185">
        <v>4</v>
      </c>
      <c r="U208" s="185"/>
      <c r="V208" s="185"/>
      <c r="W208" s="179"/>
      <c r="X208" s="178">
        <f>(L208*M208+L209*M209+L210*M210+L211*M211+S208*T208)*6</f>
        <v>16.200000000000003</v>
      </c>
      <c r="Y208" s="185">
        <f>(P208*Q208*R208+P209*Q209*R209+P210*Q210*R210+P211*Q211*R211+P212*Q212*R212+P213*Q213*R213+P214*Q214*R214+P215*Q215*R215+P216*Q216*R216+P217*Q217*R217+P218*Q218*R218+P219*Q219*R219+V208*W208)*6</f>
        <v>6.6000000000000005</v>
      </c>
      <c r="Z208" s="177">
        <v>0.30659999999999998</v>
      </c>
      <c r="AA208" s="176"/>
    </row>
    <row r="209" spans="1:27" ht="45" x14ac:dyDescent="0.25">
      <c r="A209" s="401"/>
      <c r="B209" s="404"/>
      <c r="C209" s="407"/>
      <c r="D209" s="399"/>
      <c r="E209" s="184" t="s">
        <v>945</v>
      </c>
      <c r="F209" s="185"/>
      <c r="G209" s="185"/>
      <c r="H209" s="181"/>
      <c r="I209" s="181"/>
      <c r="J209" s="176"/>
      <c r="L209" s="180">
        <v>1</v>
      </c>
      <c r="M209" s="179">
        <f>3/6</f>
        <v>0.5</v>
      </c>
      <c r="N209" s="185"/>
      <c r="O209" s="183" t="s">
        <v>944</v>
      </c>
      <c r="P209" s="182">
        <v>0.1</v>
      </c>
      <c r="Q209" s="185">
        <v>1</v>
      </c>
      <c r="R209" s="179">
        <f t="shared" si="3"/>
        <v>0.5</v>
      </c>
      <c r="S209" s="185">
        <f t="shared" si="4"/>
        <v>0.05</v>
      </c>
      <c r="T209" s="185">
        <v>4</v>
      </c>
      <c r="U209" s="185"/>
      <c r="V209" s="185"/>
      <c r="W209" s="179"/>
      <c r="X209" s="178"/>
      <c r="Y209" s="185"/>
      <c r="Z209" s="177"/>
      <c r="AA209" s="176"/>
    </row>
    <row r="210" spans="1:27" x14ac:dyDescent="0.25">
      <c r="A210" s="401"/>
      <c r="B210" s="404"/>
      <c r="C210" s="407"/>
      <c r="D210" s="399"/>
      <c r="E210" s="184" t="s">
        <v>943</v>
      </c>
      <c r="F210" s="185"/>
      <c r="G210" s="185"/>
      <c r="H210" s="181"/>
      <c r="I210" s="181"/>
      <c r="J210" s="176"/>
      <c r="L210" s="180">
        <v>1</v>
      </c>
      <c r="M210" s="179">
        <f>3/6</f>
        <v>0.5</v>
      </c>
      <c r="N210" s="185"/>
      <c r="O210" s="183" t="s">
        <v>942</v>
      </c>
      <c r="P210" s="182">
        <v>0.1</v>
      </c>
      <c r="Q210" s="185">
        <v>1</v>
      </c>
      <c r="R210" s="179">
        <f t="shared" si="3"/>
        <v>0.5</v>
      </c>
      <c r="S210" s="185">
        <f t="shared" si="4"/>
        <v>0.05</v>
      </c>
      <c r="T210" s="185">
        <v>4</v>
      </c>
      <c r="U210" s="185"/>
      <c r="V210" s="185"/>
      <c r="W210" s="179"/>
      <c r="X210" s="178"/>
      <c r="Y210" s="185"/>
      <c r="Z210" s="177"/>
      <c r="AA210" s="176"/>
    </row>
    <row r="211" spans="1:27" ht="30" x14ac:dyDescent="0.25">
      <c r="A211" s="401"/>
      <c r="B211" s="404"/>
      <c r="C211" s="407"/>
      <c r="D211" s="399"/>
      <c r="E211" s="188" t="s">
        <v>941</v>
      </c>
      <c r="F211" s="185"/>
      <c r="G211" s="185"/>
      <c r="H211" s="181"/>
      <c r="I211" s="181"/>
      <c r="J211" s="176"/>
      <c r="L211" s="180">
        <v>2</v>
      </c>
      <c r="M211" s="179">
        <f>3/6</f>
        <v>0.5</v>
      </c>
      <c r="N211" s="185"/>
      <c r="O211" s="183" t="s">
        <v>940</v>
      </c>
      <c r="P211" s="182">
        <v>0.1</v>
      </c>
      <c r="Q211" s="185">
        <v>1</v>
      </c>
      <c r="R211" s="179">
        <f t="shared" si="3"/>
        <v>0.5</v>
      </c>
      <c r="S211" s="185">
        <f t="shared" si="4"/>
        <v>0.05</v>
      </c>
      <c r="T211" s="185">
        <v>4</v>
      </c>
      <c r="U211" s="185"/>
      <c r="V211" s="185"/>
      <c r="W211" s="179"/>
      <c r="X211" s="178"/>
      <c r="Y211" s="185"/>
      <c r="Z211" s="177"/>
      <c r="AA211" s="176"/>
    </row>
    <row r="212" spans="1:27" x14ac:dyDescent="0.25">
      <c r="A212" s="401"/>
      <c r="B212" s="404"/>
      <c r="C212" s="407"/>
      <c r="D212" s="399"/>
      <c r="E212" s="232"/>
      <c r="F212" s="185"/>
      <c r="G212" s="185"/>
      <c r="H212" s="181"/>
      <c r="I212" s="181"/>
      <c r="J212" s="176"/>
      <c r="L212" s="180"/>
      <c r="M212" s="179"/>
      <c r="N212" s="185"/>
      <c r="O212" s="183" t="s">
        <v>939</v>
      </c>
      <c r="P212" s="182">
        <v>0.1</v>
      </c>
      <c r="Q212" s="185">
        <v>1</v>
      </c>
      <c r="R212" s="179">
        <f t="shared" si="3"/>
        <v>0.5</v>
      </c>
      <c r="S212" s="185">
        <f t="shared" si="4"/>
        <v>0.05</v>
      </c>
      <c r="T212" s="185">
        <v>4</v>
      </c>
      <c r="U212" s="185"/>
      <c r="V212" s="185"/>
      <c r="W212" s="179"/>
      <c r="X212" s="178"/>
      <c r="Y212" s="185"/>
      <c r="Z212" s="177"/>
      <c r="AA212" s="176"/>
    </row>
    <row r="213" spans="1:27" ht="45" x14ac:dyDescent="0.25">
      <c r="A213" s="401"/>
      <c r="B213" s="404"/>
      <c r="C213" s="407"/>
      <c r="D213" s="399"/>
      <c r="E213" s="232"/>
      <c r="F213" s="185"/>
      <c r="G213" s="185"/>
      <c r="H213" s="181"/>
      <c r="I213" s="181"/>
      <c r="J213" s="176"/>
      <c r="L213" s="180"/>
      <c r="M213" s="179"/>
      <c r="N213" s="185"/>
      <c r="O213" s="183" t="s">
        <v>938</v>
      </c>
      <c r="P213" s="182">
        <v>0.1</v>
      </c>
      <c r="Q213" s="185">
        <v>1</v>
      </c>
      <c r="R213" s="179">
        <f t="shared" si="3"/>
        <v>0.5</v>
      </c>
      <c r="S213" s="185">
        <f t="shared" si="4"/>
        <v>0.05</v>
      </c>
      <c r="T213" s="185">
        <v>4</v>
      </c>
      <c r="U213" s="185"/>
      <c r="V213" s="185"/>
      <c r="W213" s="179"/>
      <c r="X213" s="178"/>
      <c r="Y213" s="185"/>
      <c r="Z213" s="177"/>
      <c r="AA213" s="176"/>
    </row>
    <row r="214" spans="1:27" ht="30" x14ac:dyDescent="0.25">
      <c r="A214" s="401"/>
      <c r="B214" s="404"/>
      <c r="C214" s="407"/>
      <c r="D214" s="399"/>
      <c r="E214" s="232"/>
      <c r="F214" s="185"/>
      <c r="G214" s="185"/>
      <c r="H214" s="181"/>
      <c r="I214" s="181"/>
      <c r="J214" s="176"/>
      <c r="L214" s="180"/>
      <c r="M214" s="179"/>
      <c r="N214" s="185"/>
      <c r="O214" s="183" t="s">
        <v>937</v>
      </c>
      <c r="P214" s="182">
        <v>0.1</v>
      </c>
      <c r="Q214" s="185">
        <v>1</v>
      </c>
      <c r="R214" s="179">
        <f t="shared" si="3"/>
        <v>0.5</v>
      </c>
      <c r="S214" s="185">
        <f t="shared" si="4"/>
        <v>0.05</v>
      </c>
      <c r="T214" s="185">
        <v>4</v>
      </c>
      <c r="U214" s="185"/>
      <c r="V214" s="185"/>
      <c r="W214" s="179"/>
      <c r="X214" s="178"/>
      <c r="Y214" s="185"/>
      <c r="Z214" s="177"/>
      <c r="AA214" s="176"/>
    </row>
    <row r="215" spans="1:27" x14ac:dyDescent="0.25">
      <c r="A215" s="401"/>
      <c r="B215" s="404"/>
      <c r="C215" s="407"/>
      <c r="D215" s="399"/>
      <c r="E215" s="232"/>
      <c r="F215" s="185"/>
      <c r="G215" s="185"/>
      <c r="H215" s="181"/>
      <c r="I215" s="181"/>
      <c r="J215" s="176"/>
      <c r="L215" s="180"/>
      <c r="M215" s="179"/>
      <c r="N215" s="185"/>
      <c r="O215" s="183" t="s">
        <v>936</v>
      </c>
      <c r="P215" s="182">
        <v>0.1</v>
      </c>
      <c r="Q215" s="185">
        <v>6</v>
      </c>
      <c r="R215" s="179">
        <f t="shared" si="3"/>
        <v>0.5</v>
      </c>
      <c r="S215" s="185">
        <f t="shared" si="4"/>
        <v>0.05</v>
      </c>
      <c r="T215" s="185">
        <v>4</v>
      </c>
      <c r="U215" s="185"/>
      <c r="V215" s="185"/>
      <c r="W215" s="179"/>
      <c r="X215" s="178"/>
      <c r="Y215" s="185"/>
      <c r="Z215" s="177"/>
      <c r="AA215" s="176"/>
    </row>
    <row r="216" spans="1:27" x14ac:dyDescent="0.25">
      <c r="A216" s="401"/>
      <c r="B216" s="404"/>
      <c r="C216" s="407"/>
      <c r="D216" s="399"/>
      <c r="E216" s="232"/>
      <c r="F216" s="185"/>
      <c r="G216" s="185"/>
      <c r="H216" s="181"/>
      <c r="I216" s="181"/>
      <c r="J216" s="176"/>
      <c r="L216" s="180"/>
      <c r="M216" s="179"/>
      <c r="N216" s="185"/>
      <c r="O216" s="183" t="s">
        <v>935</v>
      </c>
      <c r="P216" s="182">
        <v>0.1</v>
      </c>
      <c r="Q216" s="185">
        <v>1</v>
      </c>
      <c r="R216" s="179">
        <f t="shared" si="3"/>
        <v>0.5</v>
      </c>
      <c r="S216" s="185">
        <f t="shared" si="4"/>
        <v>0.05</v>
      </c>
      <c r="T216" s="185">
        <v>4</v>
      </c>
      <c r="U216" s="185"/>
      <c r="V216" s="185"/>
      <c r="W216" s="179"/>
      <c r="X216" s="178"/>
      <c r="Y216" s="185"/>
      <c r="Z216" s="177"/>
      <c r="AA216" s="176"/>
    </row>
    <row r="217" spans="1:27" x14ac:dyDescent="0.25">
      <c r="A217" s="401"/>
      <c r="B217" s="404"/>
      <c r="C217" s="407"/>
      <c r="D217" s="399"/>
      <c r="E217" s="232"/>
      <c r="F217" s="185"/>
      <c r="G217" s="185"/>
      <c r="H217" s="181"/>
      <c r="I217" s="181"/>
      <c r="J217" s="176"/>
      <c r="L217" s="180"/>
      <c r="M217" s="179"/>
      <c r="N217" s="185"/>
      <c r="O217" s="183" t="s">
        <v>934</v>
      </c>
      <c r="P217" s="182">
        <v>0.1</v>
      </c>
      <c r="Q217" s="185">
        <v>1</v>
      </c>
      <c r="R217" s="179">
        <f t="shared" si="3"/>
        <v>0.5</v>
      </c>
      <c r="S217" s="185">
        <f t="shared" si="4"/>
        <v>0.05</v>
      </c>
      <c r="T217" s="185">
        <v>4</v>
      </c>
      <c r="U217" s="185"/>
      <c r="V217" s="185"/>
      <c r="W217" s="179"/>
      <c r="X217" s="178"/>
      <c r="Y217" s="185"/>
      <c r="Z217" s="177"/>
      <c r="AA217" s="176"/>
    </row>
    <row r="218" spans="1:27" ht="30" x14ac:dyDescent="0.25">
      <c r="A218" s="401"/>
      <c r="B218" s="404"/>
      <c r="C218" s="407"/>
      <c r="D218" s="399"/>
      <c r="E218" s="232"/>
      <c r="F218" s="185"/>
      <c r="G218" s="185"/>
      <c r="H218" s="181"/>
      <c r="I218" s="181"/>
      <c r="J218" s="176"/>
      <c r="L218" s="180"/>
      <c r="M218" s="179"/>
      <c r="N218" s="185"/>
      <c r="O218" s="183" t="s">
        <v>933</v>
      </c>
      <c r="P218" s="182">
        <v>0.1</v>
      </c>
      <c r="Q218" s="185">
        <v>1</v>
      </c>
      <c r="R218" s="179">
        <f t="shared" si="3"/>
        <v>0.5</v>
      </c>
      <c r="S218" s="185">
        <f t="shared" si="4"/>
        <v>0.05</v>
      </c>
      <c r="T218" s="185">
        <v>4</v>
      </c>
      <c r="U218" s="185"/>
      <c r="V218" s="185"/>
      <c r="W218" s="179"/>
      <c r="X218" s="178"/>
      <c r="Y218" s="185"/>
      <c r="Z218" s="177"/>
      <c r="AA218" s="176"/>
    </row>
    <row r="219" spans="1:27" x14ac:dyDescent="0.25">
      <c r="A219" s="401"/>
      <c r="B219" s="404"/>
      <c r="C219" s="407"/>
      <c r="D219" s="399"/>
      <c r="E219" s="232"/>
      <c r="F219" s="185"/>
      <c r="G219" s="185"/>
      <c r="H219" s="181"/>
      <c r="I219" s="181"/>
      <c r="J219" s="176"/>
      <c r="L219" s="180"/>
      <c r="M219" s="179"/>
      <c r="N219" s="185"/>
      <c r="O219" s="183" t="s">
        <v>932</v>
      </c>
      <c r="P219" s="182">
        <v>0.1</v>
      </c>
      <c r="Q219" s="185">
        <v>6</v>
      </c>
      <c r="R219" s="179">
        <f t="shared" si="3"/>
        <v>0.5</v>
      </c>
      <c r="S219" s="185">
        <f t="shared" si="4"/>
        <v>0.05</v>
      </c>
      <c r="T219" s="185">
        <v>4</v>
      </c>
      <c r="U219" s="185"/>
      <c r="V219" s="185"/>
      <c r="W219" s="179"/>
      <c r="X219" s="178"/>
      <c r="Y219" s="185"/>
      <c r="Z219" s="177"/>
      <c r="AA219" s="176"/>
    </row>
    <row r="220" spans="1:27" x14ac:dyDescent="0.25">
      <c r="A220" s="401"/>
      <c r="B220" s="404"/>
      <c r="C220" s="407"/>
      <c r="D220" s="413" t="s">
        <v>931</v>
      </c>
      <c r="E220" s="184" t="s">
        <v>930</v>
      </c>
      <c r="F220" s="185"/>
      <c r="G220" s="185" t="s">
        <v>929</v>
      </c>
      <c r="H220" s="187">
        <f>I220*J220</f>
        <v>2387872.3653999995</v>
      </c>
      <c r="I220" s="187">
        <f>X220*Z220+Y220</f>
        <v>12.554599999999997</v>
      </c>
      <c r="J220" s="186">
        <v>190199</v>
      </c>
      <c r="L220" s="180">
        <v>16</v>
      </c>
      <c r="M220" s="179">
        <f>1/6</f>
        <v>0.16666666666666666</v>
      </c>
      <c r="N220" s="185"/>
      <c r="O220" s="185"/>
      <c r="P220" s="185"/>
      <c r="Q220" s="185"/>
      <c r="R220" s="179"/>
      <c r="S220" s="185"/>
      <c r="T220" s="185"/>
      <c r="U220" s="185"/>
      <c r="V220" s="185">
        <v>2.5</v>
      </c>
      <c r="W220" s="179">
        <f>1/6</f>
        <v>0.16666666666666666</v>
      </c>
      <c r="X220" s="178">
        <f>(L220*M220+L221*M221+L222*M222+L223*M223+S220*T220)*6</f>
        <v>30.999999999999996</v>
      </c>
      <c r="Y220" s="185">
        <f>(P221*Q221*R221+P222*Q222*R222+P223*Q223*R223+V220*W220)*6</f>
        <v>3.05</v>
      </c>
      <c r="Z220" s="177">
        <v>0.30659999999999998</v>
      </c>
      <c r="AA220" s="176"/>
    </row>
    <row r="221" spans="1:27" ht="75" x14ac:dyDescent="0.25">
      <c r="A221" s="401"/>
      <c r="B221" s="404"/>
      <c r="C221" s="407"/>
      <c r="D221" s="414"/>
      <c r="E221" s="184" t="s">
        <v>928</v>
      </c>
      <c r="F221" s="185"/>
      <c r="G221" s="185"/>
      <c r="H221" s="181"/>
      <c r="I221" s="181"/>
      <c r="J221" s="176"/>
      <c r="L221" s="180">
        <v>1</v>
      </c>
      <c r="M221" s="179">
        <f>1/6</f>
        <v>0.16666666666666666</v>
      </c>
      <c r="N221" s="183" t="s">
        <v>925</v>
      </c>
      <c r="O221" s="183" t="s">
        <v>927</v>
      </c>
      <c r="P221" s="182">
        <v>0.1</v>
      </c>
      <c r="Q221" s="185">
        <v>1</v>
      </c>
      <c r="R221" s="179">
        <f>1/6</f>
        <v>0.16666666666666666</v>
      </c>
      <c r="S221" s="185"/>
      <c r="T221" s="185"/>
      <c r="U221" s="185"/>
      <c r="V221" s="185"/>
      <c r="W221" s="179"/>
      <c r="X221" s="178"/>
      <c r="Y221" s="185"/>
      <c r="Z221" s="177"/>
      <c r="AA221" s="176"/>
    </row>
    <row r="222" spans="1:27" ht="45" x14ac:dyDescent="0.25">
      <c r="A222" s="401"/>
      <c r="B222" s="404"/>
      <c r="C222" s="407"/>
      <c r="D222" s="414"/>
      <c r="E222" s="184" t="s">
        <v>926</v>
      </c>
      <c r="F222" s="235" t="s">
        <v>925</v>
      </c>
      <c r="G222" s="185"/>
      <c r="H222" s="181"/>
      <c r="I222" s="181"/>
      <c r="J222" s="176"/>
      <c r="L222" s="180">
        <v>2</v>
      </c>
      <c r="M222" s="179">
        <f>1/6</f>
        <v>0.16666666666666666</v>
      </c>
      <c r="N222" s="185"/>
      <c r="O222" s="183" t="s">
        <v>924</v>
      </c>
      <c r="P222" s="182">
        <v>0.25</v>
      </c>
      <c r="Q222" s="185">
        <v>1</v>
      </c>
      <c r="R222" s="179">
        <f>1/6</f>
        <v>0.16666666666666666</v>
      </c>
      <c r="S222" s="185"/>
      <c r="T222" s="185"/>
      <c r="U222" s="185"/>
      <c r="V222" s="185"/>
      <c r="W222" s="179"/>
      <c r="X222" s="178"/>
      <c r="Y222" s="185"/>
      <c r="Z222" s="177"/>
      <c r="AA222" s="176"/>
    </row>
    <row r="223" spans="1:27" ht="30" x14ac:dyDescent="0.25">
      <c r="A223" s="402"/>
      <c r="B223" s="405"/>
      <c r="C223" s="408"/>
      <c r="D223" s="415"/>
      <c r="E223" s="184" t="s">
        <v>923</v>
      </c>
      <c r="F223" s="235" t="s">
        <v>922</v>
      </c>
      <c r="G223" s="185"/>
      <c r="H223" s="181"/>
      <c r="I223" s="181"/>
      <c r="J223" s="176"/>
      <c r="L223" s="180">
        <v>2</v>
      </c>
      <c r="M223" s="179">
        <v>1</v>
      </c>
      <c r="N223" s="185"/>
      <c r="O223" s="183" t="s">
        <v>921</v>
      </c>
      <c r="P223" s="182">
        <v>0.2</v>
      </c>
      <c r="Q223" s="185">
        <v>1</v>
      </c>
      <c r="R223" s="179">
        <f>1/6</f>
        <v>0.16666666666666666</v>
      </c>
      <c r="S223" s="185"/>
      <c r="T223" s="185"/>
      <c r="U223" s="185"/>
      <c r="V223" s="185"/>
      <c r="W223" s="179"/>
      <c r="X223" s="178"/>
      <c r="Y223" s="185"/>
      <c r="Z223" s="177"/>
      <c r="AA223" s="176"/>
    </row>
    <row r="224" spans="1:27" ht="45" x14ac:dyDescent="0.25">
      <c r="A224" s="180">
        <v>8</v>
      </c>
      <c r="B224" s="233" t="s">
        <v>920</v>
      </c>
      <c r="C224" s="185"/>
      <c r="D224" s="185"/>
      <c r="E224" s="185"/>
      <c r="F224" s="185"/>
      <c r="G224" s="185"/>
      <c r="H224" s="181"/>
      <c r="I224" s="181"/>
      <c r="J224" s="176"/>
      <c r="L224" s="180"/>
      <c r="M224" s="179"/>
      <c r="N224" s="185"/>
      <c r="O224" s="185"/>
      <c r="P224" s="185"/>
      <c r="Q224" s="185"/>
      <c r="R224" s="179"/>
      <c r="S224" s="185"/>
      <c r="T224" s="185"/>
      <c r="U224" s="185"/>
      <c r="V224" s="185"/>
      <c r="W224" s="179"/>
      <c r="X224" s="178"/>
      <c r="Y224" s="185"/>
      <c r="Z224" s="177"/>
      <c r="AA224" s="176"/>
    </row>
    <row r="225" spans="1:27" ht="15.75" thickBot="1" x14ac:dyDescent="0.3">
      <c r="A225" s="174"/>
      <c r="B225" s="171"/>
      <c r="C225" s="171"/>
      <c r="D225" s="171"/>
      <c r="E225" s="171"/>
      <c r="F225" s="171"/>
      <c r="G225" s="171"/>
      <c r="H225" s="175"/>
      <c r="I225" s="175"/>
      <c r="J225" s="169"/>
      <c r="L225" s="174"/>
      <c r="M225" s="173"/>
      <c r="N225" s="171"/>
      <c r="O225" s="171"/>
      <c r="P225" s="171"/>
      <c r="Q225" s="171"/>
      <c r="R225" s="173"/>
      <c r="S225" s="171"/>
      <c r="T225" s="171"/>
      <c r="U225" s="171"/>
      <c r="V225" s="171"/>
      <c r="W225" s="173"/>
      <c r="X225" s="172"/>
      <c r="Y225" s="171"/>
      <c r="Z225" s="170"/>
      <c r="AA225" s="169"/>
    </row>
  </sheetData>
  <mergeCells count="83">
    <mergeCell ref="H3:J4"/>
    <mergeCell ref="A3:A5"/>
    <mergeCell ref="B3:B5"/>
    <mergeCell ref="C3:C5"/>
    <mergeCell ref="D3:D5"/>
    <mergeCell ref="E3:G4"/>
    <mergeCell ref="L3:AA3"/>
    <mergeCell ref="L4:L5"/>
    <mergeCell ref="M4:M5"/>
    <mergeCell ref="N4:T4"/>
    <mergeCell ref="U4:W4"/>
    <mergeCell ref="X4:X5"/>
    <mergeCell ref="Y4:Y5"/>
    <mergeCell ref="Z4:Z5"/>
    <mergeCell ref="AA4:AA5"/>
    <mergeCell ref="G6:G7"/>
    <mergeCell ref="C9:C16"/>
    <mergeCell ref="D9:D12"/>
    <mergeCell ref="D13:D16"/>
    <mergeCell ref="C17:C46"/>
    <mergeCell ref="D17:D18"/>
    <mergeCell ref="D41:D42"/>
    <mergeCell ref="D19:D20"/>
    <mergeCell ref="D21:D22"/>
    <mergeCell ref="D23:D24"/>
    <mergeCell ref="D25:D26"/>
    <mergeCell ref="D27:D28"/>
    <mergeCell ref="D29:D30"/>
    <mergeCell ref="D31:D32"/>
    <mergeCell ref="D33:D34"/>
    <mergeCell ref="D35:D36"/>
    <mergeCell ref="D43:D44"/>
    <mergeCell ref="D45:D46"/>
    <mergeCell ref="C47:C66"/>
    <mergeCell ref="A67:A102"/>
    <mergeCell ref="B67:B102"/>
    <mergeCell ref="C67:C81"/>
    <mergeCell ref="C82:C96"/>
    <mergeCell ref="C97:C102"/>
    <mergeCell ref="A6:A66"/>
    <mergeCell ref="B6:B66"/>
    <mergeCell ref="C6:C8"/>
    <mergeCell ref="D6:D7"/>
    <mergeCell ref="D37:D38"/>
    <mergeCell ref="D39:D40"/>
    <mergeCell ref="A142:A150"/>
    <mergeCell ref="B142:B150"/>
    <mergeCell ref="C142:C150"/>
    <mergeCell ref="D143:D144"/>
    <mergeCell ref="D145:D147"/>
    <mergeCell ref="D148:D150"/>
    <mergeCell ref="B103:B129"/>
    <mergeCell ref="C103:C111"/>
    <mergeCell ref="C112:C120"/>
    <mergeCell ref="C121:C129"/>
    <mergeCell ref="A130:A141"/>
    <mergeCell ref="B130:B141"/>
    <mergeCell ref="C130:C135"/>
    <mergeCell ref="C136:C141"/>
    <mergeCell ref="A103:A129"/>
    <mergeCell ref="A166:A223"/>
    <mergeCell ref="B166:B223"/>
    <mergeCell ref="C166:C190"/>
    <mergeCell ref="D166:D170"/>
    <mergeCell ref="D171:D190"/>
    <mergeCell ref="C202:C223"/>
    <mergeCell ref="D202:D203"/>
    <mergeCell ref="D204:D205"/>
    <mergeCell ref="D206:D207"/>
    <mergeCell ref="D208:D219"/>
    <mergeCell ref="D220:D223"/>
    <mergeCell ref="A151:A165"/>
    <mergeCell ref="B151:B165"/>
    <mergeCell ref="C151:C165"/>
    <mergeCell ref="D151:D158"/>
    <mergeCell ref="D159:D165"/>
    <mergeCell ref="N171:N177"/>
    <mergeCell ref="N178:N184"/>
    <mergeCell ref="N185:N190"/>
    <mergeCell ref="C191:C201"/>
    <mergeCell ref="D191:D193"/>
    <mergeCell ref="D194:D197"/>
    <mergeCell ref="D198:D20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H117"/>
  <sheetViews>
    <sheetView zoomScaleNormal="100" workbookViewId="0">
      <pane xSplit="2" ySplit="3" topLeftCell="C44" activePane="bottomRight" state="frozen"/>
      <selection activeCell="Q194" sqref="Q194"/>
      <selection pane="topRight" activeCell="Q194" sqref="Q194"/>
      <selection pane="bottomLeft" activeCell="Q194" sqref="Q194"/>
      <selection pane="bottomRight" activeCell="K54" sqref="K54"/>
    </sheetView>
  </sheetViews>
  <sheetFormatPr defaultRowHeight="15" x14ac:dyDescent="0.25"/>
  <cols>
    <col min="1" max="1" width="3.85546875" customWidth="1"/>
    <col min="2" max="2" width="48.85546875" customWidth="1"/>
    <col min="3" max="3" width="5.140625" customWidth="1"/>
    <col min="4" max="4" width="63.28515625" customWidth="1"/>
    <col min="5" max="5" width="29.140625" customWidth="1"/>
    <col min="7" max="7" width="8.85546875" customWidth="1"/>
  </cols>
  <sheetData>
    <row r="1" spans="1:8" ht="15.75" x14ac:dyDescent="0.25">
      <c r="A1" s="128" t="s">
        <v>160</v>
      </c>
    </row>
    <row r="3" spans="1:8" ht="45" x14ac:dyDescent="0.25">
      <c r="A3" s="129" t="s">
        <v>176</v>
      </c>
      <c r="B3" s="129" t="s">
        <v>177</v>
      </c>
      <c r="C3" s="129" t="s">
        <v>176</v>
      </c>
      <c r="D3" s="129" t="s">
        <v>178</v>
      </c>
      <c r="E3" s="129" t="s">
        <v>179</v>
      </c>
    </row>
    <row r="4" spans="1:8" ht="45" x14ac:dyDescent="0.25">
      <c r="A4" s="435">
        <v>1</v>
      </c>
      <c r="B4" s="438" t="s">
        <v>180</v>
      </c>
      <c r="C4" s="240">
        <v>1</v>
      </c>
      <c r="D4" s="130" t="s">
        <v>181</v>
      </c>
      <c r="E4" s="131">
        <v>16</v>
      </c>
    </row>
    <row r="5" spans="1:8" ht="45" x14ac:dyDescent="0.25">
      <c r="A5" s="436"/>
      <c r="B5" s="439"/>
      <c r="C5" s="240">
        <f>C4+1</f>
        <v>2</v>
      </c>
      <c r="D5" s="130" t="s">
        <v>182</v>
      </c>
      <c r="E5" s="131">
        <v>8</v>
      </c>
    </row>
    <row r="6" spans="1:8" ht="30" x14ac:dyDescent="0.25">
      <c r="A6" s="436"/>
      <c r="B6" s="439"/>
      <c r="C6" s="240">
        <f>C5+1</f>
        <v>3</v>
      </c>
      <c r="D6" s="130" t="s">
        <v>183</v>
      </c>
      <c r="E6" s="131">
        <v>4</v>
      </c>
    </row>
    <row r="7" spans="1:8" ht="30" x14ac:dyDescent="0.25">
      <c r="A7" s="436"/>
      <c r="B7" s="439"/>
      <c r="C7" s="240">
        <f>C6+1</f>
        <v>4</v>
      </c>
      <c r="D7" s="130" t="s">
        <v>1142</v>
      </c>
      <c r="E7" s="131">
        <v>16</v>
      </c>
    </row>
    <row r="8" spans="1:8" ht="45" x14ac:dyDescent="0.25">
      <c r="A8" s="436"/>
      <c r="B8" s="439"/>
      <c r="C8" s="240">
        <f>C7+1</f>
        <v>5</v>
      </c>
      <c r="D8" s="130" t="s">
        <v>184</v>
      </c>
      <c r="E8" s="131">
        <f>E4*1.5</f>
        <v>24</v>
      </c>
    </row>
    <row r="9" spans="1:8" ht="30" x14ac:dyDescent="0.25">
      <c r="A9" s="437"/>
      <c r="B9" s="440"/>
      <c r="C9" s="240">
        <f>C8+1</f>
        <v>6</v>
      </c>
      <c r="D9" s="130" t="s">
        <v>185</v>
      </c>
      <c r="E9" s="131">
        <f>E5*1.5</f>
        <v>12</v>
      </c>
    </row>
    <row r="10" spans="1:8" ht="15.75" x14ac:dyDescent="0.25">
      <c r="A10" s="435">
        <v>2</v>
      </c>
      <c r="B10" s="438" t="s">
        <v>186</v>
      </c>
      <c r="C10" s="240">
        <v>1</v>
      </c>
      <c r="D10" s="130" t="s">
        <v>187</v>
      </c>
      <c r="E10" s="131"/>
      <c r="H10" s="132"/>
    </row>
    <row r="11" spans="1:8" ht="30" x14ac:dyDescent="0.25">
      <c r="A11" s="436"/>
      <c r="B11" s="439"/>
      <c r="C11" s="240">
        <f>C10+1</f>
        <v>2</v>
      </c>
      <c r="D11" s="130" t="s">
        <v>188</v>
      </c>
      <c r="E11" s="131"/>
      <c r="H11" s="132"/>
    </row>
    <row r="12" spans="1:8" ht="15.75" x14ac:dyDescent="0.25">
      <c r="A12" s="436"/>
      <c r="B12" s="439"/>
      <c r="C12" s="240">
        <f>C11+1</f>
        <v>3</v>
      </c>
      <c r="D12" s="130" t="s">
        <v>189</v>
      </c>
      <c r="E12" s="131"/>
      <c r="H12" s="132"/>
    </row>
    <row r="13" spans="1:8" ht="45" x14ac:dyDescent="0.25">
      <c r="A13" s="436"/>
      <c r="B13" s="439"/>
      <c r="C13" s="240">
        <f>C12+1</f>
        <v>4</v>
      </c>
      <c r="D13" s="130" t="s">
        <v>190</v>
      </c>
      <c r="E13" s="131"/>
      <c r="H13" s="132"/>
    </row>
    <row r="14" spans="1:8" x14ac:dyDescent="0.25">
      <c r="A14" s="435">
        <v>3</v>
      </c>
      <c r="B14" s="438" t="s">
        <v>191</v>
      </c>
      <c r="C14" s="240">
        <v>1</v>
      </c>
      <c r="D14" s="130" t="s">
        <v>192</v>
      </c>
      <c r="E14" s="131"/>
    </row>
    <row r="15" spans="1:8" x14ac:dyDescent="0.25">
      <c r="A15" s="436"/>
      <c r="B15" s="439"/>
      <c r="C15" s="240">
        <f>C14+1</f>
        <v>2</v>
      </c>
      <c r="D15" s="130" t="s">
        <v>193</v>
      </c>
      <c r="E15" s="131"/>
    </row>
    <row r="16" spans="1:8" ht="30" x14ac:dyDescent="0.25">
      <c r="A16" s="436"/>
      <c r="B16" s="439"/>
      <c r="C16" s="240">
        <f t="shared" ref="C16:C28" si="0">C15+1</f>
        <v>3</v>
      </c>
      <c r="D16" s="130" t="s">
        <v>194</v>
      </c>
      <c r="E16" s="131"/>
    </row>
    <row r="17" spans="1:5" ht="30" x14ac:dyDescent="0.25">
      <c r="A17" s="436"/>
      <c r="B17" s="439"/>
      <c r="C17" s="240">
        <f t="shared" si="0"/>
        <v>4</v>
      </c>
      <c r="D17" s="130" t="s">
        <v>195</v>
      </c>
      <c r="E17" s="131"/>
    </row>
    <row r="18" spans="1:5" ht="30" x14ac:dyDescent="0.25">
      <c r="A18" s="436"/>
      <c r="B18" s="439"/>
      <c r="C18" s="240">
        <f t="shared" si="0"/>
        <v>5</v>
      </c>
      <c r="D18" s="130" t="s">
        <v>196</v>
      </c>
      <c r="E18" s="131"/>
    </row>
    <row r="19" spans="1:5" ht="30" x14ac:dyDescent="0.25">
      <c r="A19" s="436"/>
      <c r="B19" s="439"/>
      <c r="C19" s="240">
        <f t="shared" si="0"/>
        <v>6</v>
      </c>
      <c r="D19" s="130" t="s">
        <v>197</v>
      </c>
      <c r="E19" s="131"/>
    </row>
    <row r="20" spans="1:5" x14ac:dyDescent="0.25">
      <c r="A20" s="436"/>
      <c r="B20" s="439"/>
      <c r="C20" s="240">
        <f t="shared" si="0"/>
        <v>7</v>
      </c>
      <c r="D20" s="130" t="s">
        <v>198</v>
      </c>
      <c r="E20" s="131"/>
    </row>
    <row r="21" spans="1:5" x14ac:dyDescent="0.25">
      <c r="A21" s="436"/>
      <c r="B21" s="439"/>
      <c r="C21" s="240">
        <f t="shared" si="0"/>
        <v>8</v>
      </c>
      <c r="D21" s="130" t="s">
        <v>199</v>
      </c>
      <c r="E21" s="131"/>
    </row>
    <row r="22" spans="1:5" ht="30" x14ac:dyDescent="0.25">
      <c r="A22" s="436"/>
      <c r="B22" s="439"/>
      <c r="C22" s="240">
        <f t="shared" si="0"/>
        <v>9</v>
      </c>
      <c r="D22" s="130" t="s">
        <v>200</v>
      </c>
      <c r="E22" s="131"/>
    </row>
    <row r="23" spans="1:5" x14ac:dyDescent="0.25">
      <c r="A23" s="436"/>
      <c r="B23" s="439"/>
      <c r="C23" s="240">
        <f t="shared" si="0"/>
        <v>10</v>
      </c>
      <c r="D23" s="130" t="s">
        <v>201</v>
      </c>
      <c r="E23" s="131"/>
    </row>
    <row r="24" spans="1:5" x14ac:dyDescent="0.25">
      <c r="A24" s="436"/>
      <c r="B24" s="439"/>
      <c r="C24" s="240">
        <f t="shared" si="0"/>
        <v>11</v>
      </c>
      <c r="D24" s="130" t="s">
        <v>202</v>
      </c>
      <c r="E24" s="131"/>
    </row>
    <row r="25" spans="1:5" ht="30" x14ac:dyDescent="0.25">
      <c r="A25" s="436"/>
      <c r="B25" s="439"/>
      <c r="C25" s="240">
        <f t="shared" si="0"/>
        <v>12</v>
      </c>
      <c r="D25" s="130" t="s">
        <v>203</v>
      </c>
      <c r="E25" s="131"/>
    </row>
    <row r="26" spans="1:5" x14ac:dyDescent="0.25">
      <c r="A26" s="436"/>
      <c r="B26" s="439"/>
      <c r="C26" s="240">
        <f t="shared" si="0"/>
        <v>13</v>
      </c>
      <c r="D26" s="130" t="s">
        <v>204</v>
      </c>
      <c r="E26" s="131"/>
    </row>
    <row r="27" spans="1:5" x14ac:dyDescent="0.25">
      <c r="A27" s="436"/>
      <c r="B27" s="439"/>
      <c r="C27" s="240">
        <f t="shared" si="0"/>
        <v>14</v>
      </c>
      <c r="D27" s="130" t="s">
        <v>205</v>
      </c>
      <c r="E27" s="131"/>
    </row>
    <row r="28" spans="1:5" ht="30" x14ac:dyDescent="0.25">
      <c r="A28" s="437"/>
      <c r="B28" s="440"/>
      <c r="C28" s="240">
        <f t="shared" si="0"/>
        <v>15</v>
      </c>
      <c r="D28" s="130" t="s">
        <v>206</v>
      </c>
      <c r="E28" s="131"/>
    </row>
    <row r="29" spans="1:5" x14ac:dyDescent="0.25">
      <c r="A29" s="435">
        <v>4</v>
      </c>
      <c r="B29" s="438" t="s">
        <v>207</v>
      </c>
      <c r="C29" s="240">
        <v>1</v>
      </c>
      <c r="D29" s="130"/>
      <c r="E29" s="131"/>
    </row>
    <row r="30" spans="1:5" x14ac:dyDescent="0.25">
      <c r="A30" s="436"/>
      <c r="B30" s="439"/>
      <c r="C30" s="240">
        <f>C29+1</f>
        <v>2</v>
      </c>
      <c r="D30" s="130"/>
      <c r="E30" s="131"/>
    </row>
    <row r="31" spans="1:5" x14ac:dyDescent="0.25">
      <c r="A31" s="436"/>
      <c r="B31" s="439"/>
      <c r="C31" s="240">
        <f>C30+1</f>
        <v>3</v>
      </c>
      <c r="D31" s="130"/>
      <c r="E31" s="131"/>
    </row>
    <row r="32" spans="1:5" x14ac:dyDescent="0.25">
      <c r="A32" s="436"/>
      <c r="B32" s="439"/>
      <c r="C32" s="240">
        <f>C31+1</f>
        <v>4</v>
      </c>
      <c r="D32" s="130"/>
      <c r="E32" s="131"/>
    </row>
    <row r="33" spans="1:8" x14ac:dyDescent="0.25">
      <c r="A33" s="437"/>
      <c r="B33" s="440"/>
      <c r="C33" s="240">
        <f>C32+1</f>
        <v>5</v>
      </c>
      <c r="D33" s="130"/>
      <c r="E33" s="131"/>
    </row>
    <row r="34" spans="1:8" x14ac:dyDescent="0.25">
      <c r="A34" s="435">
        <v>5</v>
      </c>
      <c r="B34" s="438" t="s">
        <v>208</v>
      </c>
      <c r="C34" s="240">
        <v>1</v>
      </c>
      <c r="D34" s="130"/>
      <c r="E34" s="131"/>
    </row>
    <row r="35" spans="1:8" x14ac:dyDescent="0.25">
      <c r="A35" s="436"/>
      <c r="B35" s="439"/>
      <c r="C35" s="240">
        <f>C34+1</f>
        <v>2</v>
      </c>
      <c r="D35" s="130"/>
      <c r="E35" s="131"/>
    </row>
    <row r="36" spans="1:8" x14ac:dyDescent="0.25">
      <c r="A36" s="436"/>
      <c r="B36" s="439"/>
      <c r="C36" s="240">
        <f>C35+1</f>
        <v>3</v>
      </c>
      <c r="D36" s="130"/>
      <c r="E36" s="131"/>
    </row>
    <row r="37" spans="1:8" x14ac:dyDescent="0.25">
      <c r="A37" s="436"/>
      <c r="B37" s="439"/>
      <c r="C37" s="240">
        <f>C36+1</f>
        <v>4</v>
      </c>
      <c r="D37" s="130"/>
      <c r="E37" s="131"/>
    </row>
    <row r="38" spans="1:8" x14ac:dyDescent="0.25">
      <c r="A38" s="437"/>
      <c r="B38" s="440"/>
      <c r="C38" s="240">
        <f>C37+1</f>
        <v>5</v>
      </c>
      <c r="D38" s="130"/>
      <c r="E38" s="131"/>
    </row>
    <row r="39" spans="1:8" x14ac:dyDescent="0.25">
      <c r="A39" s="435">
        <v>6</v>
      </c>
      <c r="B39" s="438" t="s">
        <v>209</v>
      </c>
      <c r="C39" s="240">
        <v>1</v>
      </c>
      <c r="D39" s="130"/>
      <c r="E39" s="131"/>
    </row>
    <row r="40" spans="1:8" x14ac:dyDescent="0.25">
      <c r="A40" s="436"/>
      <c r="B40" s="439"/>
      <c r="C40" s="240">
        <f>C39+1</f>
        <v>2</v>
      </c>
      <c r="D40" s="130"/>
      <c r="E40" s="131"/>
    </row>
    <row r="41" spans="1:8" x14ac:dyDescent="0.25">
      <c r="A41" s="436"/>
      <c r="B41" s="439"/>
      <c r="C41" s="240">
        <f>C40+1</f>
        <v>3</v>
      </c>
      <c r="D41" s="130"/>
      <c r="E41" s="131"/>
    </row>
    <row r="42" spans="1:8" x14ac:dyDescent="0.25">
      <c r="A42" s="436"/>
      <c r="B42" s="439"/>
      <c r="C42" s="240">
        <f>C41+1</f>
        <v>4</v>
      </c>
      <c r="D42" s="130"/>
      <c r="E42" s="131"/>
    </row>
    <row r="43" spans="1:8" x14ac:dyDescent="0.25">
      <c r="A43" s="437"/>
      <c r="B43" s="440"/>
      <c r="C43" s="240">
        <f>C42+1</f>
        <v>5</v>
      </c>
      <c r="D43" s="130"/>
      <c r="E43" s="131"/>
    </row>
    <row r="44" spans="1:8" ht="30" x14ac:dyDescent="0.25">
      <c r="A44" s="435">
        <v>7</v>
      </c>
      <c r="B44" s="438" t="s">
        <v>210</v>
      </c>
      <c r="C44" s="240">
        <v>1</v>
      </c>
      <c r="D44" s="130" t="s">
        <v>211</v>
      </c>
      <c r="E44" s="131">
        <v>2</v>
      </c>
      <c r="H44" s="132"/>
    </row>
    <row r="45" spans="1:8" ht="15.75" x14ac:dyDescent="0.25">
      <c r="A45" s="436"/>
      <c r="B45" s="439"/>
      <c r="C45" s="240">
        <f>C44+1</f>
        <v>2</v>
      </c>
      <c r="D45" s="130" t="s">
        <v>212</v>
      </c>
      <c r="E45" s="131">
        <v>1</v>
      </c>
      <c r="H45" s="132"/>
    </row>
    <row r="46" spans="1:8" ht="30" x14ac:dyDescent="0.25">
      <c r="A46" s="436"/>
      <c r="B46" s="439"/>
      <c r="C46" s="240">
        <f t="shared" ref="C46:C51" si="1">C45+1</f>
        <v>3</v>
      </c>
      <c r="D46" s="130" t="s">
        <v>213</v>
      </c>
      <c r="E46" s="131">
        <v>8</v>
      </c>
      <c r="H46" s="132"/>
    </row>
    <row r="47" spans="1:8" ht="30" x14ac:dyDescent="0.25">
      <c r="A47" s="436"/>
      <c r="B47" s="439"/>
      <c r="C47" s="240">
        <f t="shared" si="1"/>
        <v>4</v>
      </c>
      <c r="D47" s="130" t="s">
        <v>214</v>
      </c>
      <c r="E47" s="131">
        <v>16</v>
      </c>
      <c r="H47" s="132"/>
    </row>
    <row r="48" spans="1:8" ht="15.75" x14ac:dyDescent="0.25">
      <c r="A48" s="436"/>
      <c r="B48" s="439"/>
      <c r="C48" s="240">
        <f t="shared" si="1"/>
        <v>5</v>
      </c>
      <c r="D48" s="130" t="s">
        <v>215</v>
      </c>
      <c r="E48" s="131">
        <v>1</v>
      </c>
      <c r="H48" s="132"/>
    </row>
    <row r="49" spans="1:8" ht="15.75" x14ac:dyDescent="0.25">
      <c r="A49" s="436"/>
      <c r="B49" s="439"/>
      <c r="C49" s="240">
        <f t="shared" si="1"/>
        <v>6</v>
      </c>
      <c r="D49" s="130" t="s">
        <v>216</v>
      </c>
      <c r="E49" s="131">
        <v>1</v>
      </c>
      <c r="H49" s="132"/>
    </row>
    <row r="50" spans="1:8" ht="15.75" x14ac:dyDescent="0.25">
      <c r="A50" s="436"/>
      <c r="B50" s="439"/>
      <c r="C50" s="240">
        <f t="shared" si="1"/>
        <v>7</v>
      </c>
      <c r="D50" s="130" t="s">
        <v>217</v>
      </c>
      <c r="E50" s="131">
        <v>1</v>
      </c>
      <c r="H50" s="132"/>
    </row>
    <row r="51" spans="1:8" ht="15.75" x14ac:dyDescent="0.25">
      <c r="A51" s="436"/>
      <c r="B51" s="439"/>
      <c r="C51" s="240">
        <f t="shared" si="1"/>
        <v>8</v>
      </c>
      <c r="D51" s="130" t="s">
        <v>218</v>
      </c>
      <c r="E51" s="131">
        <v>0.5</v>
      </c>
      <c r="H51" s="132"/>
    </row>
    <row r="52" spans="1:8" ht="30" x14ac:dyDescent="0.25">
      <c r="A52" s="435">
        <v>8</v>
      </c>
      <c r="B52" s="438" t="s">
        <v>219</v>
      </c>
      <c r="C52" s="240">
        <v>1</v>
      </c>
      <c r="D52" s="130" t="s">
        <v>220</v>
      </c>
      <c r="E52" s="131"/>
      <c r="H52" s="132"/>
    </row>
    <row r="53" spans="1:8" ht="15.75" x14ac:dyDescent="0.25">
      <c r="A53" s="436"/>
      <c r="B53" s="439"/>
      <c r="C53" s="240">
        <f t="shared" ref="C53:C58" si="2">C52+1</f>
        <v>2</v>
      </c>
      <c r="D53" s="130" t="s">
        <v>212</v>
      </c>
      <c r="E53" s="131"/>
      <c r="H53" s="132"/>
    </row>
    <row r="54" spans="1:8" ht="30" x14ac:dyDescent="0.25">
      <c r="A54" s="436"/>
      <c r="B54" s="439"/>
      <c r="C54" s="240">
        <f t="shared" si="2"/>
        <v>3</v>
      </c>
      <c r="D54" s="130" t="s">
        <v>213</v>
      </c>
      <c r="E54" s="131"/>
      <c r="H54" s="132"/>
    </row>
    <row r="55" spans="1:8" ht="30" x14ac:dyDescent="0.25">
      <c r="A55" s="436"/>
      <c r="B55" s="439"/>
      <c r="C55" s="240">
        <f t="shared" si="2"/>
        <v>4</v>
      </c>
      <c r="D55" s="130" t="s">
        <v>214</v>
      </c>
      <c r="E55" s="131"/>
      <c r="H55" s="132"/>
    </row>
    <row r="56" spans="1:8" ht="15.75" x14ac:dyDescent="0.25">
      <c r="A56" s="436"/>
      <c r="B56" s="439"/>
      <c r="C56" s="240">
        <f t="shared" si="2"/>
        <v>5</v>
      </c>
      <c r="D56" s="130" t="s">
        <v>221</v>
      </c>
      <c r="E56" s="131"/>
      <c r="H56" s="132"/>
    </row>
    <row r="57" spans="1:8" ht="15.75" x14ac:dyDescent="0.25">
      <c r="A57" s="436"/>
      <c r="B57" s="439"/>
      <c r="C57" s="240">
        <f t="shared" si="2"/>
        <v>6</v>
      </c>
      <c r="D57" s="130" t="s">
        <v>222</v>
      </c>
      <c r="E57" s="131"/>
      <c r="H57" s="132"/>
    </row>
    <row r="58" spans="1:8" ht="15.75" x14ac:dyDescent="0.25">
      <c r="A58" s="436"/>
      <c r="B58" s="439"/>
      <c r="C58" s="240">
        <f t="shared" si="2"/>
        <v>7</v>
      </c>
      <c r="D58" s="130" t="s">
        <v>223</v>
      </c>
      <c r="E58" s="131"/>
      <c r="H58" s="132"/>
    </row>
    <row r="59" spans="1:8" ht="30" x14ac:dyDescent="0.25">
      <c r="A59" s="435">
        <v>9</v>
      </c>
      <c r="B59" s="438" t="s">
        <v>224</v>
      </c>
      <c r="C59" s="240">
        <v>1</v>
      </c>
      <c r="D59" s="130" t="s">
        <v>225</v>
      </c>
      <c r="E59" s="131"/>
    </row>
    <row r="60" spans="1:8" ht="30" x14ac:dyDescent="0.25">
      <c r="A60" s="436"/>
      <c r="B60" s="439"/>
      <c r="C60" s="240">
        <f>C59+1</f>
        <v>2</v>
      </c>
      <c r="D60" s="130" t="s">
        <v>226</v>
      </c>
      <c r="E60" s="131"/>
    </row>
    <row r="61" spans="1:8" ht="45" x14ac:dyDescent="0.25">
      <c r="A61" s="435">
        <v>10</v>
      </c>
      <c r="B61" s="438" t="s">
        <v>227</v>
      </c>
      <c r="C61" s="240">
        <v>1</v>
      </c>
      <c r="D61" s="130" t="s">
        <v>228</v>
      </c>
      <c r="E61" s="131"/>
    </row>
    <row r="62" spans="1:8" ht="45" x14ac:dyDescent="0.25">
      <c r="A62" s="436"/>
      <c r="B62" s="439"/>
      <c r="C62" s="240">
        <f>C61+1</f>
        <v>2</v>
      </c>
      <c r="D62" s="130" t="s">
        <v>229</v>
      </c>
      <c r="E62" s="131"/>
    </row>
    <row r="63" spans="1:8" ht="45" x14ac:dyDescent="0.25">
      <c r="A63" s="436"/>
      <c r="B63" s="439"/>
      <c r="C63" s="240">
        <f t="shared" ref="C63:C72" si="3">C62+1</f>
        <v>3</v>
      </c>
      <c r="D63" s="130" t="s">
        <v>230</v>
      </c>
      <c r="E63" s="131"/>
    </row>
    <row r="64" spans="1:8" ht="30" x14ac:dyDescent="0.25">
      <c r="A64" s="436"/>
      <c r="B64" s="439"/>
      <c r="C64" s="240">
        <f t="shared" si="3"/>
        <v>4</v>
      </c>
      <c r="D64" s="130" t="s">
        <v>231</v>
      </c>
      <c r="E64" s="131"/>
    </row>
    <row r="65" spans="1:5" ht="30" x14ac:dyDescent="0.25">
      <c r="A65" s="436"/>
      <c r="B65" s="439"/>
      <c r="C65" s="240">
        <f t="shared" si="3"/>
        <v>5</v>
      </c>
      <c r="D65" s="130" t="s">
        <v>232</v>
      </c>
      <c r="E65" s="131"/>
    </row>
    <row r="66" spans="1:5" ht="30" x14ac:dyDescent="0.25">
      <c r="A66" s="436"/>
      <c r="B66" s="439"/>
      <c r="C66" s="240">
        <f t="shared" si="3"/>
        <v>6</v>
      </c>
      <c r="D66" s="130" t="s">
        <v>233</v>
      </c>
      <c r="E66" s="131"/>
    </row>
    <row r="67" spans="1:5" ht="30" x14ac:dyDescent="0.25">
      <c r="A67" s="436"/>
      <c r="B67" s="439"/>
      <c r="C67" s="240">
        <f t="shared" si="3"/>
        <v>7</v>
      </c>
      <c r="D67" s="130" t="s">
        <v>234</v>
      </c>
      <c r="E67" s="131"/>
    </row>
    <row r="68" spans="1:5" ht="30" x14ac:dyDescent="0.25">
      <c r="A68" s="436"/>
      <c r="B68" s="439"/>
      <c r="C68" s="240">
        <f t="shared" si="3"/>
        <v>8</v>
      </c>
      <c r="D68" s="130" t="s">
        <v>235</v>
      </c>
      <c r="E68" s="131"/>
    </row>
    <row r="69" spans="1:5" ht="30" x14ac:dyDescent="0.25">
      <c r="A69" s="436"/>
      <c r="B69" s="439"/>
      <c r="C69" s="240">
        <f t="shared" si="3"/>
        <v>9</v>
      </c>
      <c r="D69" s="130" t="s">
        <v>236</v>
      </c>
      <c r="E69" s="131"/>
    </row>
    <row r="70" spans="1:5" ht="45" x14ac:dyDescent="0.25">
      <c r="A70" s="436"/>
      <c r="B70" s="439"/>
      <c r="C70" s="240">
        <f t="shared" si="3"/>
        <v>10</v>
      </c>
      <c r="D70" s="130" t="s">
        <v>237</v>
      </c>
      <c r="E70" s="131"/>
    </row>
    <row r="71" spans="1:5" ht="45" x14ac:dyDescent="0.25">
      <c r="A71" s="436"/>
      <c r="B71" s="439"/>
      <c r="C71" s="240">
        <f t="shared" si="3"/>
        <v>11</v>
      </c>
      <c r="D71" s="130" t="s">
        <v>238</v>
      </c>
      <c r="E71" s="131"/>
    </row>
    <row r="72" spans="1:5" ht="45" x14ac:dyDescent="0.25">
      <c r="A72" s="437"/>
      <c r="B72" s="440"/>
      <c r="C72" s="240">
        <f t="shared" si="3"/>
        <v>12</v>
      </c>
      <c r="D72" s="130" t="s">
        <v>239</v>
      </c>
      <c r="E72" s="131"/>
    </row>
    <row r="73" spans="1:5" x14ac:dyDescent="0.25">
      <c r="A73" s="435">
        <v>11</v>
      </c>
      <c r="B73" s="438" t="s">
        <v>240</v>
      </c>
      <c r="C73" s="240">
        <v>1</v>
      </c>
      <c r="D73" s="130"/>
      <c r="E73" s="131"/>
    </row>
    <row r="74" spans="1:5" x14ac:dyDescent="0.25">
      <c r="A74" s="436"/>
      <c r="B74" s="439"/>
      <c r="C74" s="240">
        <f>C73+1</f>
        <v>2</v>
      </c>
      <c r="D74" s="130"/>
      <c r="E74" s="131"/>
    </row>
    <row r="75" spans="1:5" x14ac:dyDescent="0.25">
      <c r="A75" s="436"/>
      <c r="B75" s="439"/>
      <c r="C75" s="240">
        <f>C74+1</f>
        <v>3</v>
      </c>
      <c r="D75" s="130"/>
      <c r="E75" s="131"/>
    </row>
    <row r="76" spans="1:5" x14ac:dyDescent="0.25">
      <c r="A76" s="436"/>
      <c r="B76" s="439"/>
      <c r="C76" s="240">
        <f>C75+1</f>
        <v>4</v>
      </c>
      <c r="D76" s="130"/>
      <c r="E76" s="131"/>
    </row>
    <row r="77" spans="1:5" x14ac:dyDescent="0.25">
      <c r="A77" s="437"/>
      <c r="B77" s="440"/>
      <c r="C77" s="240">
        <f>C76+1</f>
        <v>5</v>
      </c>
      <c r="D77" s="130"/>
      <c r="E77" s="131"/>
    </row>
    <row r="78" spans="1:5" x14ac:dyDescent="0.25">
      <c r="A78" s="435">
        <v>12</v>
      </c>
      <c r="B78" s="438" t="s">
        <v>241</v>
      </c>
      <c r="C78" s="240">
        <v>1</v>
      </c>
      <c r="D78" s="130"/>
      <c r="E78" s="131"/>
    </row>
    <row r="79" spans="1:5" x14ac:dyDescent="0.25">
      <c r="A79" s="436"/>
      <c r="B79" s="439"/>
      <c r="C79" s="240">
        <f>C78+1</f>
        <v>2</v>
      </c>
      <c r="D79" s="130"/>
      <c r="E79" s="131"/>
    </row>
    <row r="80" spans="1:5" x14ac:dyDescent="0.25">
      <c r="A80" s="436"/>
      <c r="B80" s="439"/>
      <c r="C80" s="240">
        <f>C79+1</f>
        <v>3</v>
      </c>
      <c r="D80" s="130"/>
      <c r="E80" s="131"/>
    </row>
    <row r="81" spans="1:5" x14ac:dyDescent="0.25">
      <c r="A81" s="436"/>
      <c r="B81" s="439"/>
      <c r="C81" s="240">
        <f>C80+1</f>
        <v>4</v>
      </c>
      <c r="D81" s="130"/>
      <c r="E81" s="131"/>
    </row>
    <row r="82" spans="1:5" x14ac:dyDescent="0.25">
      <c r="A82" s="437"/>
      <c r="B82" s="440"/>
      <c r="C82" s="240">
        <f>C81+1</f>
        <v>5</v>
      </c>
      <c r="D82" s="130"/>
      <c r="E82" s="131"/>
    </row>
    <row r="83" spans="1:5" x14ac:dyDescent="0.25">
      <c r="A83" s="435">
        <v>13</v>
      </c>
      <c r="B83" s="438" t="s">
        <v>242</v>
      </c>
      <c r="C83" s="240">
        <v>1</v>
      </c>
      <c r="D83" s="130"/>
      <c r="E83" s="131"/>
    </row>
    <row r="84" spans="1:5" x14ac:dyDescent="0.25">
      <c r="A84" s="436"/>
      <c r="B84" s="439"/>
      <c r="C84" s="240">
        <f>C83+1</f>
        <v>2</v>
      </c>
      <c r="D84" s="130"/>
      <c r="E84" s="131"/>
    </row>
    <row r="85" spans="1:5" x14ac:dyDescent="0.25">
      <c r="A85" s="436"/>
      <c r="B85" s="439"/>
      <c r="C85" s="240">
        <f>C84+1</f>
        <v>3</v>
      </c>
      <c r="D85" s="130"/>
      <c r="E85" s="131"/>
    </row>
    <row r="86" spans="1:5" x14ac:dyDescent="0.25">
      <c r="A86" s="436"/>
      <c r="B86" s="439"/>
      <c r="C86" s="240">
        <f>C85+1</f>
        <v>4</v>
      </c>
      <c r="D86" s="130"/>
      <c r="E86" s="131"/>
    </row>
    <row r="87" spans="1:5" x14ac:dyDescent="0.25">
      <c r="A87" s="437"/>
      <c r="B87" s="440"/>
      <c r="C87" s="240">
        <f>C86+1</f>
        <v>5</v>
      </c>
      <c r="D87" s="130"/>
      <c r="E87" s="131"/>
    </row>
    <row r="88" spans="1:5" x14ac:dyDescent="0.25">
      <c r="A88" s="435">
        <v>14</v>
      </c>
      <c r="B88" s="438" t="s">
        <v>243</v>
      </c>
      <c r="C88" s="240">
        <v>1</v>
      </c>
      <c r="D88" s="133" t="s">
        <v>244</v>
      </c>
      <c r="E88" s="131">
        <v>1</v>
      </c>
    </row>
    <row r="89" spans="1:5" ht="45" x14ac:dyDescent="0.25">
      <c r="A89" s="436"/>
      <c r="B89" s="439"/>
      <c r="C89" s="240">
        <f>C88+1</f>
        <v>2</v>
      </c>
      <c r="D89" s="130" t="s">
        <v>245</v>
      </c>
      <c r="E89" s="131">
        <v>3</v>
      </c>
    </row>
    <row r="90" spans="1:5" ht="30" x14ac:dyDescent="0.25">
      <c r="A90" s="436"/>
      <c r="B90" s="439"/>
      <c r="C90" s="240">
        <f>C89+1</f>
        <v>3</v>
      </c>
      <c r="D90" s="130" t="s">
        <v>246</v>
      </c>
      <c r="E90" s="131">
        <v>2</v>
      </c>
    </row>
    <row r="91" spans="1:5" ht="30" x14ac:dyDescent="0.25">
      <c r="A91" s="436"/>
      <c r="B91" s="439"/>
      <c r="C91" s="240">
        <f>C90+1</f>
        <v>4</v>
      </c>
      <c r="D91" s="130" t="s">
        <v>247</v>
      </c>
      <c r="E91" s="131">
        <v>3</v>
      </c>
    </row>
    <row r="92" spans="1:5" x14ac:dyDescent="0.25">
      <c r="A92" s="437"/>
      <c r="B92" s="440"/>
      <c r="C92" s="240">
        <f>C91+1</f>
        <v>5</v>
      </c>
      <c r="D92" s="130" t="s">
        <v>248</v>
      </c>
      <c r="E92" s="131">
        <v>2</v>
      </c>
    </row>
    <row r="93" spans="1:5" x14ac:dyDescent="0.25">
      <c r="A93" s="435">
        <v>15</v>
      </c>
      <c r="B93" s="438" t="s">
        <v>249</v>
      </c>
      <c r="C93" s="240">
        <v>1</v>
      </c>
      <c r="D93" s="130"/>
      <c r="E93" s="131"/>
    </row>
    <row r="94" spans="1:5" x14ac:dyDescent="0.25">
      <c r="A94" s="436"/>
      <c r="B94" s="439"/>
      <c r="C94" s="240">
        <f>C93+1</f>
        <v>2</v>
      </c>
      <c r="D94" s="130"/>
      <c r="E94" s="131"/>
    </row>
    <row r="95" spans="1:5" x14ac:dyDescent="0.25">
      <c r="A95" s="436"/>
      <c r="B95" s="439"/>
      <c r="C95" s="240">
        <f>C94+1</f>
        <v>3</v>
      </c>
      <c r="D95" s="130"/>
      <c r="E95" s="131"/>
    </row>
    <row r="96" spans="1:5" x14ac:dyDescent="0.25">
      <c r="A96" s="436"/>
      <c r="B96" s="439"/>
      <c r="C96" s="240">
        <f>C95+1</f>
        <v>4</v>
      </c>
      <c r="D96" s="130"/>
      <c r="E96" s="131"/>
    </row>
    <row r="97" spans="1:5" x14ac:dyDescent="0.25">
      <c r="A97" s="437"/>
      <c r="B97" s="440"/>
      <c r="C97" s="240">
        <f>C96+1</f>
        <v>5</v>
      </c>
      <c r="D97" s="130"/>
      <c r="E97" s="131"/>
    </row>
    <row r="98" spans="1:5" x14ac:dyDescent="0.25">
      <c r="A98" s="435">
        <v>16</v>
      </c>
      <c r="B98" s="438" t="s">
        <v>250</v>
      </c>
      <c r="C98" s="240">
        <v>1</v>
      </c>
      <c r="D98" s="130"/>
      <c r="E98" s="131"/>
    </row>
    <row r="99" spans="1:5" x14ac:dyDescent="0.25">
      <c r="A99" s="436"/>
      <c r="B99" s="439"/>
      <c r="C99" s="240">
        <f>C98+1</f>
        <v>2</v>
      </c>
      <c r="D99" s="130"/>
      <c r="E99" s="131"/>
    </row>
    <row r="100" spans="1:5" x14ac:dyDescent="0.25">
      <c r="A100" s="436"/>
      <c r="B100" s="439"/>
      <c r="C100" s="240">
        <f>C99+1</f>
        <v>3</v>
      </c>
      <c r="D100" s="130"/>
      <c r="E100" s="131"/>
    </row>
    <row r="101" spans="1:5" x14ac:dyDescent="0.25">
      <c r="A101" s="436"/>
      <c r="B101" s="439"/>
      <c r="C101" s="240">
        <f>C100+1</f>
        <v>4</v>
      </c>
      <c r="D101" s="130"/>
      <c r="E101" s="131"/>
    </row>
    <row r="102" spans="1:5" x14ac:dyDescent="0.25">
      <c r="A102" s="437"/>
      <c r="B102" s="440"/>
      <c r="C102" s="240">
        <f>C101+1</f>
        <v>5</v>
      </c>
      <c r="D102" s="130"/>
      <c r="E102" s="131"/>
    </row>
    <row r="103" spans="1:5" ht="45" x14ac:dyDescent="0.25">
      <c r="A103" s="435">
        <v>17</v>
      </c>
      <c r="B103" s="438" t="s">
        <v>251</v>
      </c>
      <c r="C103" s="240">
        <v>1</v>
      </c>
      <c r="D103" s="133" t="s">
        <v>252</v>
      </c>
      <c r="E103" s="131">
        <v>0.15</v>
      </c>
    </row>
    <row r="104" spans="1:5" x14ac:dyDescent="0.25">
      <c r="A104" s="436"/>
      <c r="B104" s="439"/>
      <c r="C104" s="240">
        <f>C103+1</f>
        <v>2</v>
      </c>
      <c r="D104" s="130"/>
      <c r="E104" s="131"/>
    </row>
    <row r="105" spans="1:5" x14ac:dyDescent="0.25">
      <c r="A105" s="436"/>
      <c r="B105" s="439"/>
      <c r="C105" s="240">
        <f>C104+1</f>
        <v>3</v>
      </c>
      <c r="D105" s="130"/>
      <c r="E105" s="131"/>
    </row>
    <row r="106" spans="1:5" x14ac:dyDescent="0.25">
      <c r="A106" s="436"/>
      <c r="B106" s="439"/>
      <c r="C106" s="240">
        <f>C105+1</f>
        <v>4</v>
      </c>
      <c r="D106" s="130"/>
      <c r="E106" s="131"/>
    </row>
    <row r="107" spans="1:5" x14ac:dyDescent="0.25">
      <c r="A107" s="437"/>
      <c r="B107" s="440"/>
      <c r="C107" s="240">
        <f>C106+1</f>
        <v>5</v>
      </c>
      <c r="D107" s="130"/>
      <c r="E107" s="131"/>
    </row>
    <row r="108" spans="1:5" x14ac:dyDescent="0.25">
      <c r="A108" s="435">
        <v>18</v>
      </c>
      <c r="B108" s="438" t="s">
        <v>253</v>
      </c>
      <c r="C108" s="240">
        <v>1</v>
      </c>
      <c r="D108" s="130"/>
      <c r="E108" s="131"/>
    </row>
    <row r="109" spans="1:5" x14ac:dyDescent="0.25">
      <c r="A109" s="436"/>
      <c r="B109" s="439"/>
      <c r="C109" s="240">
        <f>C108+1</f>
        <v>2</v>
      </c>
      <c r="D109" s="130"/>
      <c r="E109" s="131"/>
    </row>
    <row r="110" spans="1:5" x14ac:dyDescent="0.25">
      <c r="A110" s="436"/>
      <c r="B110" s="439"/>
      <c r="C110" s="240">
        <f>C109+1</f>
        <v>3</v>
      </c>
      <c r="D110" s="130"/>
      <c r="E110" s="131"/>
    </row>
    <row r="111" spans="1:5" x14ac:dyDescent="0.25">
      <c r="A111" s="436"/>
      <c r="B111" s="439"/>
      <c r="C111" s="240">
        <f>C110+1</f>
        <v>4</v>
      </c>
      <c r="D111" s="130"/>
      <c r="E111" s="131"/>
    </row>
    <row r="112" spans="1:5" x14ac:dyDescent="0.25">
      <c r="A112" s="437"/>
      <c r="B112" s="440"/>
      <c r="C112" s="240">
        <f>C111+1</f>
        <v>5</v>
      </c>
      <c r="D112" s="130"/>
      <c r="E112" s="131"/>
    </row>
    <row r="113" spans="1:5" ht="30" x14ac:dyDescent="0.25">
      <c r="A113" s="435">
        <v>19</v>
      </c>
      <c r="B113" s="438" t="s">
        <v>254</v>
      </c>
      <c r="C113" s="240">
        <v>1</v>
      </c>
      <c r="D113" s="130" t="s">
        <v>255</v>
      </c>
      <c r="E113" s="131">
        <v>2</v>
      </c>
    </row>
    <row r="114" spans="1:5" x14ac:dyDescent="0.25">
      <c r="A114" s="436"/>
      <c r="B114" s="439"/>
      <c r="C114" s="240">
        <f>C113+1</f>
        <v>2</v>
      </c>
      <c r="D114" s="130" t="s">
        <v>256</v>
      </c>
      <c r="E114" s="131">
        <v>0.5</v>
      </c>
    </row>
    <row r="115" spans="1:5" x14ac:dyDescent="0.25">
      <c r="A115" s="436"/>
      <c r="B115" s="439"/>
      <c r="C115" s="240">
        <f>C114+1</f>
        <v>3</v>
      </c>
      <c r="D115" s="130"/>
      <c r="E115" s="131"/>
    </row>
    <row r="116" spans="1:5" x14ac:dyDescent="0.25">
      <c r="A116" s="436"/>
      <c r="B116" s="439"/>
      <c r="C116" s="240">
        <f>C115+1</f>
        <v>4</v>
      </c>
      <c r="D116" s="130"/>
      <c r="E116" s="131"/>
    </row>
    <row r="117" spans="1:5" x14ac:dyDescent="0.25">
      <c r="A117" s="437"/>
      <c r="B117" s="440"/>
      <c r="C117" s="240">
        <f>C116+1</f>
        <v>5</v>
      </c>
      <c r="D117" s="130"/>
      <c r="E117" s="131"/>
    </row>
  </sheetData>
  <mergeCells count="38">
    <mergeCell ref="A4:A9"/>
    <mergeCell ref="B4:B9"/>
    <mergeCell ref="A10:A13"/>
    <mergeCell ref="B10:B13"/>
    <mergeCell ref="A14:A28"/>
    <mergeCell ref="B14:B28"/>
    <mergeCell ref="A29:A33"/>
    <mergeCell ref="B29:B33"/>
    <mergeCell ref="A34:A38"/>
    <mergeCell ref="B34:B38"/>
    <mergeCell ref="A39:A43"/>
    <mergeCell ref="B39:B43"/>
    <mergeCell ref="A44:A51"/>
    <mergeCell ref="B44:B51"/>
    <mergeCell ref="A52:A58"/>
    <mergeCell ref="B52:B58"/>
    <mergeCell ref="A59:A60"/>
    <mergeCell ref="B59:B60"/>
    <mergeCell ref="A61:A72"/>
    <mergeCell ref="B61:B72"/>
    <mergeCell ref="A73:A77"/>
    <mergeCell ref="B73:B77"/>
    <mergeCell ref="A78:A82"/>
    <mergeCell ref="B78:B82"/>
    <mergeCell ref="A83:A87"/>
    <mergeCell ref="B83:B87"/>
    <mergeCell ref="A88:A92"/>
    <mergeCell ref="B88:B92"/>
    <mergeCell ref="A93:A97"/>
    <mergeCell ref="B93:B97"/>
    <mergeCell ref="A113:A117"/>
    <mergeCell ref="B113:B117"/>
    <mergeCell ref="A98:A102"/>
    <mergeCell ref="B98:B102"/>
    <mergeCell ref="A103:A107"/>
    <mergeCell ref="B103:B107"/>
    <mergeCell ref="A108:A112"/>
    <mergeCell ref="B108:B11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'В1.Группы действий'!$B$2:$B$20</xm:f>
          </x14:formula1>
          <xm:sqref>B4:B134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G268"/>
  <sheetViews>
    <sheetView workbookViewId="0">
      <selection activeCell="Q194" sqref="Q194"/>
    </sheetView>
  </sheetViews>
  <sheetFormatPr defaultColWidth="8.85546875" defaultRowHeight="15" x14ac:dyDescent="0.25"/>
  <cols>
    <col min="1" max="1" width="4.42578125" style="139" customWidth="1"/>
    <col min="2" max="2" width="29.28515625" style="139" customWidth="1"/>
    <col min="3" max="3" width="31.7109375" style="134" customWidth="1"/>
    <col min="4" max="4" width="43.28515625" style="134" customWidth="1"/>
    <col min="5" max="5" width="27.42578125" style="134" customWidth="1"/>
    <col min="6" max="6" width="21.7109375" style="134" customWidth="1"/>
    <col min="7" max="7" width="29.7109375" style="134" customWidth="1"/>
    <col min="8" max="16384" width="8.85546875" style="134"/>
  </cols>
  <sheetData>
    <row r="1" spans="1:7" ht="15.75" x14ac:dyDescent="0.25">
      <c r="A1" s="128" t="s">
        <v>162</v>
      </c>
      <c r="B1" s="128"/>
    </row>
    <row r="3" spans="1:7" ht="60" x14ac:dyDescent="0.25">
      <c r="A3" s="135" t="s">
        <v>257</v>
      </c>
      <c r="B3" s="136" t="s">
        <v>258</v>
      </c>
      <c r="C3" s="136" t="s">
        <v>259</v>
      </c>
      <c r="D3" s="136" t="s">
        <v>260</v>
      </c>
      <c r="E3" s="136" t="s">
        <v>1141</v>
      </c>
      <c r="F3" s="136" t="s">
        <v>261</v>
      </c>
      <c r="G3" s="135" t="s">
        <v>262</v>
      </c>
    </row>
    <row r="4" spans="1:7" ht="30" x14ac:dyDescent="0.25">
      <c r="A4" s="240">
        <v>1</v>
      </c>
      <c r="B4" s="130" t="str">
        <f>'В2.Расчет стоимости часа'!A6</f>
        <v>В среднем по всем видам экономической деятельности</v>
      </c>
      <c r="C4" s="130"/>
      <c r="D4" s="130"/>
      <c r="E4" s="137">
        <f>'В2.Расчет стоимости часа'!H6</f>
        <v>67723</v>
      </c>
      <c r="F4" s="137">
        <f>'В2.Расчет стоимости часа'!P6</f>
        <v>575.32790287767375</v>
      </c>
      <c r="G4" s="138" t="s">
        <v>263</v>
      </c>
    </row>
    <row r="5" spans="1:7" x14ac:dyDescent="0.25">
      <c r="A5" s="435">
        <v>2</v>
      </c>
      <c r="B5" s="441" t="str">
        <f>'В2.Расчет стоимости часа'!A7</f>
        <v>СЕЛЬСКОЕ, ЛЕСНОЕ ХОЗЯЙСТВО, ОХОТА, РЫБОЛОВСТВО И РЫБОВОДСТВО</v>
      </c>
      <c r="C5" s="441" t="str">
        <f>'В2.Расчет стоимости часа'!B7</f>
        <v xml:space="preserve">    Растениеводство и животноводство, охота и предоставление соответствующих услуг в этих областях</v>
      </c>
      <c r="D5" s="11" t="str">
        <f>'В2.Расчет стоимости часа'!C7</f>
        <v xml:space="preserve">        Выращивание однолетних культур</v>
      </c>
      <c r="E5" s="137">
        <f>'В2.Расчет стоимости часа'!H7</f>
        <v>39428.699999999997</v>
      </c>
      <c r="F5" s="137">
        <f>'В2.Расчет стоимости часа'!P7</f>
        <v>335.03023397114526</v>
      </c>
      <c r="G5" s="138" t="s">
        <v>263</v>
      </c>
    </row>
    <row r="6" spans="1:7" x14ac:dyDescent="0.25">
      <c r="A6" s="436"/>
      <c r="B6" s="442"/>
      <c r="C6" s="442"/>
      <c r="D6" s="11" t="str">
        <f>'В2.Расчет стоимости часа'!C8</f>
        <v xml:space="preserve">        Выращивание многолетних культур</v>
      </c>
      <c r="E6" s="137">
        <f>'В2.Расчет стоимости часа'!H8</f>
        <v>39705.824999999997</v>
      </c>
      <c r="F6" s="137">
        <f>'В2.Расчет стоимости часа'!P8</f>
        <v>337.99204257798573</v>
      </c>
      <c r="G6" s="138" t="s">
        <v>263</v>
      </c>
    </row>
    <row r="7" spans="1:7" x14ac:dyDescent="0.25">
      <c r="A7" s="436"/>
      <c r="B7" s="442"/>
      <c r="C7" s="442"/>
      <c r="D7" s="11" t="str">
        <f>'В2.Расчет стоимости часа'!C9</f>
        <v xml:space="preserve">        Выращивание рассады</v>
      </c>
      <c r="E7" s="137">
        <f>'В2.Расчет стоимости часа'!H9</f>
        <v>44633.375</v>
      </c>
      <c r="F7" s="137">
        <f>'В2.Расчет стоимости часа'!P9</f>
        <v>382.06493682876561</v>
      </c>
      <c r="G7" s="138" t="s">
        <v>263</v>
      </c>
    </row>
    <row r="8" spans="1:7" x14ac:dyDescent="0.25">
      <c r="A8" s="436"/>
      <c r="B8" s="442"/>
      <c r="C8" s="442"/>
      <c r="D8" s="11" t="str">
        <f>'В2.Расчет стоимости часа'!C10</f>
        <v xml:space="preserve">        Животноводство</v>
      </c>
      <c r="E8" s="137">
        <f>'В2.Расчет стоимости часа'!H10</f>
        <v>45893.675000000003</v>
      </c>
      <c r="F8" s="137">
        <f>'В2.Расчет стоимости часа'!P10</f>
        <v>391.20255612800804</v>
      </c>
      <c r="G8" s="138" t="s">
        <v>263</v>
      </c>
    </row>
    <row r="9" spans="1:7" x14ac:dyDescent="0.25">
      <c r="A9" s="436"/>
      <c r="B9" s="442"/>
      <c r="C9" s="442"/>
      <c r="D9" s="11" t="str">
        <f>'В2.Расчет стоимости часа'!C11</f>
        <v xml:space="preserve">        Смешанное сельское хозяйство</v>
      </c>
      <c r="E9" s="137">
        <f>'В2.Расчет стоимости часа'!H11</f>
        <v>38450.6</v>
      </c>
      <c r="F9" s="137">
        <f>'В2.Расчет стоимости часа'!P11</f>
        <v>327.38549731004906</v>
      </c>
      <c r="G9" s="138" t="s">
        <v>263</v>
      </c>
    </row>
    <row r="10" spans="1:7" ht="75" x14ac:dyDescent="0.25">
      <c r="A10" s="436"/>
      <c r="B10" s="442"/>
      <c r="C10" s="442"/>
      <c r="D10" s="11" t="str">
        <f>'В2.Расчет стоимости часа'!C12</f>
        <v xml:space="preserve">        Деятельность вспомогательная в области производства сельскохозяйственных культур и послеуборочной обработки сельхозпродукции</v>
      </c>
      <c r="E10" s="137">
        <f>'В2.Расчет стоимости часа'!H12</f>
        <v>39093.1</v>
      </c>
      <c r="F10" s="137">
        <f>'В2.Расчет стоимости часа'!P12</f>
        <v>331.96263399621211</v>
      </c>
      <c r="G10" s="138" t="s">
        <v>263</v>
      </c>
    </row>
    <row r="11" spans="1:7" ht="45" x14ac:dyDescent="0.25">
      <c r="A11" s="436"/>
      <c r="B11" s="442"/>
      <c r="C11" s="443"/>
      <c r="D11" s="11" t="str">
        <f>'В2.Расчет стоимости часа'!C13</f>
        <v xml:space="preserve">        Охота, отлов и отстрел диких животных, включая предоставление услуг в этих областях</v>
      </c>
      <c r="E11" s="137">
        <f>'В2.Расчет стоимости часа'!H13</f>
        <v>36025.675000000003</v>
      </c>
      <c r="F11" s="137">
        <f>'В2.Расчет стоимости часа'!P13</f>
        <v>306.9635428163993</v>
      </c>
      <c r="G11" s="138" t="s">
        <v>263</v>
      </c>
    </row>
    <row r="12" spans="1:7" ht="30" x14ac:dyDescent="0.25">
      <c r="A12" s="436"/>
      <c r="B12" s="442"/>
      <c r="C12" s="441" t="str">
        <f>'В2.Расчет стоимости часа'!B14</f>
        <v xml:space="preserve">    Лесоводство и лесозаготовки</v>
      </c>
      <c r="D12" s="11" t="str">
        <f>'В2.Расчет стоимости часа'!C14</f>
        <v xml:space="preserve">        Лесоводство и прочая лесохозяйственная деятельность</v>
      </c>
      <c r="E12" s="137">
        <f>'В2.Расчет стоимости часа'!H14</f>
        <v>33896</v>
      </c>
      <c r="F12" s="137">
        <f>'В2.Расчет стоимости часа'!P14</f>
        <v>288.74734509246883</v>
      </c>
      <c r="G12" s="138" t="s">
        <v>263</v>
      </c>
    </row>
    <row r="13" spans="1:7" x14ac:dyDescent="0.25">
      <c r="A13" s="436"/>
      <c r="B13" s="442"/>
      <c r="C13" s="442"/>
      <c r="D13" s="11" t="str">
        <f>'В2.Расчет стоимости часа'!C15</f>
        <v xml:space="preserve">        Лесозаготовки</v>
      </c>
      <c r="E13" s="137">
        <f>'В2.Расчет стоимости часа'!H15</f>
        <v>58024.5</v>
      </c>
      <c r="F13" s="137">
        <f>'В2.Расчет стоимости часа'!P15</f>
        <v>494.23099637979055</v>
      </c>
      <c r="G13" s="138" t="s">
        <v>263</v>
      </c>
    </row>
    <row r="14" spans="1:7" ht="45" x14ac:dyDescent="0.25">
      <c r="A14" s="436"/>
      <c r="B14" s="442"/>
      <c r="C14" s="442"/>
      <c r="D14" s="11" t="str">
        <f>'В2.Расчет стоимости часа'!C16</f>
        <v xml:space="preserve">        Сбор и заготовка пищевых лесных ресурсов, недревесных лесных ресурсов и лекарственных растений</v>
      </c>
      <c r="E14" s="137">
        <f>'В2.Расчет стоимости часа'!H16</f>
        <v>26659.775000000001</v>
      </c>
      <c r="F14" s="137">
        <f>'В2.Расчет стоимости часа'!P16</f>
        <v>226.05561936051694</v>
      </c>
      <c r="G14" s="138" t="s">
        <v>263</v>
      </c>
    </row>
    <row r="15" spans="1:7" ht="30" x14ac:dyDescent="0.25">
      <c r="A15" s="436"/>
      <c r="B15" s="442"/>
      <c r="C15" s="443"/>
      <c r="D15" s="11" t="str">
        <f>'В2.Расчет стоимости часа'!C17</f>
        <v xml:space="preserve">        Предоставление услуг в области лесоводства и лесозаготовок</v>
      </c>
      <c r="E15" s="137">
        <f>'В2.Расчет стоимости часа'!H17</f>
        <v>45397.9</v>
      </c>
      <c r="F15" s="137">
        <f>'В2.Расчет стоимости часа'!P17</f>
        <v>385.97557128732177</v>
      </c>
      <c r="G15" s="138" t="s">
        <v>263</v>
      </c>
    </row>
    <row r="16" spans="1:7" x14ac:dyDescent="0.25">
      <c r="A16" s="436"/>
      <c r="B16" s="442"/>
      <c r="C16" s="441" t="str">
        <f>'В2.Расчет стоимости часа'!B18</f>
        <v xml:space="preserve">    Рыболовство и рыбоводство</v>
      </c>
      <c r="D16" s="11" t="str">
        <f>'В2.Расчет стоимости часа'!C18</f>
        <v xml:space="preserve">        Рыболовство</v>
      </c>
      <c r="E16" s="137">
        <f>'В2.Расчет стоимости часа'!H18</f>
        <v>140604.70000000001</v>
      </c>
      <c r="F16" s="137">
        <f>'В2.Расчет стоимости часа'!P18</f>
        <v>1197.2828805436723</v>
      </c>
      <c r="G16" s="138" t="s">
        <v>263</v>
      </c>
    </row>
    <row r="17" spans="1:7" x14ac:dyDescent="0.25">
      <c r="A17" s="437"/>
      <c r="B17" s="443"/>
      <c r="C17" s="443"/>
      <c r="D17" s="11" t="str">
        <f>'В2.Расчет стоимости часа'!C19</f>
        <v xml:space="preserve">        Рыбоводство</v>
      </c>
      <c r="E17" s="137">
        <f>'В2.Расчет стоимости часа'!H19</f>
        <v>52829.1</v>
      </c>
      <c r="F17" s="137">
        <f>'В2.Расчет стоимости часа'!P19</f>
        <v>452.67340265374338</v>
      </c>
      <c r="G17" s="138" t="s">
        <v>263</v>
      </c>
    </row>
    <row r="18" spans="1:7" x14ac:dyDescent="0.25">
      <c r="A18" s="435">
        <v>3</v>
      </c>
      <c r="B18" s="441" t="str">
        <f>'В2.Расчет стоимости часа'!A20</f>
        <v>ДОБЫЧА ПОЛЕЗНЫХ ИСКОПАЕМЫХ</v>
      </c>
      <c r="C18" s="441" t="str">
        <f>'В2.Расчет стоимости часа'!B20</f>
        <v xml:space="preserve">    Добыча угля</v>
      </c>
      <c r="D18" s="11" t="str">
        <f>'В2.Расчет стоимости часа'!C20</f>
        <v xml:space="preserve">        Добыча и обогащение угля и антрацита</v>
      </c>
      <c r="E18" s="137">
        <f>'В2.Расчет стоимости часа'!H20</f>
        <v>97635.725000000006</v>
      </c>
      <c r="F18" s="137">
        <f>'В2.Расчет стоимости часа'!P20</f>
        <v>831.0531094223486</v>
      </c>
      <c r="G18" s="138" t="s">
        <v>263</v>
      </c>
    </row>
    <row r="19" spans="1:7" ht="30" x14ac:dyDescent="0.25">
      <c r="A19" s="436"/>
      <c r="B19" s="442"/>
      <c r="C19" s="443"/>
      <c r="D19" s="11" t="str">
        <f>'В2.Расчет стоимости часа'!C21</f>
        <v xml:space="preserve">        Добыча и обогащение бурого угля (лигнита)</v>
      </c>
      <c r="E19" s="137">
        <f>'В2.Расчет стоимости часа'!H21</f>
        <v>84838.7</v>
      </c>
      <c r="F19" s="137">
        <f>'В2.Расчет стоимости часа'!P21</f>
        <v>720.61770610127007</v>
      </c>
      <c r="G19" s="138" t="s">
        <v>263</v>
      </c>
    </row>
    <row r="20" spans="1:7" ht="30" x14ac:dyDescent="0.25">
      <c r="A20" s="436"/>
      <c r="B20" s="442"/>
      <c r="C20" s="441" t="str">
        <f>'В2.Расчет стоимости часа'!B22</f>
        <v xml:space="preserve">    Добыча нефти и природного газа</v>
      </c>
      <c r="D20" s="11" t="str">
        <f>'В2.Расчет стоимости часа'!C22</f>
        <v xml:space="preserve">        Добыча нефти и нефтяного (попутного) газа</v>
      </c>
      <c r="E20" s="137">
        <f>'В2.Расчет стоимости часа'!H22</f>
        <v>150724.27499999999</v>
      </c>
      <c r="F20" s="137">
        <f>'В2.Расчет стоимости часа'!P22</f>
        <v>1282.183839469697</v>
      </c>
      <c r="G20" s="138" t="s">
        <v>263</v>
      </c>
    </row>
    <row r="21" spans="1:7" ht="30" x14ac:dyDescent="0.25">
      <c r="A21" s="436"/>
      <c r="B21" s="442"/>
      <c r="C21" s="443"/>
      <c r="D21" s="11" t="str">
        <f>'В2.Расчет стоимости часа'!C23</f>
        <v xml:space="preserve">        Добыча природного газа и газового конденсата</v>
      </c>
      <c r="E21" s="137">
        <f>'В2.Расчет стоимости часа'!H23</f>
        <v>226287.95</v>
      </c>
      <c r="F21" s="137">
        <f>'В2.Расчет стоимости часа'!P23</f>
        <v>1925.75820620488</v>
      </c>
      <c r="G21" s="138" t="s">
        <v>263</v>
      </c>
    </row>
    <row r="22" spans="1:7" x14ac:dyDescent="0.25">
      <c r="A22" s="436"/>
      <c r="B22" s="442"/>
      <c r="C22" s="441" t="str">
        <f>'В2.Расчет стоимости часа'!B24</f>
        <v xml:space="preserve">    Добыча металлических руд</v>
      </c>
      <c r="D22" s="11" t="str">
        <f>'В2.Расчет стоимости часа'!C24</f>
        <v xml:space="preserve">        Добыча и обогащение железных руд</v>
      </c>
      <c r="E22" s="137">
        <f>'В2.Расчет стоимости часа'!H24</f>
        <v>81632.924999999988</v>
      </c>
      <c r="F22" s="137">
        <f>'В2.Расчет стоимости часа'!P24</f>
        <v>695.54538963012487</v>
      </c>
      <c r="G22" s="138" t="s">
        <v>263</v>
      </c>
    </row>
    <row r="23" spans="1:7" x14ac:dyDescent="0.25">
      <c r="A23" s="436"/>
      <c r="B23" s="442"/>
      <c r="C23" s="443"/>
      <c r="D23" s="11" t="str">
        <f>'В2.Расчет стоимости часа'!C25</f>
        <v xml:space="preserve">        Добыча руд цветных металлов</v>
      </c>
      <c r="E23" s="137">
        <f>'В2.Расчет стоимости часа'!H25</f>
        <v>117389.34999999999</v>
      </c>
      <c r="F23" s="137">
        <f>'В2.Расчет стоимости часа'!P25</f>
        <v>996.48565152796346</v>
      </c>
      <c r="G23" s="138" t="s">
        <v>263</v>
      </c>
    </row>
    <row r="24" spans="1:7" x14ac:dyDescent="0.25">
      <c r="A24" s="436"/>
      <c r="B24" s="442"/>
      <c r="C24" s="441" t="str">
        <f>'В2.Расчет стоимости часа'!B26</f>
        <v xml:space="preserve">    Добыча прочих полезных ископаемых</v>
      </c>
      <c r="D24" s="11" t="str">
        <f>'В2.Расчет стоимости часа'!C26</f>
        <v xml:space="preserve">        Добыча камня, песка и глины</v>
      </c>
      <c r="E24" s="137">
        <f>'В2.Расчет стоимости часа'!H26</f>
        <v>55813.850000000006</v>
      </c>
      <c r="F24" s="137">
        <f>'В2.Расчет стоимости часа'!P26</f>
        <v>474.2673343543895</v>
      </c>
      <c r="G24" s="138" t="s">
        <v>263</v>
      </c>
    </row>
    <row r="25" spans="1:7" ht="30" x14ac:dyDescent="0.25">
      <c r="A25" s="436"/>
      <c r="B25" s="442"/>
      <c r="C25" s="443"/>
      <c r="D25" s="11" t="str">
        <f>'В2.Расчет стоимости часа'!C27</f>
        <v xml:space="preserve">        Добыча полезных ископаемых, не включенных в другие группировки</v>
      </c>
      <c r="E25" s="137">
        <f>'В2.Расчет стоимости часа'!H27</f>
        <v>132032.80000000002</v>
      </c>
      <c r="F25" s="137">
        <f>'В2.Расчет стоимости часа'!P27</f>
        <v>1114.1380560071302</v>
      </c>
      <c r="G25" s="138" t="s">
        <v>263</v>
      </c>
    </row>
    <row r="26" spans="1:7" ht="30" x14ac:dyDescent="0.25">
      <c r="A26" s="436"/>
      <c r="B26" s="442"/>
      <c r="C26" s="441" t="str">
        <f>'В2.Расчет стоимости часа'!B28</f>
        <v xml:space="preserve">    Предоставление услуг в области добычи полезных ископаемых</v>
      </c>
      <c r="D26" s="11" t="str">
        <f>'В2.Расчет стоимости часа'!C28</f>
        <v xml:space="preserve">        Предоставление услуг в области добычи нефти и природного газа</v>
      </c>
      <c r="E26" s="137">
        <f>'В2.Расчет стоимости часа'!H28</f>
        <v>117436.95</v>
      </c>
      <c r="F26" s="137">
        <f>'В2.Расчет стоимости часа'!P28</f>
        <v>997.62376104500891</v>
      </c>
      <c r="G26" s="138" t="s">
        <v>263</v>
      </c>
    </row>
    <row r="27" spans="1:7" ht="30" x14ac:dyDescent="0.25">
      <c r="A27" s="437"/>
      <c r="B27" s="443"/>
      <c r="C27" s="443"/>
      <c r="D27" s="11" t="str">
        <f>'В2.Расчет стоимости часа'!C29</f>
        <v xml:space="preserve">        Предоставление услуг в других областях добычи полезных ископаемых</v>
      </c>
      <c r="E27" s="137">
        <f>'В2.Расчет стоимости часа'!H29</f>
        <v>98489.325000000012</v>
      </c>
      <c r="F27" s="137">
        <f>'В2.Расчет стоимости часа'!P29</f>
        <v>836.31973665274063</v>
      </c>
      <c r="G27" s="138" t="s">
        <v>263</v>
      </c>
    </row>
    <row r="28" spans="1:7" ht="30" x14ac:dyDescent="0.25">
      <c r="A28" s="435">
        <v>4</v>
      </c>
      <c r="B28" s="441" t="str">
        <f>'В2.Расчет стоимости часа'!A30</f>
        <v>ОБРАБАТЫВАЮЩИЕ ПРОИЗВОДСТВА</v>
      </c>
      <c r="C28" s="441" t="str">
        <f>'В2.Расчет стоимости часа'!B30</f>
        <v xml:space="preserve">    Производство пищевых продуктов</v>
      </c>
      <c r="D28" s="11" t="str">
        <f>'В2.Расчет стоимости часа'!C30</f>
        <v xml:space="preserve">        Переработка и консервирование мяса и мясной пищевой продукции</v>
      </c>
      <c r="E28" s="137">
        <f>'В2.Расчет стоимости часа'!H30</f>
        <v>49230</v>
      </c>
      <c r="F28" s="137">
        <f>'В2.Расчет стоимости часа'!P30</f>
        <v>419.62427690675133</v>
      </c>
      <c r="G28" s="138" t="s">
        <v>263</v>
      </c>
    </row>
    <row r="29" spans="1:7" ht="30" x14ac:dyDescent="0.25">
      <c r="A29" s="436"/>
      <c r="B29" s="442"/>
      <c r="C29" s="442"/>
      <c r="D29" s="11" t="str">
        <f>'В2.Расчет стоимости часа'!C31</f>
        <v xml:space="preserve">        Переработка и консервирование рыбы, ракообразных и моллюсков</v>
      </c>
      <c r="E29" s="137">
        <f>'В2.Расчет стоимости часа'!H31</f>
        <v>62125.85</v>
      </c>
      <c r="F29" s="137">
        <f>'В2.Расчет стоимости часа'!P31</f>
        <v>529.16495049855166</v>
      </c>
      <c r="G29" s="138" t="s">
        <v>263</v>
      </c>
    </row>
    <row r="30" spans="1:7" ht="30" x14ac:dyDescent="0.25">
      <c r="A30" s="436"/>
      <c r="B30" s="442"/>
      <c r="C30" s="442"/>
      <c r="D30" s="11" t="str">
        <f>'В2.Расчет стоимости часа'!C32</f>
        <v xml:space="preserve">        Переработка и консервирование фруктов и овощей</v>
      </c>
      <c r="E30" s="137">
        <f>'В2.Расчет стоимости часа'!H32</f>
        <v>45274.425000000003</v>
      </c>
      <c r="F30" s="137">
        <f>'В2.Расчет стоимости часа'!P32</f>
        <v>385.45146600211677</v>
      </c>
      <c r="G30" s="138" t="s">
        <v>263</v>
      </c>
    </row>
    <row r="31" spans="1:7" ht="30" x14ac:dyDescent="0.25">
      <c r="A31" s="436"/>
      <c r="B31" s="442"/>
      <c r="C31" s="442"/>
      <c r="D31" s="11" t="str">
        <f>'В2.Расчет стоимости часа'!C33</f>
        <v xml:space="preserve">        Производство растительных и животных масел и жиров</v>
      </c>
      <c r="E31" s="137">
        <f>'В2.Расчет стоимости часа'!H33</f>
        <v>54833.424999999996</v>
      </c>
      <c r="F31" s="137">
        <f>'В2.Расчет стоимости часа'!P33</f>
        <v>466.44977203709885</v>
      </c>
      <c r="G31" s="138" t="s">
        <v>263</v>
      </c>
    </row>
    <row r="32" spans="1:7" x14ac:dyDescent="0.25">
      <c r="A32" s="436"/>
      <c r="B32" s="442"/>
      <c r="C32" s="442"/>
      <c r="D32" s="11" t="str">
        <f>'В2.Расчет стоимости часа'!C34</f>
        <v xml:space="preserve">        Производство молочной продукции</v>
      </c>
      <c r="E32" s="137">
        <f>'В2.Расчет стоимости часа'!H34</f>
        <v>52447.625</v>
      </c>
      <c r="F32" s="137">
        <f>'В2.Расчет стоимости часа'!P34</f>
        <v>445.99331790385475</v>
      </c>
      <c r="G32" s="138" t="s">
        <v>263</v>
      </c>
    </row>
    <row r="33" spans="1:7" ht="45" x14ac:dyDescent="0.25">
      <c r="A33" s="436"/>
      <c r="B33" s="442"/>
      <c r="C33" s="442"/>
      <c r="D33" s="11" t="str">
        <f>'В2.Расчет стоимости часа'!C35</f>
        <v xml:space="preserve">        Производство продуктов мукомольной и крупяной промышленности, крахмала и крахмалосодержащих продуктов</v>
      </c>
      <c r="E33" s="137">
        <f>'В2.Расчет стоимости часа'!H35</f>
        <v>50545.525000000009</v>
      </c>
      <c r="F33" s="137">
        <f>'В2.Расчет стоимости часа'!P35</f>
        <v>430.12659001058375</v>
      </c>
      <c r="G33" s="138" t="s">
        <v>263</v>
      </c>
    </row>
    <row r="34" spans="1:7" ht="30" x14ac:dyDescent="0.25">
      <c r="A34" s="436"/>
      <c r="B34" s="442"/>
      <c r="C34" s="442"/>
      <c r="D34" s="11" t="str">
        <f>'В2.Расчет стоимости часа'!C36</f>
        <v xml:space="preserve">        Производство хлебобулочных и мучных кондитерских изделий</v>
      </c>
      <c r="E34" s="137">
        <f>'В2.Расчет стоимости часа'!H36</f>
        <v>44854.074999999997</v>
      </c>
      <c r="F34" s="137">
        <f>'В2.Расчет стоимости часа'!P36</f>
        <v>382.09532601548574</v>
      </c>
      <c r="G34" s="138" t="s">
        <v>263</v>
      </c>
    </row>
    <row r="35" spans="1:7" ht="30" x14ac:dyDescent="0.25">
      <c r="A35" s="436"/>
      <c r="B35" s="442"/>
      <c r="C35" s="442"/>
      <c r="D35" s="11" t="str">
        <f>'В2.Расчет стоимости часа'!C37</f>
        <v xml:space="preserve">        Производство прочих пищевых продуктов</v>
      </c>
      <c r="E35" s="137">
        <f>'В2.Расчет стоимости часа'!H37</f>
        <v>60977.55</v>
      </c>
      <c r="F35" s="137">
        <f>'В2.Расчет стоимости часа'!P37</f>
        <v>518.03546931818175</v>
      </c>
      <c r="G35" s="138" t="s">
        <v>263</v>
      </c>
    </row>
    <row r="36" spans="1:7" ht="30" x14ac:dyDescent="0.25">
      <c r="A36" s="436"/>
      <c r="B36" s="442"/>
      <c r="C36" s="443"/>
      <c r="D36" s="11" t="str">
        <f>'В2.Расчет стоимости часа'!C38</f>
        <v xml:space="preserve">        Производство готовых кормов для животных</v>
      </c>
      <c r="E36" s="137">
        <f>'В2.Расчет стоимости часа'!H38</f>
        <v>67856.724999999991</v>
      </c>
      <c r="F36" s="137">
        <f>'В2.Расчет стоимости часа'!P38</f>
        <v>572.95871181818188</v>
      </c>
      <c r="G36" s="138" t="s">
        <v>263</v>
      </c>
    </row>
    <row r="37" spans="1:7" x14ac:dyDescent="0.25">
      <c r="A37" s="436"/>
      <c r="B37" s="442"/>
      <c r="C37" s="130" t="str">
        <f>'В2.Расчет стоимости часа'!B39</f>
        <v xml:space="preserve">    Производство напитков</v>
      </c>
      <c r="D37" s="11" t="str">
        <f>'В2.Расчет стоимости часа'!C39</f>
        <v xml:space="preserve">        Производство напитков</v>
      </c>
      <c r="E37" s="137">
        <f>'В2.Расчет стоимости часа'!H39</f>
        <v>63755.325000000004</v>
      </c>
      <c r="F37" s="137">
        <f>'В2.Расчет стоимости часа'!P39</f>
        <v>539.20989125668439</v>
      </c>
      <c r="G37" s="138" t="s">
        <v>263</v>
      </c>
    </row>
    <row r="38" spans="1:7" ht="30" x14ac:dyDescent="0.25">
      <c r="A38" s="436"/>
      <c r="B38" s="442"/>
      <c r="C38" s="130" t="str">
        <f>'В2.Расчет стоимости часа'!B40</f>
        <v xml:space="preserve">    Производство табачных изделий</v>
      </c>
      <c r="D38" s="11" t="str">
        <f>'В2.Расчет стоимости часа'!C40</f>
        <v xml:space="preserve">        Производство табачных изделий</v>
      </c>
      <c r="E38" s="137">
        <f>'В2.Расчет стоимости часа'!H40</f>
        <v>147881.75</v>
      </c>
      <c r="F38" s="137">
        <f>'В2.Расчет стоимости часа'!P40</f>
        <v>1260.6203480871211</v>
      </c>
      <c r="G38" s="138" t="s">
        <v>263</v>
      </c>
    </row>
    <row r="39" spans="1:7" ht="30" x14ac:dyDescent="0.25">
      <c r="A39" s="436"/>
      <c r="B39" s="442"/>
      <c r="C39" s="441" t="str">
        <f>'В2.Расчет стоимости часа'!B41</f>
        <v xml:space="preserve">    Производство текстильных изделий</v>
      </c>
      <c r="D39" s="11" t="str">
        <f>'В2.Расчет стоимости часа'!C41</f>
        <v xml:space="preserve">        Подготовка и прядение текстильных волокон</v>
      </c>
      <c r="E39" s="137">
        <f>'В2.Расчет стоимости часа'!H41</f>
        <v>40419.5</v>
      </c>
      <c r="F39" s="137">
        <f>'В2.Расчет стоимости часа'!P41</f>
        <v>344.3161787901069</v>
      </c>
      <c r="G39" s="138" t="s">
        <v>263</v>
      </c>
    </row>
    <row r="40" spans="1:7" x14ac:dyDescent="0.25">
      <c r="A40" s="436"/>
      <c r="B40" s="442"/>
      <c r="C40" s="442"/>
      <c r="D40" s="11" t="str">
        <f>'В2.Расчет стоимости часа'!C42</f>
        <v xml:space="preserve">        Производство текстильных тканей</v>
      </c>
      <c r="E40" s="137">
        <f>'В2.Расчет стоимости часа'!H42</f>
        <v>43383.399999999994</v>
      </c>
      <c r="F40" s="137">
        <f>'В2.Расчет стоимости часа'!P42</f>
        <v>366.72619101659978</v>
      </c>
      <c r="G40" s="138" t="s">
        <v>263</v>
      </c>
    </row>
    <row r="41" spans="1:7" x14ac:dyDescent="0.25">
      <c r="A41" s="436"/>
      <c r="B41" s="442"/>
      <c r="C41" s="442"/>
      <c r="D41" s="11" t="str">
        <f>'В2.Расчет стоимости часа'!C43</f>
        <v xml:space="preserve">        Отделка тканей и текстильных изделий</v>
      </c>
      <c r="E41" s="137">
        <f>'В2.Расчет стоимости часа'!H43</f>
        <v>41697.075000000004</v>
      </c>
      <c r="F41" s="137">
        <f>'В2.Расчет стоимости часа'!P43</f>
        <v>353.53668152462126</v>
      </c>
      <c r="G41" s="138" t="s">
        <v>263</v>
      </c>
    </row>
    <row r="42" spans="1:7" ht="30" x14ac:dyDescent="0.25">
      <c r="A42" s="436"/>
      <c r="B42" s="442"/>
      <c r="C42" s="443"/>
      <c r="D42" s="11" t="str">
        <f>'В2.Расчет стоимости часа'!C44</f>
        <v xml:space="preserve">        Производство прочих текстильных изделий</v>
      </c>
      <c r="E42" s="137">
        <f>'В2.Расчет стоимости часа'!H44</f>
        <v>39623.15</v>
      </c>
      <c r="F42" s="137">
        <f>'В2.Расчет стоимости часа'!P44</f>
        <v>337.20593638591799</v>
      </c>
      <c r="G42" s="138" t="s">
        <v>263</v>
      </c>
    </row>
    <row r="43" spans="1:7" ht="30" x14ac:dyDescent="0.25">
      <c r="A43" s="436"/>
      <c r="B43" s="442"/>
      <c r="C43" s="441" t="str">
        <f>'В2.Расчет стоимости часа'!B45</f>
        <v xml:space="preserve">    Производство одежды</v>
      </c>
      <c r="D43" s="11" t="str">
        <f>'В2.Расчет стоимости часа'!C45</f>
        <v xml:space="preserve">        Производство одежды, кроме одежды из меха</v>
      </c>
      <c r="E43" s="137">
        <f>'В2.Расчет стоимости часа'!H45</f>
        <v>31442.025000000001</v>
      </c>
      <c r="F43" s="137">
        <f>'В2.Расчет стоимости часа'!P45</f>
        <v>265.51788057208114</v>
      </c>
      <c r="G43" s="138" t="s">
        <v>263</v>
      </c>
    </row>
    <row r="44" spans="1:7" x14ac:dyDescent="0.25">
      <c r="A44" s="436"/>
      <c r="B44" s="442"/>
      <c r="C44" s="442"/>
      <c r="D44" s="11" t="str">
        <f>'В2.Расчет стоимости часа'!C46</f>
        <v xml:space="preserve">        Производство меховых изделий</v>
      </c>
      <c r="E44" s="137">
        <f>'В2.Расчет стоимости часа'!H46</f>
        <v>32279.625</v>
      </c>
      <c r="F44" s="137">
        <f>'В2.Расчет стоимости часа'!P46</f>
        <v>271.02497878453653</v>
      </c>
      <c r="G44" s="138" t="s">
        <v>263</v>
      </c>
    </row>
    <row r="45" spans="1:7" ht="30" x14ac:dyDescent="0.25">
      <c r="A45" s="436"/>
      <c r="B45" s="442"/>
      <c r="C45" s="443"/>
      <c r="D45" s="11" t="str">
        <f>'В2.Расчет стоимости часа'!C47</f>
        <v xml:space="preserve">        Производство вязаных и трикотажных изделий одежды</v>
      </c>
      <c r="E45" s="137">
        <f>'В2.Расчет стоимости часа'!H47</f>
        <v>30832.375</v>
      </c>
      <c r="F45" s="137">
        <f>'В2.Расчет стоимости часа'!P47</f>
        <v>262.08457902629232</v>
      </c>
      <c r="G45" s="138" t="s">
        <v>263</v>
      </c>
    </row>
    <row r="46" spans="1:7" ht="60" x14ac:dyDescent="0.25">
      <c r="A46" s="436"/>
      <c r="B46" s="442"/>
      <c r="C46" s="441" t="str">
        <f>'В2.Расчет стоимости часа'!B48</f>
        <v xml:space="preserve">    Производство кожи и изделий из кожи</v>
      </c>
      <c r="D46" s="11" t="str">
        <f>'В2.Расчет стоимости часа'!C48</f>
        <v xml:space="preserve">        Дубление и отделка кожи, производство чемоданов, сумок, шорно-седельных изделий из кожи; выделка и крашение меха</v>
      </c>
      <c r="E46" s="137">
        <f>'В2.Расчет стоимости часа'!H48</f>
        <v>40126.9</v>
      </c>
      <c r="F46" s="137">
        <f>'В2.Расчет стоимости часа'!P48</f>
        <v>340.81288084336012</v>
      </c>
      <c r="G46" s="138" t="s">
        <v>263</v>
      </c>
    </row>
    <row r="47" spans="1:7" x14ac:dyDescent="0.25">
      <c r="A47" s="436"/>
      <c r="B47" s="442"/>
      <c r="C47" s="442"/>
      <c r="D47" s="11" t="str">
        <f>'В2.Расчет стоимости часа'!C49</f>
        <v xml:space="preserve">        Производство обуви</v>
      </c>
      <c r="E47" s="137">
        <f>'В2.Расчет стоимости часа'!H49</f>
        <v>40270.199999999997</v>
      </c>
      <c r="F47" s="137">
        <f>'В2.Расчет стоимости часа'!P49</f>
        <v>341.58264845365426</v>
      </c>
      <c r="G47" s="138" t="s">
        <v>263</v>
      </c>
    </row>
    <row r="48" spans="1:7" x14ac:dyDescent="0.25">
      <c r="A48" s="436"/>
      <c r="B48" s="442"/>
      <c r="C48" s="443"/>
      <c r="D48" s="11" t="str">
        <f>'В2.Расчет стоимости часа'!C50</f>
        <v xml:space="preserve">        Распиловка и строгание древесины</v>
      </c>
      <c r="E48" s="137">
        <f>'В2.Расчет стоимости часа'!H50</f>
        <v>38522.600000000006</v>
      </c>
      <c r="F48" s="137">
        <f>'В2.Расчет стоимости часа'!P50</f>
        <v>327.6177377161319</v>
      </c>
      <c r="G48" s="138" t="s">
        <v>263</v>
      </c>
    </row>
    <row r="49" spans="1:7" ht="90" x14ac:dyDescent="0.25">
      <c r="A49" s="436"/>
      <c r="B49" s="442"/>
      <c r="C49" s="130" t="str">
        <f>'В2.Расчет стоимости часа'!B51</f>
        <v xml:space="preserve">    Обработка древесины и производство изделий из дерева и пробки, кроме мебели, производство изделий из соломки и материалов для плетения</v>
      </c>
      <c r="D49" s="11" t="str">
        <f>'В2.Расчет стоимости часа'!C51</f>
        <v xml:space="preserve">        Производство изделий из дерева, пробки, соломки и материалов для плетения</v>
      </c>
      <c r="E49" s="137">
        <f>'В2.Расчет стоимости часа'!H51</f>
        <v>42815.275000000001</v>
      </c>
      <c r="F49" s="137">
        <f>'В2.Расчет стоимости часа'!P51</f>
        <v>363.83488371769164</v>
      </c>
      <c r="G49" s="138" t="s">
        <v>263</v>
      </c>
    </row>
    <row r="50" spans="1:7" ht="30" x14ac:dyDescent="0.25">
      <c r="A50" s="436"/>
      <c r="B50" s="442"/>
      <c r="C50" s="441" t="str">
        <f>'В2.Расчет стоимости часа'!B52</f>
        <v xml:space="preserve">    Производство бумаги и бумажных изделий</v>
      </c>
      <c r="D50" s="11" t="str">
        <f>'В2.Расчет стоимости часа'!C52</f>
        <v xml:space="preserve">        Производство целлюлозы, древесной массы, бумаги и картона</v>
      </c>
      <c r="E50" s="137">
        <f>'В2.Расчет стоимости часа'!H52</f>
        <v>78511.274999999994</v>
      </c>
      <c r="F50" s="137">
        <f>'В2.Расчет стоимости часа'!P52</f>
        <v>668.65037493816851</v>
      </c>
      <c r="G50" s="138" t="s">
        <v>263</v>
      </c>
    </row>
    <row r="51" spans="1:7" ht="30" x14ac:dyDescent="0.25">
      <c r="A51" s="436"/>
      <c r="B51" s="442"/>
      <c r="C51" s="443"/>
      <c r="D51" s="11" t="str">
        <f>'В2.Расчет стоимости часа'!C53</f>
        <v xml:space="preserve">        Производство изделий из бумаги и картона</v>
      </c>
      <c r="E51" s="137">
        <f>'В2.Расчет стоимости часа'!H53</f>
        <v>65896.775000000009</v>
      </c>
      <c r="F51" s="137">
        <f>'В2.Расчет стоимости часа'!P53</f>
        <v>562.12084106896168</v>
      </c>
      <c r="G51" s="138" t="s">
        <v>263</v>
      </c>
    </row>
    <row r="52" spans="1:7" ht="30" x14ac:dyDescent="0.25">
      <c r="A52" s="436"/>
      <c r="B52" s="442"/>
      <c r="C52" s="441" t="str">
        <f>'В2.Расчет стоимости часа'!B54</f>
        <v xml:space="preserve">    Деятельность полиграфическая и копирование носителей информации</v>
      </c>
      <c r="D52" s="11" t="str">
        <f>'В2.Расчет стоимости часа'!C54</f>
        <v xml:space="preserve">        Деятельность полиграфическая и предоставление услуг в этой области</v>
      </c>
      <c r="E52" s="137">
        <f>'В2.Расчет стоимости часа'!H54</f>
        <v>52025.450000000004</v>
      </c>
      <c r="F52" s="137">
        <f>'В2.Расчет стоимости часа'!P54</f>
        <v>442.85585824086456</v>
      </c>
      <c r="G52" s="138" t="s">
        <v>263</v>
      </c>
    </row>
    <row r="53" spans="1:7" ht="30" x14ac:dyDescent="0.25">
      <c r="A53" s="436"/>
      <c r="B53" s="442"/>
      <c r="C53" s="443"/>
      <c r="D53" s="11" t="str">
        <f>'В2.Расчет стоимости часа'!C55</f>
        <v xml:space="preserve">        Копирование записанных носителей информации</v>
      </c>
      <c r="E53" s="137">
        <f>'В2.Расчет стоимости часа'!H55</f>
        <v>80966.675000000003</v>
      </c>
      <c r="F53" s="137">
        <f>'В2.Расчет стоимости часа'!P55</f>
        <v>682.75281764538772</v>
      </c>
      <c r="G53" s="138" t="s">
        <v>263</v>
      </c>
    </row>
    <row r="54" spans="1:7" x14ac:dyDescent="0.25">
      <c r="A54" s="436"/>
      <c r="B54" s="442"/>
      <c r="C54" s="441" t="str">
        <f>'В2.Расчет стоимости часа'!B56</f>
        <v xml:space="preserve">    Производство кокса и нефтепродуктов</v>
      </c>
      <c r="D54" s="11" t="str">
        <f>'В2.Расчет стоимости часа'!C56</f>
        <v xml:space="preserve">        Производство кокса</v>
      </c>
      <c r="E54" s="137">
        <f>'В2.Расчет стоимости часа'!H56</f>
        <v>72174.074999999997</v>
      </c>
      <c r="F54" s="137">
        <f>'В2.Расчет стоимости часа'!P56</f>
        <v>615.16131785762036</v>
      </c>
      <c r="G54" s="138" t="s">
        <v>263</v>
      </c>
    </row>
    <row r="55" spans="1:7" x14ac:dyDescent="0.25">
      <c r="A55" s="436"/>
      <c r="B55" s="442"/>
      <c r="C55" s="442"/>
      <c r="D55" s="11" t="str">
        <f>'В2.Расчет стоимости часа'!C57</f>
        <v xml:space="preserve">        Производство нефтепродуктов</v>
      </c>
      <c r="E55" s="137">
        <f>'В2.Расчет стоимости часа'!H57</f>
        <v>105301.425</v>
      </c>
      <c r="F55" s="137">
        <f>'В2.Расчет стоимости часа'!P57</f>
        <v>895.79257828264258</v>
      </c>
      <c r="G55" s="138" t="s">
        <v>263</v>
      </c>
    </row>
    <row r="56" spans="1:7" ht="30" x14ac:dyDescent="0.25">
      <c r="A56" s="436"/>
      <c r="B56" s="442"/>
      <c r="C56" s="443"/>
      <c r="D56" s="11" t="str">
        <f>'В2.Расчет стоимости часа'!C58</f>
        <v xml:space="preserve">        Агломерация угля, антрацита и бурого угля (лигнита) и производство термоуглей</v>
      </c>
      <c r="E56" s="137">
        <f>'В2.Расчет стоимости часа'!H58</f>
        <v>23402.3</v>
      </c>
      <c r="F56" s="137">
        <f>'В2.Расчет стоимости часа'!P58</f>
        <v>199.14174735405524</v>
      </c>
      <c r="G56" s="138" t="s">
        <v>263</v>
      </c>
    </row>
    <row r="57" spans="1:7" ht="60" x14ac:dyDescent="0.25">
      <c r="A57" s="436"/>
      <c r="B57" s="442"/>
      <c r="C57" s="441" t="str">
        <f>'В2.Расчет стоимости часа'!B59</f>
        <v xml:space="preserve">    Производство химических веществ и химических продуктов</v>
      </c>
      <c r="D57" s="11" t="str">
        <f>'В2.Расчет стоимости часа'!C59</f>
        <v xml:space="preserve">        Производство основных химических веществ, удобрений и азотных соединений, пластмасс и синтетического каучука в первичных формах</v>
      </c>
      <c r="E57" s="137">
        <f>'В2.Расчет стоимости часа'!H59</f>
        <v>87921.674999999988</v>
      </c>
      <c r="F57" s="137">
        <f>'В2.Расчет стоимости часа'!P59</f>
        <v>748.39045255180474</v>
      </c>
      <c r="G57" s="138" t="s">
        <v>263</v>
      </c>
    </row>
    <row r="58" spans="1:7" ht="30" x14ac:dyDescent="0.25">
      <c r="A58" s="436"/>
      <c r="B58" s="442"/>
      <c r="C58" s="442"/>
      <c r="D58" s="11" t="str">
        <f>'В2.Расчет стоимости часа'!C60</f>
        <v xml:space="preserve">        Производство пестицидов и прочих агрохимических продуктов</v>
      </c>
      <c r="E58" s="137">
        <f>'В2.Расчет стоимости часа'!H60</f>
        <v>89866.95</v>
      </c>
      <c r="F58" s="137">
        <f>'В2.Расчет стоимости часа'!P60</f>
        <v>765.21487571245552</v>
      </c>
      <c r="G58" s="138" t="s">
        <v>263</v>
      </c>
    </row>
    <row r="59" spans="1:7" ht="45" x14ac:dyDescent="0.25">
      <c r="A59" s="436"/>
      <c r="B59" s="442"/>
      <c r="C59" s="442"/>
      <c r="D59" s="11" t="str">
        <f>'В2.Расчет стоимости часа'!C61</f>
        <v xml:space="preserve">        Производство красок, лаков и аналогичных материалов для нанесения покрытий, полиграфических красок и мастик</v>
      </c>
      <c r="E59" s="137">
        <f>'В2.Расчет стоимости часа'!H61</f>
        <v>69180.2</v>
      </c>
      <c r="F59" s="137">
        <f>'В2.Расчет стоимости часа'!P61</f>
        <v>586.15017663101605</v>
      </c>
      <c r="G59" s="138" t="s">
        <v>263</v>
      </c>
    </row>
    <row r="60" spans="1:7" ht="45" x14ac:dyDescent="0.25">
      <c r="A60" s="436"/>
      <c r="B60" s="442"/>
      <c r="C60" s="442"/>
      <c r="D60" s="11" t="str">
        <f>'В2.Расчет стоимости часа'!C62</f>
        <v xml:space="preserve">        Производство мыла и моющих, чистящих и полирующих средств; парфюмерных и косметических средств</v>
      </c>
      <c r="E60" s="137">
        <f>'В2.Расчет стоимости часа'!H62</f>
        <v>81255.850000000006</v>
      </c>
      <c r="F60" s="137">
        <f>'В2.Расчет стоимости часа'!P62</f>
        <v>689.3222322743984</v>
      </c>
      <c r="G60" s="138" t="s">
        <v>263</v>
      </c>
    </row>
    <row r="61" spans="1:7" ht="30" x14ac:dyDescent="0.25">
      <c r="A61" s="436"/>
      <c r="B61" s="442"/>
      <c r="C61" s="442"/>
      <c r="D61" s="11" t="str">
        <f>'В2.Расчет стоимости часа'!C63</f>
        <v xml:space="preserve">        Производство прочих химических продуктов</v>
      </c>
      <c r="E61" s="137">
        <f>'В2.Расчет стоимости часа'!H63</f>
        <v>72973.774999999994</v>
      </c>
      <c r="F61" s="137">
        <f>'В2.Расчет стоимости часа'!P63</f>
        <v>620.06118390151516</v>
      </c>
      <c r="G61" s="138" t="s">
        <v>263</v>
      </c>
    </row>
    <row r="62" spans="1:7" x14ac:dyDescent="0.25">
      <c r="A62" s="436"/>
      <c r="B62" s="442"/>
      <c r="C62" s="443"/>
      <c r="D62" s="11" t="str">
        <f>'В2.Расчет стоимости часа'!C64</f>
        <v xml:space="preserve">        Производство химических волокон</v>
      </c>
      <c r="E62" s="137">
        <f>'В2.Расчет стоимости часа'!H64</f>
        <v>62472.15</v>
      </c>
      <c r="F62" s="137">
        <f>'В2.Расчет стоимости часа'!P64</f>
        <v>530.49435774844017</v>
      </c>
      <c r="G62" s="138" t="s">
        <v>263</v>
      </c>
    </row>
    <row r="63" spans="1:7" ht="30" x14ac:dyDescent="0.25">
      <c r="A63" s="436"/>
      <c r="B63" s="442"/>
      <c r="C63" s="441" t="str">
        <f>'В2.Расчет стоимости часа'!B65</f>
        <v xml:space="preserve">    Производство лекарственных средств и материалов, применяемых в медицинских целях и ветеринарии</v>
      </c>
      <c r="D63" s="11" t="str">
        <f>'В2.Расчет стоимости часа'!C65</f>
        <v xml:space="preserve">        Производство фармацевтических субстанций</v>
      </c>
      <c r="E63" s="137">
        <f>'В2.Расчет стоимости часа'!H65</f>
        <v>118903.125</v>
      </c>
      <c r="F63" s="137">
        <f>'В2.Расчет стоимости часа'!P65</f>
        <v>990.52679115474598</v>
      </c>
      <c r="G63" s="138" t="s">
        <v>263</v>
      </c>
    </row>
    <row r="64" spans="1:7" ht="45" x14ac:dyDescent="0.25">
      <c r="A64" s="436"/>
      <c r="B64" s="442"/>
      <c r="C64" s="443"/>
      <c r="D64" s="11" t="str">
        <f>'В2.Расчет стоимости часа'!C66</f>
        <v xml:space="preserve">        Производство лекарственных препаратов и материалов, применяемых в медицинских целях и ветеринарии</v>
      </c>
      <c r="E64" s="137">
        <f>'В2.Расчет стоимости часа'!H66</f>
        <v>95049.375</v>
      </c>
      <c r="F64" s="137">
        <f>'В2.Расчет стоимости часа'!P66</f>
        <v>806.63436946356956</v>
      </c>
      <c r="G64" s="138" t="s">
        <v>263</v>
      </c>
    </row>
    <row r="65" spans="1:7" x14ac:dyDescent="0.25">
      <c r="A65" s="436"/>
      <c r="B65" s="442"/>
      <c r="C65" s="441" t="str">
        <f>'В2.Расчет стоимости часа'!B67</f>
        <v xml:space="preserve">    Производство резиновых и пластмассовых изделий</v>
      </c>
      <c r="D65" s="11" t="str">
        <f>'В2.Расчет стоимости часа'!C67</f>
        <v xml:space="preserve">        Производство резиновых изделий</v>
      </c>
      <c r="E65" s="137">
        <f>'В2.Расчет стоимости часа'!H67</f>
        <v>59487.55</v>
      </c>
      <c r="F65" s="137">
        <f>'В2.Расчет стоимости часа'!P67</f>
        <v>505.37330923239745</v>
      </c>
      <c r="G65" s="138" t="s">
        <v>263</v>
      </c>
    </row>
    <row r="66" spans="1:7" x14ac:dyDescent="0.25">
      <c r="A66" s="436"/>
      <c r="B66" s="442"/>
      <c r="C66" s="443"/>
      <c r="D66" s="11" t="str">
        <f>'В2.Расчет стоимости часа'!C68</f>
        <v xml:space="preserve">        Производство изделий из пластмасс</v>
      </c>
      <c r="E66" s="137">
        <f>'В2.Расчет стоимости часа'!H68</f>
        <v>55397.425000000003</v>
      </c>
      <c r="F66" s="137">
        <f>'В2.Расчет стоимости часа'!P68</f>
        <v>468.80008632074424</v>
      </c>
      <c r="G66" s="138" t="s">
        <v>263</v>
      </c>
    </row>
    <row r="67" spans="1:7" x14ac:dyDescent="0.25">
      <c r="A67" s="436"/>
      <c r="B67" s="442"/>
      <c r="C67" s="441" t="str">
        <f>'В2.Расчет стоимости часа'!B69</f>
        <v xml:space="preserve">    Производство прочей неметаллической минеральной продукции</v>
      </c>
      <c r="D67" s="11" t="str">
        <f>'В2.Расчет стоимости часа'!C69</f>
        <v xml:space="preserve">        Производство стекла и изделий из стекла</v>
      </c>
      <c r="E67" s="137">
        <f>'В2.Расчет стоимости часа'!H69</f>
        <v>59685</v>
      </c>
      <c r="F67" s="137">
        <f>'В2.Расчет стоимости часа'!P69</f>
        <v>507.29856823863639</v>
      </c>
      <c r="G67" s="138" t="s">
        <v>263</v>
      </c>
    </row>
    <row r="68" spans="1:7" x14ac:dyDescent="0.25">
      <c r="A68" s="436"/>
      <c r="B68" s="442"/>
      <c r="C68" s="442"/>
      <c r="D68" s="11" t="str">
        <f>'В2.Расчет стоимости часа'!C70</f>
        <v xml:space="preserve">        Производство огнеупорных изделий</v>
      </c>
      <c r="E68" s="137">
        <f>'В2.Расчет стоимости часа'!H70</f>
        <v>61020.675000000003</v>
      </c>
      <c r="F68" s="137">
        <f>'В2.Расчет стоимости часа'!P70</f>
        <v>519.11373738636371</v>
      </c>
      <c r="G68" s="138" t="s">
        <v>263</v>
      </c>
    </row>
    <row r="69" spans="1:7" ht="30" x14ac:dyDescent="0.25">
      <c r="A69" s="436"/>
      <c r="B69" s="442"/>
      <c r="C69" s="442"/>
      <c r="D69" s="11" t="str">
        <f>'В2.Расчет стоимости часа'!C71</f>
        <v xml:space="preserve">        Производство строительных керамических материалов</v>
      </c>
      <c r="E69" s="137">
        <f>'В2.Расчет стоимости часа'!H71</f>
        <v>52183.025000000001</v>
      </c>
      <c r="F69" s="137">
        <f>'В2.Расчет стоимости часа'!P71</f>
        <v>444.07387783868097</v>
      </c>
      <c r="G69" s="138" t="s">
        <v>263</v>
      </c>
    </row>
    <row r="70" spans="1:7" ht="30" x14ac:dyDescent="0.25">
      <c r="A70" s="436"/>
      <c r="B70" s="442"/>
      <c r="C70" s="442"/>
      <c r="D70" s="11" t="str">
        <f>'В2.Расчет стоимости часа'!C72</f>
        <v xml:space="preserve">        Производство прочих фарфоровых и керамических изделий</v>
      </c>
      <c r="E70" s="137">
        <f>'В2.Расчет стоимости часа'!H72</f>
        <v>63594.2</v>
      </c>
      <c r="F70" s="137">
        <f>'В2.Расчет стоимости часа'!P72</f>
        <v>542.74546178865864</v>
      </c>
      <c r="G70" s="138" t="s">
        <v>263</v>
      </c>
    </row>
    <row r="71" spans="1:7" x14ac:dyDescent="0.25">
      <c r="A71" s="436"/>
      <c r="B71" s="442"/>
      <c r="C71" s="442"/>
      <c r="D71" s="11" t="str">
        <f>'В2.Расчет стоимости часа'!C73</f>
        <v xml:space="preserve">        Производство цемента, извести и гипса</v>
      </c>
      <c r="E71" s="137">
        <f>'В2.Расчет стоимости часа'!H73</f>
        <v>71250.875</v>
      </c>
      <c r="F71" s="137">
        <f>'В2.Расчет стоимости часа'!P73</f>
        <v>606.03114923016938</v>
      </c>
      <c r="G71" s="138" t="s">
        <v>263</v>
      </c>
    </row>
    <row r="72" spans="1:7" ht="30" x14ac:dyDescent="0.25">
      <c r="A72" s="436"/>
      <c r="B72" s="442"/>
      <c r="C72" s="442"/>
      <c r="D72" s="11" t="str">
        <f>'В2.Расчет стоимости часа'!C74</f>
        <v xml:space="preserve">        Производство изделий из бетона, цемента и гипса</v>
      </c>
      <c r="E72" s="137">
        <f>'В2.Расчет стоимости часа'!H74</f>
        <v>52336.024999999994</v>
      </c>
      <c r="F72" s="137">
        <f>'В2.Расчет стоимости часа'!P74</f>
        <v>443.48149854166667</v>
      </c>
      <c r="G72" s="138" t="s">
        <v>263</v>
      </c>
    </row>
    <row r="73" spans="1:7" x14ac:dyDescent="0.25">
      <c r="A73" s="436"/>
      <c r="B73" s="442"/>
      <c r="C73" s="442"/>
      <c r="D73" s="11" t="str">
        <f>'В2.Расчет стоимости часа'!C75</f>
        <v xml:space="preserve">        Резка, обработка и отделка камня</v>
      </c>
      <c r="E73" s="137">
        <f>'В2.Расчет стоимости часа'!H75</f>
        <v>44131.025000000001</v>
      </c>
      <c r="F73" s="137">
        <f>'В2.Расчет стоимости часа'!P75</f>
        <v>374.73040959725938</v>
      </c>
      <c r="G73" s="138" t="s">
        <v>263</v>
      </c>
    </row>
    <row r="74" spans="1:7" ht="45" x14ac:dyDescent="0.25">
      <c r="A74" s="436"/>
      <c r="B74" s="442"/>
      <c r="C74" s="443"/>
      <c r="D74" s="11" t="str">
        <f>'В2.Расчет стоимости часа'!C76</f>
        <v xml:space="preserve">        Производство абразивных и неметаллических минеральных изделий, не включенных в другие группировки</v>
      </c>
      <c r="E74" s="137">
        <f>'В2.Расчет стоимости часа'!H76</f>
        <v>64378.974999999999</v>
      </c>
      <c r="F74" s="137">
        <f>'В2.Расчет стоимости часа'!P76</f>
        <v>545.61878088513822</v>
      </c>
      <c r="G74" s="138" t="s">
        <v>263</v>
      </c>
    </row>
    <row r="75" spans="1:7" ht="30" x14ac:dyDescent="0.25">
      <c r="A75" s="436"/>
      <c r="B75" s="442"/>
      <c r="C75" s="441" t="str">
        <f>'В2.Расчет стоимости часа'!B77</f>
        <v xml:space="preserve">    Производство металлургическое</v>
      </c>
      <c r="D75" s="11" t="str">
        <f>'В2.Расчет стоимости часа'!C77</f>
        <v xml:space="preserve">        Производство чугуна, стали и ферросплавов</v>
      </c>
      <c r="E75" s="137">
        <f>'В2.Расчет стоимости часа'!H77</f>
        <v>77222.925000000003</v>
      </c>
      <c r="F75" s="137">
        <f>'В2.Расчет стоимости часа'!P77</f>
        <v>655.30838208946091</v>
      </c>
      <c r="G75" s="138" t="s">
        <v>263</v>
      </c>
    </row>
    <row r="76" spans="1:7" ht="30" x14ac:dyDescent="0.25">
      <c r="A76" s="436"/>
      <c r="B76" s="442"/>
      <c r="C76" s="442"/>
      <c r="D76" s="11" t="str">
        <f>'В2.Расчет стоимости часа'!C78</f>
        <v xml:space="preserve">        Производство стальных труб, полых профилей и фитингов</v>
      </c>
      <c r="E76" s="137">
        <f>'В2.Расчет стоимости часа'!H78</f>
        <v>75056.600000000006</v>
      </c>
      <c r="F76" s="137">
        <f>'В2.Расчет стоимости часа'!P78</f>
        <v>642.59431679311501</v>
      </c>
      <c r="G76" s="138" t="s">
        <v>263</v>
      </c>
    </row>
    <row r="77" spans="1:7" ht="30" x14ac:dyDescent="0.25">
      <c r="A77" s="436"/>
      <c r="B77" s="442"/>
      <c r="C77" s="442"/>
      <c r="D77" s="11" t="str">
        <f>'В2.Расчет стоимости часа'!C79</f>
        <v xml:space="preserve">        Производство прочих стальных изделий первичной обработкой</v>
      </c>
      <c r="E77" s="137">
        <f>'В2.Расчет стоимости часа'!H79</f>
        <v>60018.85</v>
      </c>
      <c r="F77" s="137">
        <f>'В2.Расчет стоимости часа'!P79</f>
        <v>511.000479932041</v>
      </c>
      <c r="G77" s="138" t="s">
        <v>263</v>
      </c>
    </row>
    <row r="78" spans="1:7" ht="45" x14ac:dyDescent="0.25">
      <c r="A78" s="436"/>
      <c r="B78" s="442"/>
      <c r="C78" s="442"/>
      <c r="D78" s="11" t="str">
        <f>'В2.Расчет стоимости часа'!C80</f>
        <v xml:space="preserve">        Производство основных драгоценных металлов и прочих цветных металлов, производство ядерного топлива</v>
      </c>
      <c r="E78" s="137">
        <f>'В2.Расчет стоимости часа'!H80</f>
        <v>100973.35</v>
      </c>
      <c r="F78" s="137">
        <f>'В2.Расчет стоимости часа'!P80</f>
        <v>857.61123802083341</v>
      </c>
      <c r="G78" s="138" t="s">
        <v>263</v>
      </c>
    </row>
    <row r="79" spans="1:7" x14ac:dyDescent="0.25">
      <c r="A79" s="436"/>
      <c r="B79" s="442"/>
      <c r="C79" s="443"/>
      <c r="D79" s="11" t="str">
        <f>'В2.Расчет стоимости часа'!C81</f>
        <v xml:space="preserve">        Литье металлов</v>
      </c>
      <c r="E79" s="137">
        <f>'В2.Расчет стоимости часа'!H81</f>
        <v>57595.7</v>
      </c>
      <c r="F79" s="137">
        <f>'В2.Расчет стоимости часа'!P81</f>
        <v>489.39559439728163</v>
      </c>
      <c r="G79" s="138" t="s">
        <v>263</v>
      </c>
    </row>
    <row r="80" spans="1:7" ht="30" x14ac:dyDescent="0.25">
      <c r="A80" s="436"/>
      <c r="B80" s="442"/>
      <c r="C80" s="441" t="str">
        <f>'В2.Расчет стоимости часа'!B82</f>
        <v xml:space="preserve">    Производство готовых металлических изделий, кроме машин и оборудования</v>
      </c>
      <c r="D80" s="11" t="str">
        <f>'В2.Расчет стоимости часа'!C82</f>
        <v xml:space="preserve">        Производство строительных металлических конструкций и изделий</v>
      </c>
      <c r="E80" s="137">
        <f>'В2.Расчет стоимости часа'!H82</f>
        <v>52988.075000000004</v>
      </c>
      <c r="F80" s="137">
        <f>'В2.Расчет стоимости часа'!P82</f>
        <v>450.09400444852935</v>
      </c>
      <c r="G80" s="138" t="s">
        <v>263</v>
      </c>
    </row>
    <row r="81" spans="1:7" ht="30" x14ac:dyDescent="0.25">
      <c r="A81" s="436"/>
      <c r="B81" s="442"/>
      <c r="C81" s="442"/>
      <c r="D81" s="11" t="str">
        <f>'В2.Расчет стоимости часа'!C83</f>
        <v xml:space="preserve">        Производство металлических цистерн, резервуаров и прочих емкостей</v>
      </c>
      <c r="E81" s="137">
        <f>'В2.Расчет стоимости часа'!H83</f>
        <v>53792.024999999994</v>
      </c>
      <c r="F81" s="137">
        <f>'В2.Расчет стоимости часа'!P83</f>
        <v>456.89896416443861</v>
      </c>
      <c r="G81" s="138" t="s">
        <v>263</v>
      </c>
    </row>
    <row r="82" spans="1:7" ht="30" x14ac:dyDescent="0.25">
      <c r="A82" s="436"/>
      <c r="B82" s="442"/>
      <c r="C82" s="442"/>
      <c r="D82" s="11" t="str">
        <f>'В2.Расчет стоимости часа'!C84</f>
        <v xml:space="preserve">        Производство паровых котлов, кроме котлов центрального отопления</v>
      </c>
      <c r="E82" s="137">
        <f>'В2.Расчет стоимости часа'!H84</f>
        <v>89071.75</v>
      </c>
      <c r="F82" s="137">
        <f>'В2.Расчет стоимости часа'!P84</f>
        <v>763.07510691176469</v>
      </c>
      <c r="G82" s="138" t="s">
        <v>263</v>
      </c>
    </row>
    <row r="83" spans="1:7" ht="45" x14ac:dyDescent="0.25">
      <c r="A83" s="436"/>
      <c r="B83" s="442"/>
      <c r="C83" s="442"/>
      <c r="D83" s="11" t="str">
        <f>'В2.Расчет стоимости часа'!C85</f>
        <v xml:space="preserve">        Ковка, прессование, штамповка и профилирование; изготовление изделий методом порошковой металлургии</v>
      </c>
      <c r="E83" s="137">
        <f>'В2.Расчет стоимости часа'!H85</f>
        <v>61116.724999999991</v>
      </c>
      <c r="F83" s="137">
        <f>'В2.Расчет стоимости часа'!P85</f>
        <v>519.48198960171578</v>
      </c>
      <c r="G83" s="138" t="s">
        <v>263</v>
      </c>
    </row>
    <row r="84" spans="1:7" ht="45" x14ac:dyDescent="0.25">
      <c r="A84" s="436"/>
      <c r="B84" s="442"/>
      <c r="C84" s="442"/>
      <c r="D84" s="11" t="str">
        <f>'В2.Расчет стоимости часа'!C86</f>
        <v xml:space="preserve">        Обработка металлов и нанесение покрытий на металлы; механическая обработка металлов</v>
      </c>
      <c r="E84" s="137">
        <f>'В2.Расчет стоимости часа'!H86</f>
        <v>57476.324999999997</v>
      </c>
      <c r="F84" s="137">
        <f>'В2.Расчет стоимости часа'!P86</f>
        <v>489.49233829656856</v>
      </c>
      <c r="G84" s="138" t="s">
        <v>263</v>
      </c>
    </row>
    <row r="85" spans="1:7" ht="45" x14ac:dyDescent="0.25">
      <c r="A85" s="436"/>
      <c r="B85" s="442"/>
      <c r="C85" s="443"/>
      <c r="D85" s="11" t="str">
        <f>'В2.Расчет стоимости часа'!C87</f>
        <v xml:space="preserve">        Производство ножевых изделий и столовых приборов, инструментов и универсальных скобяных изделий</v>
      </c>
      <c r="E85" s="137">
        <f>'В2.Расчет стоимости часа'!H87</f>
        <v>52616.125</v>
      </c>
      <c r="F85" s="137">
        <f>'В2.Расчет стоимости часа'!P87</f>
        <v>447.55590260528078</v>
      </c>
      <c r="G85" s="138" t="s">
        <v>263</v>
      </c>
    </row>
    <row r="86" spans="1:7" ht="30" x14ac:dyDescent="0.25">
      <c r="A86" s="436"/>
      <c r="B86" s="442"/>
      <c r="C86" s="441" t="str">
        <f>'В2.Расчет стоимости часа'!B88</f>
        <v xml:space="preserve">    Производство компьютеров, электронных и оптических изделий</v>
      </c>
      <c r="D86" s="11" t="str">
        <f>'В2.Расчет стоимости часа'!C88</f>
        <v xml:space="preserve">        Производство элементов электронной аппаратуры и печатных схем (плат)</v>
      </c>
      <c r="E86" s="137">
        <f>'В2.Расчет стоимости часа'!H88</f>
        <v>78572.45</v>
      </c>
      <c r="F86" s="137">
        <f>'В2.Расчет стоимости часа'!P88</f>
        <v>666.52880031584232</v>
      </c>
      <c r="G86" s="138" t="s">
        <v>263</v>
      </c>
    </row>
    <row r="87" spans="1:7" ht="30" x14ac:dyDescent="0.25">
      <c r="A87" s="436"/>
      <c r="B87" s="442"/>
      <c r="C87" s="442"/>
      <c r="D87" s="11" t="str">
        <f>'В2.Расчет стоимости часа'!C89</f>
        <v xml:space="preserve">        Производство компьютеров и периферийного оборудования</v>
      </c>
      <c r="E87" s="137">
        <f>'В2.Расчет стоимости часа'!H89</f>
        <v>157378.92499999999</v>
      </c>
      <c r="F87" s="137">
        <f>'В2.Расчет стоимости часа'!P89</f>
        <v>1325.483297828654</v>
      </c>
      <c r="G87" s="138" t="s">
        <v>263</v>
      </c>
    </row>
    <row r="88" spans="1:7" ht="30" x14ac:dyDescent="0.25">
      <c r="A88" s="436"/>
      <c r="B88" s="442"/>
      <c r="C88" s="442"/>
      <c r="D88" s="11" t="str">
        <f>'В2.Расчет стоимости часа'!C90</f>
        <v xml:space="preserve">        Производство коммуникационного оборудования</v>
      </c>
      <c r="E88" s="137">
        <f>'В2.Расчет стоимости часа'!H90</f>
        <v>77883.850000000006</v>
      </c>
      <c r="F88" s="137">
        <f>'В2.Расчет стоимости часа'!P90</f>
        <v>664.76809251114094</v>
      </c>
      <c r="G88" s="138" t="s">
        <v>263</v>
      </c>
    </row>
    <row r="89" spans="1:7" x14ac:dyDescent="0.25">
      <c r="A89" s="436"/>
      <c r="B89" s="442"/>
      <c r="C89" s="442"/>
      <c r="D89" s="11" t="str">
        <f>'В2.Расчет стоимости часа'!C91</f>
        <v xml:space="preserve">        Производство бытовой электроники</v>
      </c>
      <c r="E89" s="137">
        <f>'В2.Расчет стоимости часа'!H91</f>
        <v>67673.625</v>
      </c>
      <c r="F89" s="137">
        <f>'В2.Расчет стоимости часа'!P91</f>
        <v>577.71810831773621</v>
      </c>
      <c r="G89" s="138" t="s">
        <v>263</v>
      </c>
    </row>
    <row r="90" spans="1:7" ht="45" x14ac:dyDescent="0.25">
      <c r="A90" s="436"/>
      <c r="B90" s="442"/>
      <c r="C90" s="442"/>
      <c r="D90" s="11" t="str">
        <f>'В2.Расчет стоимости часа'!C92</f>
        <v xml:space="preserve">        Производство контрольно-измерительных и навигационных приборов и аппаратов; производство часов</v>
      </c>
      <c r="E90" s="137">
        <f>'В2.Расчет стоимости часа'!H92</f>
        <v>78233.8</v>
      </c>
      <c r="F90" s="137">
        <f>'В2.Расчет стоимости часа'!P92</f>
        <v>666.42000138480398</v>
      </c>
      <c r="G90" s="138" t="s">
        <v>263</v>
      </c>
    </row>
    <row r="91" spans="1:7" ht="45" x14ac:dyDescent="0.25">
      <c r="A91" s="436"/>
      <c r="B91" s="442"/>
      <c r="C91" s="442"/>
      <c r="D91" s="11" t="str">
        <f>'В2.Расчет стоимости часа'!C93</f>
        <v xml:space="preserve">        Производство облучающего и электротерапевтического оборудования, применяемого в медицинских целях</v>
      </c>
      <c r="E91" s="137">
        <f>'В2.Расчет стоимости часа'!H93</f>
        <v>79859.275000000009</v>
      </c>
      <c r="F91" s="137">
        <f>'В2.Расчет стоимости часа'!P93</f>
        <v>678.61199456216593</v>
      </c>
      <c r="G91" s="138" t="s">
        <v>263</v>
      </c>
    </row>
    <row r="92" spans="1:7" ht="30" x14ac:dyDescent="0.25">
      <c r="A92" s="436"/>
      <c r="B92" s="442"/>
      <c r="C92" s="442"/>
      <c r="D92" s="11" t="str">
        <f>'В2.Расчет стоимости часа'!C94</f>
        <v xml:space="preserve">        Производство оптических приборов, фото- и кинооборудования</v>
      </c>
      <c r="E92" s="137">
        <f>'В2.Расчет стоимости часа'!H94</f>
        <v>79507.75</v>
      </c>
      <c r="F92" s="137">
        <f>'В2.Расчет стоимости часа'!P94</f>
        <v>676.29582199866309</v>
      </c>
      <c r="G92" s="138" t="s">
        <v>263</v>
      </c>
    </row>
    <row r="93" spans="1:7" ht="45" x14ac:dyDescent="0.25">
      <c r="A93" s="436"/>
      <c r="B93" s="442"/>
      <c r="C93" s="443"/>
      <c r="D93" s="11" t="str">
        <f>'В2.Расчет стоимости часа'!C95</f>
        <v xml:space="preserve">        Производство незаписанных магнитных и оптических технических носителей информации</v>
      </c>
      <c r="E93" s="137">
        <f>'В2.Расчет стоимости часа'!H95</f>
        <v>105604.925</v>
      </c>
      <c r="F93" s="137">
        <f>'В2.Расчет стоимости часа'!P95</f>
        <v>893.52394747938956</v>
      </c>
      <c r="G93" s="138" t="s">
        <v>263</v>
      </c>
    </row>
    <row r="94" spans="1:7" ht="60" x14ac:dyDescent="0.25">
      <c r="A94" s="436"/>
      <c r="B94" s="442"/>
      <c r="C94" s="441" t="str">
        <f>'В2.Расчет стоимости часа'!B96</f>
        <v xml:space="preserve">    Производство электрического оборудования</v>
      </c>
      <c r="D94" s="11" t="str">
        <f>'В2.Расчет стоимости часа'!C96</f>
        <v xml:space="preserve">        Производство электродвигателей, генераторов, трансформаторов и распределительных устройств, а также контрольно-измерительной аппаратуры</v>
      </c>
      <c r="E94" s="137">
        <f>'В2.Расчет стоимости часа'!H96</f>
        <v>66987.95</v>
      </c>
      <c r="F94" s="137">
        <f>'В2.Расчет стоимости часа'!P96</f>
        <v>569.17776096925138</v>
      </c>
      <c r="G94" s="138" t="s">
        <v>263</v>
      </c>
    </row>
    <row r="95" spans="1:7" ht="30" x14ac:dyDescent="0.25">
      <c r="A95" s="436"/>
      <c r="B95" s="442"/>
      <c r="C95" s="442"/>
      <c r="D95" s="11" t="str">
        <f>'В2.Расчет стоимости часа'!C97</f>
        <v xml:space="preserve">        Производство электрических аккумуляторов и аккумуляторных батарей</v>
      </c>
      <c r="E95" s="137">
        <f>'В2.Расчет стоимости часа'!H97</f>
        <v>67723.899999999994</v>
      </c>
      <c r="F95" s="137">
        <f>'В2.Расчет стоимости часа'!P97</f>
        <v>575.71826547348485</v>
      </c>
      <c r="G95" s="138" t="s">
        <v>263</v>
      </c>
    </row>
    <row r="96" spans="1:7" ht="30" x14ac:dyDescent="0.25">
      <c r="A96" s="436"/>
      <c r="B96" s="442"/>
      <c r="C96" s="442"/>
      <c r="D96" s="11" t="str">
        <f>'В2.Расчет стоимости часа'!C98</f>
        <v xml:space="preserve">        Производство кабелей и кабельной арматуры</v>
      </c>
      <c r="E96" s="137">
        <f>'В2.Расчет стоимости часа'!H98</f>
        <v>68889.899999999994</v>
      </c>
      <c r="F96" s="137">
        <f>'В2.Расчет стоимости часа'!P98</f>
        <v>584.59225273952768</v>
      </c>
      <c r="G96" s="138" t="s">
        <v>263</v>
      </c>
    </row>
    <row r="97" spans="1:7" ht="30" x14ac:dyDescent="0.25">
      <c r="A97" s="436"/>
      <c r="B97" s="442"/>
      <c r="C97" s="442"/>
      <c r="D97" s="11" t="str">
        <f>'В2.Расчет стоимости часа'!C99</f>
        <v xml:space="preserve">        Производство электрических ламп и осветительного оборудования</v>
      </c>
      <c r="E97" s="137">
        <f>'В2.Расчет стоимости часа'!H99</f>
        <v>57356.725000000006</v>
      </c>
      <c r="F97" s="137">
        <f>'В2.Расчет стоимости часа'!P99</f>
        <v>485.60400049131016</v>
      </c>
      <c r="G97" s="138" t="s">
        <v>263</v>
      </c>
    </row>
    <row r="98" spans="1:7" x14ac:dyDescent="0.25">
      <c r="A98" s="436"/>
      <c r="B98" s="442"/>
      <c r="C98" s="442"/>
      <c r="D98" s="11" t="str">
        <f>'В2.Расчет стоимости часа'!C100</f>
        <v xml:space="preserve">        Производство бытовых приборов</v>
      </c>
      <c r="E98" s="137">
        <f>'В2.Расчет стоимости часа'!H100</f>
        <v>57581.775000000001</v>
      </c>
      <c r="F98" s="137">
        <f>'В2.Расчет стоимости часа'!P100</f>
        <v>490.76382363859182</v>
      </c>
      <c r="G98" s="138" t="s">
        <v>263</v>
      </c>
    </row>
    <row r="99" spans="1:7" ht="30" x14ac:dyDescent="0.25">
      <c r="A99" s="436"/>
      <c r="B99" s="442"/>
      <c r="C99" s="443"/>
      <c r="D99" s="11" t="str">
        <f>'В2.Расчет стоимости часа'!C101</f>
        <v xml:space="preserve">        Производство прочего электрического оборудования</v>
      </c>
      <c r="E99" s="137">
        <f>'В2.Расчет стоимости часа'!H101</f>
        <v>73507.125</v>
      </c>
      <c r="F99" s="137">
        <f>'В2.Расчет стоимости часа'!P101</f>
        <v>624.28829615474604</v>
      </c>
      <c r="G99" s="138" t="s">
        <v>263</v>
      </c>
    </row>
    <row r="100" spans="1:7" ht="30" x14ac:dyDescent="0.25">
      <c r="A100" s="436"/>
      <c r="B100" s="442"/>
      <c r="C100" s="441" t="str">
        <f>'В2.Расчет стоимости часа'!B102</f>
        <v xml:space="preserve">    Производство машин и оборудования, не включенных в другие группировки</v>
      </c>
      <c r="D100" s="11" t="str">
        <f>'В2.Расчет стоимости часа'!C102</f>
        <v xml:space="preserve">        Производство машин и оборудования общего назначения</v>
      </c>
      <c r="E100" s="137">
        <f>'В2.Расчет стоимости часа'!H102</f>
        <v>71585.175000000003</v>
      </c>
      <c r="F100" s="137">
        <f>'В2.Расчет стоимости часа'!P102</f>
        <v>608.81931843081554</v>
      </c>
      <c r="G100" s="138" t="s">
        <v>263</v>
      </c>
    </row>
    <row r="101" spans="1:7" ht="30" x14ac:dyDescent="0.25">
      <c r="A101" s="436"/>
      <c r="B101" s="442"/>
      <c r="C101" s="442"/>
      <c r="D101" s="11" t="str">
        <f>'В2.Расчет стоимости часа'!C103</f>
        <v xml:space="preserve">        Производство прочих машин и оборудования общего назначения</v>
      </c>
      <c r="E101" s="137">
        <f>'В2.Расчет стоимости часа'!H103</f>
        <v>64970.3</v>
      </c>
      <c r="F101" s="137">
        <f>'В2.Расчет стоимости часа'!P103</f>
        <v>552.09041520777635</v>
      </c>
      <c r="G101" s="138" t="s">
        <v>263</v>
      </c>
    </row>
    <row r="102" spans="1:7" ht="30" x14ac:dyDescent="0.25">
      <c r="A102" s="436"/>
      <c r="B102" s="442"/>
      <c r="C102" s="442"/>
      <c r="D102" s="11" t="str">
        <f>'В2.Расчет стоимости часа'!C104</f>
        <v xml:space="preserve">        Производство машин и оборудования для сельского и лесного хозяйства</v>
      </c>
      <c r="E102" s="137">
        <f>'В2.Расчет стоимости часа'!H104</f>
        <v>64906.274999999994</v>
      </c>
      <c r="F102" s="137">
        <f>'В2.Расчет стоимости часа'!P104</f>
        <v>552.23785432987972</v>
      </c>
      <c r="G102" s="138" t="s">
        <v>263</v>
      </c>
    </row>
    <row r="103" spans="1:7" ht="45" x14ac:dyDescent="0.25">
      <c r="A103" s="436"/>
      <c r="B103" s="442"/>
      <c r="C103" s="442"/>
      <c r="D103" s="11" t="str">
        <f>'В2.Расчет стоимости часа'!C105</f>
        <v xml:space="preserve">        Производство станков, машин и оборудования для обработки металлов и прочих твердых материалов</v>
      </c>
      <c r="E103" s="137">
        <f>'В2.Расчет стоимости часа'!H105</f>
        <v>54986.899999999994</v>
      </c>
      <c r="F103" s="137">
        <f>'В2.Расчет стоимости часа'!P105</f>
        <v>467.6172262349599</v>
      </c>
      <c r="G103" s="138" t="s">
        <v>263</v>
      </c>
    </row>
    <row r="104" spans="1:7" ht="30" x14ac:dyDescent="0.25">
      <c r="A104" s="436"/>
      <c r="B104" s="442"/>
      <c r="C104" s="443"/>
      <c r="D104" s="11" t="str">
        <f>'В2.Расчет стоимости часа'!C106</f>
        <v xml:space="preserve">        Производство прочих машин специального назначения</v>
      </c>
      <c r="E104" s="137">
        <f>'В2.Расчет стоимости часа'!H106</f>
        <v>69876.724999999991</v>
      </c>
      <c r="F104" s="137">
        <f>'В2.Расчет стоимости часа'!P106</f>
        <v>594.14074773451432</v>
      </c>
      <c r="G104" s="138" t="s">
        <v>263</v>
      </c>
    </row>
    <row r="105" spans="1:7" x14ac:dyDescent="0.25">
      <c r="A105" s="436"/>
      <c r="B105" s="442"/>
      <c r="C105" s="441" t="str">
        <f>'В2.Расчет стоимости часа'!B107</f>
        <v xml:space="preserve">    Производство автотранспортных средств, прицепов и полуприцепов</v>
      </c>
      <c r="D105" s="11" t="str">
        <f>'В2.Расчет стоимости часа'!C107</f>
        <v xml:space="preserve">        Производство автотранспортных средств</v>
      </c>
      <c r="E105" s="137">
        <f>'В2.Расчет стоимости часа'!H107</f>
        <v>66746.274999999994</v>
      </c>
      <c r="F105" s="137">
        <f>'В2.Расчет стоимости часа'!P107</f>
        <v>568.0111654879679</v>
      </c>
      <c r="G105" s="138" t="s">
        <v>263</v>
      </c>
    </row>
    <row r="106" spans="1:7" ht="45" x14ac:dyDescent="0.25">
      <c r="A106" s="436"/>
      <c r="B106" s="442"/>
      <c r="C106" s="442"/>
      <c r="D106" s="11" t="str">
        <f>'В2.Расчет стоимости часа'!C108</f>
        <v xml:space="preserve">        Производство кузовов для автотранспортных средств; производство прицепов и полуприцепов</v>
      </c>
      <c r="E106" s="137">
        <f>'В2.Расчет стоимости часа'!H108</f>
        <v>65115.95</v>
      </c>
      <c r="F106" s="137">
        <f>'В2.Расчет стоимости часа'!P108</f>
        <v>553.01360394552148</v>
      </c>
      <c r="G106" s="138" t="s">
        <v>263</v>
      </c>
    </row>
    <row r="107" spans="1:7" ht="45" x14ac:dyDescent="0.25">
      <c r="A107" s="436"/>
      <c r="B107" s="442"/>
      <c r="C107" s="443"/>
      <c r="D107" s="11" t="str">
        <f>'В2.Расчет стоимости часа'!C109</f>
        <v xml:space="preserve">        Производство комплектующих и принадлежностей для автотранспортных средств</v>
      </c>
      <c r="E107" s="137">
        <f>'В2.Расчет стоимости часа'!H109</f>
        <v>56401.275000000001</v>
      </c>
      <c r="F107" s="137">
        <f>'В2.Расчет стоимости часа'!P109</f>
        <v>478.48686115697427</v>
      </c>
      <c r="G107" s="138" t="s">
        <v>263</v>
      </c>
    </row>
    <row r="108" spans="1:7" ht="30" x14ac:dyDescent="0.25">
      <c r="A108" s="436"/>
      <c r="B108" s="442"/>
      <c r="C108" s="441" t="str">
        <f>'В2.Расчет стоимости часа'!B110</f>
        <v xml:space="preserve">    Производство прочих транспортных средств и оборудования</v>
      </c>
      <c r="D108" s="11" t="str">
        <f>'В2.Расчет стоимости часа'!C110</f>
        <v xml:space="preserve">        Производство железнодорожных локомотивов и подвижного состава</v>
      </c>
      <c r="E108" s="137">
        <f>'В2.Расчет стоимости часа'!H110</f>
        <v>65102.049999999996</v>
      </c>
      <c r="F108" s="137">
        <f>'В2.Расчет стоимости часа'!P110</f>
        <v>553.1212750857843</v>
      </c>
      <c r="G108" s="138" t="s">
        <v>263</v>
      </c>
    </row>
    <row r="109" spans="1:7" ht="45" x14ac:dyDescent="0.25">
      <c r="A109" s="436"/>
      <c r="B109" s="442"/>
      <c r="C109" s="442"/>
      <c r="D109" s="11" t="str">
        <f>'В2.Расчет стоимости часа'!C111</f>
        <v xml:space="preserve">        Производство летательных аппаратов, включая космические, и соответствующего оборудования</v>
      </c>
      <c r="E109" s="137">
        <f>'В2.Расчет стоимости часа'!H111</f>
        <v>78180.95</v>
      </c>
      <c r="F109" s="137">
        <f>'В2.Расчет стоимости часа'!P111</f>
        <v>665.32812669618977</v>
      </c>
      <c r="G109" s="138" t="s">
        <v>263</v>
      </c>
    </row>
    <row r="110" spans="1:7" ht="45" x14ac:dyDescent="0.25">
      <c r="A110" s="436"/>
      <c r="B110" s="442"/>
      <c r="C110" s="443"/>
      <c r="D110" s="11" t="str">
        <f>'В2.Расчет стоимости часа'!C112</f>
        <v xml:space="preserve">        Производство транспортных средств и оборудования, не включенных в другие группировки</v>
      </c>
      <c r="E110" s="137">
        <f>'В2.Расчет стоимости часа'!H112</f>
        <v>48519.4</v>
      </c>
      <c r="F110" s="137">
        <f>'В2.Расчет стоимости часа'!P112</f>
        <v>410.07256788937167</v>
      </c>
      <c r="G110" s="138" t="s">
        <v>263</v>
      </c>
    </row>
    <row r="111" spans="1:7" x14ac:dyDescent="0.25">
      <c r="A111" s="436"/>
      <c r="B111" s="442"/>
      <c r="C111" s="130" t="str">
        <f>'В2.Расчет стоимости часа'!B113</f>
        <v xml:space="preserve">    Производство мебели</v>
      </c>
      <c r="D111" s="11" t="str">
        <f>'В2.Расчет стоимости часа'!C113</f>
        <v xml:space="preserve">        Производство мебели</v>
      </c>
      <c r="E111" s="137">
        <f>'В2.Расчет стоимости часа'!H113</f>
        <v>38885.699999999997</v>
      </c>
      <c r="F111" s="137">
        <f>'В2.Расчет стоимости часа'!P113</f>
        <v>331.07465408868092</v>
      </c>
      <c r="G111" s="138" t="s">
        <v>263</v>
      </c>
    </row>
    <row r="112" spans="1:7" ht="30" x14ac:dyDescent="0.25">
      <c r="A112" s="436"/>
      <c r="B112" s="442"/>
      <c r="C112" s="441" t="str">
        <f>'В2.Расчет стоимости часа'!B114</f>
        <v xml:space="preserve">    Производство прочих готовых изделий</v>
      </c>
      <c r="D112" s="11" t="str">
        <f>'В2.Расчет стоимости часа'!C114</f>
        <v xml:space="preserve">        Производство ювелирных изделий, бижутерии и подобных товаров</v>
      </c>
      <c r="E112" s="137">
        <f>'В2.Расчет стоимости часа'!H114</f>
        <v>56439.25</v>
      </c>
      <c r="F112" s="137">
        <f>'В2.Расчет стоимости часа'!P114</f>
        <v>479.65054517323978</v>
      </c>
      <c r="G112" s="138" t="s">
        <v>263</v>
      </c>
    </row>
    <row r="113" spans="1:7" ht="30" x14ac:dyDescent="0.25">
      <c r="A113" s="436"/>
      <c r="B113" s="442"/>
      <c r="C113" s="442"/>
      <c r="D113" s="11" t="str">
        <f>'В2.Расчет стоимости часа'!C115</f>
        <v xml:space="preserve">        Производство музыкальных инструментов</v>
      </c>
      <c r="E113" s="137">
        <f>'В2.Расчет стоимости часа'!H115</f>
        <v>41960.425000000003</v>
      </c>
      <c r="F113" s="137">
        <f>'В2.Расчет стоимости часа'!P115</f>
        <v>357.33345045510248</v>
      </c>
      <c r="G113" s="138" t="s">
        <v>263</v>
      </c>
    </row>
    <row r="114" spans="1:7" x14ac:dyDescent="0.25">
      <c r="A114" s="436"/>
      <c r="B114" s="442"/>
      <c r="C114" s="442"/>
      <c r="D114" s="11" t="str">
        <f>'В2.Расчет стоимости часа'!C116</f>
        <v xml:space="preserve">        Производство спортивных товаров</v>
      </c>
      <c r="E114" s="137">
        <f>'В2.Расчет стоимости часа'!H116</f>
        <v>41618.65</v>
      </c>
      <c r="F114" s="137">
        <f>'В2.Расчет стоимости часа'!P116</f>
        <v>354.37885825868983</v>
      </c>
      <c r="G114" s="138" t="s">
        <v>263</v>
      </c>
    </row>
    <row r="115" spans="1:7" x14ac:dyDescent="0.25">
      <c r="A115" s="436"/>
      <c r="B115" s="442"/>
      <c r="C115" s="442"/>
      <c r="D115" s="11" t="str">
        <f>'В2.Расчет стоимости часа'!C117</f>
        <v xml:space="preserve">        Производство игр и игрушек</v>
      </c>
      <c r="E115" s="137">
        <f>'В2.Расчет стоимости часа'!H117</f>
        <v>38684.824999999997</v>
      </c>
      <c r="F115" s="137">
        <f>'В2.Расчет стоимости часа'!P117</f>
        <v>328.93764698529418</v>
      </c>
      <c r="G115" s="138" t="s">
        <v>263</v>
      </c>
    </row>
    <row r="116" spans="1:7" ht="30" x14ac:dyDescent="0.25">
      <c r="A116" s="436"/>
      <c r="B116" s="442"/>
      <c r="C116" s="442"/>
      <c r="D116" s="11" t="str">
        <f>'В2.Расчет стоимости часа'!C118</f>
        <v xml:space="preserve">        Производство медицинских инструментов и оборудования</v>
      </c>
      <c r="E116" s="137">
        <f>'В2.Расчет стоимости часа'!H118</f>
        <v>70192.175000000003</v>
      </c>
      <c r="F116" s="137">
        <f>'В2.Расчет стоимости часа'!P118</f>
        <v>591.59966202038765</v>
      </c>
      <c r="G116" s="138" t="s">
        <v>263</v>
      </c>
    </row>
    <row r="117" spans="1:7" ht="30" x14ac:dyDescent="0.25">
      <c r="A117" s="436"/>
      <c r="B117" s="442"/>
      <c r="C117" s="443"/>
      <c r="D117" s="11" t="str">
        <f>'В2.Расчет стоимости часа'!C119</f>
        <v xml:space="preserve">        Производство изделий, не включенных в другие группировки</v>
      </c>
      <c r="E117" s="137">
        <f>'В2.Расчет стоимости часа'!H119</f>
        <v>43854.9</v>
      </c>
      <c r="F117" s="137">
        <f>'В2.Расчет стоимости часа'!P119</f>
        <v>374.11940579656869</v>
      </c>
      <c r="G117" s="138" t="s">
        <v>263</v>
      </c>
    </row>
    <row r="118" spans="1:7" ht="30" x14ac:dyDescent="0.25">
      <c r="A118" s="436"/>
      <c r="B118" s="442"/>
      <c r="C118" s="441" t="str">
        <f>'В2.Расчет стоимости часа'!B120</f>
        <v xml:space="preserve">    Ремонт и монтаж машин и оборудования</v>
      </c>
      <c r="D118" s="11" t="str">
        <f>'В2.Расчет стоимости часа'!C120</f>
        <v xml:space="preserve">        Ремонт и монтаж металлических изделий, машин и оборудования</v>
      </c>
      <c r="E118" s="137">
        <f>'В2.Расчет стоимости часа'!H120</f>
        <v>70959.324999999997</v>
      </c>
      <c r="F118" s="137">
        <f>'В2.Расчет стоимости часа'!P120</f>
        <v>603.78775180871207</v>
      </c>
      <c r="G118" s="138" t="s">
        <v>263</v>
      </c>
    </row>
    <row r="119" spans="1:7" ht="30" x14ac:dyDescent="0.25">
      <c r="A119" s="437"/>
      <c r="B119" s="443"/>
      <c r="C119" s="443"/>
      <c r="D119" s="11" t="str">
        <f>'В2.Расчет стоимости часа'!C121</f>
        <v xml:space="preserve">        Монтаж промышленных машин и оборудования</v>
      </c>
      <c r="E119" s="137">
        <f>'В2.Расчет стоимости часа'!H121</f>
        <v>70360.55</v>
      </c>
      <c r="F119" s="137">
        <f>'В2.Расчет стоимости часа'!P121</f>
        <v>597.37250279411762</v>
      </c>
      <c r="G119" s="138" t="s">
        <v>263</v>
      </c>
    </row>
    <row r="120" spans="1:7" ht="30" x14ac:dyDescent="0.25">
      <c r="A120" s="435">
        <v>5</v>
      </c>
      <c r="B120" s="441" t="str">
        <f>'В2.Расчет стоимости часа'!A122</f>
        <v>ОБЕСПЕЧЕНИЕ ЭЛЕКТРИЧЕСКОЙ ЭНЕРГИЕЙ, ГАЗОМ И ПАРОМ; КОНДИЦИОНИРОВАНИЕ ВОЗДУХА</v>
      </c>
      <c r="C120" s="441" t="str">
        <f>'В2.Расчет стоимости часа'!B122</f>
        <v xml:space="preserve">    Обеспечение электрической энергией, газом и паром; кондиционирование воздуха</v>
      </c>
      <c r="D120" s="11" t="str">
        <f>'В2.Расчет стоимости часа'!C122</f>
        <v xml:space="preserve">        Производство, передача и распределение электроэнергии</v>
      </c>
      <c r="E120" s="137">
        <f>'В2.Расчет стоимости часа'!H122</f>
        <v>87212.975000000006</v>
      </c>
      <c r="F120" s="137">
        <f>'В2.Расчет стоимости часа'!P122</f>
        <v>741.30289167613648</v>
      </c>
      <c r="G120" s="138" t="s">
        <v>263</v>
      </c>
    </row>
    <row r="121" spans="1:7" ht="30" x14ac:dyDescent="0.25">
      <c r="A121" s="436"/>
      <c r="B121" s="442"/>
      <c r="C121" s="442"/>
      <c r="D121" s="11" t="str">
        <f>'В2.Расчет стоимости часа'!C123</f>
        <v xml:space="preserve">        Производство и распределение газообразного топлива</v>
      </c>
      <c r="E121" s="137">
        <f>'В2.Расчет стоимости часа'!H123</f>
        <v>58760.125</v>
      </c>
      <c r="F121" s="137">
        <f>'В2.Расчет стоимости часа'!P123</f>
        <v>499.73122981561943</v>
      </c>
      <c r="G121" s="138" t="s">
        <v>263</v>
      </c>
    </row>
    <row r="122" spans="1:7" ht="45" x14ac:dyDescent="0.25">
      <c r="A122" s="437"/>
      <c r="B122" s="443"/>
      <c r="C122" s="443"/>
      <c r="D122" s="11" t="str">
        <f>'В2.Расчет стоимости часа'!C124</f>
        <v xml:space="preserve">        Производство, передача и распределение пара и горячей воды; кондиционирование воздуха</v>
      </c>
      <c r="E122" s="137">
        <f>'В2.Расчет стоимости часа'!H124</f>
        <v>53403.225000000006</v>
      </c>
      <c r="F122" s="137">
        <f>'В2.Расчет стоимости часа'!P124</f>
        <v>455.13010737633692</v>
      </c>
      <c r="G122" s="138" t="s">
        <v>263</v>
      </c>
    </row>
    <row r="123" spans="1:7" ht="30" x14ac:dyDescent="0.25">
      <c r="A123" s="435">
        <v>6</v>
      </c>
      <c r="B123" s="441" t="str">
        <f>'В2.Расчет стоимости часа'!A125</f>
        <v>ВОДОСНАБЖЕНИЕ; ВОДООТВЕДЕНИЕ, ОРГАНИЗАЦИЯ СБОРА И УТИЛИЗАЦИИ ОТХОДОВ, ДЕЯТЕЛЬНОСТЬ ПО ЛИКВИДАЦИИ ЗАГРЯЗНЕНИЙ</v>
      </c>
      <c r="C123" s="130" t="str">
        <f>'В2.Расчет стоимости часа'!B125</f>
        <v xml:space="preserve">    Забор, очистка и распределение воды</v>
      </c>
      <c r="D123" s="11" t="str">
        <f>'В2.Расчет стоимости часа'!C125</f>
        <v xml:space="preserve">        Забор, очистка и распределение воды</v>
      </c>
      <c r="E123" s="137">
        <f>'В2.Расчет стоимости часа'!H125</f>
        <v>47596.149999999994</v>
      </c>
      <c r="F123" s="137">
        <f>'В2.Расчет стоимости часа'!P125</f>
        <v>405.39629392156866</v>
      </c>
      <c r="G123" s="138" t="s">
        <v>263</v>
      </c>
    </row>
    <row r="124" spans="1:7" x14ac:dyDescent="0.25">
      <c r="A124" s="436"/>
      <c r="B124" s="442"/>
      <c r="C124" s="130" t="str">
        <f>'В2.Расчет стоимости часа'!B126</f>
        <v xml:space="preserve">    Сбор и обработка сточных вод</v>
      </c>
      <c r="D124" s="11" t="str">
        <f>'В2.Расчет стоимости часа'!C126</f>
        <v xml:space="preserve">        Сбор и обработка сточных вод</v>
      </c>
      <c r="E124" s="137">
        <f>'В2.Расчет стоимости часа'!H126</f>
        <v>45583.950000000004</v>
      </c>
      <c r="F124" s="137">
        <f>'В2.Расчет стоимости часа'!P126</f>
        <v>388.53437238246443</v>
      </c>
      <c r="G124" s="138" t="s">
        <v>263</v>
      </c>
    </row>
    <row r="125" spans="1:7" x14ac:dyDescent="0.25">
      <c r="A125" s="436"/>
      <c r="B125" s="442"/>
      <c r="C125" s="441" t="str">
        <f>'В2.Расчет стоимости часа'!B127</f>
        <v xml:space="preserve">    Сбор, обработка и утилизация отходов; обработка вторичного сырья</v>
      </c>
      <c r="D125" s="11" t="str">
        <f>'В2.Расчет стоимости часа'!C127</f>
        <v xml:space="preserve">        Сбор отходов</v>
      </c>
      <c r="E125" s="137">
        <f>'В2.Расчет стоимости часа'!H127</f>
        <v>53161.899999999994</v>
      </c>
      <c r="F125" s="137">
        <f>'В2.Расчет стоимости часа'!P127</f>
        <v>453.2401552322861</v>
      </c>
      <c r="G125" s="138" t="s">
        <v>263</v>
      </c>
    </row>
    <row r="126" spans="1:7" x14ac:dyDescent="0.25">
      <c r="A126" s="436"/>
      <c r="B126" s="442"/>
      <c r="C126" s="442"/>
      <c r="D126" s="11" t="str">
        <f>'В2.Расчет стоимости часа'!C128</f>
        <v xml:space="preserve">        Обработка и утилизация отходов</v>
      </c>
      <c r="E126" s="137">
        <f>'В2.Расчет стоимости часа'!H128</f>
        <v>72214.75</v>
      </c>
      <c r="F126" s="137">
        <f>'В2.Расчет стоимости часа'!P128</f>
        <v>619.29204485628338</v>
      </c>
      <c r="G126" s="138" t="s">
        <v>263</v>
      </c>
    </row>
    <row r="127" spans="1:7" ht="30" x14ac:dyDescent="0.25">
      <c r="A127" s="436"/>
      <c r="B127" s="442"/>
      <c r="C127" s="443"/>
      <c r="D127" s="11" t="str">
        <f>'В2.Расчет стоимости часа'!C129</f>
        <v xml:space="preserve">        Деятельность по обработке вторичного сырья</v>
      </c>
      <c r="E127" s="137">
        <f>'В2.Расчет стоимости часа'!H129</f>
        <v>48646.25</v>
      </c>
      <c r="F127" s="137">
        <f>'В2.Расчет стоимости часа'!P129</f>
        <v>413.45166331383683</v>
      </c>
      <c r="G127" s="138" t="s">
        <v>263</v>
      </c>
    </row>
    <row r="128" spans="1:7" ht="75" x14ac:dyDescent="0.25">
      <c r="A128" s="437"/>
      <c r="B128" s="443"/>
      <c r="C128" s="130" t="str">
        <f>'В2.Расчет стоимости часа'!B130</f>
        <v xml:space="preserve">    Предоставление услуг в области ликвидации последствий загрязнений и прочих услуг, связанных с удалением отходов</v>
      </c>
      <c r="D128" s="11" t="str">
        <f>'В2.Расчет стоимости часа'!C130</f>
        <v xml:space="preserve">        Предоставление услуг в области ликвидации последствий загрязнений и прочих услуг, связанных с удалением отходов</v>
      </c>
      <c r="E128" s="137">
        <f>'В2.Расчет стоимости часа'!H130</f>
        <v>44036.074999999997</v>
      </c>
      <c r="F128" s="137">
        <f>'В2.Расчет стоимости часа'!P130</f>
        <v>375.35227113413549</v>
      </c>
      <c r="G128" s="138" t="s">
        <v>263</v>
      </c>
    </row>
    <row r="129" spans="1:7" x14ac:dyDescent="0.25">
      <c r="A129" s="435">
        <v>7</v>
      </c>
      <c r="B129" s="441" t="str">
        <f>'В2.Расчет стоимости часа'!A131</f>
        <v>СТРОИТЕЛЬСТВО</v>
      </c>
      <c r="C129" s="441" t="str">
        <f>'В2.Расчет стоимости часа'!B131</f>
        <v xml:space="preserve">    Строительство зданий</v>
      </c>
      <c r="D129" s="11" t="str">
        <f>'В2.Расчет стоимости часа'!C131</f>
        <v xml:space="preserve">        Разработка строительных проектов</v>
      </c>
      <c r="E129" s="137">
        <f>'В2.Расчет стоимости часа'!H131</f>
        <v>54349.775000000009</v>
      </c>
      <c r="F129" s="137">
        <f>'В2.Расчет стоимости часа'!P131</f>
        <v>462.44424613302147</v>
      </c>
      <c r="G129" s="138" t="s">
        <v>263</v>
      </c>
    </row>
    <row r="130" spans="1:7" x14ac:dyDescent="0.25">
      <c r="A130" s="436"/>
      <c r="B130" s="442"/>
      <c r="C130" s="443"/>
      <c r="D130" s="11" t="str">
        <f>'В2.Расчет стоимости часа'!C132</f>
        <v xml:space="preserve">        Строительство жилых и нежилых зданий</v>
      </c>
      <c r="E130" s="137">
        <f>'В2.Расчет стоимости часа'!H132</f>
        <v>58401.275000000001</v>
      </c>
      <c r="F130" s="137">
        <f>'В2.Расчет стоимости часа'!P132</f>
        <v>495.50647927473261</v>
      </c>
      <c r="G130" s="138" t="s">
        <v>263</v>
      </c>
    </row>
    <row r="131" spans="1:7" ht="30" x14ac:dyDescent="0.25">
      <c r="A131" s="436"/>
      <c r="B131" s="442"/>
      <c r="C131" s="441" t="str">
        <f>'В2.Расчет стоимости часа'!B133</f>
        <v xml:space="preserve">    Строительство инженерных сооружений</v>
      </c>
      <c r="D131" s="11" t="str">
        <f>'В2.Расчет стоимости часа'!C133</f>
        <v xml:space="preserve">        Строительство автомобильных и железных дорог</v>
      </c>
      <c r="E131" s="137">
        <f>'В2.Расчет стоимости часа'!H133</f>
        <v>67326.574999999997</v>
      </c>
      <c r="F131" s="137">
        <f>'В2.Расчет стоимости часа'!P133</f>
        <v>571.39533947638142</v>
      </c>
      <c r="G131" s="138" t="s">
        <v>263</v>
      </c>
    </row>
    <row r="132" spans="1:7" ht="30" x14ac:dyDescent="0.25">
      <c r="A132" s="436"/>
      <c r="B132" s="442"/>
      <c r="C132" s="442"/>
      <c r="D132" s="11" t="str">
        <f>'В2.Расчет стоимости часа'!C134</f>
        <v xml:space="preserve">        Строительство инженерных коммуникаций</v>
      </c>
      <c r="E132" s="137">
        <f>'В2.Расчет стоимости часа'!H134</f>
        <v>86836.6</v>
      </c>
      <c r="F132" s="137">
        <f>'В2.Расчет стоимости часа'!P134</f>
        <v>734.71923194964347</v>
      </c>
      <c r="G132" s="138" t="s">
        <v>263</v>
      </c>
    </row>
    <row r="133" spans="1:7" ht="30" x14ac:dyDescent="0.25">
      <c r="A133" s="436"/>
      <c r="B133" s="442"/>
      <c r="C133" s="443"/>
      <c r="D133" s="11" t="str">
        <f>'В2.Расчет стоимости часа'!C135</f>
        <v xml:space="preserve">        Строительство прочих инженерных сооружений</v>
      </c>
      <c r="E133" s="137">
        <f>'В2.Расчет стоимости часа'!H135</f>
        <v>87903.425000000003</v>
      </c>
      <c r="F133" s="137">
        <f>'В2.Расчет стоимости часа'!P135</f>
        <v>745.51723342134585</v>
      </c>
      <c r="G133" s="138" t="s">
        <v>263</v>
      </c>
    </row>
    <row r="134" spans="1:7" ht="30" x14ac:dyDescent="0.25">
      <c r="A134" s="436"/>
      <c r="B134" s="442"/>
      <c r="C134" s="441" t="str">
        <f>'В2.Расчет стоимости часа'!B136</f>
        <v xml:space="preserve">    Работы строительные специализированные</v>
      </c>
      <c r="D134" s="11" t="str">
        <f>'В2.Расчет стоимости часа'!C136</f>
        <v xml:space="preserve">        Разборка и снос зданий, подготовка строительного участка</v>
      </c>
      <c r="E134" s="137">
        <f>'В2.Расчет стоимости часа'!H136</f>
        <v>71407.574999999997</v>
      </c>
      <c r="F134" s="137">
        <f>'В2.Расчет стоимости часа'!P136</f>
        <v>606.64209380069087</v>
      </c>
      <c r="G134" s="138" t="s">
        <v>263</v>
      </c>
    </row>
    <row r="135" spans="1:7" ht="45" x14ac:dyDescent="0.25">
      <c r="A135" s="436"/>
      <c r="B135" s="442"/>
      <c r="C135" s="442"/>
      <c r="D135" s="11" t="str">
        <f>'В2.Расчет стоимости часа'!C137</f>
        <v xml:space="preserve">        Производство электромонтажных, санитарно-технических и прочих строительно-монтажных работ</v>
      </c>
      <c r="E135" s="137">
        <f>'В2.Расчет стоимости часа'!H137</f>
        <v>47256.800000000003</v>
      </c>
      <c r="F135" s="137">
        <f>'В2.Расчет стоимости часа'!P137</f>
        <v>401.72925586397059</v>
      </c>
      <c r="G135" s="138" t="s">
        <v>263</v>
      </c>
    </row>
    <row r="136" spans="1:7" x14ac:dyDescent="0.25">
      <c r="A136" s="436"/>
      <c r="B136" s="442"/>
      <c r="C136" s="442"/>
      <c r="D136" s="11" t="str">
        <f>'В2.Расчет стоимости часа'!C138</f>
        <v xml:space="preserve">        Работы строительные отделочные</v>
      </c>
      <c r="E136" s="137">
        <f>'В2.Расчет стоимости часа'!H138</f>
        <v>31350.35</v>
      </c>
      <c r="F136" s="137">
        <f>'В2.Расчет стоимости часа'!P138</f>
        <v>265.91648909536542</v>
      </c>
      <c r="G136" s="138" t="s">
        <v>263</v>
      </c>
    </row>
    <row r="137" spans="1:7" ht="30" x14ac:dyDescent="0.25">
      <c r="A137" s="437"/>
      <c r="B137" s="443"/>
      <c r="C137" s="443"/>
      <c r="D137" s="11" t="str">
        <f>'В2.Расчет стоимости часа'!C139</f>
        <v xml:space="preserve">        Работы строительные специализированные прочие</v>
      </c>
      <c r="E137" s="137">
        <f>'В2.Расчет стоимости часа'!H139</f>
        <v>65778.450000000012</v>
      </c>
      <c r="F137" s="137">
        <f>'В2.Расчет стоимости часа'!P139</f>
        <v>557.96306413547245</v>
      </c>
      <c r="G137" s="138" t="s">
        <v>263</v>
      </c>
    </row>
    <row r="138" spans="1:7" ht="30" x14ac:dyDescent="0.25">
      <c r="A138" s="435">
        <v>8</v>
      </c>
      <c r="B138" s="441" t="str">
        <f>'В2.Расчет стоимости часа'!A140</f>
        <v>ТОРГОВЛЯ ОПТОВАЯ И РОЗНИЧНАЯ; РЕМОНТ АВТОТРАНСПОРТНЫХ СРЕДСТВ И МОТОЦИКЛОВ</v>
      </c>
      <c r="C138" s="441" t="str">
        <f>'В2.Расчет стоимости часа'!B140</f>
        <v xml:space="preserve">    Торговля оптовая и розничная автотранспортными средствами и мотоциклами и их ремонт</v>
      </c>
      <c r="D138" s="11" t="str">
        <f>'В2.Расчет стоимости часа'!C140</f>
        <v xml:space="preserve">        Торговля автотранспортными средствами</v>
      </c>
      <c r="E138" s="137">
        <f>'В2.Расчет стоимости часа'!H140</f>
        <v>75347.549999999988</v>
      </c>
      <c r="F138" s="137">
        <f>'В2.Расчет стоимости часа'!P140</f>
        <v>640.30591628899299</v>
      </c>
      <c r="G138" s="138" t="s">
        <v>263</v>
      </c>
    </row>
    <row r="139" spans="1:7" ht="30" x14ac:dyDescent="0.25">
      <c r="A139" s="436"/>
      <c r="B139" s="442"/>
      <c r="C139" s="442"/>
      <c r="D139" s="11" t="str">
        <f>'В2.Расчет стоимости часа'!C141</f>
        <v xml:space="preserve">        Техническое обслуживание и ремонт автотранспортных средств</v>
      </c>
      <c r="E139" s="137">
        <f>'В2.Расчет стоимости часа'!H141</f>
        <v>47477.925000000003</v>
      </c>
      <c r="F139" s="137">
        <f>'В2.Расчет стоимости часа'!P141</f>
        <v>403.69684195799914</v>
      </c>
      <c r="G139" s="138" t="s">
        <v>263</v>
      </c>
    </row>
    <row r="140" spans="1:7" ht="30" x14ac:dyDescent="0.25">
      <c r="A140" s="436"/>
      <c r="B140" s="442"/>
      <c r="C140" s="442"/>
      <c r="D140" s="11" t="str">
        <f>'В2.Расчет стоимости часа'!C142</f>
        <v xml:space="preserve">        Торговля автомобильными деталями, узлами и принадлежностями</v>
      </c>
      <c r="E140" s="137">
        <f>'В2.Расчет стоимости часа'!H142</f>
        <v>48308.474999999999</v>
      </c>
      <c r="F140" s="137">
        <f>'В2.Расчет стоимости часа'!P142</f>
        <v>410.51565283032534</v>
      </c>
      <c r="G140" s="138" t="s">
        <v>263</v>
      </c>
    </row>
    <row r="141" spans="1:7" ht="45" x14ac:dyDescent="0.25">
      <c r="A141" s="436"/>
      <c r="B141" s="442"/>
      <c r="C141" s="443"/>
      <c r="D141" s="11" t="str">
        <f>'В2.Расчет стоимости часа'!C143</f>
        <v xml:space="preserve">        Торговля мотоциклами, их деталями, узлами и принадлежностями; техническое обслуживание и ремонт мотоциклов</v>
      </c>
      <c r="E141" s="137">
        <f>'В2.Расчет стоимости часа'!H143</f>
        <v>43876.15</v>
      </c>
      <c r="F141" s="137">
        <f>'В2.Расчет стоимости часа'!P143</f>
        <v>372.34619498663102</v>
      </c>
      <c r="G141" s="138" t="s">
        <v>263</v>
      </c>
    </row>
    <row r="142" spans="1:7" ht="30" x14ac:dyDescent="0.25">
      <c r="A142" s="436"/>
      <c r="B142" s="442"/>
      <c r="C142" s="441" t="str">
        <f>'В2.Расчет стоимости часа'!B144</f>
        <v xml:space="preserve">    Торговля оптовая, кроме оптовой торговли автотранспортными средствами и мотоциклами</v>
      </c>
      <c r="D142" s="11" t="str">
        <f>'В2.Расчет стоимости часа'!C144</f>
        <v xml:space="preserve">        Торговля оптовая за вознаграждение или на договорной основе</v>
      </c>
      <c r="E142" s="137">
        <f>'В2.Расчет стоимости часа'!H144</f>
        <v>69708.324999999997</v>
      </c>
      <c r="F142" s="137">
        <f>'В2.Расчет стоимости часа'!P144</f>
        <v>585.42355964962132</v>
      </c>
      <c r="G142" s="138" t="s">
        <v>263</v>
      </c>
    </row>
    <row r="143" spans="1:7" ht="45" x14ac:dyDescent="0.25">
      <c r="A143" s="436"/>
      <c r="B143" s="442"/>
      <c r="C143" s="442"/>
      <c r="D143" s="11" t="str">
        <f>'В2.Расчет стоимости часа'!C145</f>
        <v xml:space="preserve">        Торговля оптовая сельскохозяйственным сырьем и живыми животными</v>
      </c>
      <c r="E143" s="137">
        <f>'В2.Расчет стоимости часа'!H145</f>
        <v>64223.074999999997</v>
      </c>
      <c r="F143" s="137">
        <f>'В2.Расчет стоимости часа'!P145</f>
        <v>544.3097072315062</v>
      </c>
      <c r="G143" s="138" t="s">
        <v>263</v>
      </c>
    </row>
    <row r="144" spans="1:7" ht="45" x14ac:dyDescent="0.25">
      <c r="A144" s="436"/>
      <c r="B144" s="442"/>
      <c r="C144" s="442"/>
      <c r="D144" s="11" t="str">
        <f>'В2.Расчет стоимости часа'!C146</f>
        <v xml:space="preserve">        Торговля оптовая пищевыми продуктами, напитками и табачными изделиями</v>
      </c>
      <c r="E144" s="137">
        <f>'В2.Расчет стоимости часа'!H146</f>
        <v>60173.125</v>
      </c>
      <c r="F144" s="137">
        <f>'В2.Расчет стоимости часа'!P146</f>
        <v>511.62724681483957</v>
      </c>
      <c r="G144" s="138" t="s">
        <v>263</v>
      </c>
    </row>
    <row r="145" spans="1:7" ht="45" x14ac:dyDescent="0.25">
      <c r="A145" s="436"/>
      <c r="B145" s="442"/>
      <c r="C145" s="442"/>
      <c r="D145" s="11" t="str">
        <f>'В2.Расчет стоимости часа'!C147</f>
        <v xml:space="preserve">        Торговля оптовая непродовольственными потребительскими товарами</v>
      </c>
      <c r="E145" s="137">
        <f>'В2.Расчет стоимости часа'!H147</f>
        <v>83142.875</v>
      </c>
      <c r="F145" s="137">
        <f>'В2.Расчет стоимости часа'!P147</f>
        <v>702.98651412266042</v>
      </c>
      <c r="G145" s="138" t="s">
        <v>263</v>
      </c>
    </row>
    <row r="146" spans="1:7" ht="30" x14ac:dyDescent="0.25">
      <c r="A146" s="436"/>
      <c r="B146" s="442"/>
      <c r="C146" s="442"/>
      <c r="D146" s="11" t="str">
        <f>'В2.Расчет стоимости часа'!C148</f>
        <v xml:space="preserve">        Торговля оптовая информационным и коммуникационным оборудованием</v>
      </c>
      <c r="E146" s="137">
        <f>'В2.Расчет стоимости часа'!H148</f>
        <v>118527.22500000001</v>
      </c>
      <c r="F146" s="137">
        <f>'В2.Расчет стоимости часа'!P148</f>
        <v>1011.2168805041223</v>
      </c>
      <c r="G146" s="138" t="s">
        <v>263</v>
      </c>
    </row>
    <row r="147" spans="1:7" ht="30" x14ac:dyDescent="0.25">
      <c r="A147" s="436"/>
      <c r="B147" s="442"/>
      <c r="C147" s="442"/>
      <c r="D147" s="11" t="str">
        <f>'В2.Расчет стоимости часа'!C149</f>
        <v xml:space="preserve">        Торговля оптовая прочими машинами, оборудованием и принадлежностями</v>
      </c>
      <c r="E147" s="137">
        <f>'В2.Расчет стоимости часа'!H149</f>
        <v>87146.875</v>
      </c>
      <c r="F147" s="137">
        <f>'В2.Расчет стоимости часа'!P149</f>
        <v>739.0252454367203</v>
      </c>
      <c r="G147" s="138" t="s">
        <v>263</v>
      </c>
    </row>
    <row r="148" spans="1:7" ht="30" x14ac:dyDescent="0.25">
      <c r="A148" s="436"/>
      <c r="B148" s="442"/>
      <c r="C148" s="442"/>
      <c r="D148" s="11" t="str">
        <f>'В2.Расчет стоимости часа'!C150</f>
        <v xml:space="preserve">        Торговля оптовая специализированная прочая</v>
      </c>
      <c r="E148" s="137">
        <f>'В2.Расчет стоимости часа'!H150</f>
        <v>72837.850000000006</v>
      </c>
      <c r="F148" s="137">
        <f>'В2.Расчет стоимости часа'!P150</f>
        <v>612.43136804534311</v>
      </c>
      <c r="G148" s="138" t="s">
        <v>263</v>
      </c>
    </row>
    <row r="149" spans="1:7" ht="30" x14ac:dyDescent="0.25">
      <c r="A149" s="436"/>
      <c r="B149" s="442"/>
      <c r="C149" s="443"/>
      <c r="D149" s="11" t="str">
        <f>'В2.Расчет стоимости часа'!C151</f>
        <v xml:space="preserve">        Торговля оптовая неспециализированная</v>
      </c>
      <c r="E149" s="137">
        <f>'В2.Расчет стоимости часа'!H151</f>
        <v>71036.899999999994</v>
      </c>
      <c r="F149" s="137">
        <f>'В2.Расчет стоимости часа'!P151</f>
        <v>598.92101271501781</v>
      </c>
      <c r="G149" s="138" t="s">
        <v>263</v>
      </c>
    </row>
    <row r="150" spans="1:7" ht="30" x14ac:dyDescent="0.25">
      <c r="A150" s="436"/>
      <c r="B150" s="442"/>
      <c r="C150" s="441" t="str">
        <f>'В2.Расчет стоимости часа'!B152</f>
        <v xml:space="preserve">    Торговля розничная, кроме торговли автотранспортными средствами и мотоциклами</v>
      </c>
      <c r="D150" s="11" t="str">
        <f>'В2.Расчет стоимости часа'!C152</f>
        <v xml:space="preserve">        Торговля розничная в неспециализированных магазинах</v>
      </c>
      <c r="E150" s="137">
        <f>'В2.Расчет стоимости часа'!H152</f>
        <v>45831.874999999993</v>
      </c>
      <c r="F150" s="137">
        <f>'В2.Расчет стоимости часа'!P152</f>
        <v>390.57852386586455</v>
      </c>
      <c r="G150" s="138" t="s">
        <v>263</v>
      </c>
    </row>
    <row r="151" spans="1:7" ht="60" x14ac:dyDescent="0.25">
      <c r="A151" s="436"/>
      <c r="B151" s="442"/>
      <c r="C151" s="442"/>
      <c r="D151" s="11" t="str">
        <f>'В2.Расчет стоимости часа'!C153</f>
        <v xml:space="preserve">        Торговля розничная пищевыми продуктами, напитками и табачными изделиями в специализированных магазинах</v>
      </c>
      <c r="E151" s="137">
        <f>'В2.Расчет стоимости часа'!H153</f>
        <v>38601.300000000003</v>
      </c>
      <c r="F151" s="137">
        <f>'В2.Расчет стоимости часа'!P153</f>
        <v>329.78413301637698</v>
      </c>
      <c r="G151" s="138" t="s">
        <v>263</v>
      </c>
    </row>
    <row r="152" spans="1:7" ht="30" x14ac:dyDescent="0.25">
      <c r="A152" s="436"/>
      <c r="B152" s="442"/>
      <c r="C152" s="442"/>
      <c r="D152" s="11" t="str">
        <f>'В2.Расчет стоимости часа'!C154</f>
        <v xml:space="preserve">        Торговля розничная моторным топливом в специализированных магазинах</v>
      </c>
      <c r="E152" s="137">
        <f>'В2.Расчет стоимости часа'!H154</f>
        <v>47834.824999999997</v>
      </c>
      <c r="F152" s="137">
        <f>'В2.Расчет стоимости часа'!P154</f>
        <v>407.94628809491985</v>
      </c>
      <c r="G152" s="138" t="s">
        <v>263</v>
      </c>
    </row>
    <row r="153" spans="1:7" ht="45" x14ac:dyDescent="0.25">
      <c r="A153" s="436"/>
      <c r="B153" s="442"/>
      <c r="C153" s="442"/>
      <c r="D153" s="11" t="str">
        <f>'В2.Расчет стоимости часа'!C155</f>
        <v xml:space="preserve">        Торговля розничная информационным и коммуникационным оборудованием в специализированных магазинах</v>
      </c>
      <c r="E153" s="137">
        <f>'В2.Расчет стоимости часа'!H155</f>
        <v>59146.600000000006</v>
      </c>
      <c r="F153" s="137">
        <f>'В2.Расчет стоимости часа'!P155</f>
        <v>505.48720510082438</v>
      </c>
      <c r="G153" s="138" t="s">
        <v>263</v>
      </c>
    </row>
    <row r="154" spans="1:7" ht="45" x14ac:dyDescent="0.25">
      <c r="A154" s="436"/>
      <c r="B154" s="442"/>
      <c r="C154" s="442"/>
      <c r="D154" s="11" t="str">
        <f>'В2.Расчет стоимости часа'!C156</f>
        <v xml:space="preserve">        Торговля розничная прочими бытовыми изделиями в специализированных магазинах</v>
      </c>
      <c r="E154" s="137">
        <f>'В2.Расчет стоимости часа'!H156</f>
        <v>55927.074999999997</v>
      </c>
      <c r="F154" s="137">
        <f>'В2.Расчет стоимости часа'!P156</f>
        <v>477.88336290663995</v>
      </c>
      <c r="G154" s="138" t="s">
        <v>263</v>
      </c>
    </row>
    <row r="155" spans="1:7" ht="45" x14ac:dyDescent="0.25">
      <c r="A155" s="436"/>
      <c r="B155" s="442"/>
      <c r="C155" s="442"/>
      <c r="D155" s="11" t="str">
        <f>'В2.Расчет стоимости часа'!C157</f>
        <v xml:space="preserve">        Торговля розничная товарами культурно-развлекательного назначения в специализированных магазинах</v>
      </c>
      <c r="E155" s="137">
        <f>'В2.Расчет стоимости часа'!H157</f>
        <v>32165.35</v>
      </c>
      <c r="F155" s="137">
        <f>'В2.Расчет стоимости часа'!P157</f>
        <v>274.49459567680481</v>
      </c>
      <c r="G155" s="138" t="s">
        <v>263</v>
      </c>
    </row>
    <row r="156" spans="1:7" ht="30" x14ac:dyDescent="0.25">
      <c r="A156" s="436"/>
      <c r="B156" s="442"/>
      <c r="C156" s="442"/>
      <c r="D156" s="11" t="str">
        <f>'В2.Расчет стоимости часа'!C158</f>
        <v xml:space="preserve">        Торговля розничная прочими товарами в специализированных магазинах</v>
      </c>
      <c r="E156" s="137">
        <f>'В2.Расчет стоимости часа'!H158</f>
        <v>56152.049999999996</v>
      </c>
      <c r="F156" s="137">
        <f>'В2.Расчет стоимости часа'!P158</f>
        <v>476.89689495265156</v>
      </c>
      <c r="G156" s="138" t="s">
        <v>263</v>
      </c>
    </row>
    <row r="157" spans="1:7" ht="30" x14ac:dyDescent="0.25">
      <c r="A157" s="436"/>
      <c r="B157" s="442"/>
      <c r="C157" s="442"/>
      <c r="D157" s="11" t="str">
        <f>'В2.Расчет стоимости часа'!C159</f>
        <v xml:space="preserve">        Торговля розничная в нестационарных торговых объектах и на рынках</v>
      </c>
      <c r="E157" s="137">
        <f>'В2.Расчет стоимости часа'!H159</f>
        <v>50026.95</v>
      </c>
      <c r="F157" s="137">
        <f>'В2.Расчет стоимости часа'!P159</f>
        <v>424.97785934436274</v>
      </c>
      <c r="G157" s="138" t="s">
        <v>263</v>
      </c>
    </row>
    <row r="158" spans="1:7" ht="30" x14ac:dyDescent="0.25">
      <c r="A158" s="437"/>
      <c r="B158" s="443"/>
      <c r="C158" s="443"/>
      <c r="D158" s="11" t="str">
        <f>'В2.Расчет стоимости часа'!C160</f>
        <v xml:space="preserve">        Торговля розничная вне магазинов, палаток, рынков</v>
      </c>
      <c r="E158" s="137">
        <f>'В2.Расчет стоимости часа'!H160</f>
        <v>67887.5</v>
      </c>
      <c r="F158" s="137">
        <f>'В2.Расчет стоимости часа'!P160</f>
        <v>577.58435426582002</v>
      </c>
      <c r="G158" s="138" t="s">
        <v>263</v>
      </c>
    </row>
    <row r="159" spans="1:7" ht="45" x14ac:dyDescent="0.25">
      <c r="A159" s="435">
        <v>9</v>
      </c>
      <c r="B159" s="441" t="str">
        <f>'В2.Расчет стоимости часа'!A161</f>
        <v>ТРАНСПОРТИРОВКА И ХРАНЕНИЕ</v>
      </c>
      <c r="C159" s="441" t="str">
        <f>'В2.Расчет стоимости часа'!B161</f>
        <v xml:space="preserve">    Деятельность сухопутного и трубопроводного транспорта</v>
      </c>
      <c r="D159" s="11" t="str">
        <f>'В2.Расчет стоимости часа'!C161</f>
        <v xml:space="preserve">        Деятельность железнодорожного транспорта: междугородные и международные пассажирские перевозки</v>
      </c>
      <c r="E159" s="137">
        <f>'В2.Расчет стоимости часа'!H161</f>
        <v>78046.649999999994</v>
      </c>
      <c r="F159" s="137">
        <f>'В2.Расчет стоимости часа'!P161</f>
        <v>668.04580450089134</v>
      </c>
      <c r="G159" s="138" t="s">
        <v>263</v>
      </c>
    </row>
    <row r="160" spans="1:7" ht="30" x14ac:dyDescent="0.25">
      <c r="A160" s="436"/>
      <c r="B160" s="442"/>
      <c r="C160" s="442"/>
      <c r="D160" s="11" t="str">
        <f>'В2.Расчет стоимости часа'!C162</f>
        <v xml:space="preserve">        Деятельность железнодорожного транспорта: грузовые перевозки</v>
      </c>
      <c r="E160" s="137">
        <f>'В2.Расчет стоимости часа'!H162</f>
        <v>91363.15</v>
      </c>
      <c r="F160" s="137">
        <f>'В2.Расчет стоимости часа'!P162</f>
        <v>779.48568791221044</v>
      </c>
      <c r="G160" s="138" t="s">
        <v>263</v>
      </c>
    </row>
    <row r="161" spans="1:7" ht="30" x14ac:dyDescent="0.25">
      <c r="A161" s="436"/>
      <c r="B161" s="442"/>
      <c r="C161" s="442"/>
      <c r="D161" s="11" t="str">
        <f>'В2.Расчет стоимости часа'!C163</f>
        <v xml:space="preserve">        Деятельность прочего сухопутного пассажирского транспорта</v>
      </c>
      <c r="E161" s="137">
        <f>'В2.Расчет стоимости часа'!H163</f>
        <v>59281.574999999997</v>
      </c>
      <c r="F161" s="137">
        <f>'В2.Расчет стоимости часа'!P163</f>
        <v>505.16796464182261</v>
      </c>
      <c r="G161" s="138" t="s">
        <v>263</v>
      </c>
    </row>
    <row r="162" spans="1:7" ht="45" x14ac:dyDescent="0.25">
      <c r="A162" s="436"/>
      <c r="B162" s="442"/>
      <c r="C162" s="442"/>
      <c r="D162" s="11" t="str">
        <f>'В2.Расчет стоимости часа'!C164</f>
        <v xml:space="preserve">        Деятельность автомобильного грузового транспорта и услуги по перевозкам</v>
      </c>
      <c r="E162" s="137">
        <f>'В2.Расчет стоимости часа'!H164</f>
        <v>54051.324999999997</v>
      </c>
      <c r="F162" s="137">
        <f>'В2.Расчет стоимости часа'!P164</f>
        <v>460.16026323250895</v>
      </c>
      <c r="G162" s="138" t="s">
        <v>263</v>
      </c>
    </row>
    <row r="163" spans="1:7" ht="30" x14ac:dyDescent="0.25">
      <c r="A163" s="436"/>
      <c r="B163" s="442"/>
      <c r="C163" s="443"/>
      <c r="D163" s="11" t="str">
        <f>'В2.Расчет стоимости часа'!C165</f>
        <v xml:space="preserve">        Деятельность трубопроводного транспорта</v>
      </c>
      <c r="E163" s="137">
        <f>'В2.Расчет стоимости часа'!H165</f>
        <v>110837.8</v>
      </c>
      <c r="F163" s="137">
        <f>'В2.Расчет стоимости часа'!P165</f>
        <v>943.92419075590476</v>
      </c>
      <c r="G163" s="138" t="s">
        <v>263</v>
      </c>
    </row>
    <row r="164" spans="1:7" ht="30" x14ac:dyDescent="0.25">
      <c r="A164" s="436"/>
      <c r="B164" s="442"/>
      <c r="C164" s="441" t="str">
        <f>'В2.Расчет стоимости часа'!B166</f>
        <v xml:space="preserve">    Деятельность водного транспорта</v>
      </c>
      <c r="D164" s="11" t="str">
        <f>'В2.Расчет стоимости часа'!C166</f>
        <v xml:space="preserve">        Деятельность морского пассажирского транспорта</v>
      </c>
      <c r="E164" s="137">
        <f>'В2.Расчет стоимости часа'!H166</f>
        <v>67680.900000000009</v>
      </c>
      <c r="F164" s="137">
        <f>'В2.Расчет стоимости часа'!P166</f>
        <v>578.46036158032541</v>
      </c>
      <c r="G164" s="138" t="s">
        <v>263</v>
      </c>
    </row>
    <row r="165" spans="1:7" ht="30" x14ac:dyDescent="0.25">
      <c r="A165" s="436"/>
      <c r="B165" s="442"/>
      <c r="C165" s="442"/>
      <c r="D165" s="11" t="str">
        <f>'В2.Расчет стоимости часа'!C167</f>
        <v xml:space="preserve">        Деятельность морского грузового транспорта</v>
      </c>
      <c r="E165" s="137">
        <f>'В2.Расчет стоимости часа'!H167</f>
        <v>170544.55</v>
      </c>
      <c r="F165" s="137">
        <f>'В2.Расчет стоимости часа'!P167</f>
        <v>1461.8406145655081</v>
      </c>
      <c r="G165" s="138" t="s">
        <v>263</v>
      </c>
    </row>
    <row r="166" spans="1:7" ht="30" x14ac:dyDescent="0.25">
      <c r="A166" s="436"/>
      <c r="B166" s="442"/>
      <c r="C166" s="442"/>
      <c r="D166" s="11" t="str">
        <f>'В2.Расчет стоимости часа'!C168</f>
        <v xml:space="preserve">        Деятельность внутреннего водного пассажирского транспорта</v>
      </c>
      <c r="E166" s="137">
        <f>'В2.Расчет стоимости часа'!H168</f>
        <v>36715.474999999999</v>
      </c>
      <c r="F166" s="137">
        <f>'В2.Расчет стоимости часа'!P168</f>
        <v>311.46480118315509</v>
      </c>
      <c r="G166" s="138" t="s">
        <v>263</v>
      </c>
    </row>
    <row r="167" spans="1:7" ht="30" x14ac:dyDescent="0.25">
      <c r="A167" s="436"/>
      <c r="B167" s="442"/>
      <c r="C167" s="443"/>
      <c r="D167" s="11" t="str">
        <f>'В2.Расчет стоимости часа'!C169</f>
        <v xml:space="preserve">        Деятельность внутреннего водного грузового транспорта</v>
      </c>
      <c r="E167" s="137">
        <f>'В2.Расчет стоимости часа'!H169</f>
        <v>62875.625</v>
      </c>
      <c r="F167" s="137">
        <f>'В2.Расчет стоимости часа'!P169</f>
        <v>532.6174064767157</v>
      </c>
      <c r="G167" s="138" t="s">
        <v>263</v>
      </c>
    </row>
    <row r="168" spans="1:7" ht="30" x14ac:dyDescent="0.25">
      <c r="A168" s="436"/>
      <c r="B168" s="442"/>
      <c r="C168" s="441" t="str">
        <f>'В2.Расчет стоимости часа'!B170</f>
        <v xml:space="preserve">    Деятельность воздушного и космического транспорта</v>
      </c>
      <c r="D168" s="11" t="str">
        <f>'В2.Расчет стоимости часа'!C170</f>
        <v xml:space="preserve">        Деятельность пассажирского воздушного транспорта</v>
      </c>
      <c r="E168" s="137">
        <f>'В2.Расчет стоимости часа'!H170</f>
        <v>150569.32500000001</v>
      </c>
      <c r="F168" s="137">
        <f>'В2.Расчет стоимости часа'!P170</f>
        <v>1280.0555340034539</v>
      </c>
      <c r="G168" s="138" t="s">
        <v>263</v>
      </c>
    </row>
    <row r="169" spans="1:7" ht="30" x14ac:dyDescent="0.25">
      <c r="A169" s="436"/>
      <c r="B169" s="442"/>
      <c r="C169" s="443"/>
      <c r="D169" s="11" t="str">
        <f>'В2.Расчет стоимости часа'!C171</f>
        <v xml:space="preserve">        Деятельность грузового воздушного транспорта и космического транспорта</v>
      </c>
      <c r="E169" s="137">
        <f>'В2.Расчет стоимости часа'!H171</f>
        <v>118751.8</v>
      </c>
      <c r="F169" s="137">
        <f>'В2.Расчет стоимости часа'!P171</f>
        <v>1011.5367067374109</v>
      </c>
      <c r="G169" s="138" t="s">
        <v>263</v>
      </c>
    </row>
    <row r="170" spans="1:7" ht="30" x14ac:dyDescent="0.25">
      <c r="A170" s="436"/>
      <c r="B170" s="442"/>
      <c r="C170" s="441" t="str">
        <f>'В2.Расчет стоимости часа'!B172</f>
        <v xml:space="preserve">    Складское хозяйство и вспомогательная транспортная деятельность</v>
      </c>
      <c r="D170" s="11" t="str">
        <f>'В2.Расчет стоимости часа'!C172</f>
        <v xml:space="preserve">        Деятельность по складированию и хранению</v>
      </c>
      <c r="E170" s="137">
        <f>'В2.Расчет стоимости часа'!H172</f>
        <v>57317.25</v>
      </c>
      <c r="F170" s="137">
        <f>'В2.Расчет стоимости часа'!P172</f>
        <v>488.08553788547238</v>
      </c>
      <c r="G170" s="138" t="s">
        <v>263</v>
      </c>
    </row>
    <row r="171" spans="1:7" ht="30" x14ac:dyDescent="0.25">
      <c r="A171" s="436"/>
      <c r="B171" s="442"/>
      <c r="C171" s="443"/>
      <c r="D171" s="11" t="str">
        <f>'В2.Расчет стоимости часа'!C173</f>
        <v xml:space="preserve">        Деятельность транспортная вспомогательная</v>
      </c>
      <c r="E171" s="137">
        <f>'В2.Расчет стоимости часа'!H173</f>
        <v>70823.5</v>
      </c>
      <c r="F171" s="137">
        <f>'В2.Расчет стоимости часа'!P173</f>
        <v>602.61846751949645</v>
      </c>
      <c r="G171" s="138" t="s">
        <v>263</v>
      </c>
    </row>
    <row r="172" spans="1:7" ht="30" x14ac:dyDescent="0.25">
      <c r="A172" s="436"/>
      <c r="B172" s="442"/>
      <c r="C172" s="441" t="str">
        <f>'В2.Расчет стоимости часа'!B174</f>
        <v xml:space="preserve">    Деятельность почтовой связи и курьерская деятельность</v>
      </c>
      <c r="D172" s="11" t="str">
        <f>'В2.Расчет стоимости часа'!C174</f>
        <v xml:space="preserve">        Деятельность почтовой связи общего пользования</v>
      </c>
      <c r="E172" s="137">
        <f>'В2.Расчет стоимости часа'!H174</f>
        <v>36258.575000000004</v>
      </c>
      <c r="F172" s="137">
        <f>'В2.Расчет стоимости часа'!P174</f>
        <v>310.86563918560608</v>
      </c>
      <c r="G172" s="138" t="s">
        <v>263</v>
      </c>
    </row>
    <row r="173" spans="1:7" ht="30" x14ac:dyDescent="0.25">
      <c r="A173" s="437"/>
      <c r="B173" s="443"/>
      <c r="C173" s="443"/>
      <c r="D173" s="11" t="str">
        <f>'В2.Расчет стоимости часа'!C175</f>
        <v xml:space="preserve">        Деятельность почтовой связи прочая и курьерская деятельность</v>
      </c>
      <c r="E173" s="137">
        <f>'В2.Расчет стоимости часа'!H175</f>
        <v>56761.3</v>
      </c>
      <c r="F173" s="137">
        <f>'В2.Расчет стоимости часа'!P175</f>
        <v>483.65209854612294</v>
      </c>
      <c r="G173" s="138" t="s">
        <v>263</v>
      </c>
    </row>
    <row r="174" spans="1:7" ht="30" x14ac:dyDescent="0.25">
      <c r="A174" s="435">
        <v>10</v>
      </c>
      <c r="B174" s="441" t="str">
        <f>'В2.Расчет стоимости часа'!A176</f>
        <v>ДЕЯТЕЛЬНОСТЬ ГОСТИНИЦ И ПРЕДПРИЯТИЙ ОБЩЕСТВЕННОГО ПИТАНИЯ</v>
      </c>
      <c r="C174" s="441" t="str">
        <f>'В2.Расчет стоимости часа'!B176</f>
        <v xml:space="preserve">    Деятельность по предоставлению мест для временного проживания</v>
      </c>
      <c r="D174" s="11" t="str">
        <f>'В2.Расчет стоимости часа'!C176</f>
        <v xml:space="preserve">        Деятельность гостиниц и прочих мест для временного проживания</v>
      </c>
      <c r="E174" s="137">
        <f>'В2.Расчет стоимости часа'!H176</f>
        <v>53831.875</v>
      </c>
      <c r="F174" s="137">
        <f>'В2.Расчет стоимости часа'!P176</f>
        <v>459.21141066677814</v>
      </c>
      <c r="G174" s="138" t="s">
        <v>263</v>
      </c>
    </row>
    <row r="175" spans="1:7" ht="30" x14ac:dyDescent="0.25">
      <c r="A175" s="436"/>
      <c r="B175" s="442"/>
      <c r="C175" s="442"/>
      <c r="D175" s="11" t="str">
        <f>'В2.Расчет стоимости часа'!C177</f>
        <v xml:space="preserve">        Деятельность по предоставлению мест для краткосрочного проживания</v>
      </c>
      <c r="E175" s="137">
        <f>'В2.Расчет стоимости часа'!H177</f>
        <v>43750.799999999996</v>
      </c>
      <c r="F175" s="137">
        <f>'В2.Расчет стоимости часа'!P177</f>
        <v>375.18095475935826</v>
      </c>
      <c r="G175" s="138" t="s">
        <v>263</v>
      </c>
    </row>
    <row r="176" spans="1:7" ht="60" x14ac:dyDescent="0.25">
      <c r="A176" s="436"/>
      <c r="B176" s="442"/>
      <c r="C176" s="442"/>
      <c r="D176" s="11" t="str">
        <f>'В2.Расчет стоимости часа'!C178</f>
        <v xml:space="preserve">        Деятельность по предоставлению мест для временного проживания в кемпингах, жилых автофургонах и туристических автоприцепах</v>
      </c>
      <c r="E176" s="137">
        <f>'В2.Расчет стоимости часа'!H178</f>
        <v>25790.199999999997</v>
      </c>
      <c r="F176" s="137">
        <f>'В2.Расчет стоимости часа'!P178</f>
        <v>220.71473514594476</v>
      </c>
      <c r="G176" s="138" t="s">
        <v>263</v>
      </c>
    </row>
    <row r="177" spans="1:7" ht="30" x14ac:dyDescent="0.25">
      <c r="A177" s="436"/>
      <c r="B177" s="442"/>
      <c r="C177" s="443"/>
      <c r="D177" s="11" t="str">
        <f>'В2.Расчет стоимости часа'!C179</f>
        <v xml:space="preserve">        Деятельность по предоставлению прочих мест для временного проживания</v>
      </c>
      <c r="E177" s="137">
        <f>'В2.Расчет стоимости часа'!H179</f>
        <v>44563.975000000006</v>
      </c>
      <c r="F177" s="137">
        <f>'В2.Расчет стоимости часа'!P179</f>
        <v>379.87042593415777</v>
      </c>
      <c r="G177" s="138" t="s">
        <v>263</v>
      </c>
    </row>
    <row r="178" spans="1:7" ht="30" x14ac:dyDescent="0.25">
      <c r="A178" s="436"/>
      <c r="B178" s="442"/>
      <c r="C178" s="441" t="str">
        <f>'В2.Расчет стоимости часа'!B180</f>
        <v xml:space="preserve">    Деятельность по предоставлению продуктов питания и напитков</v>
      </c>
      <c r="D178" s="11" t="str">
        <f>'В2.Расчет стоимости часа'!C180</f>
        <v xml:space="preserve">        Деятельность ресторанов и услуги по доставке продуктов питания</v>
      </c>
      <c r="E178" s="137">
        <f>'В2.Расчет стоимости часа'!H180</f>
        <v>35871.25</v>
      </c>
      <c r="F178" s="137">
        <f>'В2.Расчет стоимости часа'!P180</f>
        <v>306.61979835282978</v>
      </c>
      <c r="G178" s="138" t="s">
        <v>263</v>
      </c>
    </row>
    <row r="179" spans="1:7" ht="60" x14ac:dyDescent="0.25">
      <c r="A179" s="436"/>
      <c r="B179" s="442"/>
      <c r="C179" s="442"/>
      <c r="D179" s="11" t="str">
        <f>'В2.Расчет стоимости часа'!C181</f>
        <v xml:space="preserve">        Деятельность предприятий общественного питания по обслуживанию торжественных мероприятий и прочим видам организации питания</v>
      </c>
      <c r="E179" s="137">
        <f>'В2.Расчет стоимости часа'!H181</f>
        <v>40383.525000000001</v>
      </c>
      <c r="F179" s="137">
        <f>'В2.Расчет стоимости часа'!P181</f>
        <v>344.17849427250451</v>
      </c>
      <c r="G179" s="138" t="s">
        <v>263</v>
      </c>
    </row>
    <row r="180" spans="1:7" x14ac:dyDescent="0.25">
      <c r="A180" s="437"/>
      <c r="B180" s="443"/>
      <c r="C180" s="443"/>
      <c r="D180" s="11" t="str">
        <f>'В2.Расчет стоимости часа'!C182</f>
        <v xml:space="preserve">        Подача напитков</v>
      </c>
      <c r="E180" s="137">
        <f>'В2.Расчет стоимости часа'!H182</f>
        <v>26667.174999999999</v>
      </c>
      <c r="F180" s="137">
        <f>'В2.Расчет стоимости часа'!P182</f>
        <v>227.29495045677362</v>
      </c>
      <c r="G180" s="138" t="s">
        <v>263</v>
      </c>
    </row>
    <row r="181" spans="1:7" ht="45" x14ac:dyDescent="0.25">
      <c r="A181" s="435">
        <v>11</v>
      </c>
      <c r="B181" s="441" t="str">
        <f>'В2.Расчет стоимости часа'!A183</f>
        <v>ДЕЯТЕЛЬНОСТЬ В ОБЛАСТИ ИНФОРМАЦИИ И СВЯЗИ</v>
      </c>
      <c r="C181" s="441" t="str">
        <f>'В2.Расчет стоимости часа'!B183</f>
        <v xml:space="preserve">    Деятельность издательская</v>
      </c>
      <c r="D181" s="11" t="str">
        <f>'В2.Расчет стоимости часа'!C183</f>
        <v xml:space="preserve">        Издание книг, периодических публикаций и другие виды издательской деятельности</v>
      </c>
      <c r="E181" s="137">
        <f>'В2.Расчет стоимости часа'!H183</f>
        <v>58051.425000000003</v>
      </c>
      <c r="F181" s="137">
        <f>'В2.Расчет стоимости часа'!P183</f>
        <v>493.91342065118084</v>
      </c>
      <c r="G181" s="138" t="s">
        <v>263</v>
      </c>
    </row>
    <row r="182" spans="1:7" x14ac:dyDescent="0.25">
      <c r="A182" s="436"/>
      <c r="B182" s="442"/>
      <c r="C182" s="443"/>
      <c r="D182" s="11" t="str">
        <f>'В2.Расчет стоимости часа'!C184</f>
        <v xml:space="preserve">        Издание программного обеспечения</v>
      </c>
      <c r="E182" s="137">
        <f>'В2.Расчет стоимости часа'!H184</f>
        <v>87433.55</v>
      </c>
      <c r="F182" s="137">
        <f>'В2.Расчет стоимости часа'!P184</f>
        <v>742.14205335282975</v>
      </c>
      <c r="G182" s="138" t="s">
        <v>263</v>
      </c>
    </row>
    <row r="183" spans="1:7" ht="30" x14ac:dyDescent="0.25">
      <c r="A183" s="436"/>
      <c r="B183" s="442"/>
      <c r="C183" s="441" t="str">
        <f>'В2.Расчет стоимости часа'!B185</f>
        <v xml:space="preserve">    Производство кинофильмов, видеофильмов и телевизионных программ, издание звукозаписей и нот</v>
      </c>
      <c r="D183" s="11" t="str">
        <f>'В2.Расчет стоимости часа'!C185</f>
        <v xml:space="preserve">        Производство кинофильмов, видеофильмов и телевизионных программ</v>
      </c>
      <c r="E183" s="137">
        <f>'В2.Расчет стоимости часа'!H185</f>
        <v>82647.350000000006</v>
      </c>
      <c r="F183" s="137">
        <f>'В2.Расчет стоимости часа'!P185</f>
        <v>701.55557898897064</v>
      </c>
      <c r="G183" s="138" t="s">
        <v>263</v>
      </c>
    </row>
    <row r="184" spans="1:7" ht="30" x14ac:dyDescent="0.25">
      <c r="A184" s="436"/>
      <c r="B184" s="442"/>
      <c r="C184" s="443"/>
      <c r="D184" s="11" t="str">
        <f>'В2.Расчет стоимости часа'!C186</f>
        <v xml:space="preserve">        Деятельность в области звукозаписи и издания музыкальных произведений</v>
      </c>
      <c r="E184" s="137">
        <f>'В2.Расчет стоимости часа'!H186</f>
        <v>94263.475000000006</v>
      </c>
      <c r="F184" s="137">
        <f>'В2.Расчет стоимости часа'!P186</f>
        <v>798.44986633522717</v>
      </c>
      <c r="G184" s="138" t="s">
        <v>263</v>
      </c>
    </row>
    <row r="185" spans="1:7" x14ac:dyDescent="0.25">
      <c r="A185" s="436"/>
      <c r="B185" s="442"/>
      <c r="C185" s="441" t="str">
        <f>'В2.Расчет стоимости часа'!B187</f>
        <v xml:space="preserve">    Деятельность в области телевизионного и радиовещания</v>
      </c>
      <c r="D185" s="11" t="str">
        <f>'В2.Расчет стоимости часа'!C187</f>
        <v xml:space="preserve">        Деятельность в области радиовещания</v>
      </c>
      <c r="E185" s="137">
        <f>'В2.Расчет стоимости часа'!H187</f>
        <v>62974.074999999997</v>
      </c>
      <c r="F185" s="137">
        <f>'В2.Расчет стоимости часа'!P187</f>
        <v>535.85858904523172</v>
      </c>
      <c r="G185" s="138" t="s">
        <v>263</v>
      </c>
    </row>
    <row r="186" spans="1:7" ht="30" x14ac:dyDescent="0.25">
      <c r="A186" s="436"/>
      <c r="B186" s="442"/>
      <c r="C186" s="443"/>
      <c r="D186" s="11" t="str">
        <f>'В2.Расчет стоимости часа'!C188</f>
        <v xml:space="preserve">        Деятельность в области телевизионного вещания</v>
      </c>
      <c r="E186" s="137">
        <f>'В2.Расчет стоимости часа'!H188</f>
        <v>92726.55</v>
      </c>
      <c r="F186" s="137">
        <f>'В2.Расчет стоимости часа'!P188</f>
        <v>789.84765307486634</v>
      </c>
      <c r="G186" s="138" t="s">
        <v>263</v>
      </c>
    </row>
    <row r="187" spans="1:7" ht="30" x14ac:dyDescent="0.25">
      <c r="A187" s="436"/>
      <c r="B187" s="442"/>
      <c r="C187" s="441" t="str">
        <f>'В2.Расчет стоимости часа'!B189</f>
        <v xml:space="preserve">    Деятельность в сфере телекоммуникаций</v>
      </c>
      <c r="D187" s="11" t="str">
        <f>'В2.Расчет стоимости часа'!C189</f>
        <v xml:space="preserve">        Деятельность в области связи на базе проводных технологий</v>
      </c>
      <c r="E187" s="137">
        <f>'В2.Расчет стоимости часа'!H189</f>
        <v>82220.55</v>
      </c>
      <c r="F187" s="137">
        <f>'В2.Расчет стоимости часа'!P189</f>
        <v>693.24292655414445</v>
      </c>
      <c r="G187" s="138" t="s">
        <v>263</v>
      </c>
    </row>
    <row r="188" spans="1:7" ht="30" x14ac:dyDescent="0.25">
      <c r="A188" s="436"/>
      <c r="B188" s="442"/>
      <c r="C188" s="442"/>
      <c r="D188" s="11" t="str">
        <f>'В2.Расчет стоимости часа'!C190</f>
        <v xml:space="preserve">        Деятельность в области связи на базе беспроводных технологий</v>
      </c>
      <c r="E188" s="137">
        <f>'В2.Расчет стоимости часа'!H190</f>
        <v>123105.4</v>
      </c>
      <c r="F188" s="137">
        <f>'В2.Расчет стоимости часа'!P190</f>
        <v>1024.8490122164662</v>
      </c>
      <c r="G188" s="138" t="s">
        <v>263</v>
      </c>
    </row>
    <row r="189" spans="1:7" ht="30" x14ac:dyDescent="0.25">
      <c r="A189" s="436"/>
      <c r="B189" s="442"/>
      <c r="C189" s="442"/>
      <c r="D189" s="11" t="str">
        <f>'В2.Расчет стоимости часа'!C191</f>
        <v xml:space="preserve">        Деятельность в области спутниковой связи</v>
      </c>
      <c r="E189" s="137">
        <f>'В2.Расчет стоимости часа'!H191</f>
        <v>115880.45000000001</v>
      </c>
      <c r="F189" s="137">
        <f>'В2.Расчет стоимости часа'!P191</f>
        <v>984.35610314672454</v>
      </c>
      <c r="G189" s="138" t="s">
        <v>263</v>
      </c>
    </row>
    <row r="190" spans="1:7" ht="30" x14ac:dyDescent="0.25">
      <c r="A190" s="436"/>
      <c r="B190" s="442"/>
      <c r="C190" s="443"/>
      <c r="D190" s="11" t="str">
        <f>'В2.Расчет стоимости часа'!C192</f>
        <v xml:space="preserve">        Деятельность в области телекоммуникаций прочая</v>
      </c>
      <c r="E190" s="137">
        <f>'В2.Расчет стоимости часа'!H192</f>
        <v>106064.65</v>
      </c>
      <c r="F190" s="137">
        <f>'В2.Расчет стоимости часа'!P192</f>
        <v>900.09691869875223</v>
      </c>
      <c r="G190" s="138" t="s">
        <v>263</v>
      </c>
    </row>
    <row r="191" spans="1:7" ht="75" x14ac:dyDescent="0.25">
      <c r="A191" s="436"/>
      <c r="B191" s="442"/>
      <c r="C191" s="130" t="str">
        <f>'В2.Расчет стоимости часа'!B193</f>
        <v xml:space="preserve">    Разработка компьютерного программного обеспечения, консультационные услуги в данной области и другие сопутствующие услуги</v>
      </c>
      <c r="D191" s="11" t="str">
        <f>'В2.Расчет стоимости часа'!C193</f>
        <v xml:space="preserve">        Разработка компьютерного программного обеспечения, консультационные услуги в данной области и другие сопутствующие услуги</v>
      </c>
      <c r="E191" s="137">
        <f>'В2.Расчет стоимости часа'!H193</f>
        <v>156797.15</v>
      </c>
      <c r="F191" s="137">
        <f>'В2.Расчет стоимости часа'!P193</f>
        <v>1332.2300345298574</v>
      </c>
      <c r="G191" s="138" t="s">
        <v>263</v>
      </c>
    </row>
    <row r="192" spans="1:7" ht="75" x14ac:dyDescent="0.25">
      <c r="A192" s="436"/>
      <c r="B192" s="442"/>
      <c r="C192" s="441" t="str">
        <f>'В2.Расчет стоимости часа'!B194</f>
        <v xml:space="preserve">    Деятельность в области информационных технологий</v>
      </c>
      <c r="D192" s="11" t="str">
        <f>'В2.Расчет стоимости часа'!C194</f>
        <v xml:space="preserve">        Деятельность по обработке данных, предоставление услуг по размещению информации, деятельность порталов в информационно-коммуникационной сети Интернет</v>
      </c>
      <c r="E192" s="137">
        <f>'В2.Расчет стоимости часа'!H194</f>
        <v>114887.69999999998</v>
      </c>
      <c r="F192" s="137">
        <f>'В2.Расчет стоимости часа'!P194</f>
        <v>978.3801883528298</v>
      </c>
      <c r="G192" s="138" t="s">
        <v>263</v>
      </c>
    </row>
    <row r="193" spans="1:7" ht="30" x14ac:dyDescent="0.25">
      <c r="A193" s="437"/>
      <c r="B193" s="443"/>
      <c r="C193" s="443"/>
      <c r="D193" s="11" t="str">
        <f>'В2.Расчет стоимости часа'!C195</f>
        <v xml:space="preserve">        Деятельность в области информационных услуг прочая</v>
      </c>
      <c r="E193" s="137">
        <f>'В2.Расчет стоимости часа'!H195</f>
        <v>85395.6</v>
      </c>
      <c r="F193" s="137">
        <f>'В2.Расчет стоимости часа'!P195</f>
        <v>724.0725405938058</v>
      </c>
      <c r="G193" s="138" t="s">
        <v>263</v>
      </c>
    </row>
    <row r="194" spans="1:7" x14ac:dyDescent="0.25">
      <c r="A194" s="435">
        <v>12</v>
      </c>
      <c r="B194" s="441" t="str">
        <f>'В2.Расчет стоимости часа'!A196</f>
        <v>ДЕЯТЕЛЬНОСТЬ ФИНАНСОВАЯ И СТРАХОВАЯ</v>
      </c>
      <c r="C194" s="441" t="str">
        <f>'В2.Расчет стоимости часа'!B196</f>
        <v xml:space="preserve">    Деятельность по предоставлению финансовых услуг, кроме услуг по страхованию и пенсионному обеспечению</v>
      </c>
      <c r="D194" s="11" t="str">
        <f>'В2.Расчет стоимости часа'!C196</f>
        <v xml:space="preserve">        Денежное посредничество</v>
      </c>
      <c r="E194" s="137">
        <f>'В2.Расчет стоимости часа'!H196</f>
        <v>157689.42499999999</v>
      </c>
      <c r="F194" s="137">
        <f>'В2.Расчет стоимости часа'!P196</f>
        <v>1330.5288118259805</v>
      </c>
      <c r="G194" s="138" t="s">
        <v>263</v>
      </c>
    </row>
    <row r="195" spans="1:7" x14ac:dyDescent="0.25">
      <c r="A195" s="436"/>
      <c r="B195" s="442"/>
      <c r="C195" s="442"/>
      <c r="D195" s="11" t="str">
        <f>'В2.Расчет стоимости часа'!C197</f>
        <v xml:space="preserve">        Деятельность холдинговых компаний</v>
      </c>
      <c r="E195" s="137">
        <f>'В2.Расчет стоимости часа'!H197</f>
        <v>419781.55</v>
      </c>
      <c r="F195" s="137">
        <f>'В2.Расчет стоимости часа'!P197</f>
        <v>3545.9107247309494</v>
      </c>
      <c r="G195" s="138" t="s">
        <v>263</v>
      </c>
    </row>
    <row r="196" spans="1:7" ht="30" x14ac:dyDescent="0.25">
      <c r="A196" s="436"/>
      <c r="B196" s="442"/>
      <c r="C196" s="442"/>
      <c r="D196" s="11" t="str">
        <f>'В2.Расчет стоимости часа'!C198</f>
        <v xml:space="preserve">        Деятельность инвестиционных фондов и аналогичных финансовых организаций</v>
      </c>
      <c r="E196" s="137">
        <f>'В2.Расчет стоимости часа'!H198</f>
        <v>240604.42499999999</v>
      </c>
      <c r="F196" s="137">
        <f>'В2.Расчет стоимости часа'!P198</f>
        <v>2009.9806046078429</v>
      </c>
      <c r="G196" s="138" t="s">
        <v>263</v>
      </c>
    </row>
    <row r="197" spans="1:7" ht="45" x14ac:dyDescent="0.25">
      <c r="A197" s="436"/>
      <c r="B197" s="442"/>
      <c r="C197" s="443"/>
      <c r="D197" s="11" t="str">
        <f>'В2.Расчет стоимости часа'!C199</f>
        <v xml:space="preserve">        Деятельность по предоставлению прочих финансовых услуг, кроме услуг по страхованию и пенсионному обеспечению</v>
      </c>
      <c r="E197" s="137">
        <f>'В2.Расчет стоимости часа'!H199</f>
        <v>133937.625</v>
      </c>
      <c r="F197" s="137">
        <f>'В2.Расчет стоимости часа'!P199</f>
        <v>1135.1472393114975</v>
      </c>
      <c r="G197" s="138" t="s">
        <v>263</v>
      </c>
    </row>
    <row r="198" spans="1:7" x14ac:dyDescent="0.25">
      <c r="A198" s="436"/>
      <c r="B198" s="442"/>
      <c r="C198" s="441" t="str">
        <f>'В2.Расчет стоимости часа'!B200</f>
        <v xml:space="preserve">    Страхование, перестрахование, деятельность негосударственных пенсионных фондов, кроме обязательного социального обеспечения</v>
      </c>
      <c r="D198" s="11" t="str">
        <f>'В2.Расчет стоимости часа'!C200</f>
        <v xml:space="preserve">        Страхование</v>
      </c>
      <c r="E198" s="137">
        <f>'В2.Расчет стоимости часа'!H200</f>
        <v>132229.29999999999</v>
      </c>
      <c r="F198" s="137">
        <f>'В2.Расчет стоимости часа'!P200</f>
        <v>1106.7807412371881</v>
      </c>
      <c r="G198" s="138" t="s">
        <v>263</v>
      </c>
    </row>
    <row r="199" spans="1:7" x14ac:dyDescent="0.25">
      <c r="A199" s="436"/>
      <c r="B199" s="442"/>
      <c r="C199" s="442"/>
      <c r="D199" s="11" t="str">
        <f>'В2.Расчет стоимости часа'!C201</f>
        <v xml:space="preserve">        Перестрахование</v>
      </c>
      <c r="E199" s="137">
        <f>'В2.Расчет стоимости часа'!H201</f>
        <v>521487.05000000005</v>
      </c>
      <c r="F199" s="137">
        <f>'В2.Расчет стоимости часа'!P201</f>
        <v>4311.5615272370769</v>
      </c>
      <c r="G199" s="138" t="s">
        <v>263</v>
      </c>
    </row>
    <row r="200" spans="1:7" ht="30" x14ac:dyDescent="0.25">
      <c r="A200" s="436"/>
      <c r="B200" s="442"/>
      <c r="C200" s="443"/>
      <c r="D200" s="11" t="str">
        <f>'В2.Расчет стоимости часа'!C202</f>
        <v xml:space="preserve">        Деятельность негосударственных пенсионных фондов</v>
      </c>
      <c r="E200" s="137">
        <f>'В2.Расчет стоимости часа'!H202</f>
        <v>200920.7</v>
      </c>
      <c r="F200" s="137">
        <f>'В2.Расчет стоимости часа'!P202</f>
        <v>1670.508640161542</v>
      </c>
      <c r="G200" s="138" t="s">
        <v>263</v>
      </c>
    </row>
    <row r="201" spans="1:7" ht="45" x14ac:dyDescent="0.25">
      <c r="A201" s="436"/>
      <c r="B201" s="442"/>
      <c r="C201" s="441" t="str">
        <f>'В2.Расчет стоимости часа'!B203</f>
        <v xml:space="preserve">    Деятельность вспомогательная в сфере финансовых услуг и страхования</v>
      </c>
      <c r="D201" s="11" t="str">
        <f>'В2.Расчет стоимости часа'!C203</f>
        <v xml:space="preserve">        Деятельность вспомогательная в сфере финансовых услуг, кроме страхования и пенсионного обеспечения</v>
      </c>
      <c r="E201" s="137">
        <f>'В2.Расчет стоимости часа'!H203</f>
        <v>221110.97499999998</v>
      </c>
      <c r="F201" s="137">
        <f>'В2.Расчет стоимости часа'!P203</f>
        <v>1809.2082633840243</v>
      </c>
      <c r="G201" s="138" t="s">
        <v>263</v>
      </c>
    </row>
    <row r="202" spans="1:7" ht="30" x14ac:dyDescent="0.25">
      <c r="A202" s="436"/>
      <c r="B202" s="442"/>
      <c r="C202" s="442"/>
      <c r="D202" s="11" t="str">
        <f>'В2.Расчет стоимости часа'!C204</f>
        <v xml:space="preserve">        Деятельность вспомогательная в сфере страхования и пенсионного обеспечения</v>
      </c>
      <c r="E202" s="137">
        <f>'В2.Расчет стоимости часа'!H204</f>
        <v>99344.175000000003</v>
      </c>
      <c r="F202" s="137">
        <f>'В2.Расчет стоимости часа'!P204</f>
        <v>842.37225720922459</v>
      </c>
      <c r="G202" s="138" t="s">
        <v>263</v>
      </c>
    </row>
    <row r="203" spans="1:7" x14ac:dyDescent="0.25">
      <c r="A203" s="437"/>
      <c r="B203" s="443"/>
      <c r="C203" s="443"/>
      <c r="D203" s="11" t="str">
        <f>'В2.Расчет стоимости часа'!C205</f>
        <v xml:space="preserve">        Деятельность по управлению фондами</v>
      </c>
      <c r="E203" s="137">
        <f>'В2.Расчет стоимости часа'!H205</f>
        <v>356788.65</v>
      </c>
      <c r="F203" s="137">
        <f>'В2.Расчет стоимости часа'!P205</f>
        <v>3028.9356596618763</v>
      </c>
      <c r="G203" s="138" t="s">
        <v>263</v>
      </c>
    </row>
    <row r="204" spans="1:7" ht="30" x14ac:dyDescent="0.25">
      <c r="A204" s="435">
        <v>13</v>
      </c>
      <c r="B204" s="441" t="str">
        <f>'В2.Расчет стоимости часа'!A206</f>
        <v>ДЕЯТЕЛЬНОСТЬ ПО ОПЕРАЦИЯМ С НЕДВИЖИМЫМ ИМУЩЕСТВОМ</v>
      </c>
      <c r="C204" s="441" t="str">
        <f>'В2.Расчет стоимости часа'!B206</f>
        <v xml:space="preserve">    Операции с недвижимым имуществом</v>
      </c>
      <c r="D204" s="11" t="str">
        <f>'В2.Расчет стоимости часа'!C206</f>
        <v xml:space="preserve">        Покупка и продажа собственного недвижимого имущества</v>
      </c>
      <c r="E204" s="137">
        <f>'В2.Расчет стоимости часа'!H206</f>
        <v>65006.75</v>
      </c>
      <c r="F204" s="137">
        <f>'В2.Расчет стоимости часа'!P206</f>
        <v>551.3126349643494</v>
      </c>
      <c r="G204" s="138" t="s">
        <v>263</v>
      </c>
    </row>
    <row r="205" spans="1:7" ht="30" x14ac:dyDescent="0.25">
      <c r="A205" s="436"/>
      <c r="B205" s="442"/>
      <c r="C205" s="442"/>
      <c r="D205" s="11" t="str">
        <f>'В2.Расчет стоимости часа'!C207</f>
        <v xml:space="preserve">        Аренда и управление собственным или арендованным недвижимым имуществом</v>
      </c>
      <c r="E205" s="137">
        <f>'В2.Расчет стоимости часа'!H207</f>
        <v>55653.2</v>
      </c>
      <c r="F205" s="137">
        <f>'В2.Расчет стоимости часа'!P207</f>
        <v>474.13458866588678</v>
      </c>
      <c r="G205" s="138" t="s">
        <v>263</v>
      </c>
    </row>
    <row r="206" spans="1:7" ht="45" x14ac:dyDescent="0.25">
      <c r="A206" s="437"/>
      <c r="B206" s="443"/>
      <c r="C206" s="443"/>
      <c r="D206" s="11" t="str">
        <f>'В2.Расчет стоимости часа'!C208</f>
        <v xml:space="preserve">        Операции с недвижимым имуществом за вознаграждение или на договорной основе</v>
      </c>
      <c r="E206" s="137">
        <f>'В2.Расчет стоимости часа'!H208</f>
        <v>47735.175000000003</v>
      </c>
      <c r="F206" s="137">
        <f>'В2.Расчет стоимости часа'!P208</f>
        <v>406.03122380960349</v>
      </c>
      <c r="G206" s="138" t="s">
        <v>263</v>
      </c>
    </row>
    <row r="207" spans="1:7" x14ac:dyDescent="0.25">
      <c r="A207" s="435">
        <v>14</v>
      </c>
      <c r="B207" s="441" t="str">
        <f>'В2.Расчет стоимости часа'!A209</f>
        <v>ДЕЯТЕЛЬНОСТЬ ПРОФЕССИОНАЛЬНАЯ, НАУЧНАЯ И ТЕХНИЧЕСКАЯ</v>
      </c>
      <c r="C207" s="441" t="str">
        <f>'В2.Расчет стоимости часа'!B209</f>
        <v xml:space="preserve">    Деятельность в области права и бухгалтерского учета</v>
      </c>
      <c r="D207" s="11" t="str">
        <f>'В2.Расчет стоимости часа'!C209</f>
        <v xml:space="preserve">        Деятельность в области права</v>
      </c>
      <c r="E207" s="137">
        <f>'В2.Расчет стоимости часа'!H209</f>
        <v>58610.575000000004</v>
      </c>
      <c r="F207" s="137">
        <f>'В2.Расчет стоимости часа'!P209</f>
        <v>496.48463058767817</v>
      </c>
      <c r="G207" s="138" t="s">
        <v>263</v>
      </c>
    </row>
    <row r="208" spans="1:7" ht="60" x14ac:dyDescent="0.25">
      <c r="A208" s="436"/>
      <c r="B208" s="442"/>
      <c r="C208" s="443"/>
      <c r="D208" s="11" t="str">
        <f>'В2.Расчет стоимости часа'!C210</f>
        <v xml:space="preserve">        Деятельность по оказанию услуг в области бухгалтерского учета, по проведению финансового аудита, по налоговому консультированию</v>
      </c>
      <c r="E208" s="137">
        <f>'В2.Расчет стоимости часа'!H210</f>
        <v>62612.224999999999</v>
      </c>
      <c r="F208" s="137">
        <f>'В2.Расчет стоимости часа'!P210</f>
        <v>534.41386488636363</v>
      </c>
      <c r="G208" s="138" t="s">
        <v>263</v>
      </c>
    </row>
    <row r="209" spans="1:7" x14ac:dyDescent="0.25">
      <c r="A209" s="436"/>
      <c r="B209" s="442"/>
      <c r="C209" s="441" t="str">
        <f>'В2.Расчет стоимости часа'!B211</f>
        <v xml:space="preserve">    Деятельность головных офисов; консультирование по вопросам управления</v>
      </c>
      <c r="D209" s="11" t="str">
        <f>'В2.Расчет стоимости часа'!C211</f>
        <v xml:space="preserve">        Деятельность головных офисов</v>
      </c>
      <c r="E209" s="137">
        <f>'В2.Расчет стоимости часа'!H211</f>
        <v>285520.3</v>
      </c>
      <c r="F209" s="137">
        <f>'В2.Расчет стоимости часа'!P211</f>
        <v>2392.6923240067958</v>
      </c>
      <c r="G209" s="138" t="s">
        <v>263</v>
      </c>
    </row>
    <row r="210" spans="1:7" ht="30" x14ac:dyDescent="0.25">
      <c r="A210" s="436"/>
      <c r="B210" s="442"/>
      <c r="C210" s="443"/>
      <c r="D210" s="11" t="str">
        <f>'В2.Расчет стоимости часа'!C212</f>
        <v xml:space="preserve">        Консультирование по вопросам управления</v>
      </c>
      <c r="E210" s="137">
        <f>'В2.Расчет стоимости часа'!H212</f>
        <v>140393.27500000002</v>
      </c>
      <c r="F210" s="137">
        <f>'В2.Расчет стоимости часа'!P212</f>
        <v>1186.4215105269609</v>
      </c>
      <c r="G210" s="138" t="s">
        <v>263</v>
      </c>
    </row>
    <row r="211" spans="1:7" ht="45" x14ac:dyDescent="0.25">
      <c r="A211" s="436"/>
      <c r="B211" s="442"/>
      <c r="C211" s="441" t="str">
        <f>'В2.Расчет стоимости часа'!B213</f>
        <v xml:space="preserve">    Деятельность в области архитектуры и инженерно-технического проектирования; технических испытаний, исследований и анализа</v>
      </c>
      <c r="D211" s="11" t="str">
        <f>'В2.Расчет стоимости часа'!C213</f>
        <v xml:space="preserve">        Деятельность в области архитектуры, инженерных изысканий и предоставление технических консультаций в этих областях</v>
      </c>
      <c r="E211" s="137">
        <f>'В2.Расчет стоимости часа'!H213</f>
        <v>96543.075000000012</v>
      </c>
      <c r="F211" s="137">
        <f>'В2.Расчет стоимости часа'!P213</f>
        <v>819.52296273952766</v>
      </c>
      <c r="G211" s="138" t="s">
        <v>263</v>
      </c>
    </row>
    <row r="212" spans="1:7" ht="30" x14ac:dyDescent="0.25">
      <c r="A212" s="436"/>
      <c r="B212" s="442"/>
      <c r="C212" s="443"/>
      <c r="D212" s="11" t="str">
        <f>'В2.Расчет стоимости часа'!C214</f>
        <v xml:space="preserve">        Технические испытания, исследования, анализ и сертификация</v>
      </c>
      <c r="E212" s="137">
        <f>'В2.Расчет стоимости часа'!H214</f>
        <v>81705.850000000006</v>
      </c>
      <c r="F212" s="137">
        <f>'В2.Расчет стоимости часа'!P214</f>
        <v>692.20423995320857</v>
      </c>
      <c r="G212" s="138" t="s">
        <v>263</v>
      </c>
    </row>
    <row r="213" spans="1:7" ht="30" x14ac:dyDescent="0.25">
      <c r="A213" s="436"/>
      <c r="B213" s="442"/>
      <c r="C213" s="441" t="str">
        <f>'В2.Расчет стоимости часа'!B215</f>
        <v xml:space="preserve">    Научные исследования и разработки</v>
      </c>
      <c r="D213" s="11" t="str">
        <f>'В2.Расчет стоимости часа'!C215</f>
        <v xml:space="preserve">        Научные исследования и разработки в области естественных и технических наук</v>
      </c>
      <c r="E213" s="137">
        <f>'В2.Расчет стоимости часа'!H215</f>
        <v>106347.47500000001</v>
      </c>
      <c r="F213" s="137">
        <f>'В2.Расчет стоимости часа'!P215</f>
        <v>902.67309417836452</v>
      </c>
      <c r="G213" s="138" t="s">
        <v>263</v>
      </c>
    </row>
    <row r="214" spans="1:7" ht="30" x14ac:dyDescent="0.25">
      <c r="A214" s="436"/>
      <c r="B214" s="442"/>
      <c r="C214" s="443"/>
      <c r="D214" s="11" t="str">
        <f>'В2.Расчет стоимости часа'!C216</f>
        <v xml:space="preserve">        Научные исследования и разработки в области общественных и гуманитарных наук</v>
      </c>
      <c r="E214" s="137">
        <f>'В2.Расчет стоимости часа'!H216</f>
        <v>95911.950000000012</v>
      </c>
      <c r="F214" s="137">
        <f>'В2.Расчет стоимости часа'!P216</f>
        <v>806.89993034536553</v>
      </c>
      <c r="G214" s="138" t="s">
        <v>263</v>
      </c>
    </row>
    <row r="215" spans="1:7" x14ac:dyDescent="0.25">
      <c r="A215" s="436"/>
      <c r="B215" s="442"/>
      <c r="C215" s="441" t="str">
        <f>'В2.Расчет стоимости часа'!B217</f>
        <v xml:space="preserve">    Деятельность рекламная и исследование конъюнктуры рынка</v>
      </c>
      <c r="D215" s="11" t="str">
        <f>'В2.Расчет стоимости часа'!C217</f>
        <v xml:space="preserve">        Деятельность рекламная</v>
      </c>
      <c r="E215" s="137">
        <f>'В2.Расчет стоимости часа'!H217</f>
        <v>86855.75</v>
      </c>
      <c r="F215" s="137">
        <f>'В2.Расчет стоимости часа'!P217</f>
        <v>734.23647548741076</v>
      </c>
      <c r="G215" s="138" t="s">
        <v>263</v>
      </c>
    </row>
    <row r="216" spans="1:7" ht="30" x14ac:dyDescent="0.25">
      <c r="A216" s="436"/>
      <c r="B216" s="442"/>
      <c r="C216" s="443"/>
      <c r="D216" s="11" t="str">
        <f>'В2.Расчет стоимости часа'!C218</f>
        <v xml:space="preserve">        Исследование конъюнктуры рынка и изучение общественного мнения</v>
      </c>
      <c r="E216" s="137">
        <f>'В2.Расчет стоимости часа'!H218</f>
        <v>155164.32500000001</v>
      </c>
      <c r="F216" s="137">
        <f>'В2.Расчет стоимости часа'!P218</f>
        <v>1312.8276912589126</v>
      </c>
      <c r="G216" s="138" t="s">
        <v>263</v>
      </c>
    </row>
    <row r="217" spans="1:7" ht="30" x14ac:dyDescent="0.25">
      <c r="A217" s="436"/>
      <c r="B217" s="442"/>
      <c r="C217" s="441" t="str">
        <f>'В2.Расчет стоимости часа'!B219</f>
        <v xml:space="preserve">    Деятельность профессиональная научная и техническая прочая</v>
      </c>
      <c r="D217" s="11" t="str">
        <f>'В2.Расчет стоимости часа'!C219</f>
        <v xml:space="preserve">        Деятельность специализированная в области дизайна</v>
      </c>
      <c r="E217" s="137">
        <f>'В2.Расчет стоимости часа'!H219</f>
        <v>80071.774999999994</v>
      </c>
      <c r="F217" s="137">
        <f>'В2.Расчет стоимости часа'!P219</f>
        <v>678.27863072972377</v>
      </c>
      <c r="G217" s="138" t="s">
        <v>263</v>
      </c>
    </row>
    <row r="218" spans="1:7" x14ac:dyDescent="0.25">
      <c r="A218" s="436"/>
      <c r="B218" s="442"/>
      <c r="C218" s="442"/>
      <c r="D218" s="11" t="str">
        <f>'В2.Расчет стоимости часа'!C220</f>
        <v xml:space="preserve">        Деятельность в области фотографии</v>
      </c>
      <c r="E218" s="137">
        <f>'В2.Расчет стоимости часа'!H220</f>
        <v>26376.325000000001</v>
      </c>
      <c r="F218" s="137">
        <f>'В2.Расчет стоимости часа'!P220</f>
        <v>225.06917630737524</v>
      </c>
      <c r="G218" s="138" t="s">
        <v>263</v>
      </c>
    </row>
    <row r="219" spans="1:7" ht="30" x14ac:dyDescent="0.25">
      <c r="A219" s="436"/>
      <c r="B219" s="442"/>
      <c r="C219" s="442"/>
      <c r="D219" s="11" t="str">
        <f>'В2.Расчет стоимости часа'!C221</f>
        <v xml:space="preserve">        Деятельность по письменному и устному переводу</v>
      </c>
      <c r="E219" s="137">
        <f>'В2.Расчет стоимости часа'!H221</f>
        <v>35566</v>
      </c>
      <c r="F219" s="137">
        <f>'В2.Расчет стоимости часа'!P221</f>
        <v>304.01731742535651</v>
      </c>
      <c r="G219" s="138" t="s">
        <v>263</v>
      </c>
    </row>
    <row r="220" spans="1:7" ht="45" x14ac:dyDescent="0.25">
      <c r="A220" s="436"/>
      <c r="B220" s="442"/>
      <c r="C220" s="443"/>
      <c r="D220" s="11" t="str">
        <f>'В2.Расчет стоимости часа'!C222</f>
        <v xml:space="preserve">        Деятельность профессиональная, научная и техническая прочая, не включенная в другие группировки</v>
      </c>
      <c r="E220" s="137">
        <f>'В2.Расчет стоимости часа'!H222</f>
        <v>84586.7</v>
      </c>
      <c r="F220" s="137">
        <f>'В2.Расчет стоимости часа'!P222</f>
        <v>718.34518484291459</v>
      </c>
      <c r="G220" s="138" t="s">
        <v>263</v>
      </c>
    </row>
    <row r="221" spans="1:7" x14ac:dyDescent="0.25">
      <c r="A221" s="437"/>
      <c r="B221" s="443"/>
      <c r="C221" s="130" t="str">
        <f>'В2.Расчет стоимости часа'!B223</f>
        <v xml:space="preserve">    Деятельность ветеринарная</v>
      </c>
      <c r="D221" s="11" t="str">
        <f>'В2.Расчет стоимости часа'!C223</f>
        <v xml:space="preserve">        Деятельность ветеринарная</v>
      </c>
      <c r="E221" s="137">
        <f>'В2.Расчет стоимости часа'!H223</f>
        <v>40641.424999999996</v>
      </c>
      <c r="F221" s="137">
        <f>'В2.Расчет стоимости часа'!P223</f>
        <v>346.07841594195639</v>
      </c>
      <c r="G221" s="138" t="s">
        <v>263</v>
      </c>
    </row>
    <row r="222" spans="1:7" ht="30" x14ac:dyDescent="0.25">
      <c r="A222" s="435">
        <v>15</v>
      </c>
      <c r="B222" s="441" t="str">
        <f>'В2.Расчет стоимости часа'!A224</f>
        <v>ДЕЯТЕЛЬНОСТЬ АДМИНИСТРАТИВНАЯ И СОПУТСТВУЮЩИЕ ДОПОЛНИТЕЛЬНЫЕ УСЛУГИ</v>
      </c>
      <c r="C222" s="441" t="str">
        <f>'В2.Расчет стоимости часа'!B224</f>
        <v xml:space="preserve">    Аренда и лизинг</v>
      </c>
      <c r="D222" s="11" t="str">
        <f>'В2.Расчет стоимости часа'!C224</f>
        <v xml:space="preserve">        Аренда и лизинг автотранспортных средств</v>
      </c>
      <c r="E222" s="137">
        <f>'В2.Расчет стоимости часа'!H224</f>
        <v>69901.799999999988</v>
      </c>
      <c r="F222" s="137">
        <f>'В2.Расчет стоимости часа'!P224</f>
        <v>593.9130936775847</v>
      </c>
      <c r="G222" s="138" t="s">
        <v>263</v>
      </c>
    </row>
    <row r="223" spans="1:7" ht="45" x14ac:dyDescent="0.25">
      <c r="A223" s="436"/>
      <c r="B223" s="442"/>
      <c r="C223" s="442"/>
      <c r="D223" s="11" t="str">
        <f>'В2.Расчет стоимости часа'!C225</f>
        <v xml:space="preserve">        Прокат и аренда предметов личного пользования и хозяйственно-бытового назначения</v>
      </c>
      <c r="E223" s="137">
        <f>'В2.Расчет стоимости часа'!H225</f>
        <v>70666.574999999997</v>
      </c>
      <c r="F223" s="137">
        <f>'В2.Расчет стоимости часа'!P225</f>
        <v>598.64680700868985</v>
      </c>
      <c r="G223" s="138" t="s">
        <v>263</v>
      </c>
    </row>
    <row r="224" spans="1:7" ht="30" x14ac:dyDescent="0.25">
      <c r="A224" s="436"/>
      <c r="B224" s="442"/>
      <c r="C224" s="442"/>
      <c r="D224" s="11" t="str">
        <f>'В2.Расчет стоимости часа'!C226</f>
        <v xml:space="preserve">        Аренда и лизинг прочих машин и оборудования и материальных средств</v>
      </c>
      <c r="E224" s="137">
        <f>'В2.Расчет стоимости часа'!H226</f>
        <v>72743.425000000003</v>
      </c>
      <c r="F224" s="137">
        <f>'В2.Расчет стоимости часа'!P226</f>
        <v>620.93114333221922</v>
      </c>
      <c r="G224" s="138" t="s">
        <v>263</v>
      </c>
    </row>
    <row r="225" spans="1:7" ht="45" x14ac:dyDescent="0.25">
      <c r="A225" s="436"/>
      <c r="B225" s="442"/>
      <c r="C225" s="443"/>
      <c r="D225" s="11" t="str">
        <f>'В2.Расчет стоимости часа'!C227</f>
        <v xml:space="preserve">        Аренда интеллектуальной собственности и подобной продукции, кроме авторских прав</v>
      </c>
      <c r="E225" s="137">
        <f>'В2.Расчет стоимости часа'!H227</f>
        <v>63497.799999999996</v>
      </c>
      <c r="F225" s="137">
        <f>'В2.Расчет стоимости часа'!P227</f>
        <v>540.2464379562166</v>
      </c>
      <c r="G225" s="138" t="s">
        <v>263</v>
      </c>
    </row>
    <row r="226" spans="1:7" ht="30" x14ac:dyDescent="0.25">
      <c r="A226" s="436"/>
      <c r="B226" s="442"/>
      <c r="C226" s="441" t="str">
        <f>'В2.Расчет стоимости часа'!B228</f>
        <v xml:space="preserve">    Деятельность по трудоустройству и подбору персонала</v>
      </c>
      <c r="D226" s="11" t="str">
        <f>'В2.Расчет стоимости часа'!C228</f>
        <v xml:space="preserve">        Деятельность агентств по подбору персонала</v>
      </c>
      <c r="E226" s="137">
        <f>'В2.Расчет стоимости часа'!H228</f>
        <v>41904.850000000006</v>
      </c>
      <c r="F226" s="137">
        <f>'В2.Расчет стоимости часа'!P228</f>
        <v>354.11731245710786</v>
      </c>
      <c r="G226" s="138" t="s">
        <v>263</v>
      </c>
    </row>
    <row r="227" spans="1:7" ht="30" x14ac:dyDescent="0.25">
      <c r="A227" s="436"/>
      <c r="B227" s="442"/>
      <c r="C227" s="442"/>
      <c r="D227" s="11" t="str">
        <f>'В2.Расчет стоимости часа'!C229</f>
        <v xml:space="preserve">        Деятельность агентств по временному трудоустройству</v>
      </c>
      <c r="E227" s="137">
        <f>'В2.Расчет стоимости часа'!H229</f>
        <v>41177.425000000003</v>
      </c>
      <c r="F227" s="137">
        <f>'В2.Расчет стоимости часа'!P229</f>
        <v>350.12553967747323</v>
      </c>
      <c r="G227" s="138" t="s">
        <v>263</v>
      </c>
    </row>
    <row r="228" spans="1:7" ht="30" x14ac:dyDescent="0.25">
      <c r="A228" s="436"/>
      <c r="B228" s="442"/>
      <c r="C228" s="443"/>
      <c r="D228" s="11" t="str">
        <f>'В2.Расчет стоимости часа'!C230</f>
        <v xml:space="preserve">        Деятельность по подбору персонала прочая</v>
      </c>
      <c r="E228" s="137">
        <f>'В2.Расчет стоимости часа'!H230</f>
        <v>70712.3</v>
      </c>
      <c r="F228" s="137">
        <f>'В2.Расчет стоимости часа'!P230</f>
        <v>607.65566632631476</v>
      </c>
      <c r="G228" s="138" t="s">
        <v>263</v>
      </c>
    </row>
    <row r="229" spans="1:7" ht="30" x14ac:dyDescent="0.25">
      <c r="A229" s="436"/>
      <c r="B229" s="442"/>
      <c r="C229" s="441" t="str">
        <f>'В2.Расчет стоимости часа'!B231</f>
        <v xml:space="preserve">    Деятельность туристических агентств и прочих организаций, предоставляющих услуги в сфере туризма</v>
      </c>
      <c r="D229" s="11" t="str">
        <f>'В2.Расчет стоимости часа'!C231</f>
        <v xml:space="preserve">        Деятельность туристических агентств и туроператоров</v>
      </c>
      <c r="E229" s="137">
        <f>'В2.Расчет стоимости часа'!H231</f>
        <v>44401.375</v>
      </c>
      <c r="F229" s="137">
        <f>'В2.Расчет стоимости часа'!P231</f>
        <v>376.06042885193847</v>
      </c>
      <c r="G229" s="138" t="s">
        <v>263</v>
      </c>
    </row>
    <row r="230" spans="1:7" ht="30" x14ac:dyDescent="0.25">
      <c r="A230" s="436"/>
      <c r="B230" s="442"/>
      <c r="C230" s="443"/>
      <c r="D230" s="11" t="str">
        <f>'В2.Расчет стоимости часа'!C232</f>
        <v xml:space="preserve">        Услуги по бронированию прочие и сопутствующая деятельность</v>
      </c>
      <c r="E230" s="137">
        <f>'В2.Расчет стоимости часа'!H232</f>
        <v>71107.799999999988</v>
      </c>
      <c r="F230" s="137">
        <f>'В2.Расчет стоимости часа'!P232</f>
        <v>604.45185388480388</v>
      </c>
      <c r="G230" s="138" t="s">
        <v>263</v>
      </c>
    </row>
    <row r="231" spans="1:7" ht="30" x14ac:dyDescent="0.25">
      <c r="A231" s="436"/>
      <c r="B231" s="442"/>
      <c r="C231" s="441" t="str">
        <f>'В2.Расчет стоимости часа'!B233</f>
        <v xml:space="preserve">    Деятельность по обеспечению безопасности и проведению расследований</v>
      </c>
      <c r="D231" s="11" t="str">
        <f>'В2.Расчет стоимости часа'!C233</f>
        <v xml:space="preserve">        Деятельность охранных служб, в том числе частных</v>
      </c>
      <c r="E231" s="137">
        <f>'В2.Расчет стоимости часа'!H233</f>
        <v>40652.724999999999</v>
      </c>
      <c r="F231" s="137">
        <f>'В2.Расчет стоимости часа'!P233</f>
        <v>347.55641186274511</v>
      </c>
      <c r="G231" s="138" t="s">
        <v>263</v>
      </c>
    </row>
    <row r="232" spans="1:7" ht="30" x14ac:dyDescent="0.25">
      <c r="A232" s="436"/>
      <c r="B232" s="442"/>
      <c r="C232" s="442"/>
      <c r="D232" s="11" t="str">
        <f>'В2.Расчет стоимости часа'!C234</f>
        <v xml:space="preserve">        Деятельность систем обеспечения безопасности</v>
      </c>
      <c r="E232" s="137">
        <f>'В2.Расчет стоимости часа'!H234</f>
        <v>54182.574999999997</v>
      </c>
      <c r="F232" s="137">
        <f>'В2.Расчет стоимости часа'!P234</f>
        <v>461.35044815619426</v>
      </c>
      <c r="G232" s="138" t="s">
        <v>263</v>
      </c>
    </row>
    <row r="233" spans="1:7" x14ac:dyDescent="0.25">
      <c r="A233" s="436"/>
      <c r="B233" s="442"/>
      <c r="C233" s="443"/>
      <c r="D233" s="11" t="str">
        <f>'В2.Расчет стоимости часа'!C235</f>
        <v xml:space="preserve">        Деятельность по расследованию</v>
      </c>
      <c r="E233" s="137">
        <f>'В2.Расчет стоимости часа'!H235</f>
        <v>48870.875</v>
      </c>
      <c r="F233" s="137">
        <f>'В2.Расчет стоимости часа'!P235</f>
        <v>416.21771016711227</v>
      </c>
      <c r="G233" s="138" t="s">
        <v>263</v>
      </c>
    </row>
    <row r="234" spans="1:7" ht="30" x14ac:dyDescent="0.25">
      <c r="A234" s="436"/>
      <c r="B234" s="442"/>
      <c r="C234" s="441" t="str">
        <f>'В2.Расчет стоимости часа'!B236</f>
        <v xml:space="preserve">    Деятельность по обслуживанию зданий и территорий</v>
      </c>
      <c r="D234" s="11" t="str">
        <f>'В2.Расчет стоимости часа'!C236</f>
        <v xml:space="preserve">        Деятельность по комплексному обслуживанию помещений</v>
      </c>
      <c r="E234" s="137">
        <f>'В2.Расчет стоимости часа'!H236</f>
        <v>36173.724999999999</v>
      </c>
      <c r="F234" s="137">
        <f>'В2.Расчет стоимости часа'!P236</f>
        <v>307.76633704823979</v>
      </c>
      <c r="G234" s="138" t="s">
        <v>263</v>
      </c>
    </row>
    <row r="235" spans="1:7" x14ac:dyDescent="0.25">
      <c r="A235" s="436"/>
      <c r="B235" s="442"/>
      <c r="C235" s="442"/>
      <c r="D235" s="11" t="str">
        <f>'В2.Расчет стоимости часа'!C237</f>
        <v xml:space="preserve">        Деятельность по чистке и уборке</v>
      </c>
      <c r="E235" s="137">
        <f>'В2.Расчет стоимости часа'!H237</f>
        <v>42648.950000000004</v>
      </c>
      <c r="F235" s="137">
        <f>'В2.Расчет стоимости часа'!P237</f>
        <v>363.84843703097147</v>
      </c>
      <c r="G235" s="138" t="s">
        <v>263</v>
      </c>
    </row>
    <row r="236" spans="1:7" ht="30" x14ac:dyDescent="0.25">
      <c r="A236" s="436"/>
      <c r="B236" s="442"/>
      <c r="C236" s="443"/>
      <c r="D236" s="11" t="str">
        <f>'В2.Расчет стоимости часа'!C238</f>
        <v xml:space="preserve">        Предоставление услуг по благоустройству ландшафта</v>
      </c>
      <c r="E236" s="137">
        <f>'В2.Расчет стоимости часа'!H238</f>
        <v>41858.6</v>
      </c>
      <c r="F236" s="137">
        <f>'В2.Расчет стоимости часа'!P238</f>
        <v>357.31553876838228</v>
      </c>
      <c r="G236" s="138" t="s">
        <v>263</v>
      </c>
    </row>
    <row r="237" spans="1:7" ht="60" x14ac:dyDescent="0.25">
      <c r="A237" s="436"/>
      <c r="B237" s="442"/>
      <c r="C237" s="441" t="str">
        <f>'В2.Расчет стоимости часа'!B239</f>
        <v xml:space="preserve">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v>
      </c>
      <c r="D237" s="11" t="str">
        <f>'В2.Расчет стоимости часа'!C239</f>
        <v xml:space="preserve">        Деятельность административно-хозяйственная и вспомогательная деятельность по обеспечению функционирования организации</v>
      </c>
      <c r="E237" s="137">
        <f>'В2.Расчет стоимости часа'!H239</f>
        <v>72443.649999999994</v>
      </c>
      <c r="F237" s="137">
        <f>'В2.Расчет стоимости часа'!P239</f>
        <v>614.42823306261141</v>
      </c>
      <c r="G237" s="138" t="s">
        <v>263</v>
      </c>
    </row>
    <row r="238" spans="1:7" ht="30" x14ac:dyDescent="0.25">
      <c r="A238" s="436"/>
      <c r="B238" s="442"/>
      <c r="C238" s="442"/>
      <c r="D238" s="11" t="str">
        <f>'В2.Расчет стоимости часа'!C240</f>
        <v xml:space="preserve">        Деятельность центров обработки телефонных вызовов</v>
      </c>
      <c r="E238" s="137">
        <f>'В2.Расчет стоимости часа'!H240</f>
        <v>36511.274999999994</v>
      </c>
      <c r="F238" s="137">
        <f>'В2.Расчет стоимости часа'!P240</f>
        <v>310.73368730225042</v>
      </c>
      <c r="G238" s="138" t="s">
        <v>263</v>
      </c>
    </row>
    <row r="239" spans="1:7" ht="30" x14ac:dyDescent="0.25">
      <c r="A239" s="436"/>
      <c r="B239" s="442"/>
      <c r="C239" s="442"/>
      <c r="D239" s="11" t="str">
        <f>'В2.Расчет стоимости часа'!C241</f>
        <v xml:space="preserve">        Деятельность по организации конференций и выставок</v>
      </c>
      <c r="E239" s="137">
        <f>'В2.Расчет стоимости часа'!H241</f>
        <v>95994.45</v>
      </c>
      <c r="F239" s="137">
        <f>'В2.Расчет стоимости часа'!P241</f>
        <v>819.05729321412662</v>
      </c>
      <c r="G239" s="138" t="s">
        <v>263</v>
      </c>
    </row>
    <row r="240" spans="1:7" ht="45" x14ac:dyDescent="0.25">
      <c r="A240" s="437"/>
      <c r="B240" s="443"/>
      <c r="C240" s="443"/>
      <c r="D240" s="11" t="str">
        <f>'В2.Расчет стоимости часа'!C242</f>
        <v xml:space="preserve">        Деятельность по предоставлению вспомогательных услуг для бизнеса, не включенная в другие группировки</v>
      </c>
      <c r="E240" s="137">
        <f>'В2.Расчет стоимости часа'!H242</f>
        <v>69637.025000000009</v>
      </c>
      <c r="F240" s="137">
        <f>'В2.Расчет стоимости часа'!P242</f>
        <v>594.12070920120311</v>
      </c>
      <c r="G240" s="138" t="s">
        <v>263</v>
      </c>
    </row>
    <row r="241" spans="1:7" ht="60" x14ac:dyDescent="0.25">
      <c r="A241" s="435">
        <v>16</v>
      </c>
      <c r="B241" s="441" t="str">
        <f>'В2.Расчет стоимости часа'!A243</f>
        <v>ГОСУДАРСТВЕННОЕ УПРАВЛЕНИЕ И ОБЕСПЕЧЕНИЕ ВОЕННОЙ БЕЗОПАСНОСТИ; СОЦИАЛЬНОЕ ОБЕСПЕЧЕНИЕ</v>
      </c>
      <c r="C241" s="441" t="str">
        <f>'В2.Расчет стоимости часа'!B243</f>
        <v xml:space="preserve">    Деятельность органов государственного управления по обеспечению военной безопасности, обязательному социальному обеспечению</v>
      </c>
      <c r="D241" s="11" t="str">
        <f>'В2.Расчет стоимости часа'!C243</f>
        <v xml:space="preserve">        Деятельность органов государственного управления и местного самоуправления по вопросам общего и социально-экономического характера</v>
      </c>
      <c r="E241" s="137">
        <f>'В2.Расчет стоимости часа'!H243</f>
        <v>69425.625</v>
      </c>
      <c r="F241" s="137">
        <f>'В2.Расчет стоимости часа'!P243</f>
        <v>588.26349299632352</v>
      </c>
      <c r="G241" s="138" t="s">
        <v>263</v>
      </c>
    </row>
    <row r="242" spans="1:7" ht="30" x14ac:dyDescent="0.25">
      <c r="A242" s="436"/>
      <c r="B242" s="442"/>
      <c r="C242" s="442"/>
      <c r="D242" s="11" t="str">
        <f>'В2.Расчет стоимости часа'!C244</f>
        <v xml:space="preserve">        Предоставление государственных услуг обществу</v>
      </c>
      <c r="E242" s="137">
        <f>'В2.Расчет стоимости часа'!H244</f>
        <v>59026.15</v>
      </c>
      <c r="F242" s="137">
        <f>'В2.Расчет стоимости часа'!P244</f>
        <v>502.39613390207222</v>
      </c>
      <c r="G242" s="138" t="s">
        <v>263</v>
      </c>
    </row>
    <row r="243" spans="1:7" ht="30" x14ac:dyDescent="0.25">
      <c r="A243" s="437"/>
      <c r="B243" s="443"/>
      <c r="C243" s="443"/>
      <c r="D243" s="11" t="str">
        <f>'В2.Расчет стоимости часа'!C245</f>
        <v xml:space="preserve">        Деятельность в области обязательного социального обеспечения</v>
      </c>
      <c r="E243" s="137">
        <f>'В2.Расчет стоимости часа'!H245</f>
        <v>52664.575000000004</v>
      </c>
      <c r="F243" s="137">
        <f>'В2.Расчет стоимости часа'!P245</f>
        <v>439.49634539828435</v>
      </c>
      <c r="G243" s="138" t="s">
        <v>263</v>
      </c>
    </row>
    <row r="244" spans="1:7" x14ac:dyDescent="0.25">
      <c r="A244" s="435">
        <v>17</v>
      </c>
      <c r="B244" s="441" t="str">
        <f>'В2.Расчет стоимости часа'!A246</f>
        <v>ОБРАЗОВАНИЕ</v>
      </c>
      <c r="C244" s="441" t="str">
        <f>'В2.Расчет стоимости часа'!B246</f>
        <v xml:space="preserve">    Образование</v>
      </c>
      <c r="D244" s="11" t="str">
        <f>'В2.Расчет стоимости часа'!C246</f>
        <v xml:space="preserve">        Образование общее</v>
      </c>
      <c r="E244" s="137">
        <f>'В2.Расчет стоимости часа'!H246</f>
        <v>44459.6</v>
      </c>
      <c r="F244" s="137">
        <f>'В2.Расчет стоимости часа'!P246</f>
        <v>378.76178245933608</v>
      </c>
      <c r="G244" s="138" t="s">
        <v>263</v>
      </c>
    </row>
    <row r="245" spans="1:7" x14ac:dyDescent="0.25">
      <c r="A245" s="436"/>
      <c r="B245" s="442"/>
      <c r="C245" s="442"/>
      <c r="D245" s="11" t="str">
        <f>'В2.Расчет стоимости часа'!C247</f>
        <v xml:space="preserve">        Образование профессиональное</v>
      </c>
      <c r="E245" s="137">
        <f>'В2.Расчет стоимости часа'!H247</f>
        <v>68927.850000000006</v>
      </c>
      <c r="F245" s="137">
        <f>'В2.Расчет стоимости часа'!P247</f>
        <v>584.99687505904626</v>
      </c>
      <c r="G245" s="138" t="s">
        <v>263</v>
      </c>
    </row>
    <row r="246" spans="1:7" x14ac:dyDescent="0.25">
      <c r="A246" s="436"/>
      <c r="B246" s="442"/>
      <c r="C246" s="442"/>
      <c r="D246" s="11" t="str">
        <f>'В2.Расчет стоимости часа'!C248</f>
        <v xml:space="preserve">        Обучение профессиональное</v>
      </c>
      <c r="E246" s="137">
        <f>'В2.Расчет стоимости часа'!H248</f>
        <v>52823.200000000004</v>
      </c>
      <c r="F246" s="137">
        <f>'В2.Расчет стоимости часа'!P248</f>
        <v>448.01853507352945</v>
      </c>
      <c r="G246" s="138" t="s">
        <v>263</v>
      </c>
    </row>
    <row r="247" spans="1:7" x14ac:dyDescent="0.25">
      <c r="A247" s="437"/>
      <c r="B247" s="443"/>
      <c r="C247" s="443"/>
      <c r="D247" s="11" t="str">
        <f>'В2.Расчет стоимости часа'!C249</f>
        <v xml:space="preserve">        Образование дополнительное</v>
      </c>
      <c r="E247" s="137">
        <f>'В2.Расчет стоимости часа'!H249</f>
        <v>50866.95</v>
      </c>
      <c r="F247" s="137">
        <f>'В2.Расчет стоимости часа'!P249</f>
        <v>432.49995619262478</v>
      </c>
      <c r="G247" s="138" t="s">
        <v>263</v>
      </c>
    </row>
    <row r="248" spans="1:7" x14ac:dyDescent="0.25">
      <c r="A248" s="435">
        <v>18</v>
      </c>
      <c r="B248" s="441" t="str">
        <f>'В2.Расчет стоимости часа'!A250</f>
        <v>ДЕЯТЕЛЬНОСТЬ В ОБЛАСТИ ЗДРАВООХРАНЕНИЯ И СОЦИАЛЬНЫХ УСЛУГ</v>
      </c>
      <c r="C248" s="441" t="str">
        <f>'В2.Расчет стоимости часа'!B250</f>
        <v xml:space="preserve">    Деятельность в области здравоохранения</v>
      </c>
      <c r="D248" s="11" t="str">
        <f>'В2.Расчет стоимости часа'!C250</f>
        <v xml:space="preserve">        Деятельность больничных организаций</v>
      </c>
      <c r="E248" s="137">
        <f>'В2.Расчет стоимости часа'!H250</f>
        <v>58700.375</v>
      </c>
      <c r="F248" s="137">
        <f>'В2.Расчет стоимости часа'!P250</f>
        <v>500.86444861296786</v>
      </c>
      <c r="G248" s="138" t="s">
        <v>263</v>
      </c>
    </row>
    <row r="249" spans="1:7" ht="30" x14ac:dyDescent="0.25">
      <c r="A249" s="436"/>
      <c r="B249" s="442"/>
      <c r="C249" s="442"/>
      <c r="D249" s="11" t="str">
        <f>'В2.Расчет стоимости часа'!C251</f>
        <v xml:space="preserve">        Медицинская и стоматологическая практика</v>
      </c>
      <c r="E249" s="137">
        <f>'В2.Расчет стоимости часа'!H251</f>
        <v>61570.799999999996</v>
      </c>
      <c r="F249" s="137">
        <f>'В2.Расчет стоимости часа'!P251</f>
        <v>523.75136342691621</v>
      </c>
      <c r="G249" s="138" t="s">
        <v>263</v>
      </c>
    </row>
    <row r="250" spans="1:7" ht="30" x14ac:dyDescent="0.25">
      <c r="A250" s="436"/>
      <c r="B250" s="442"/>
      <c r="C250" s="443"/>
      <c r="D250" s="11" t="str">
        <f>'В2.Расчет стоимости часа'!C252</f>
        <v xml:space="preserve">        Деятельность в области медицины прочая</v>
      </c>
      <c r="E250" s="137">
        <f>'В2.Расчет стоимости часа'!H252</f>
        <v>56694.575000000004</v>
      </c>
      <c r="F250" s="137">
        <f>'В2.Расчет стоимости часа'!P252</f>
        <v>483.21897406472817</v>
      </c>
      <c r="G250" s="138" t="s">
        <v>263</v>
      </c>
    </row>
    <row r="251" spans="1:7" ht="30" x14ac:dyDescent="0.25">
      <c r="A251" s="436"/>
      <c r="B251" s="442"/>
      <c r="C251" s="441" t="str">
        <f>'В2.Расчет стоимости часа'!B253</f>
        <v xml:space="preserve">    Деятельность по уходу с обеспечением проживания</v>
      </c>
      <c r="D251" s="11" t="str">
        <f>'В2.Расчет стоимости часа'!C253</f>
        <v xml:space="preserve">        Деятельность по медицинскому уходу с обеспечением проживания</v>
      </c>
      <c r="E251" s="137">
        <f>'В2.Расчет стоимости часа'!H253</f>
        <v>36879.449999999997</v>
      </c>
      <c r="F251" s="137">
        <f>'В2.Расчет стоимости часа'!P253</f>
        <v>312.82741612967914</v>
      </c>
      <c r="G251" s="138" t="s">
        <v>263</v>
      </c>
    </row>
    <row r="252" spans="1:7" ht="60" x14ac:dyDescent="0.25">
      <c r="A252" s="436"/>
      <c r="B252" s="442"/>
      <c r="C252" s="442"/>
      <c r="D252" s="11" t="str">
        <f>'В2.Расчет стоимости часа'!C254</f>
        <v xml:space="preserve">        Деятельность по оказанию помощи на дому для лиц с ограниченными возможностями развития, душевнобольным и наркозависимым</v>
      </c>
      <c r="E252" s="137">
        <f>'В2.Расчет стоимости часа'!H254</f>
        <v>31843.125</v>
      </c>
      <c r="F252" s="137">
        <f>'В2.Расчет стоимости часа'!P254</f>
        <v>272.08388342245991</v>
      </c>
      <c r="G252" s="138" t="s">
        <v>263</v>
      </c>
    </row>
    <row r="253" spans="1:7" ht="45" x14ac:dyDescent="0.25">
      <c r="A253" s="436"/>
      <c r="B253" s="442"/>
      <c r="C253" s="442"/>
      <c r="D253" s="11" t="str">
        <f>'В2.Расчет стоимости часа'!C255</f>
        <v xml:space="preserve">        Деятельность по уходу за престарелыми и инвалидами с обеспечением проживания</v>
      </c>
      <c r="E253" s="137">
        <f>'В2.Расчет стоимости часа'!H255</f>
        <v>39492</v>
      </c>
      <c r="F253" s="137">
        <f>'В2.Расчет стоимости часа'!P255</f>
        <v>337.13095945298573</v>
      </c>
      <c r="G253" s="138" t="s">
        <v>263</v>
      </c>
    </row>
    <row r="254" spans="1:7" ht="30" x14ac:dyDescent="0.25">
      <c r="A254" s="436"/>
      <c r="B254" s="442"/>
      <c r="C254" s="443"/>
      <c r="D254" s="11" t="str">
        <f>'В2.Расчет стоимости часа'!C256</f>
        <v xml:space="preserve">        Деятельность по уходу с обеспечением проживания прочая</v>
      </c>
      <c r="E254" s="137">
        <f>'В2.Расчет стоимости часа'!H256</f>
        <v>44487</v>
      </c>
      <c r="F254" s="137">
        <f>'В2.Расчет стоимости часа'!P256</f>
        <v>379.61194898061495</v>
      </c>
      <c r="G254" s="138" t="s">
        <v>263</v>
      </c>
    </row>
    <row r="255" spans="1:7" ht="45" x14ac:dyDescent="0.25">
      <c r="A255" s="436"/>
      <c r="B255" s="442"/>
      <c r="C255" s="441" t="str">
        <f>'В2.Расчет стоимости часа'!B257</f>
        <v xml:space="preserve">    Предоставление социальных услуг без обеспечения проживания</v>
      </c>
      <c r="D255" s="11" t="str">
        <f>'В2.Расчет стоимости часа'!C257</f>
        <v xml:space="preserve">        Предоставление социальных услуг без обеспечения проживания престарелым и инвалидам</v>
      </c>
      <c r="E255" s="137">
        <f>'В2.Расчет стоимости часа'!H257</f>
        <v>44306.100000000006</v>
      </c>
      <c r="F255" s="137">
        <f>'В2.Расчет стоимости часа'!P257</f>
        <v>377.29333069463013</v>
      </c>
      <c r="G255" s="138" t="s">
        <v>263</v>
      </c>
    </row>
    <row r="256" spans="1:7" ht="30" x14ac:dyDescent="0.25">
      <c r="A256" s="437"/>
      <c r="B256" s="443"/>
      <c r="C256" s="443"/>
      <c r="D256" s="11" t="str">
        <f>'В2.Расчет стоимости часа'!C258</f>
        <v xml:space="preserve">        Предоставление прочих социальных услуг без обеспечения проживания</v>
      </c>
      <c r="E256" s="137">
        <f>'В2.Расчет стоимости часа'!H258</f>
        <v>45053.175000000003</v>
      </c>
      <c r="F256" s="137">
        <f>'В2.Расчет стоимости часа'!P258</f>
        <v>383.69380685884579</v>
      </c>
      <c r="G256" s="138" t="s">
        <v>263</v>
      </c>
    </row>
    <row r="257" spans="1:7" ht="60" x14ac:dyDescent="0.25">
      <c r="A257" s="435">
        <v>19</v>
      </c>
      <c r="B257" s="441" t="str">
        <f>'В2.Расчет стоимости часа'!A259</f>
        <v>ДЕЯТЕЛЬНОСТЬ В ОБЛАСТИ КУЛЬТУРЫ, СПОРТА, ОРГАНИЗАЦИИ ДОСУГА И РАЗВЛЕЧЕНИЙ</v>
      </c>
      <c r="C257" s="130" t="str">
        <f>'В2.Расчет стоимости часа'!B259</f>
        <v xml:space="preserve">    Деятельность творческая, деятельность в области искусства и организации развлечений</v>
      </c>
      <c r="D257" s="11" t="str">
        <f>'В2.Расчет стоимости часа'!C259</f>
        <v xml:space="preserve">        Деятельность творческая, деятельность в области искусства и организации развлечений</v>
      </c>
      <c r="E257" s="137">
        <f>'В2.Расчет стоимости часа'!H259</f>
        <v>55553.275000000009</v>
      </c>
      <c r="F257" s="137">
        <f>'В2.Расчет стоимости часа'!P259</f>
        <v>473.05206968471487</v>
      </c>
      <c r="G257" s="138" t="s">
        <v>263</v>
      </c>
    </row>
    <row r="258" spans="1:7" ht="45" x14ac:dyDescent="0.25">
      <c r="A258" s="436"/>
      <c r="B258" s="442"/>
      <c r="C258" s="130" t="str">
        <f>'В2.Расчет стоимости часа'!B260</f>
        <v xml:space="preserve">    Деятельность библиотек, архивов, музеев и прочих объектов культуры</v>
      </c>
      <c r="D258" s="11" t="str">
        <f>'В2.Расчет стоимости часа'!C260</f>
        <v xml:space="preserve">        Деятельность библиотек, архивов, музеев и прочих объектов культуры</v>
      </c>
      <c r="E258" s="137">
        <f>'В2.Расчет стоимости часа'!H260</f>
        <v>51200.600000000006</v>
      </c>
      <c r="F258" s="137">
        <f>'В2.Расчет стоимости часа'!P260</f>
        <v>434.89291341800356</v>
      </c>
      <c r="G258" s="138" t="s">
        <v>263</v>
      </c>
    </row>
    <row r="259" spans="1:7" ht="45" x14ac:dyDescent="0.25">
      <c r="A259" s="436"/>
      <c r="B259" s="442"/>
      <c r="C259" s="441" t="str">
        <f>'В2.Расчет стоимости часа'!B261</f>
        <v xml:space="preserve">    Деятельность по организации и проведению азартных игр и заключению пари, по организации и проведению лотерей</v>
      </c>
      <c r="D259" s="11" t="str">
        <f>'В2.Расчет стоимости часа'!C261</f>
        <v xml:space="preserve">        Деятельность по организации и проведению азартных игр и заключения пари</v>
      </c>
      <c r="E259" s="137">
        <f>'В2.Расчет стоимости часа'!H261</f>
        <v>58281.249999999993</v>
      </c>
      <c r="F259" s="137">
        <f>'В2.Расчет стоимости часа'!P261</f>
        <v>497.9849681283423</v>
      </c>
      <c r="G259" s="138" t="s">
        <v>263</v>
      </c>
    </row>
    <row r="260" spans="1:7" ht="30" x14ac:dyDescent="0.25">
      <c r="A260" s="436"/>
      <c r="B260" s="442"/>
      <c r="C260" s="443"/>
      <c r="D260" s="11" t="str">
        <f>'В2.Расчет стоимости часа'!C262</f>
        <v xml:space="preserve">        Деятельность по организации и проведению лотерей</v>
      </c>
      <c r="E260" s="137">
        <f>'В2.Расчет стоимости часа'!H262</f>
        <v>130715.575</v>
      </c>
      <c r="F260" s="137">
        <f>'В2.Расчет стоимости часа'!P262</f>
        <v>1120.4190670955884</v>
      </c>
      <c r="G260" s="138" t="s">
        <v>263</v>
      </c>
    </row>
    <row r="261" spans="1:7" x14ac:dyDescent="0.25">
      <c r="A261" s="436"/>
      <c r="B261" s="442"/>
      <c r="C261" s="441" t="str">
        <f>'В2.Расчет стоимости часа'!B263</f>
        <v xml:space="preserve">    Деятельность в области спорта, отдыха и развлечений</v>
      </c>
      <c r="D261" s="11" t="str">
        <f>'В2.Расчет стоимости часа'!C263</f>
        <v xml:space="preserve">        Деятельность в области спорта</v>
      </c>
      <c r="E261" s="137">
        <f>'В2.Расчет стоимости часа'!H263</f>
        <v>72410.049999999988</v>
      </c>
      <c r="F261" s="137">
        <f>'В2.Расчет стоимости часа'!P263</f>
        <v>615.32336180982611</v>
      </c>
      <c r="G261" s="138" t="s">
        <v>263</v>
      </c>
    </row>
    <row r="262" spans="1:7" ht="30" x14ac:dyDescent="0.25">
      <c r="A262" s="437"/>
      <c r="B262" s="443"/>
      <c r="C262" s="443"/>
      <c r="D262" s="11" t="str">
        <f>'В2.Расчет стоимости часа'!C264</f>
        <v xml:space="preserve">        Деятельность в области отдыха и развлечений</v>
      </c>
      <c r="E262" s="137">
        <f>'В2.Расчет стоимости часа'!H264</f>
        <v>44278.15</v>
      </c>
      <c r="F262" s="137">
        <f>'В2.Расчет стоимости часа'!P264</f>
        <v>376.40534510583774</v>
      </c>
      <c r="G262" s="138" t="s">
        <v>263</v>
      </c>
    </row>
    <row r="263" spans="1:7" ht="45" x14ac:dyDescent="0.25">
      <c r="A263" s="435">
        <v>20</v>
      </c>
      <c r="B263" s="441" t="str">
        <f>'В2.Расчет стоимости часа'!A265</f>
        <v>ПРЕДОСТАВЛЕНИЕ ПРОЧИХ ВИДОВ УСЛУГ</v>
      </c>
      <c r="C263" s="441" t="str">
        <f>'В2.Расчет стоимости часа'!B265</f>
        <v xml:space="preserve">    Деятельность общественных и прочих некоммерческих организаций</v>
      </c>
      <c r="D263" s="11" t="str">
        <f>'В2.Расчет стоимости часа'!C265</f>
        <v xml:space="preserve">        Деятельность предпринимательских и профессиональных членских некоммерческих организаций</v>
      </c>
      <c r="E263" s="137">
        <f>'В2.Расчет стоимости часа'!H265</f>
        <v>104239.375</v>
      </c>
      <c r="F263" s="137">
        <f>'В2.Расчет стоимости часа'!P265</f>
        <v>885.88990017156868</v>
      </c>
      <c r="G263" s="138" t="s">
        <v>263</v>
      </c>
    </row>
    <row r="264" spans="1:7" ht="30" x14ac:dyDescent="0.25">
      <c r="A264" s="436"/>
      <c r="B264" s="442"/>
      <c r="C264" s="442"/>
      <c r="D264" s="11" t="str">
        <f>'В2.Расчет стоимости часа'!C266</f>
        <v xml:space="preserve">        Деятельность профессиональных союзов</v>
      </c>
      <c r="E264" s="137">
        <f>'В2.Расчет стоимости часа'!H266</f>
        <v>93581.675000000003</v>
      </c>
      <c r="F264" s="137">
        <f>'В2.Расчет стоимости часа'!P266</f>
        <v>792.94302970254</v>
      </c>
      <c r="G264" s="138" t="s">
        <v>263</v>
      </c>
    </row>
    <row r="265" spans="1:7" ht="30" x14ac:dyDescent="0.25">
      <c r="A265" s="436"/>
      <c r="B265" s="442"/>
      <c r="C265" s="443"/>
      <c r="D265" s="11" t="str">
        <f>'В2.Расчет стоимости часа'!C267</f>
        <v xml:space="preserve">        Деятельность прочих общественных и некоммерческих организаций</v>
      </c>
      <c r="E265" s="137">
        <f>'В2.Расчет стоимости часа'!H267</f>
        <v>53797.074999999997</v>
      </c>
      <c r="F265" s="137">
        <f>'В2.Расчет стоимости часа'!P267</f>
        <v>458.10230362522282</v>
      </c>
      <c r="G265" s="138" t="s">
        <v>263</v>
      </c>
    </row>
    <row r="266" spans="1:7" ht="30" x14ac:dyDescent="0.25">
      <c r="A266" s="436"/>
      <c r="B266" s="442"/>
      <c r="C266" s="441" t="str">
        <f>'В2.Расчет стоимости часа'!B268</f>
        <v xml:space="preserve">    Ремонт компьютеров, предметов личного потребления и хозяйственно-бытового назначения</v>
      </c>
      <c r="D266" s="11" t="str">
        <f>'В2.Расчет стоимости часа'!C268</f>
        <v xml:space="preserve">        Ремонт компьютеров и коммуникационного оборудования</v>
      </c>
      <c r="E266" s="137">
        <f>'В2.Расчет стоимости часа'!H268</f>
        <v>47547.15</v>
      </c>
      <c r="F266" s="137">
        <f>'В2.Расчет стоимости часа'!P268</f>
        <v>403.80233947192517</v>
      </c>
      <c r="G266" s="138" t="s">
        <v>263</v>
      </c>
    </row>
    <row r="267" spans="1:7" ht="45" x14ac:dyDescent="0.25">
      <c r="A267" s="436"/>
      <c r="B267" s="442"/>
      <c r="C267" s="443"/>
      <c r="D267" s="11" t="str">
        <f>'В2.Расчет стоимости часа'!C269</f>
        <v xml:space="preserve">        Ремонт предметов личного потребления и хозяйственно-бытового назначения</v>
      </c>
      <c r="E267" s="137">
        <f>'В2.Расчет стоимости часа'!H269</f>
        <v>30779.974999999999</v>
      </c>
      <c r="F267" s="137">
        <f>'В2.Расчет стоимости часа'!P269</f>
        <v>263.9761051214349</v>
      </c>
      <c r="G267" s="138" t="s">
        <v>263</v>
      </c>
    </row>
    <row r="268" spans="1:7" ht="45" x14ac:dyDescent="0.25">
      <c r="A268" s="437"/>
      <c r="B268" s="443"/>
      <c r="C268" s="130" t="str">
        <f>'В2.Расчет стоимости часа'!B270</f>
        <v xml:space="preserve">    Деятельность по предоставлению прочих персональных услуг</v>
      </c>
      <c r="D268" s="11" t="str">
        <f>'В2.Расчет стоимости часа'!C270</f>
        <v xml:space="preserve">        Деятельность по предоставлению прочих персональных услуг</v>
      </c>
      <c r="E268" s="137">
        <f>'В2.Расчет стоимости часа'!H270</f>
        <v>51302.325000000004</v>
      </c>
      <c r="F268" s="137">
        <f>'В2.Расчет стоимости часа'!P270</f>
        <v>431.12567689171124</v>
      </c>
      <c r="G268" s="138" t="s">
        <v>263</v>
      </c>
    </row>
  </sheetData>
  <autoFilter ref="A3:G3"/>
  <mergeCells count="111">
    <mergeCell ref="A5:A17"/>
    <mergeCell ref="B5:B17"/>
    <mergeCell ref="C5:C11"/>
    <mergeCell ref="C12:C15"/>
    <mergeCell ref="C16:C17"/>
    <mergeCell ref="A18:A27"/>
    <mergeCell ref="B18:B27"/>
    <mergeCell ref="C18:C19"/>
    <mergeCell ref="C20:C21"/>
    <mergeCell ref="C22:C23"/>
    <mergeCell ref="C54:C56"/>
    <mergeCell ref="C57:C62"/>
    <mergeCell ref="C63:C64"/>
    <mergeCell ref="C65:C66"/>
    <mergeCell ref="C67:C74"/>
    <mergeCell ref="C75:C79"/>
    <mergeCell ref="C24:C25"/>
    <mergeCell ref="C26:C27"/>
    <mergeCell ref="A28:A119"/>
    <mergeCell ref="B28:B119"/>
    <mergeCell ref="C28:C36"/>
    <mergeCell ref="C39:C42"/>
    <mergeCell ref="C43:C45"/>
    <mergeCell ref="C46:C48"/>
    <mergeCell ref="C50:C51"/>
    <mergeCell ref="C52:C53"/>
    <mergeCell ref="C112:C117"/>
    <mergeCell ref="C118:C119"/>
    <mergeCell ref="A120:A122"/>
    <mergeCell ref="B120:B122"/>
    <mergeCell ref="C120:C122"/>
    <mergeCell ref="A123:A128"/>
    <mergeCell ref="B123:B128"/>
    <mergeCell ref="C125:C127"/>
    <mergeCell ref="C80:C85"/>
    <mergeCell ref="C86:C93"/>
    <mergeCell ref="C94:C99"/>
    <mergeCell ref="C100:C104"/>
    <mergeCell ref="C105:C107"/>
    <mergeCell ref="C108:C110"/>
    <mergeCell ref="A159:A173"/>
    <mergeCell ref="B159:B173"/>
    <mergeCell ref="C159:C163"/>
    <mergeCell ref="C164:C167"/>
    <mergeCell ref="C168:C169"/>
    <mergeCell ref="C170:C171"/>
    <mergeCell ref="C172:C173"/>
    <mergeCell ref="A129:A137"/>
    <mergeCell ref="B129:B137"/>
    <mergeCell ref="C129:C130"/>
    <mergeCell ref="C131:C133"/>
    <mergeCell ref="C134:C137"/>
    <mergeCell ref="A138:A158"/>
    <mergeCell ref="B138:B158"/>
    <mergeCell ref="C138:C141"/>
    <mergeCell ref="C142:C149"/>
    <mergeCell ref="C150:C158"/>
    <mergeCell ref="C192:C193"/>
    <mergeCell ref="A194:A203"/>
    <mergeCell ref="B194:B203"/>
    <mergeCell ref="C194:C197"/>
    <mergeCell ref="C198:C200"/>
    <mergeCell ref="C201:C203"/>
    <mergeCell ref="A174:A180"/>
    <mergeCell ref="B174:B180"/>
    <mergeCell ref="C174:C177"/>
    <mergeCell ref="C178:C180"/>
    <mergeCell ref="A181:A193"/>
    <mergeCell ref="B181:B193"/>
    <mergeCell ref="C181:C182"/>
    <mergeCell ref="C183:C184"/>
    <mergeCell ref="C185:C186"/>
    <mergeCell ref="C187:C190"/>
    <mergeCell ref="A204:A206"/>
    <mergeCell ref="B204:B206"/>
    <mergeCell ref="C204:C206"/>
    <mergeCell ref="A207:A221"/>
    <mergeCell ref="B207:B221"/>
    <mergeCell ref="C207:C208"/>
    <mergeCell ref="C209:C210"/>
    <mergeCell ref="C211:C212"/>
    <mergeCell ref="C213:C214"/>
    <mergeCell ref="C215:C216"/>
    <mergeCell ref="A241:A243"/>
    <mergeCell ref="B241:B243"/>
    <mergeCell ref="C241:C243"/>
    <mergeCell ref="A244:A247"/>
    <mergeCell ref="B244:B247"/>
    <mergeCell ref="C244:C247"/>
    <mergeCell ref="C217:C220"/>
    <mergeCell ref="A222:A240"/>
    <mergeCell ref="B222:B240"/>
    <mergeCell ref="C222:C225"/>
    <mergeCell ref="C226:C228"/>
    <mergeCell ref="C229:C230"/>
    <mergeCell ref="C231:C233"/>
    <mergeCell ref="C234:C236"/>
    <mergeCell ref="C237:C240"/>
    <mergeCell ref="A263:A268"/>
    <mergeCell ref="B263:B268"/>
    <mergeCell ref="C263:C265"/>
    <mergeCell ref="C266:C267"/>
    <mergeCell ref="A248:A256"/>
    <mergeCell ref="B248:B256"/>
    <mergeCell ref="C248:C250"/>
    <mergeCell ref="C251:C254"/>
    <mergeCell ref="C255:C256"/>
    <mergeCell ref="A257:A262"/>
    <mergeCell ref="B257:B262"/>
    <mergeCell ref="C259:C260"/>
    <mergeCell ref="C261:C26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E53"/>
  <sheetViews>
    <sheetView zoomScale="110" zoomScaleNormal="110" workbookViewId="0">
      <selection activeCell="H17" sqref="H17"/>
    </sheetView>
  </sheetViews>
  <sheetFormatPr defaultRowHeight="15" x14ac:dyDescent="0.25"/>
  <cols>
    <col min="1" max="1" width="5.7109375" customWidth="1"/>
    <col min="2" max="2" width="40.7109375" customWidth="1"/>
    <col min="3" max="3" width="5.7109375" customWidth="1"/>
    <col min="4" max="4" width="50.7109375" customWidth="1"/>
    <col min="5" max="5" width="19.42578125" customWidth="1"/>
    <col min="7" max="7" width="38.28515625" customWidth="1"/>
  </cols>
  <sheetData>
    <row r="1" spans="1:5" ht="15.75" x14ac:dyDescent="0.25">
      <c r="A1" s="128" t="s">
        <v>164</v>
      </c>
    </row>
    <row r="3" spans="1:5" ht="30" x14ac:dyDescent="0.25">
      <c r="A3" s="135" t="s">
        <v>257</v>
      </c>
      <c r="B3" s="135" t="s">
        <v>264</v>
      </c>
      <c r="C3" s="135" t="s">
        <v>257</v>
      </c>
      <c r="D3" s="135" t="s">
        <v>265</v>
      </c>
      <c r="E3" s="135" t="s">
        <v>266</v>
      </c>
    </row>
    <row r="4" spans="1:5" x14ac:dyDescent="0.25">
      <c r="A4" s="446">
        <v>1</v>
      </c>
      <c r="B4" s="446" t="s">
        <v>267</v>
      </c>
      <c r="C4" s="140">
        <v>1</v>
      </c>
      <c r="D4" s="141" t="s">
        <v>289</v>
      </c>
      <c r="E4" s="142">
        <v>10</v>
      </c>
    </row>
    <row r="5" spans="1:5" x14ac:dyDescent="0.25">
      <c r="A5" s="447"/>
      <c r="B5" s="447"/>
      <c r="C5" s="140">
        <f>C4+1</f>
        <v>2</v>
      </c>
      <c r="D5" s="141" t="s">
        <v>268</v>
      </c>
      <c r="E5" s="142">
        <v>10</v>
      </c>
    </row>
    <row r="6" spans="1:5" x14ac:dyDescent="0.25">
      <c r="A6" s="447"/>
      <c r="B6" s="447"/>
      <c r="C6" s="140">
        <f>C5+1</f>
        <v>3</v>
      </c>
      <c r="D6" s="141" t="s">
        <v>985</v>
      </c>
      <c r="E6" s="142">
        <v>10</v>
      </c>
    </row>
    <row r="7" spans="1:5" x14ac:dyDescent="0.25">
      <c r="A7" s="447"/>
      <c r="B7" s="447"/>
      <c r="C7" s="140">
        <f>C6+1</f>
        <v>4</v>
      </c>
      <c r="D7" s="141" t="s">
        <v>981</v>
      </c>
      <c r="E7" s="142">
        <v>10</v>
      </c>
    </row>
    <row r="8" spans="1:5" x14ac:dyDescent="0.25">
      <c r="A8" s="448"/>
      <c r="B8" s="448"/>
      <c r="C8" s="140">
        <v>5</v>
      </c>
      <c r="D8" s="141" t="s">
        <v>971</v>
      </c>
      <c r="E8" s="142">
        <v>5</v>
      </c>
    </row>
    <row r="9" spans="1:5" x14ac:dyDescent="0.25">
      <c r="A9" s="444">
        <v>2</v>
      </c>
      <c r="B9" s="445" t="s">
        <v>269</v>
      </c>
      <c r="C9" s="140">
        <v>1</v>
      </c>
      <c r="D9" s="141" t="s">
        <v>270</v>
      </c>
      <c r="E9" s="142">
        <v>1</v>
      </c>
    </row>
    <row r="10" spans="1:5" x14ac:dyDescent="0.25">
      <c r="A10" s="444"/>
      <c r="B10" s="445"/>
      <c r="C10" s="140">
        <f>C9+1</f>
        <v>2</v>
      </c>
      <c r="D10" s="141" t="s">
        <v>271</v>
      </c>
      <c r="E10" s="142">
        <v>10</v>
      </c>
    </row>
    <row r="11" spans="1:5" x14ac:dyDescent="0.25">
      <c r="A11" s="444"/>
      <c r="B11" s="445"/>
      <c r="C11" s="140">
        <f>C10+1</f>
        <v>3</v>
      </c>
      <c r="D11" s="141"/>
      <c r="E11" s="142"/>
    </row>
    <row r="12" spans="1:5" ht="28.9" customHeight="1" x14ac:dyDescent="0.25">
      <c r="A12" s="446">
        <v>3</v>
      </c>
      <c r="B12" s="449" t="s">
        <v>272</v>
      </c>
      <c r="C12" s="140">
        <v>1</v>
      </c>
      <c r="D12" s="141"/>
      <c r="E12" s="142"/>
    </row>
    <row r="13" spans="1:5" x14ac:dyDescent="0.25">
      <c r="A13" s="447"/>
      <c r="B13" s="450"/>
      <c r="C13" s="140">
        <f>C12+1</f>
        <v>2</v>
      </c>
      <c r="D13" s="141"/>
      <c r="E13" s="142"/>
    </row>
    <row r="14" spans="1:5" x14ac:dyDescent="0.25">
      <c r="A14" s="448"/>
      <c r="B14" s="451"/>
      <c r="C14" s="140">
        <f>C13+1</f>
        <v>3</v>
      </c>
      <c r="D14" s="141"/>
      <c r="E14" s="142"/>
    </row>
    <row r="15" spans="1:5" x14ac:dyDescent="0.25">
      <c r="A15" s="444">
        <v>4</v>
      </c>
      <c r="B15" s="445" t="s">
        <v>273</v>
      </c>
      <c r="C15" s="140">
        <v>1</v>
      </c>
      <c r="D15" s="2" t="s">
        <v>274</v>
      </c>
      <c r="E15" s="142">
        <v>10</v>
      </c>
    </row>
    <row r="16" spans="1:5" x14ac:dyDescent="0.25">
      <c r="A16" s="444"/>
      <c r="B16" s="445"/>
      <c r="C16" s="140">
        <f>C15+1</f>
        <v>2</v>
      </c>
      <c r="D16" s="2" t="s">
        <v>964</v>
      </c>
      <c r="E16" s="142">
        <v>1</v>
      </c>
    </row>
    <row r="17" spans="1:5" x14ac:dyDescent="0.25">
      <c r="A17" s="444"/>
      <c r="B17" s="445"/>
      <c r="C17" s="140">
        <f>C16+1</f>
        <v>3</v>
      </c>
      <c r="D17" s="2"/>
      <c r="E17" s="2"/>
    </row>
    <row r="18" spans="1:5" x14ac:dyDescent="0.25">
      <c r="A18" s="444">
        <v>5</v>
      </c>
      <c r="B18" s="445" t="s">
        <v>275</v>
      </c>
      <c r="C18" s="140">
        <v>1</v>
      </c>
      <c r="D18" s="141" t="s">
        <v>276</v>
      </c>
      <c r="E18" s="142">
        <v>1</v>
      </c>
    </row>
    <row r="19" spans="1:5" x14ac:dyDescent="0.25">
      <c r="A19" s="444"/>
      <c r="B19" s="445"/>
      <c r="C19" s="140">
        <f>C18+1</f>
        <v>2</v>
      </c>
      <c r="D19" s="2"/>
      <c r="E19" s="2"/>
    </row>
    <row r="20" spans="1:5" x14ac:dyDescent="0.25">
      <c r="A20" s="444"/>
      <c r="B20" s="445"/>
      <c r="C20" s="140">
        <f>C19+1</f>
        <v>3</v>
      </c>
      <c r="D20" s="2"/>
      <c r="E20" s="2"/>
    </row>
    <row r="21" spans="1:5" x14ac:dyDescent="0.25">
      <c r="A21" s="444">
        <v>6</v>
      </c>
      <c r="B21" s="445" t="s">
        <v>277</v>
      </c>
      <c r="C21" s="140">
        <v>1</v>
      </c>
      <c r="D21" s="141"/>
      <c r="E21" s="142"/>
    </row>
    <row r="22" spans="1:5" x14ac:dyDescent="0.25">
      <c r="A22" s="444"/>
      <c r="B22" s="445"/>
      <c r="C22" s="140">
        <f>C21+1</f>
        <v>2</v>
      </c>
      <c r="D22" s="2"/>
      <c r="E22" s="2"/>
    </row>
    <row r="23" spans="1:5" x14ac:dyDescent="0.25">
      <c r="A23" s="444"/>
      <c r="B23" s="445"/>
      <c r="C23" s="140">
        <f>C22+1</f>
        <v>3</v>
      </c>
      <c r="D23" s="2"/>
      <c r="E23" s="2"/>
    </row>
    <row r="24" spans="1:5" x14ac:dyDescent="0.25">
      <c r="A24" s="444">
        <v>7</v>
      </c>
      <c r="B24" s="445" t="s">
        <v>278</v>
      </c>
      <c r="C24" s="140">
        <v>1</v>
      </c>
      <c r="D24" s="141"/>
      <c r="E24" s="142"/>
    </row>
    <row r="25" spans="1:5" x14ac:dyDescent="0.25">
      <c r="A25" s="444"/>
      <c r="B25" s="445"/>
      <c r="C25" s="140">
        <f>C24+1</f>
        <v>2</v>
      </c>
      <c r="D25" s="2"/>
      <c r="E25" s="2"/>
    </row>
    <row r="26" spans="1:5" x14ac:dyDescent="0.25">
      <c r="A26" s="444"/>
      <c r="B26" s="445"/>
      <c r="C26" s="140">
        <f>C25+1</f>
        <v>3</v>
      </c>
      <c r="D26" s="2"/>
      <c r="E26" s="2"/>
    </row>
    <row r="27" spans="1:5" x14ac:dyDescent="0.25">
      <c r="A27" s="444">
        <v>8</v>
      </c>
      <c r="B27" s="445" t="s">
        <v>279</v>
      </c>
      <c r="C27" s="140">
        <v>1</v>
      </c>
      <c r="D27" s="141"/>
      <c r="E27" s="142"/>
    </row>
    <row r="28" spans="1:5" x14ac:dyDescent="0.25">
      <c r="A28" s="444"/>
      <c r="B28" s="445"/>
      <c r="C28" s="140">
        <f>C27+1</f>
        <v>2</v>
      </c>
      <c r="D28" s="2"/>
      <c r="E28" s="2"/>
    </row>
    <row r="29" spans="1:5" x14ac:dyDescent="0.25">
      <c r="A29" s="444"/>
      <c r="B29" s="445"/>
      <c r="C29" s="140">
        <f>C28+1</f>
        <v>3</v>
      </c>
      <c r="D29" s="2"/>
      <c r="E29" s="2"/>
    </row>
    <row r="30" spans="1:5" x14ac:dyDescent="0.25">
      <c r="A30" s="444">
        <v>9</v>
      </c>
      <c r="B30" s="445" t="s">
        <v>280</v>
      </c>
      <c r="C30" s="140">
        <v>1</v>
      </c>
      <c r="D30" s="141"/>
      <c r="E30" s="142"/>
    </row>
    <row r="31" spans="1:5" x14ac:dyDescent="0.25">
      <c r="A31" s="444"/>
      <c r="B31" s="445"/>
      <c r="C31" s="140">
        <f>C30+1</f>
        <v>2</v>
      </c>
      <c r="D31" s="2"/>
      <c r="E31" s="2"/>
    </row>
    <row r="32" spans="1:5" x14ac:dyDescent="0.25">
      <c r="A32" s="444"/>
      <c r="B32" s="445"/>
      <c r="C32" s="140">
        <f>C31+1</f>
        <v>3</v>
      </c>
      <c r="D32" s="2"/>
      <c r="E32" s="2"/>
    </row>
    <row r="33" spans="1:5" x14ac:dyDescent="0.25">
      <c r="A33" s="444">
        <v>10</v>
      </c>
      <c r="B33" s="445" t="s">
        <v>281</v>
      </c>
      <c r="C33" s="140">
        <v>1</v>
      </c>
      <c r="D33" s="141"/>
      <c r="E33" s="142"/>
    </row>
    <row r="34" spans="1:5" x14ac:dyDescent="0.25">
      <c r="A34" s="444"/>
      <c r="B34" s="445"/>
      <c r="C34" s="140">
        <f>C33+1</f>
        <v>2</v>
      </c>
      <c r="D34" s="2"/>
      <c r="E34" s="2"/>
    </row>
    <row r="35" spans="1:5" x14ac:dyDescent="0.25">
      <c r="A35" s="444"/>
      <c r="B35" s="445"/>
      <c r="C35" s="140">
        <f>C34+1</f>
        <v>3</v>
      </c>
      <c r="D35" s="2"/>
      <c r="E35" s="2"/>
    </row>
    <row r="36" spans="1:5" x14ac:dyDescent="0.25">
      <c r="A36" s="444">
        <v>11</v>
      </c>
      <c r="B36" s="445" t="s">
        <v>282</v>
      </c>
      <c r="C36" s="140">
        <v>1</v>
      </c>
      <c r="D36" s="141"/>
      <c r="E36" s="142"/>
    </row>
    <row r="37" spans="1:5" x14ac:dyDescent="0.25">
      <c r="A37" s="444"/>
      <c r="B37" s="445"/>
      <c r="C37" s="140">
        <f>C36+1</f>
        <v>2</v>
      </c>
      <c r="D37" s="2"/>
      <c r="E37" s="2"/>
    </row>
    <row r="38" spans="1:5" x14ac:dyDescent="0.25">
      <c r="A38" s="444"/>
      <c r="B38" s="445"/>
      <c r="C38" s="140">
        <f>C37+1</f>
        <v>3</v>
      </c>
      <c r="D38" s="2"/>
      <c r="E38" s="2"/>
    </row>
    <row r="39" spans="1:5" x14ac:dyDescent="0.25">
      <c r="A39" s="444">
        <v>12</v>
      </c>
      <c r="B39" s="445" t="s">
        <v>283</v>
      </c>
      <c r="C39" s="140">
        <v>1</v>
      </c>
      <c r="D39" s="141"/>
      <c r="E39" s="142"/>
    </row>
    <row r="40" spans="1:5" x14ac:dyDescent="0.25">
      <c r="A40" s="444"/>
      <c r="B40" s="445"/>
      <c r="C40" s="140">
        <f>C39+1</f>
        <v>2</v>
      </c>
      <c r="D40" s="2"/>
      <c r="E40" s="2"/>
    </row>
    <row r="41" spans="1:5" x14ac:dyDescent="0.25">
      <c r="A41" s="444"/>
      <c r="B41" s="445"/>
      <c r="C41" s="140">
        <f>C40+1</f>
        <v>3</v>
      </c>
      <c r="D41" s="2"/>
      <c r="E41" s="2"/>
    </row>
    <row r="42" spans="1:5" x14ac:dyDescent="0.25">
      <c r="A42" s="444">
        <v>13</v>
      </c>
      <c r="B42" s="445" t="s">
        <v>284</v>
      </c>
      <c r="C42" s="140">
        <v>1</v>
      </c>
      <c r="D42" s="141"/>
      <c r="E42" s="142"/>
    </row>
    <row r="43" spans="1:5" x14ac:dyDescent="0.25">
      <c r="A43" s="444"/>
      <c r="B43" s="445"/>
      <c r="C43" s="140">
        <f>C42+1</f>
        <v>2</v>
      </c>
      <c r="D43" s="2"/>
      <c r="E43" s="2"/>
    </row>
    <row r="44" spans="1:5" x14ac:dyDescent="0.25">
      <c r="A44" s="444"/>
      <c r="B44" s="445"/>
      <c r="C44" s="140">
        <f>C43+1</f>
        <v>3</v>
      </c>
      <c r="D44" s="2"/>
      <c r="E44" s="2"/>
    </row>
    <row r="45" spans="1:5" x14ac:dyDescent="0.25">
      <c r="A45" s="444">
        <v>14</v>
      </c>
      <c r="B45" s="445" t="s">
        <v>285</v>
      </c>
      <c r="C45" s="140">
        <v>1</v>
      </c>
      <c r="D45" s="141"/>
      <c r="E45" s="142"/>
    </row>
    <row r="46" spans="1:5" x14ac:dyDescent="0.25">
      <c r="A46" s="444"/>
      <c r="B46" s="445"/>
      <c r="C46" s="140">
        <f>C45+1</f>
        <v>2</v>
      </c>
      <c r="D46" s="2"/>
      <c r="E46" s="2"/>
    </row>
    <row r="47" spans="1:5" x14ac:dyDescent="0.25">
      <c r="A47" s="444"/>
      <c r="B47" s="445"/>
      <c r="C47" s="140">
        <f>C46+1</f>
        <v>3</v>
      </c>
      <c r="D47" s="2"/>
      <c r="E47" s="2"/>
    </row>
    <row r="48" spans="1:5" x14ac:dyDescent="0.25">
      <c r="A48" s="444">
        <v>15</v>
      </c>
      <c r="B48" s="445" t="s">
        <v>286</v>
      </c>
      <c r="C48" s="140">
        <v>1</v>
      </c>
      <c r="D48" s="141"/>
      <c r="E48" s="142"/>
    </row>
    <row r="49" spans="1:5" x14ac:dyDescent="0.25">
      <c r="A49" s="444"/>
      <c r="B49" s="445"/>
      <c r="C49" s="140">
        <f>C48+1</f>
        <v>2</v>
      </c>
      <c r="D49" s="2"/>
      <c r="E49" s="2"/>
    </row>
    <row r="50" spans="1:5" x14ac:dyDescent="0.25">
      <c r="A50" s="444"/>
      <c r="B50" s="445"/>
      <c r="C50" s="140">
        <f>C49+1</f>
        <v>3</v>
      </c>
      <c r="D50" s="2"/>
      <c r="E50" s="2"/>
    </row>
    <row r="51" spans="1:5" x14ac:dyDescent="0.25">
      <c r="A51" s="444">
        <v>16</v>
      </c>
      <c r="B51" s="445" t="s">
        <v>287</v>
      </c>
      <c r="C51" s="140">
        <v>1</v>
      </c>
      <c r="D51" s="141"/>
      <c r="E51" s="142"/>
    </row>
    <row r="52" spans="1:5" x14ac:dyDescent="0.25">
      <c r="A52" s="444"/>
      <c r="B52" s="445"/>
      <c r="C52" s="140">
        <f>C51+1</f>
        <v>2</v>
      </c>
      <c r="D52" s="2"/>
      <c r="E52" s="2"/>
    </row>
    <row r="53" spans="1:5" x14ac:dyDescent="0.25">
      <c r="A53" s="444"/>
      <c r="B53" s="445"/>
      <c r="C53" s="140">
        <f>C52+1</f>
        <v>3</v>
      </c>
      <c r="D53" s="2"/>
      <c r="E53" s="2"/>
    </row>
  </sheetData>
  <autoFilter ref="A3:E3"/>
  <mergeCells count="32">
    <mergeCell ref="A4:A8"/>
    <mergeCell ref="B4:B8"/>
    <mergeCell ref="A9:A11"/>
    <mergeCell ref="B9:B11"/>
    <mergeCell ref="A12:A14"/>
    <mergeCell ref="B12:B14"/>
    <mergeCell ref="A15:A17"/>
    <mergeCell ref="B15:B17"/>
    <mergeCell ref="A18:A20"/>
    <mergeCell ref="B18:B20"/>
    <mergeCell ref="A21:A23"/>
    <mergeCell ref="B21:B23"/>
    <mergeCell ref="A24:A26"/>
    <mergeCell ref="B24:B26"/>
    <mergeCell ref="A27:A29"/>
    <mergeCell ref="B27:B29"/>
    <mergeCell ref="A30:A32"/>
    <mergeCell ref="B30:B32"/>
    <mergeCell ref="A33:A35"/>
    <mergeCell ref="B33:B35"/>
    <mergeCell ref="A36:A38"/>
    <mergeCell ref="B36:B38"/>
    <mergeCell ref="A39:A41"/>
    <mergeCell ref="B39:B41"/>
    <mergeCell ref="A51:A53"/>
    <mergeCell ref="B51:B53"/>
    <mergeCell ref="A42:A44"/>
    <mergeCell ref="B42:B44"/>
    <mergeCell ref="A45:A47"/>
    <mergeCell ref="B45:B47"/>
    <mergeCell ref="A48:A50"/>
    <mergeCell ref="B48:B50"/>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'В3.Группы оборудования'!$B$2:$B$11</xm:f>
          </x14:formula1>
          <xm:sqref>B4 B9:B12</xm:sqref>
        </x14:dataValidation>
        <x14:dataValidation type="list" allowBlank="1" showInputMessage="1" showErrorMessage="1">
          <x14:formula1>
            <xm:f>'В3.Группы оборудования'!$B$2:$B$17</xm:f>
          </x14:formula1>
          <xm:sqref>B15:B53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F53"/>
  <sheetViews>
    <sheetView zoomScale="110" zoomScaleNormal="110" workbookViewId="0">
      <selection activeCell="K21" sqref="K21"/>
    </sheetView>
  </sheetViews>
  <sheetFormatPr defaultRowHeight="15" x14ac:dyDescent="0.25"/>
  <cols>
    <col min="1" max="1" width="5.7109375" customWidth="1"/>
    <col min="2" max="2" width="40.7109375" customWidth="1"/>
    <col min="3" max="3" width="5.7109375" customWidth="1"/>
    <col min="4" max="4" width="50.7109375" customWidth="1"/>
    <col min="5" max="5" width="20.7109375" customWidth="1"/>
    <col min="6" max="6" width="15.7109375" customWidth="1"/>
  </cols>
  <sheetData>
    <row r="1" spans="1:6" ht="15.75" x14ac:dyDescent="0.25">
      <c r="A1" s="128" t="s">
        <v>166</v>
      </c>
    </row>
    <row r="3" spans="1:6" ht="30" x14ac:dyDescent="0.25">
      <c r="A3" s="135" t="s">
        <v>257</v>
      </c>
      <c r="B3" s="135" t="s">
        <v>264</v>
      </c>
      <c r="C3" s="135" t="s">
        <v>257</v>
      </c>
      <c r="D3" s="135" t="s">
        <v>265</v>
      </c>
      <c r="E3" s="135" t="s">
        <v>288</v>
      </c>
      <c r="F3" s="135" t="s">
        <v>262</v>
      </c>
    </row>
    <row r="4" spans="1:6" x14ac:dyDescent="0.25">
      <c r="A4" s="446">
        <v>1</v>
      </c>
      <c r="B4" s="449" t="s">
        <v>267</v>
      </c>
      <c r="C4" s="140">
        <v>1</v>
      </c>
      <c r="D4" s="141" t="s">
        <v>289</v>
      </c>
      <c r="E4" s="241">
        <v>1412.3333333333333</v>
      </c>
      <c r="F4" s="143">
        <v>45139</v>
      </c>
    </row>
    <row r="5" spans="1:6" x14ac:dyDescent="0.25">
      <c r="A5" s="447"/>
      <c r="B5" s="450"/>
      <c r="C5" s="140">
        <f>C4+1</f>
        <v>2</v>
      </c>
      <c r="D5" s="141" t="s">
        <v>268</v>
      </c>
      <c r="E5" s="241">
        <v>10200</v>
      </c>
      <c r="F5" s="143">
        <v>45139</v>
      </c>
    </row>
    <row r="6" spans="1:6" x14ac:dyDescent="0.25">
      <c r="A6" s="447"/>
      <c r="B6" s="450"/>
      <c r="C6" s="140">
        <f>C5+1</f>
        <v>3</v>
      </c>
      <c r="D6" s="141" t="s">
        <v>985</v>
      </c>
      <c r="E6" s="241">
        <v>27800</v>
      </c>
      <c r="F6" s="143">
        <v>45139</v>
      </c>
    </row>
    <row r="7" spans="1:6" x14ac:dyDescent="0.25">
      <c r="A7" s="447"/>
      <c r="B7" s="450"/>
      <c r="C7" s="140">
        <f>C6+1</f>
        <v>4</v>
      </c>
      <c r="D7" s="141" t="s">
        <v>981</v>
      </c>
      <c r="E7" s="241">
        <v>30500</v>
      </c>
      <c r="F7" s="143">
        <v>45139</v>
      </c>
    </row>
    <row r="8" spans="1:6" x14ac:dyDescent="0.25">
      <c r="A8" s="448"/>
      <c r="B8" s="451"/>
      <c r="C8" s="140">
        <v>5</v>
      </c>
      <c r="D8" s="141" t="s">
        <v>971</v>
      </c>
      <c r="E8" s="241">
        <v>3500</v>
      </c>
      <c r="F8" s="143">
        <v>45139</v>
      </c>
    </row>
    <row r="9" spans="1:6" ht="14.45" customHeight="1" x14ac:dyDescent="0.25">
      <c r="A9" s="444">
        <v>2</v>
      </c>
      <c r="B9" s="445" t="s">
        <v>269</v>
      </c>
      <c r="C9" s="140">
        <v>1</v>
      </c>
      <c r="D9" s="141" t="s">
        <v>270</v>
      </c>
      <c r="E9" s="241">
        <v>259</v>
      </c>
      <c r="F9" s="143">
        <v>45139</v>
      </c>
    </row>
    <row r="10" spans="1:6" x14ac:dyDescent="0.25">
      <c r="A10" s="444"/>
      <c r="B10" s="445"/>
      <c r="C10" s="140">
        <f>C9+1</f>
        <v>2</v>
      </c>
      <c r="D10" s="141" t="s">
        <v>1143</v>
      </c>
      <c r="E10" s="241">
        <v>2100</v>
      </c>
      <c r="F10" s="143">
        <v>45139</v>
      </c>
    </row>
    <row r="11" spans="1:6" x14ac:dyDescent="0.25">
      <c r="A11" s="444"/>
      <c r="B11" s="445"/>
      <c r="C11" s="140">
        <f>C10+1</f>
        <v>3</v>
      </c>
      <c r="D11" s="141"/>
      <c r="E11" s="142"/>
      <c r="F11" s="2"/>
    </row>
    <row r="12" spans="1:6" ht="28.9" customHeight="1" x14ac:dyDescent="0.25">
      <c r="A12" s="446">
        <v>3</v>
      </c>
      <c r="B12" s="449" t="s">
        <v>272</v>
      </c>
      <c r="C12" s="140">
        <v>1</v>
      </c>
      <c r="D12" s="141"/>
      <c r="E12" s="142"/>
      <c r="F12" s="2"/>
    </row>
    <row r="13" spans="1:6" x14ac:dyDescent="0.25">
      <c r="A13" s="447"/>
      <c r="B13" s="450"/>
      <c r="C13" s="140">
        <f>C12+1</f>
        <v>2</v>
      </c>
      <c r="D13" s="141"/>
      <c r="E13" s="142"/>
      <c r="F13" s="2"/>
    </row>
    <row r="14" spans="1:6" x14ac:dyDescent="0.25">
      <c r="A14" s="448"/>
      <c r="B14" s="451"/>
      <c r="C14" s="140">
        <f>C13+1</f>
        <v>3</v>
      </c>
      <c r="D14" s="141"/>
      <c r="E14" s="142"/>
      <c r="F14" s="2"/>
    </row>
    <row r="15" spans="1:6" x14ac:dyDescent="0.25">
      <c r="A15" s="446">
        <v>4</v>
      </c>
      <c r="B15" s="445" t="s">
        <v>273</v>
      </c>
      <c r="C15" s="140">
        <v>1</v>
      </c>
      <c r="D15" s="2" t="s">
        <v>274</v>
      </c>
      <c r="E15" s="241">
        <v>2500</v>
      </c>
      <c r="F15" s="143">
        <v>45139</v>
      </c>
    </row>
    <row r="16" spans="1:6" x14ac:dyDescent="0.25">
      <c r="A16" s="447"/>
      <c r="B16" s="445"/>
      <c r="C16" s="140">
        <f>C15+1</f>
        <v>2</v>
      </c>
      <c r="D16" s="2" t="s">
        <v>964</v>
      </c>
      <c r="E16" s="241">
        <v>4500</v>
      </c>
      <c r="F16" s="143">
        <v>45139</v>
      </c>
    </row>
    <row r="17" spans="1:6" x14ac:dyDescent="0.25">
      <c r="A17" s="448"/>
      <c r="B17" s="445"/>
      <c r="C17" s="140">
        <f>C16+1</f>
        <v>3</v>
      </c>
      <c r="D17" s="2"/>
      <c r="E17" s="241"/>
      <c r="F17" s="2"/>
    </row>
    <row r="18" spans="1:6" ht="14.45" customHeight="1" x14ac:dyDescent="0.25">
      <c r="A18" s="446">
        <v>5</v>
      </c>
      <c r="B18" s="445" t="s">
        <v>275</v>
      </c>
      <c r="C18" s="140">
        <v>1</v>
      </c>
      <c r="D18" s="141" t="s">
        <v>276</v>
      </c>
      <c r="E18" s="241">
        <v>2850</v>
      </c>
      <c r="F18" s="143">
        <v>45139</v>
      </c>
    </row>
    <row r="19" spans="1:6" x14ac:dyDescent="0.25">
      <c r="A19" s="447"/>
      <c r="B19" s="445"/>
      <c r="C19" s="140">
        <f>C18+1</f>
        <v>2</v>
      </c>
      <c r="D19" s="2"/>
      <c r="E19" s="2"/>
      <c r="F19" s="2"/>
    </row>
    <row r="20" spans="1:6" x14ac:dyDescent="0.25">
      <c r="A20" s="448"/>
      <c r="B20" s="445"/>
      <c r="C20" s="140">
        <f>C19+1</f>
        <v>3</v>
      </c>
      <c r="D20" s="2"/>
      <c r="E20" s="2"/>
      <c r="F20" s="2"/>
    </row>
    <row r="21" spans="1:6" x14ac:dyDescent="0.25">
      <c r="A21" s="446">
        <v>6</v>
      </c>
      <c r="B21" s="445" t="s">
        <v>277</v>
      </c>
      <c r="C21" s="140">
        <v>1</v>
      </c>
      <c r="D21" s="141"/>
      <c r="E21" s="142"/>
      <c r="F21" s="2"/>
    </row>
    <row r="22" spans="1:6" x14ac:dyDescent="0.25">
      <c r="A22" s="447"/>
      <c r="B22" s="445"/>
      <c r="C22" s="140">
        <f>C21+1</f>
        <v>2</v>
      </c>
      <c r="D22" s="2"/>
      <c r="E22" s="2"/>
      <c r="F22" s="2"/>
    </row>
    <row r="23" spans="1:6" x14ac:dyDescent="0.25">
      <c r="A23" s="448"/>
      <c r="B23" s="445"/>
      <c r="C23" s="140">
        <f>C22+1</f>
        <v>3</v>
      </c>
      <c r="D23" s="2"/>
      <c r="E23" s="2"/>
      <c r="F23" s="2"/>
    </row>
    <row r="24" spans="1:6" x14ac:dyDescent="0.25">
      <c r="A24" s="446">
        <v>7</v>
      </c>
      <c r="B24" s="445" t="s">
        <v>278</v>
      </c>
      <c r="C24" s="140">
        <v>1</v>
      </c>
      <c r="D24" s="141"/>
      <c r="E24" s="142"/>
      <c r="F24" s="2"/>
    </row>
    <row r="25" spans="1:6" x14ac:dyDescent="0.25">
      <c r="A25" s="447"/>
      <c r="B25" s="445"/>
      <c r="C25" s="140">
        <f>C24+1</f>
        <v>2</v>
      </c>
      <c r="D25" s="2"/>
      <c r="E25" s="2"/>
      <c r="F25" s="2"/>
    </row>
    <row r="26" spans="1:6" x14ac:dyDescent="0.25">
      <c r="A26" s="448"/>
      <c r="B26" s="445"/>
      <c r="C26" s="140">
        <f>C25+1</f>
        <v>3</v>
      </c>
      <c r="D26" s="2"/>
      <c r="E26" s="2"/>
      <c r="F26" s="2"/>
    </row>
    <row r="27" spans="1:6" x14ac:dyDescent="0.25">
      <c r="A27" s="444">
        <v>8</v>
      </c>
      <c r="B27" s="445" t="s">
        <v>279</v>
      </c>
      <c r="C27" s="140">
        <v>1</v>
      </c>
      <c r="D27" s="141"/>
      <c r="E27" s="142"/>
      <c r="F27" s="2"/>
    </row>
    <row r="28" spans="1:6" x14ac:dyDescent="0.25">
      <c r="A28" s="444"/>
      <c r="B28" s="445"/>
      <c r="C28" s="140">
        <f>C27+1</f>
        <v>2</v>
      </c>
      <c r="D28" s="2"/>
      <c r="E28" s="2"/>
      <c r="F28" s="2"/>
    </row>
    <row r="29" spans="1:6" x14ac:dyDescent="0.25">
      <c r="A29" s="444"/>
      <c r="B29" s="445"/>
      <c r="C29" s="140">
        <f>C28+1</f>
        <v>3</v>
      </c>
      <c r="D29" s="2"/>
      <c r="E29" s="2"/>
      <c r="F29" s="2"/>
    </row>
    <row r="30" spans="1:6" x14ac:dyDescent="0.25">
      <c r="A30" s="444">
        <v>9</v>
      </c>
      <c r="B30" s="445" t="s">
        <v>280</v>
      </c>
      <c r="C30" s="140">
        <v>1</v>
      </c>
      <c r="D30" s="141"/>
      <c r="E30" s="142"/>
      <c r="F30" s="2"/>
    </row>
    <row r="31" spans="1:6" x14ac:dyDescent="0.25">
      <c r="A31" s="444"/>
      <c r="B31" s="445"/>
      <c r="C31" s="140">
        <f>C30+1</f>
        <v>2</v>
      </c>
      <c r="D31" s="2"/>
      <c r="E31" s="2"/>
      <c r="F31" s="2"/>
    </row>
    <row r="32" spans="1:6" x14ac:dyDescent="0.25">
      <c r="A32" s="444"/>
      <c r="B32" s="445"/>
      <c r="C32" s="140">
        <f>C31+1</f>
        <v>3</v>
      </c>
      <c r="D32" s="2"/>
      <c r="E32" s="2"/>
      <c r="F32" s="2"/>
    </row>
    <row r="33" spans="1:6" x14ac:dyDescent="0.25">
      <c r="A33" s="444">
        <v>10</v>
      </c>
      <c r="B33" s="445" t="s">
        <v>281</v>
      </c>
      <c r="C33" s="140">
        <v>1</v>
      </c>
      <c r="D33" s="141"/>
      <c r="E33" s="142"/>
      <c r="F33" s="2"/>
    </row>
    <row r="34" spans="1:6" x14ac:dyDescent="0.25">
      <c r="A34" s="444"/>
      <c r="B34" s="445"/>
      <c r="C34" s="140">
        <f>C33+1</f>
        <v>2</v>
      </c>
      <c r="D34" s="2"/>
      <c r="E34" s="2"/>
      <c r="F34" s="2"/>
    </row>
    <row r="35" spans="1:6" x14ac:dyDescent="0.25">
      <c r="A35" s="444"/>
      <c r="B35" s="445"/>
      <c r="C35" s="140">
        <f>C34+1</f>
        <v>3</v>
      </c>
      <c r="D35" s="2"/>
      <c r="E35" s="2"/>
      <c r="F35" s="2"/>
    </row>
    <row r="36" spans="1:6" x14ac:dyDescent="0.25">
      <c r="A36" s="444">
        <v>11</v>
      </c>
      <c r="B36" s="445" t="s">
        <v>282</v>
      </c>
      <c r="C36" s="140">
        <v>1</v>
      </c>
      <c r="D36" s="141"/>
      <c r="E36" s="142"/>
      <c r="F36" s="2"/>
    </row>
    <row r="37" spans="1:6" x14ac:dyDescent="0.25">
      <c r="A37" s="444"/>
      <c r="B37" s="445"/>
      <c r="C37" s="140">
        <f>C36+1</f>
        <v>2</v>
      </c>
      <c r="D37" s="2"/>
      <c r="E37" s="2"/>
      <c r="F37" s="2"/>
    </row>
    <row r="38" spans="1:6" x14ac:dyDescent="0.25">
      <c r="A38" s="444"/>
      <c r="B38" s="445"/>
      <c r="C38" s="140">
        <f>C37+1</f>
        <v>3</v>
      </c>
      <c r="D38" s="2"/>
      <c r="E38" s="2"/>
      <c r="F38" s="2"/>
    </row>
    <row r="39" spans="1:6" x14ac:dyDescent="0.25">
      <c r="A39" s="444">
        <v>12</v>
      </c>
      <c r="B39" s="445" t="s">
        <v>283</v>
      </c>
      <c r="C39" s="140">
        <v>1</v>
      </c>
      <c r="D39" s="141"/>
      <c r="E39" s="142"/>
      <c r="F39" s="2"/>
    </row>
    <row r="40" spans="1:6" x14ac:dyDescent="0.25">
      <c r="A40" s="444"/>
      <c r="B40" s="445"/>
      <c r="C40" s="140">
        <f>C39+1</f>
        <v>2</v>
      </c>
      <c r="D40" s="2"/>
      <c r="E40" s="2"/>
      <c r="F40" s="2"/>
    </row>
    <row r="41" spans="1:6" x14ac:dyDescent="0.25">
      <c r="A41" s="444"/>
      <c r="B41" s="445"/>
      <c r="C41" s="140">
        <f>C40+1</f>
        <v>3</v>
      </c>
      <c r="D41" s="2"/>
      <c r="E41" s="2"/>
      <c r="F41" s="2"/>
    </row>
    <row r="42" spans="1:6" x14ac:dyDescent="0.25">
      <c r="A42" s="444">
        <v>13</v>
      </c>
      <c r="B42" s="445" t="s">
        <v>284</v>
      </c>
      <c r="C42" s="140">
        <v>1</v>
      </c>
      <c r="D42" s="141"/>
      <c r="E42" s="142"/>
      <c r="F42" s="2"/>
    </row>
    <row r="43" spans="1:6" x14ac:dyDescent="0.25">
      <c r="A43" s="444"/>
      <c r="B43" s="445"/>
      <c r="C43" s="140">
        <f>C42+1</f>
        <v>2</v>
      </c>
      <c r="D43" s="2"/>
      <c r="E43" s="2"/>
      <c r="F43" s="2"/>
    </row>
    <row r="44" spans="1:6" x14ac:dyDescent="0.25">
      <c r="A44" s="444"/>
      <c r="B44" s="445"/>
      <c r="C44" s="140">
        <f>C43+1</f>
        <v>3</v>
      </c>
      <c r="D44" s="2"/>
      <c r="E44" s="2"/>
      <c r="F44" s="2"/>
    </row>
    <row r="45" spans="1:6" x14ac:dyDescent="0.25">
      <c r="A45" s="444">
        <v>14</v>
      </c>
      <c r="B45" s="445" t="s">
        <v>285</v>
      </c>
      <c r="C45" s="140">
        <v>1</v>
      </c>
      <c r="D45" s="141"/>
      <c r="E45" s="142"/>
      <c r="F45" s="2"/>
    </row>
    <row r="46" spans="1:6" x14ac:dyDescent="0.25">
      <c r="A46" s="444"/>
      <c r="B46" s="445"/>
      <c r="C46" s="140">
        <f>C45+1</f>
        <v>2</v>
      </c>
      <c r="D46" s="2"/>
      <c r="E46" s="2"/>
      <c r="F46" s="2"/>
    </row>
    <row r="47" spans="1:6" x14ac:dyDescent="0.25">
      <c r="A47" s="444"/>
      <c r="B47" s="445"/>
      <c r="C47" s="140">
        <f>C46+1</f>
        <v>3</v>
      </c>
      <c r="D47" s="2"/>
      <c r="E47" s="2"/>
      <c r="F47" s="2"/>
    </row>
    <row r="48" spans="1:6" x14ac:dyDescent="0.25">
      <c r="A48" s="444">
        <v>15</v>
      </c>
      <c r="B48" s="445" t="s">
        <v>286</v>
      </c>
      <c r="C48" s="140">
        <v>1</v>
      </c>
      <c r="D48" s="141"/>
      <c r="E48" s="142"/>
      <c r="F48" s="2"/>
    </row>
    <row r="49" spans="1:6" x14ac:dyDescent="0.25">
      <c r="A49" s="444"/>
      <c r="B49" s="445"/>
      <c r="C49" s="140">
        <f>C48+1</f>
        <v>2</v>
      </c>
      <c r="D49" s="2"/>
      <c r="E49" s="2"/>
      <c r="F49" s="2"/>
    </row>
    <row r="50" spans="1:6" x14ac:dyDescent="0.25">
      <c r="A50" s="444"/>
      <c r="B50" s="445"/>
      <c r="C50" s="140">
        <f>C49+1</f>
        <v>3</v>
      </c>
      <c r="D50" s="2"/>
      <c r="E50" s="2"/>
      <c r="F50" s="2"/>
    </row>
    <row r="51" spans="1:6" x14ac:dyDescent="0.25">
      <c r="A51" s="444">
        <v>16</v>
      </c>
      <c r="B51" s="445" t="s">
        <v>287</v>
      </c>
      <c r="C51" s="140">
        <v>1</v>
      </c>
      <c r="D51" s="141"/>
      <c r="E51" s="142"/>
      <c r="F51" s="2"/>
    </row>
    <row r="52" spans="1:6" x14ac:dyDescent="0.25">
      <c r="A52" s="444"/>
      <c r="B52" s="445"/>
      <c r="C52" s="140">
        <f>C51+1</f>
        <v>2</v>
      </c>
      <c r="D52" s="2"/>
      <c r="E52" s="2"/>
      <c r="F52" s="2"/>
    </row>
    <row r="53" spans="1:6" x14ac:dyDescent="0.25">
      <c r="A53" s="444"/>
      <c r="B53" s="445"/>
      <c r="C53" s="140">
        <f>C52+1</f>
        <v>3</v>
      </c>
      <c r="D53" s="2"/>
      <c r="E53" s="2"/>
      <c r="F53" s="2"/>
    </row>
  </sheetData>
  <mergeCells count="32">
    <mergeCell ref="A4:A8"/>
    <mergeCell ref="B4:B8"/>
    <mergeCell ref="A9:A11"/>
    <mergeCell ref="B9:B11"/>
    <mergeCell ref="A12:A14"/>
    <mergeCell ref="B12:B14"/>
    <mergeCell ref="A15:A17"/>
    <mergeCell ref="B15:B17"/>
    <mergeCell ref="A18:A20"/>
    <mergeCell ref="B18:B20"/>
    <mergeCell ref="A21:A23"/>
    <mergeCell ref="B21:B23"/>
    <mergeCell ref="A24:A26"/>
    <mergeCell ref="B24:B26"/>
    <mergeCell ref="A27:A29"/>
    <mergeCell ref="B27:B29"/>
    <mergeCell ref="A30:A32"/>
    <mergeCell ref="B30:B32"/>
    <mergeCell ref="A33:A35"/>
    <mergeCell ref="B33:B35"/>
    <mergeCell ref="A36:A38"/>
    <mergeCell ref="B36:B38"/>
    <mergeCell ref="A39:A41"/>
    <mergeCell ref="B39:B41"/>
    <mergeCell ref="A51:A53"/>
    <mergeCell ref="B51:B53"/>
    <mergeCell ref="A42:A44"/>
    <mergeCell ref="B42:B44"/>
    <mergeCell ref="A45:A47"/>
    <mergeCell ref="B45:B47"/>
    <mergeCell ref="A48:A50"/>
    <mergeCell ref="B48:B50"/>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'В3.Группы оборудования'!$B$2:$B$11</xm:f>
          </x14:formula1>
          <xm:sqref>B4 B9:B12</xm:sqref>
        </x14:dataValidation>
        <x14:dataValidation type="list" allowBlank="1" showInputMessage="1" showErrorMessage="1">
          <x14:formula1>
            <xm:f>'В3.Группы оборудования'!$B$2:$B$17</xm:f>
          </x14:formula1>
          <xm:sqref>B15:B53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E53"/>
  <sheetViews>
    <sheetView topLeftCell="A2" zoomScale="120" zoomScaleNormal="120" workbookViewId="0">
      <selection activeCell="I11" sqref="I11"/>
    </sheetView>
  </sheetViews>
  <sheetFormatPr defaultRowHeight="15" x14ac:dyDescent="0.25"/>
  <cols>
    <col min="1" max="1" width="5.7109375" customWidth="1"/>
    <col min="2" max="2" width="40.7109375" customWidth="1"/>
    <col min="3" max="3" width="5.7109375" customWidth="1"/>
    <col min="4" max="4" width="50.7109375" customWidth="1"/>
    <col min="5" max="5" width="24.28515625" customWidth="1"/>
  </cols>
  <sheetData>
    <row r="1" spans="1:5" ht="15.75" x14ac:dyDescent="0.25">
      <c r="A1" s="128" t="s">
        <v>168</v>
      </c>
    </row>
    <row r="3" spans="1:5" ht="30" x14ac:dyDescent="0.25">
      <c r="A3" s="135" t="s">
        <v>257</v>
      </c>
      <c r="B3" s="135" t="s">
        <v>264</v>
      </c>
      <c r="C3" s="135" t="s">
        <v>257</v>
      </c>
      <c r="D3" s="135" t="s">
        <v>265</v>
      </c>
      <c r="E3" s="135" t="s">
        <v>290</v>
      </c>
    </row>
    <row r="4" spans="1:5" x14ac:dyDescent="0.25">
      <c r="A4" s="444">
        <v>1</v>
      </c>
      <c r="B4" s="445" t="s">
        <v>267</v>
      </c>
      <c r="C4" s="140">
        <v>1</v>
      </c>
      <c r="D4" s="141" t="s">
        <v>291</v>
      </c>
      <c r="E4" s="241">
        <v>1</v>
      </c>
    </row>
    <row r="5" spans="1:5" x14ac:dyDescent="0.25">
      <c r="A5" s="444"/>
      <c r="B5" s="445"/>
      <c r="C5" s="140">
        <f>C4+1</f>
        <v>2</v>
      </c>
      <c r="D5" s="141" t="s">
        <v>292</v>
      </c>
      <c r="E5" s="241">
        <f>1/5</f>
        <v>0.2</v>
      </c>
    </row>
    <row r="6" spans="1:5" x14ac:dyDescent="0.25">
      <c r="A6" s="444"/>
      <c r="B6" s="445"/>
      <c r="C6" s="140">
        <f>C5+1</f>
        <v>3</v>
      </c>
      <c r="D6" s="141" t="s">
        <v>268</v>
      </c>
      <c r="E6" s="241">
        <v>1</v>
      </c>
    </row>
    <row r="7" spans="1:5" x14ac:dyDescent="0.25">
      <c r="A7" s="444"/>
      <c r="B7" s="445"/>
      <c r="C7" s="140">
        <f>C6+1</f>
        <v>4</v>
      </c>
      <c r="D7" s="141" t="s">
        <v>985</v>
      </c>
      <c r="E7" s="241">
        <v>1</v>
      </c>
    </row>
    <row r="8" spans="1:5" x14ac:dyDescent="0.25">
      <c r="A8" s="444"/>
      <c r="B8" s="445"/>
      <c r="C8" s="140">
        <f>C7+1</f>
        <v>5</v>
      </c>
      <c r="D8" s="141" t="s">
        <v>981</v>
      </c>
      <c r="E8" s="241">
        <v>1</v>
      </c>
    </row>
    <row r="9" spans="1:5" ht="14.45" customHeight="1" x14ac:dyDescent="0.25">
      <c r="A9" s="444">
        <v>2</v>
      </c>
      <c r="B9" s="445" t="s">
        <v>269</v>
      </c>
      <c r="C9" s="140">
        <v>1</v>
      </c>
      <c r="D9" s="141"/>
      <c r="E9" s="144"/>
    </row>
    <row r="10" spans="1:5" x14ac:dyDescent="0.25">
      <c r="A10" s="444"/>
      <c r="B10" s="445"/>
      <c r="C10" s="140">
        <f>C9+1</f>
        <v>2</v>
      </c>
      <c r="D10" s="141"/>
      <c r="E10" s="144"/>
    </row>
    <row r="11" spans="1:5" x14ac:dyDescent="0.25">
      <c r="A11" s="444"/>
      <c r="B11" s="445"/>
      <c r="C11" s="140">
        <f>C10+1</f>
        <v>3</v>
      </c>
      <c r="D11" s="141"/>
      <c r="E11" s="144"/>
    </row>
    <row r="12" spans="1:5" ht="28.9" customHeight="1" x14ac:dyDescent="0.25">
      <c r="A12" s="446">
        <v>3</v>
      </c>
      <c r="B12" s="449" t="s">
        <v>272</v>
      </c>
      <c r="C12" s="140">
        <v>1</v>
      </c>
      <c r="D12" s="141"/>
      <c r="E12" s="142"/>
    </row>
    <row r="13" spans="1:5" x14ac:dyDescent="0.25">
      <c r="A13" s="447"/>
      <c r="B13" s="450"/>
      <c r="C13" s="140">
        <f>C12+1</f>
        <v>2</v>
      </c>
      <c r="D13" s="141"/>
      <c r="E13" s="142"/>
    </row>
    <row r="14" spans="1:5" x14ac:dyDescent="0.25">
      <c r="A14" s="448"/>
      <c r="B14" s="451"/>
      <c r="C14" s="140">
        <f>C13+1</f>
        <v>3</v>
      </c>
      <c r="D14" s="141"/>
      <c r="E14" s="142"/>
    </row>
    <row r="15" spans="1:5" x14ac:dyDescent="0.25">
      <c r="A15" s="444">
        <v>4</v>
      </c>
      <c r="B15" s="445" t="s">
        <v>273</v>
      </c>
      <c r="C15" s="140">
        <v>1</v>
      </c>
      <c r="D15" s="2"/>
      <c r="E15" s="145"/>
    </row>
    <row r="16" spans="1:5" x14ac:dyDescent="0.25">
      <c r="A16" s="444"/>
      <c r="B16" s="445"/>
      <c r="C16" s="140">
        <f>C15+1</f>
        <v>2</v>
      </c>
      <c r="D16" s="2"/>
      <c r="E16" s="145"/>
    </row>
    <row r="17" spans="1:5" x14ac:dyDescent="0.25">
      <c r="A17" s="444"/>
      <c r="B17" s="445"/>
      <c r="C17" s="140">
        <f>C16+1</f>
        <v>3</v>
      </c>
      <c r="D17" s="2"/>
      <c r="E17" s="145"/>
    </row>
    <row r="18" spans="1:5" ht="14.45" customHeight="1" x14ac:dyDescent="0.25">
      <c r="A18" s="444">
        <v>5</v>
      </c>
      <c r="B18" s="445" t="s">
        <v>275</v>
      </c>
      <c r="C18" s="140">
        <v>1</v>
      </c>
      <c r="D18" s="141"/>
      <c r="E18" s="144"/>
    </row>
    <row r="19" spans="1:5" x14ac:dyDescent="0.25">
      <c r="A19" s="444"/>
      <c r="B19" s="445"/>
      <c r="C19" s="140">
        <f>C18+1</f>
        <v>2</v>
      </c>
      <c r="D19" s="2"/>
      <c r="E19" s="145"/>
    </row>
    <row r="20" spans="1:5" x14ac:dyDescent="0.25">
      <c r="A20" s="444"/>
      <c r="B20" s="445"/>
      <c r="C20" s="140">
        <f>C19+1</f>
        <v>3</v>
      </c>
      <c r="D20" s="2"/>
      <c r="E20" s="145"/>
    </row>
    <row r="21" spans="1:5" x14ac:dyDescent="0.25">
      <c r="A21" s="444">
        <v>6</v>
      </c>
      <c r="B21" s="445" t="s">
        <v>277</v>
      </c>
      <c r="C21" s="140">
        <v>1</v>
      </c>
      <c r="D21" s="141"/>
      <c r="E21" s="144"/>
    </row>
    <row r="22" spans="1:5" x14ac:dyDescent="0.25">
      <c r="A22" s="444"/>
      <c r="B22" s="445"/>
      <c r="C22" s="140">
        <f>C21+1</f>
        <v>2</v>
      </c>
      <c r="D22" s="2"/>
      <c r="E22" s="145"/>
    </row>
    <row r="23" spans="1:5" x14ac:dyDescent="0.25">
      <c r="A23" s="444"/>
      <c r="B23" s="445"/>
      <c r="C23" s="140">
        <f>C22+1</f>
        <v>3</v>
      </c>
      <c r="D23" s="2"/>
      <c r="E23" s="145"/>
    </row>
    <row r="24" spans="1:5" x14ac:dyDescent="0.25">
      <c r="A24" s="444">
        <v>7</v>
      </c>
      <c r="B24" s="445" t="s">
        <v>278</v>
      </c>
      <c r="C24" s="140">
        <v>1</v>
      </c>
      <c r="D24" s="141"/>
      <c r="E24" s="144"/>
    </row>
    <row r="25" spans="1:5" x14ac:dyDescent="0.25">
      <c r="A25" s="444"/>
      <c r="B25" s="445"/>
      <c r="C25" s="140">
        <f>C24+1</f>
        <v>2</v>
      </c>
      <c r="D25" s="2"/>
      <c r="E25" s="145"/>
    </row>
    <row r="26" spans="1:5" x14ac:dyDescent="0.25">
      <c r="A26" s="444"/>
      <c r="B26" s="445"/>
      <c r="C26" s="140">
        <f>C25+1</f>
        <v>3</v>
      </c>
      <c r="D26" s="2"/>
      <c r="E26" s="145"/>
    </row>
    <row r="27" spans="1:5" x14ac:dyDescent="0.25">
      <c r="A27" s="444">
        <v>8</v>
      </c>
      <c r="B27" s="445" t="s">
        <v>279</v>
      </c>
      <c r="C27" s="140">
        <v>1</v>
      </c>
      <c r="D27" s="141"/>
      <c r="E27" s="144"/>
    </row>
    <row r="28" spans="1:5" x14ac:dyDescent="0.25">
      <c r="A28" s="444"/>
      <c r="B28" s="445"/>
      <c r="C28" s="140">
        <f>C27+1</f>
        <v>2</v>
      </c>
      <c r="D28" s="2"/>
      <c r="E28" s="145"/>
    </row>
    <row r="29" spans="1:5" x14ac:dyDescent="0.25">
      <c r="A29" s="444"/>
      <c r="B29" s="445"/>
      <c r="C29" s="140">
        <f>C28+1</f>
        <v>3</v>
      </c>
      <c r="D29" s="2"/>
      <c r="E29" s="145"/>
    </row>
    <row r="30" spans="1:5" x14ac:dyDescent="0.25">
      <c r="A30" s="444">
        <v>9</v>
      </c>
      <c r="B30" s="445" t="s">
        <v>280</v>
      </c>
      <c r="C30" s="140">
        <v>1</v>
      </c>
      <c r="D30" s="141"/>
      <c r="E30" s="142"/>
    </row>
    <row r="31" spans="1:5" x14ac:dyDescent="0.25">
      <c r="A31" s="444"/>
      <c r="B31" s="445"/>
      <c r="C31" s="140">
        <f>C30+1</f>
        <v>2</v>
      </c>
      <c r="D31" s="2"/>
      <c r="E31" s="2"/>
    </row>
    <row r="32" spans="1:5" x14ac:dyDescent="0.25">
      <c r="A32" s="444"/>
      <c r="B32" s="445"/>
      <c r="C32" s="140">
        <f>C31+1</f>
        <v>3</v>
      </c>
      <c r="D32" s="2"/>
      <c r="E32" s="2"/>
    </row>
    <row r="33" spans="1:5" x14ac:dyDescent="0.25">
      <c r="A33" s="444">
        <v>10</v>
      </c>
      <c r="B33" s="445" t="s">
        <v>281</v>
      </c>
      <c r="C33" s="140">
        <v>1</v>
      </c>
      <c r="D33" s="141"/>
      <c r="E33" s="142"/>
    </row>
    <row r="34" spans="1:5" x14ac:dyDescent="0.25">
      <c r="A34" s="444"/>
      <c r="B34" s="445"/>
      <c r="C34" s="140">
        <f>C33+1</f>
        <v>2</v>
      </c>
      <c r="D34" s="2"/>
      <c r="E34" s="2"/>
    </row>
    <row r="35" spans="1:5" x14ac:dyDescent="0.25">
      <c r="A35" s="444"/>
      <c r="B35" s="445"/>
      <c r="C35" s="140">
        <f>C34+1</f>
        <v>3</v>
      </c>
      <c r="D35" s="2"/>
      <c r="E35" s="2"/>
    </row>
    <row r="36" spans="1:5" x14ac:dyDescent="0.25">
      <c r="A36" s="444">
        <v>11</v>
      </c>
      <c r="B36" s="445" t="s">
        <v>282</v>
      </c>
      <c r="C36" s="140">
        <v>1</v>
      </c>
      <c r="D36" s="141"/>
      <c r="E36" s="142"/>
    </row>
    <row r="37" spans="1:5" x14ac:dyDescent="0.25">
      <c r="A37" s="444"/>
      <c r="B37" s="445"/>
      <c r="C37" s="140">
        <f>C36+1</f>
        <v>2</v>
      </c>
      <c r="D37" s="2"/>
      <c r="E37" s="2"/>
    </row>
    <row r="38" spans="1:5" x14ac:dyDescent="0.25">
      <c r="A38" s="444"/>
      <c r="B38" s="445"/>
      <c r="C38" s="140">
        <f>C37+1</f>
        <v>3</v>
      </c>
      <c r="D38" s="2"/>
      <c r="E38" s="2"/>
    </row>
    <row r="39" spans="1:5" x14ac:dyDescent="0.25">
      <c r="A39" s="444">
        <v>12</v>
      </c>
      <c r="B39" s="445" t="s">
        <v>283</v>
      </c>
      <c r="C39" s="140">
        <v>1</v>
      </c>
      <c r="D39" s="141"/>
      <c r="E39" s="142"/>
    </row>
    <row r="40" spans="1:5" x14ac:dyDescent="0.25">
      <c r="A40" s="444"/>
      <c r="B40" s="445"/>
      <c r="C40" s="140">
        <f>C39+1</f>
        <v>2</v>
      </c>
      <c r="D40" s="2"/>
      <c r="E40" s="2"/>
    </row>
    <row r="41" spans="1:5" x14ac:dyDescent="0.25">
      <c r="A41" s="444"/>
      <c r="B41" s="445"/>
      <c r="C41" s="140">
        <f>C40+1</f>
        <v>3</v>
      </c>
      <c r="D41" s="2"/>
      <c r="E41" s="2"/>
    </row>
    <row r="42" spans="1:5" x14ac:dyDescent="0.25">
      <c r="A42" s="444">
        <v>13</v>
      </c>
      <c r="B42" s="445" t="s">
        <v>284</v>
      </c>
      <c r="C42" s="140">
        <v>1</v>
      </c>
      <c r="D42" s="141"/>
      <c r="E42" s="142"/>
    </row>
    <row r="43" spans="1:5" x14ac:dyDescent="0.25">
      <c r="A43" s="444"/>
      <c r="B43" s="445"/>
      <c r="C43" s="140">
        <f>C42+1</f>
        <v>2</v>
      </c>
      <c r="D43" s="2"/>
      <c r="E43" s="2"/>
    </row>
    <row r="44" spans="1:5" x14ac:dyDescent="0.25">
      <c r="A44" s="444"/>
      <c r="B44" s="445"/>
      <c r="C44" s="140">
        <f>C43+1</f>
        <v>3</v>
      </c>
      <c r="D44" s="2"/>
      <c r="E44" s="2"/>
    </row>
    <row r="45" spans="1:5" x14ac:dyDescent="0.25">
      <c r="A45" s="444">
        <v>14</v>
      </c>
      <c r="B45" s="445" t="s">
        <v>285</v>
      </c>
      <c r="C45" s="140">
        <v>1</v>
      </c>
      <c r="D45" s="141"/>
      <c r="E45" s="142"/>
    </row>
    <row r="46" spans="1:5" x14ac:dyDescent="0.25">
      <c r="A46" s="444"/>
      <c r="B46" s="445"/>
      <c r="C46" s="140">
        <f>C45+1</f>
        <v>2</v>
      </c>
      <c r="D46" s="2"/>
      <c r="E46" s="2"/>
    </row>
    <row r="47" spans="1:5" x14ac:dyDescent="0.25">
      <c r="A47" s="444"/>
      <c r="B47" s="445"/>
      <c r="C47" s="140">
        <f>C46+1</f>
        <v>3</v>
      </c>
      <c r="D47" s="2"/>
      <c r="E47" s="2"/>
    </row>
    <row r="48" spans="1:5" x14ac:dyDescent="0.25">
      <c r="A48" s="444">
        <v>15</v>
      </c>
      <c r="B48" s="445" t="s">
        <v>286</v>
      </c>
      <c r="C48" s="140">
        <v>1</v>
      </c>
      <c r="D48" s="141"/>
      <c r="E48" s="142"/>
    </row>
    <row r="49" spans="1:5" x14ac:dyDescent="0.25">
      <c r="A49" s="444"/>
      <c r="B49" s="445"/>
      <c r="C49" s="140">
        <f>C48+1</f>
        <v>2</v>
      </c>
      <c r="D49" s="2"/>
      <c r="E49" s="2"/>
    </row>
    <row r="50" spans="1:5" x14ac:dyDescent="0.25">
      <c r="A50" s="444"/>
      <c r="B50" s="445"/>
      <c r="C50" s="140">
        <f>C49+1</f>
        <v>3</v>
      </c>
      <c r="D50" s="2"/>
      <c r="E50" s="2"/>
    </row>
    <row r="51" spans="1:5" x14ac:dyDescent="0.25">
      <c r="A51" s="444">
        <v>16</v>
      </c>
      <c r="B51" s="445" t="s">
        <v>287</v>
      </c>
      <c r="C51" s="140">
        <v>1</v>
      </c>
      <c r="D51" s="141"/>
      <c r="E51" s="142"/>
    </row>
    <row r="52" spans="1:5" x14ac:dyDescent="0.25">
      <c r="A52" s="444"/>
      <c r="B52" s="445"/>
      <c r="C52" s="140">
        <f>C51+1</f>
        <v>2</v>
      </c>
      <c r="D52" s="2"/>
      <c r="E52" s="2"/>
    </row>
    <row r="53" spans="1:5" x14ac:dyDescent="0.25">
      <c r="A53" s="444"/>
      <c r="B53" s="445"/>
      <c r="C53" s="140">
        <f>C52+1</f>
        <v>3</v>
      </c>
      <c r="D53" s="2"/>
      <c r="E53" s="2"/>
    </row>
  </sheetData>
  <mergeCells count="32">
    <mergeCell ref="A4:A8"/>
    <mergeCell ref="B4:B8"/>
    <mergeCell ref="A9:A11"/>
    <mergeCell ref="B9:B11"/>
    <mergeCell ref="A12:A14"/>
    <mergeCell ref="B12:B14"/>
    <mergeCell ref="A15:A17"/>
    <mergeCell ref="B15:B17"/>
    <mergeCell ref="A18:A20"/>
    <mergeCell ref="B18:B20"/>
    <mergeCell ref="A21:A23"/>
    <mergeCell ref="B21:B23"/>
    <mergeCell ref="A24:A26"/>
    <mergeCell ref="B24:B26"/>
    <mergeCell ref="A27:A29"/>
    <mergeCell ref="B27:B29"/>
    <mergeCell ref="A30:A32"/>
    <mergeCell ref="B30:B32"/>
    <mergeCell ref="A33:A35"/>
    <mergeCell ref="B33:B35"/>
    <mergeCell ref="A36:A38"/>
    <mergeCell ref="B36:B38"/>
    <mergeCell ref="A39:A41"/>
    <mergeCell ref="B39:B41"/>
    <mergeCell ref="A51:A53"/>
    <mergeCell ref="B51:B53"/>
    <mergeCell ref="A42:A44"/>
    <mergeCell ref="B42:B44"/>
    <mergeCell ref="A45:A47"/>
    <mergeCell ref="B45:B47"/>
    <mergeCell ref="A48:A50"/>
    <mergeCell ref="B48:B50"/>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'В3.Группы оборудования'!$B$2:$B$11</xm:f>
          </x14:formula1>
          <xm:sqref>B4:B12</xm:sqref>
        </x14:dataValidation>
        <x14:dataValidation type="list" allowBlank="1" showInputMessage="1" showErrorMessage="1">
          <x14:formula1>
            <xm:f>'В3.Группы оборудования'!$B$2:$B$17</xm:f>
          </x14:formula1>
          <xm:sqref>B15:B53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F175"/>
  <sheetViews>
    <sheetView zoomScale="110" zoomScaleNormal="110" workbookViewId="0">
      <pane xSplit="2" ySplit="3" topLeftCell="C163" activePane="bottomRight" state="frozen"/>
      <selection activeCell="Q194" sqref="Q194"/>
      <selection pane="topRight" activeCell="Q194" sqref="Q194"/>
      <selection pane="bottomLeft" activeCell="Q194" sqref="Q194"/>
      <selection pane="bottomRight" activeCell="G180" sqref="G180"/>
    </sheetView>
  </sheetViews>
  <sheetFormatPr defaultColWidth="8.85546875" defaultRowHeight="15" x14ac:dyDescent="0.25"/>
  <cols>
    <col min="1" max="1" width="6" style="134" customWidth="1"/>
    <col min="2" max="2" width="30" style="134" customWidth="1"/>
    <col min="3" max="3" width="5.42578125" style="134" customWidth="1"/>
    <col min="4" max="4" width="79.42578125" style="134" customWidth="1"/>
    <col min="5" max="5" width="20.7109375" style="134" customWidth="1"/>
    <col min="6" max="6" width="15.7109375" style="134" customWidth="1"/>
  </cols>
  <sheetData>
    <row r="1" spans="1:6" ht="15.75" x14ac:dyDescent="0.25">
      <c r="A1" s="146" t="s">
        <v>170</v>
      </c>
      <c r="B1" s="147"/>
      <c r="C1" s="147"/>
    </row>
    <row r="3" spans="1:6" ht="30" x14ac:dyDescent="0.25">
      <c r="A3" s="135" t="s">
        <v>257</v>
      </c>
      <c r="B3" s="135" t="s">
        <v>174</v>
      </c>
      <c r="C3" s="135" t="s">
        <v>257</v>
      </c>
      <c r="D3" s="135" t="s">
        <v>293</v>
      </c>
      <c r="E3" s="135" t="s">
        <v>288</v>
      </c>
      <c r="F3" s="135" t="s">
        <v>262</v>
      </c>
    </row>
    <row r="4" spans="1:6" ht="30" x14ac:dyDescent="0.25">
      <c r="A4" s="446">
        <v>1</v>
      </c>
      <c r="B4" s="449" t="s">
        <v>294</v>
      </c>
      <c r="C4" s="242">
        <v>1</v>
      </c>
      <c r="D4" s="243" t="s">
        <v>295</v>
      </c>
      <c r="E4" s="244">
        <v>300</v>
      </c>
      <c r="F4" s="242" t="s">
        <v>296</v>
      </c>
    </row>
    <row r="5" spans="1:6" ht="45" x14ac:dyDescent="0.25">
      <c r="A5" s="447"/>
      <c r="B5" s="450"/>
      <c r="C5" s="242">
        <f>C4+1</f>
        <v>2</v>
      </c>
      <c r="D5" s="243" t="s">
        <v>297</v>
      </c>
      <c r="E5" s="244">
        <v>13000</v>
      </c>
      <c r="F5" s="242" t="s">
        <v>296</v>
      </c>
    </row>
    <row r="6" spans="1:6" ht="30" x14ac:dyDescent="0.25">
      <c r="A6" s="447"/>
      <c r="B6" s="450"/>
      <c r="C6" s="242">
        <f>C5+1</f>
        <v>3</v>
      </c>
      <c r="D6" s="243" t="s">
        <v>298</v>
      </c>
      <c r="E6" s="244">
        <v>2100</v>
      </c>
      <c r="F6" s="242" t="s">
        <v>296</v>
      </c>
    </row>
    <row r="7" spans="1:6" ht="30" x14ac:dyDescent="0.25">
      <c r="A7" s="447"/>
      <c r="B7" s="450"/>
      <c r="C7" s="242">
        <f>C6+1</f>
        <v>4</v>
      </c>
      <c r="D7" s="243" t="s">
        <v>299</v>
      </c>
      <c r="E7" s="244">
        <v>1700</v>
      </c>
      <c r="F7" s="242" t="s">
        <v>296</v>
      </c>
    </row>
    <row r="8" spans="1:6" ht="30" x14ac:dyDescent="0.25">
      <c r="A8" s="447"/>
      <c r="B8" s="450"/>
      <c r="C8" s="242">
        <f>C7+1</f>
        <v>5</v>
      </c>
      <c r="D8" s="243" t="s">
        <v>299</v>
      </c>
      <c r="E8" s="244">
        <v>25000</v>
      </c>
      <c r="F8" s="242" t="s">
        <v>296</v>
      </c>
    </row>
    <row r="9" spans="1:6" ht="30" x14ac:dyDescent="0.25">
      <c r="A9" s="447"/>
      <c r="B9" s="450"/>
      <c r="C9" s="242">
        <f>C8+1</f>
        <v>6</v>
      </c>
      <c r="D9" s="243" t="s">
        <v>300</v>
      </c>
      <c r="E9" s="244">
        <v>7500</v>
      </c>
      <c r="F9" s="242" t="s">
        <v>296</v>
      </c>
    </row>
    <row r="10" spans="1:6" ht="30" x14ac:dyDescent="0.25">
      <c r="A10" s="236">
        <v>2</v>
      </c>
      <c r="B10" s="237" t="s">
        <v>301</v>
      </c>
      <c r="C10" s="242">
        <v>1</v>
      </c>
      <c r="D10" s="243" t="s">
        <v>302</v>
      </c>
      <c r="E10" s="244">
        <v>1000</v>
      </c>
      <c r="F10" s="242" t="s">
        <v>296</v>
      </c>
    </row>
    <row r="11" spans="1:6" ht="30" x14ac:dyDescent="0.25">
      <c r="A11" s="446">
        <v>3</v>
      </c>
      <c r="B11" s="449" t="s">
        <v>303</v>
      </c>
      <c r="C11" s="242">
        <v>1</v>
      </c>
      <c r="D11" s="243" t="s">
        <v>304</v>
      </c>
      <c r="E11" s="244">
        <v>900</v>
      </c>
      <c r="F11" s="242" t="s">
        <v>296</v>
      </c>
    </row>
    <row r="12" spans="1:6" ht="45" x14ac:dyDescent="0.25">
      <c r="A12" s="448"/>
      <c r="B12" s="451"/>
      <c r="C12" s="242">
        <f>C11+1</f>
        <v>2</v>
      </c>
      <c r="D12" s="243" t="s">
        <v>305</v>
      </c>
      <c r="E12" s="244">
        <v>1000</v>
      </c>
      <c r="F12" s="242" t="s">
        <v>296</v>
      </c>
    </row>
    <row r="13" spans="1:6" x14ac:dyDescent="0.25">
      <c r="A13" s="446">
        <v>4</v>
      </c>
      <c r="B13" s="449" t="s">
        <v>306</v>
      </c>
      <c r="C13" s="242">
        <v>1</v>
      </c>
      <c r="D13" s="243" t="s">
        <v>307</v>
      </c>
      <c r="E13" s="244">
        <v>500</v>
      </c>
      <c r="F13" s="242" t="s">
        <v>296</v>
      </c>
    </row>
    <row r="14" spans="1:6" x14ac:dyDescent="0.25">
      <c r="A14" s="448"/>
      <c r="B14" s="451"/>
      <c r="C14" s="242">
        <f>C13+1</f>
        <v>2</v>
      </c>
      <c r="D14" s="243" t="s">
        <v>308</v>
      </c>
      <c r="E14" s="244">
        <v>600</v>
      </c>
      <c r="F14" s="242" t="s">
        <v>296</v>
      </c>
    </row>
    <row r="15" spans="1:6" ht="30" x14ac:dyDescent="0.25">
      <c r="A15" s="446">
        <v>5</v>
      </c>
      <c r="B15" s="449" t="s">
        <v>309</v>
      </c>
      <c r="C15" s="242">
        <v>1</v>
      </c>
      <c r="D15" s="243" t="s">
        <v>310</v>
      </c>
      <c r="E15" s="244">
        <v>38000</v>
      </c>
      <c r="F15" s="242" t="s">
        <v>296</v>
      </c>
    </row>
    <row r="16" spans="1:6" x14ac:dyDescent="0.25">
      <c r="A16" s="447"/>
      <c r="B16" s="450"/>
      <c r="C16" s="242">
        <f>C15+1</f>
        <v>2</v>
      </c>
      <c r="D16" s="243" t="s">
        <v>311</v>
      </c>
      <c r="E16" s="244">
        <v>200</v>
      </c>
      <c r="F16" s="242" t="s">
        <v>296</v>
      </c>
    </row>
    <row r="17" spans="1:6" ht="30" x14ac:dyDescent="0.25">
      <c r="A17" s="447"/>
      <c r="B17" s="450"/>
      <c r="C17" s="242">
        <f t="shared" ref="C17:C30" si="0">C16+1</f>
        <v>3</v>
      </c>
      <c r="D17" s="243" t="s">
        <v>312</v>
      </c>
      <c r="E17" s="244">
        <v>2000</v>
      </c>
      <c r="F17" s="242" t="s">
        <v>296</v>
      </c>
    </row>
    <row r="18" spans="1:6" ht="30" x14ac:dyDescent="0.25">
      <c r="A18" s="447"/>
      <c r="B18" s="450"/>
      <c r="C18" s="242">
        <f t="shared" si="0"/>
        <v>4</v>
      </c>
      <c r="D18" s="243" t="s">
        <v>313</v>
      </c>
      <c r="E18" s="244">
        <v>350</v>
      </c>
      <c r="F18" s="242" t="s">
        <v>296</v>
      </c>
    </row>
    <row r="19" spans="1:6" ht="30" x14ac:dyDescent="0.25">
      <c r="A19" s="447"/>
      <c r="B19" s="450"/>
      <c r="C19" s="242">
        <f t="shared" si="0"/>
        <v>5</v>
      </c>
      <c r="D19" s="243" t="s">
        <v>314</v>
      </c>
      <c r="E19" s="244">
        <v>10500</v>
      </c>
      <c r="F19" s="242" t="s">
        <v>296</v>
      </c>
    </row>
    <row r="20" spans="1:6" ht="45" x14ac:dyDescent="0.25">
      <c r="A20" s="447"/>
      <c r="B20" s="450"/>
      <c r="C20" s="242">
        <f t="shared" si="0"/>
        <v>6</v>
      </c>
      <c r="D20" s="243" t="s">
        <v>315</v>
      </c>
      <c r="E20" s="244">
        <v>500</v>
      </c>
      <c r="F20" s="242" t="s">
        <v>296</v>
      </c>
    </row>
    <row r="21" spans="1:6" ht="30" x14ac:dyDescent="0.25">
      <c r="A21" s="447"/>
      <c r="B21" s="450"/>
      <c r="C21" s="242">
        <f t="shared" si="0"/>
        <v>7</v>
      </c>
      <c r="D21" s="243" t="s">
        <v>316</v>
      </c>
      <c r="E21" s="244">
        <v>7000</v>
      </c>
      <c r="F21" s="242" t="s">
        <v>296</v>
      </c>
    </row>
    <row r="22" spans="1:6" ht="30" x14ac:dyDescent="0.25">
      <c r="A22" s="447"/>
      <c r="B22" s="450"/>
      <c r="C22" s="242">
        <f t="shared" si="0"/>
        <v>8</v>
      </c>
      <c r="D22" s="243" t="s">
        <v>317</v>
      </c>
      <c r="E22" s="244">
        <v>40</v>
      </c>
      <c r="F22" s="242" t="s">
        <v>296</v>
      </c>
    </row>
    <row r="23" spans="1:6" ht="30" x14ac:dyDescent="0.25">
      <c r="A23" s="447"/>
      <c r="B23" s="450"/>
      <c r="C23" s="242">
        <f t="shared" si="0"/>
        <v>9</v>
      </c>
      <c r="D23" s="243" t="s">
        <v>318</v>
      </c>
      <c r="E23" s="244">
        <v>290</v>
      </c>
      <c r="F23" s="242" t="s">
        <v>296</v>
      </c>
    </row>
    <row r="24" spans="1:6" ht="45" x14ac:dyDescent="0.25">
      <c r="A24" s="447"/>
      <c r="B24" s="450"/>
      <c r="C24" s="242">
        <f t="shared" si="0"/>
        <v>10</v>
      </c>
      <c r="D24" s="243" t="s">
        <v>319</v>
      </c>
      <c r="E24" s="244">
        <v>60</v>
      </c>
      <c r="F24" s="242" t="s">
        <v>296</v>
      </c>
    </row>
    <row r="25" spans="1:6" x14ac:dyDescent="0.25">
      <c r="A25" s="447"/>
      <c r="B25" s="450"/>
      <c r="C25" s="242">
        <f t="shared" si="0"/>
        <v>11</v>
      </c>
      <c r="D25" s="243" t="s">
        <v>320</v>
      </c>
      <c r="E25" s="244">
        <v>40</v>
      </c>
      <c r="F25" s="242" t="s">
        <v>296</v>
      </c>
    </row>
    <row r="26" spans="1:6" x14ac:dyDescent="0.25">
      <c r="A26" s="447"/>
      <c r="B26" s="450"/>
      <c r="C26" s="242">
        <f t="shared" si="0"/>
        <v>12</v>
      </c>
      <c r="D26" s="243" t="s">
        <v>321</v>
      </c>
      <c r="E26" s="244">
        <v>300</v>
      </c>
      <c r="F26" s="242" t="s">
        <v>296</v>
      </c>
    </row>
    <row r="27" spans="1:6" ht="60" x14ac:dyDescent="0.25">
      <c r="A27" s="447"/>
      <c r="B27" s="450"/>
      <c r="C27" s="242">
        <f t="shared" si="0"/>
        <v>13</v>
      </c>
      <c r="D27" s="243" t="s">
        <v>322</v>
      </c>
      <c r="E27" s="244">
        <v>15000</v>
      </c>
      <c r="F27" s="242" t="s">
        <v>296</v>
      </c>
    </row>
    <row r="28" spans="1:6" ht="45" x14ac:dyDescent="0.25">
      <c r="A28" s="447"/>
      <c r="B28" s="450"/>
      <c r="C28" s="242">
        <f t="shared" si="0"/>
        <v>14</v>
      </c>
      <c r="D28" s="243" t="s">
        <v>323</v>
      </c>
      <c r="E28" s="244">
        <v>580</v>
      </c>
      <c r="F28" s="242" t="s">
        <v>296</v>
      </c>
    </row>
    <row r="29" spans="1:6" ht="30" x14ac:dyDescent="0.25">
      <c r="A29" s="447"/>
      <c r="B29" s="450"/>
      <c r="C29" s="242">
        <f t="shared" si="0"/>
        <v>15</v>
      </c>
      <c r="D29" s="243" t="s">
        <v>324</v>
      </c>
      <c r="E29" s="244">
        <v>120</v>
      </c>
      <c r="F29" s="242" t="s">
        <v>296</v>
      </c>
    </row>
    <row r="30" spans="1:6" ht="30" x14ac:dyDescent="0.25">
      <c r="A30" s="448"/>
      <c r="B30" s="451"/>
      <c r="C30" s="242">
        <f t="shared" si="0"/>
        <v>16</v>
      </c>
      <c r="D30" s="243" t="s">
        <v>325</v>
      </c>
      <c r="E30" s="244">
        <v>119</v>
      </c>
      <c r="F30" s="242" t="s">
        <v>296</v>
      </c>
    </row>
    <row r="31" spans="1:6" ht="30" x14ac:dyDescent="0.25">
      <c r="A31" s="236">
        <v>6</v>
      </c>
      <c r="B31" s="237" t="s">
        <v>326</v>
      </c>
      <c r="C31" s="242">
        <v>1</v>
      </c>
      <c r="D31" s="243" t="s">
        <v>327</v>
      </c>
      <c r="E31" s="244">
        <v>43000</v>
      </c>
      <c r="F31" s="242" t="s">
        <v>296</v>
      </c>
    </row>
    <row r="32" spans="1:6" ht="30" x14ac:dyDescent="0.25">
      <c r="A32" s="446">
        <v>7</v>
      </c>
      <c r="B32" s="449" t="s">
        <v>328</v>
      </c>
      <c r="C32" s="242">
        <v>1</v>
      </c>
      <c r="D32" s="243" t="s">
        <v>329</v>
      </c>
      <c r="E32" s="244">
        <v>0.11</v>
      </c>
      <c r="F32" s="242" t="s">
        <v>296</v>
      </c>
    </row>
    <row r="33" spans="1:6" ht="60" x14ac:dyDescent="0.25">
      <c r="A33" s="447"/>
      <c r="B33" s="450"/>
      <c r="C33" s="242">
        <f>C32+1</f>
        <v>2</v>
      </c>
      <c r="D33" s="243" t="s">
        <v>330</v>
      </c>
      <c r="E33" s="244">
        <v>3500</v>
      </c>
      <c r="F33" s="242" t="s">
        <v>296</v>
      </c>
    </row>
    <row r="34" spans="1:6" ht="30" x14ac:dyDescent="0.25">
      <c r="A34" s="447"/>
      <c r="B34" s="450"/>
      <c r="C34" s="242">
        <f t="shared" ref="C34:C74" si="1">C33+1</f>
        <v>3</v>
      </c>
      <c r="D34" s="243" t="s">
        <v>331</v>
      </c>
      <c r="E34" s="244">
        <v>0.38</v>
      </c>
      <c r="F34" s="242" t="s">
        <v>296</v>
      </c>
    </row>
    <row r="35" spans="1:6" ht="30" x14ac:dyDescent="0.25">
      <c r="A35" s="447"/>
      <c r="B35" s="450"/>
      <c r="C35" s="242">
        <f t="shared" si="1"/>
        <v>4</v>
      </c>
      <c r="D35" s="243" t="s">
        <v>332</v>
      </c>
      <c r="E35" s="244">
        <v>4500</v>
      </c>
      <c r="F35" s="242" t="s">
        <v>296</v>
      </c>
    </row>
    <row r="36" spans="1:6" ht="30" x14ac:dyDescent="0.25">
      <c r="A36" s="447"/>
      <c r="B36" s="450"/>
      <c r="C36" s="242">
        <f t="shared" si="1"/>
        <v>5</v>
      </c>
      <c r="D36" s="243" t="s">
        <v>333</v>
      </c>
      <c r="E36" s="244">
        <v>50000</v>
      </c>
      <c r="F36" s="242" t="s">
        <v>296</v>
      </c>
    </row>
    <row r="37" spans="1:6" ht="30" x14ac:dyDescent="0.25">
      <c r="A37" s="447"/>
      <c r="B37" s="450"/>
      <c r="C37" s="242">
        <f t="shared" si="1"/>
        <v>6</v>
      </c>
      <c r="D37" s="243" t="s">
        <v>334</v>
      </c>
      <c r="E37" s="244">
        <v>4000</v>
      </c>
      <c r="F37" s="242" t="s">
        <v>296</v>
      </c>
    </row>
    <row r="38" spans="1:6" ht="30" x14ac:dyDescent="0.25">
      <c r="A38" s="447"/>
      <c r="B38" s="450"/>
      <c r="C38" s="242">
        <f t="shared" si="1"/>
        <v>7</v>
      </c>
      <c r="D38" s="243" t="s">
        <v>335</v>
      </c>
      <c r="E38" s="244">
        <v>4500</v>
      </c>
      <c r="F38" s="242" t="s">
        <v>296</v>
      </c>
    </row>
    <row r="39" spans="1:6" ht="30" x14ac:dyDescent="0.25">
      <c r="A39" s="447"/>
      <c r="B39" s="450"/>
      <c r="C39" s="242">
        <f t="shared" si="1"/>
        <v>8</v>
      </c>
      <c r="D39" s="243" t="s">
        <v>336</v>
      </c>
      <c r="E39" s="244">
        <v>3500</v>
      </c>
      <c r="F39" s="242" t="s">
        <v>296</v>
      </c>
    </row>
    <row r="40" spans="1:6" ht="45" x14ac:dyDescent="0.25">
      <c r="A40" s="447"/>
      <c r="B40" s="450"/>
      <c r="C40" s="242">
        <f t="shared" si="1"/>
        <v>9</v>
      </c>
      <c r="D40" s="243" t="s">
        <v>337</v>
      </c>
      <c r="E40" s="244">
        <v>4000</v>
      </c>
      <c r="F40" s="242" t="s">
        <v>296</v>
      </c>
    </row>
    <row r="41" spans="1:6" ht="45" x14ac:dyDescent="0.25">
      <c r="A41" s="447"/>
      <c r="B41" s="450"/>
      <c r="C41" s="242">
        <f t="shared" si="1"/>
        <v>10</v>
      </c>
      <c r="D41" s="243" t="s">
        <v>338</v>
      </c>
      <c r="E41" s="244">
        <v>25000</v>
      </c>
      <c r="F41" s="242" t="s">
        <v>296</v>
      </c>
    </row>
    <row r="42" spans="1:6" ht="30" x14ac:dyDescent="0.25">
      <c r="A42" s="447"/>
      <c r="B42" s="450"/>
      <c r="C42" s="242">
        <f t="shared" si="1"/>
        <v>11</v>
      </c>
      <c r="D42" s="243" t="s">
        <v>339</v>
      </c>
      <c r="E42" s="244">
        <v>5000</v>
      </c>
      <c r="F42" s="242" t="s">
        <v>296</v>
      </c>
    </row>
    <row r="43" spans="1:6" ht="45" x14ac:dyDescent="0.25">
      <c r="A43" s="447"/>
      <c r="B43" s="450"/>
      <c r="C43" s="242">
        <f t="shared" si="1"/>
        <v>12</v>
      </c>
      <c r="D43" s="243" t="s">
        <v>340</v>
      </c>
      <c r="E43" s="244">
        <v>20000</v>
      </c>
      <c r="F43" s="242" t="s">
        <v>296</v>
      </c>
    </row>
    <row r="44" spans="1:6" ht="30" x14ac:dyDescent="0.25">
      <c r="A44" s="447"/>
      <c r="B44" s="450"/>
      <c r="C44" s="242">
        <f t="shared" si="1"/>
        <v>13</v>
      </c>
      <c r="D44" s="243" t="s">
        <v>341</v>
      </c>
      <c r="E44" s="244">
        <v>55000</v>
      </c>
      <c r="F44" s="242" t="s">
        <v>296</v>
      </c>
    </row>
    <row r="45" spans="1:6" ht="45" x14ac:dyDescent="0.25">
      <c r="A45" s="447"/>
      <c r="B45" s="450"/>
      <c r="C45" s="242">
        <f t="shared" si="1"/>
        <v>14</v>
      </c>
      <c r="D45" s="243" t="s">
        <v>342</v>
      </c>
      <c r="E45" s="244">
        <v>38500</v>
      </c>
      <c r="F45" s="242" t="s">
        <v>296</v>
      </c>
    </row>
    <row r="46" spans="1:6" ht="30" x14ac:dyDescent="0.25">
      <c r="A46" s="447"/>
      <c r="B46" s="450"/>
      <c r="C46" s="242">
        <f t="shared" si="1"/>
        <v>15</v>
      </c>
      <c r="D46" s="243" t="s">
        <v>343</v>
      </c>
      <c r="E46" s="244">
        <v>9000</v>
      </c>
      <c r="F46" s="242" t="s">
        <v>296</v>
      </c>
    </row>
    <row r="47" spans="1:6" ht="30" x14ac:dyDescent="0.25">
      <c r="A47" s="447"/>
      <c r="B47" s="450"/>
      <c r="C47" s="242">
        <f t="shared" si="1"/>
        <v>16</v>
      </c>
      <c r="D47" s="243" t="s">
        <v>344</v>
      </c>
      <c r="E47" s="244">
        <v>24400</v>
      </c>
      <c r="F47" s="242" t="s">
        <v>296</v>
      </c>
    </row>
    <row r="48" spans="1:6" ht="45" x14ac:dyDescent="0.25">
      <c r="A48" s="447"/>
      <c r="B48" s="450"/>
      <c r="C48" s="242">
        <f t="shared" si="1"/>
        <v>17</v>
      </c>
      <c r="D48" s="243" t="s">
        <v>345</v>
      </c>
      <c r="E48" s="244">
        <v>70000</v>
      </c>
      <c r="F48" s="242" t="s">
        <v>296</v>
      </c>
    </row>
    <row r="49" spans="1:6" ht="45" x14ac:dyDescent="0.25">
      <c r="A49" s="447"/>
      <c r="B49" s="450"/>
      <c r="C49" s="242">
        <f t="shared" si="1"/>
        <v>18</v>
      </c>
      <c r="D49" s="243" t="s">
        <v>346</v>
      </c>
      <c r="E49" s="244">
        <v>4500</v>
      </c>
      <c r="F49" s="242" t="s">
        <v>296</v>
      </c>
    </row>
    <row r="50" spans="1:6" ht="30" x14ac:dyDescent="0.25">
      <c r="A50" s="447"/>
      <c r="B50" s="450"/>
      <c r="C50" s="242">
        <f t="shared" si="1"/>
        <v>19</v>
      </c>
      <c r="D50" s="243" t="s">
        <v>347</v>
      </c>
      <c r="E50" s="244">
        <v>7000</v>
      </c>
      <c r="F50" s="242" t="s">
        <v>296</v>
      </c>
    </row>
    <row r="51" spans="1:6" ht="45" x14ac:dyDescent="0.25">
      <c r="A51" s="447"/>
      <c r="B51" s="450"/>
      <c r="C51" s="242">
        <f t="shared" si="1"/>
        <v>20</v>
      </c>
      <c r="D51" s="243" t="s">
        <v>348</v>
      </c>
      <c r="E51" s="244">
        <v>5000</v>
      </c>
      <c r="F51" s="242" t="s">
        <v>296</v>
      </c>
    </row>
    <row r="52" spans="1:6" x14ac:dyDescent="0.25">
      <c r="A52" s="447"/>
      <c r="B52" s="450"/>
      <c r="C52" s="242">
        <f t="shared" si="1"/>
        <v>21</v>
      </c>
      <c r="D52" s="243" t="s">
        <v>349</v>
      </c>
      <c r="E52" s="244">
        <v>60</v>
      </c>
      <c r="F52" s="242" t="s">
        <v>296</v>
      </c>
    </row>
    <row r="53" spans="1:6" ht="60" x14ac:dyDescent="0.25">
      <c r="A53" s="447"/>
      <c r="B53" s="450"/>
      <c r="C53" s="242">
        <f t="shared" si="1"/>
        <v>22</v>
      </c>
      <c r="D53" s="243" t="s">
        <v>350</v>
      </c>
      <c r="E53" s="244">
        <v>4000</v>
      </c>
      <c r="F53" s="242" t="s">
        <v>296</v>
      </c>
    </row>
    <row r="54" spans="1:6" ht="30" x14ac:dyDescent="0.25">
      <c r="A54" s="447"/>
      <c r="B54" s="450"/>
      <c r="C54" s="242">
        <f t="shared" si="1"/>
        <v>23</v>
      </c>
      <c r="D54" s="243" t="s">
        <v>351</v>
      </c>
      <c r="E54" s="244">
        <v>7000</v>
      </c>
      <c r="F54" s="242" t="s">
        <v>296</v>
      </c>
    </row>
    <row r="55" spans="1:6" ht="30" x14ac:dyDescent="0.25">
      <c r="A55" s="447"/>
      <c r="B55" s="450"/>
      <c r="C55" s="242">
        <f t="shared" si="1"/>
        <v>24</v>
      </c>
      <c r="D55" s="243" t="s">
        <v>352</v>
      </c>
      <c r="E55" s="244">
        <v>5000</v>
      </c>
      <c r="F55" s="242" t="s">
        <v>296</v>
      </c>
    </row>
    <row r="56" spans="1:6" ht="60" x14ac:dyDescent="0.25">
      <c r="A56" s="447"/>
      <c r="B56" s="450"/>
      <c r="C56" s="242">
        <f t="shared" si="1"/>
        <v>25</v>
      </c>
      <c r="D56" s="243" t="s">
        <v>353</v>
      </c>
      <c r="E56" s="244">
        <v>11000</v>
      </c>
      <c r="F56" s="242" t="s">
        <v>296</v>
      </c>
    </row>
    <row r="57" spans="1:6" ht="60" x14ac:dyDescent="0.25">
      <c r="A57" s="447"/>
      <c r="B57" s="450"/>
      <c r="C57" s="242">
        <f t="shared" si="1"/>
        <v>26</v>
      </c>
      <c r="D57" s="243" t="s">
        <v>354</v>
      </c>
      <c r="E57" s="244">
        <v>16000</v>
      </c>
      <c r="F57" s="242" t="s">
        <v>296</v>
      </c>
    </row>
    <row r="58" spans="1:6" ht="60" x14ac:dyDescent="0.25">
      <c r="A58" s="447"/>
      <c r="B58" s="450"/>
      <c r="C58" s="242">
        <f t="shared" si="1"/>
        <v>27</v>
      </c>
      <c r="D58" s="243" t="s">
        <v>355</v>
      </c>
      <c r="E58" s="244">
        <v>11000</v>
      </c>
      <c r="F58" s="242" t="s">
        <v>296</v>
      </c>
    </row>
    <row r="59" spans="1:6" ht="30" x14ac:dyDescent="0.25">
      <c r="A59" s="447"/>
      <c r="B59" s="450"/>
      <c r="C59" s="242">
        <f t="shared" si="1"/>
        <v>28</v>
      </c>
      <c r="D59" s="243" t="s">
        <v>356</v>
      </c>
      <c r="E59" s="244">
        <v>5000</v>
      </c>
      <c r="F59" s="242" t="s">
        <v>296</v>
      </c>
    </row>
    <row r="60" spans="1:6" ht="60" x14ac:dyDescent="0.25">
      <c r="A60" s="447"/>
      <c r="B60" s="450"/>
      <c r="C60" s="242">
        <f t="shared" si="1"/>
        <v>29</v>
      </c>
      <c r="D60" s="243" t="s">
        <v>357</v>
      </c>
      <c r="E60" s="244">
        <v>3500</v>
      </c>
      <c r="F60" s="242" t="s">
        <v>296</v>
      </c>
    </row>
    <row r="61" spans="1:6" ht="45" x14ac:dyDescent="0.25">
      <c r="A61" s="447"/>
      <c r="B61" s="450"/>
      <c r="C61" s="242">
        <f t="shared" si="1"/>
        <v>30</v>
      </c>
      <c r="D61" s="243" t="s">
        <v>358</v>
      </c>
      <c r="E61" s="244">
        <v>3000</v>
      </c>
      <c r="F61" s="242" t="s">
        <v>296</v>
      </c>
    </row>
    <row r="62" spans="1:6" ht="45" x14ac:dyDescent="0.25">
      <c r="A62" s="447"/>
      <c r="B62" s="450"/>
      <c r="C62" s="242">
        <f t="shared" si="1"/>
        <v>31</v>
      </c>
      <c r="D62" s="243" t="s">
        <v>359</v>
      </c>
      <c r="E62" s="244">
        <v>9500</v>
      </c>
      <c r="F62" s="242" t="s">
        <v>296</v>
      </c>
    </row>
    <row r="63" spans="1:6" ht="30" x14ac:dyDescent="0.25">
      <c r="A63" s="447"/>
      <c r="B63" s="450"/>
      <c r="C63" s="242">
        <f t="shared" si="1"/>
        <v>32</v>
      </c>
      <c r="D63" s="243" t="s">
        <v>360</v>
      </c>
      <c r="E63" s="244">
        <v>75000</v>
      </c>
      <c r="F63" s="242" t="s">
        <v>296</v>
      </c>
    </row>
    <row r="64" spans="1:6" ht="45" x14ac:dyDescent="0.25">
      <c r="A64" s="447"/>
      <c r="B64" s="450"/>
      <c r="C64" s="242">
        <f t="shared" si="1"/>
        <v>33</v>
      </c>
      <c r="D64" s="243" t="s">
        <v>361</v>
      </c>
      <c r="E64" s="244">
        <v>53000</v>
      </c>
      <c r="F64" s="242" t="s">
        <v>296</v>
      </c>
    </row>
    <row r="65" spans="1:6" ht="45" x14ac:dyDescent="0.25">
      <c r="A65" s="447"/>
      <c r="B65" s="450"/>
      <c r="C65" s="242">
        <f t="shared" si="1"/>
        <v>34</v>
      </c>
      <c r="D65" s="243" t="s">
        <v>362</v>
      </c>
      <c r="E65" s="244">
        <v>5000</v>
      </c>
      <c r="F65" s="242" t="s">
        <v>296</v>
      </c>
    </row>
    <row r="66" spans="1:6" ht="75" x14ac:dyDescent="0.25">
      <c r="A66" s="447"/>
      <c r="B66" s="450"/>
      <c r="C66" s="242">
        <f t="shared" si="1"/>
        <v>35</v>
      </c>
      <c r="D66" s="243" t="s">
        <v>363</v>
      </c>
      <c r="E66" s="244">
        <v>5000</v>
      </c>
      <c r="F66" s="242" t="s">
        <v>296</v>
      </c>
    </row>
    <row r="67" spans="1:6" ht="30" x14ac:dyDescent="0.25">
      <c r="A67" s="447"/>
      <c r="B67" s="450"/>
      <c r="C67" s="242">
        <f t="shared" si="1"/>
        <v>36</v>
      </c>
      <c r="D67" s="243" t="s">
        <v>364</v>
      </c>
      <c r="E67" s="244">
        <v>10000</v>
      </c>
      <c r="F67" s="242" t="s">
        <v>296</v>
      </c>
    </row>
    <row r="68" spans="1:6" ht="45" x14ac:dyDescent="0.25">
      <c r="A68" s="447"/>
      <c r="B68" s="450"/>
      <c r="C68" s="242">
        <f t="shared" si="1"/>
        <v>37</v>
      </c>
      <c r="D68" s="243" t="s">
        <v>365</v>
      </c>
      <c r="E68" s="244">
        <v>22000</v>
      </c>
      <c r="F68" s="242" t="s">
        <v>296</v>
      </c>
    </row>
    <row r="69" spans="1:6" ht="30" x14ac:dyDescent="0.25">
      <c r="A69" s="447"/>
      <c r="B69" s="450"/>
      <c r="C69" s="242">
        <f t="shared" si="1"/>
        <v>38</v>
      </c>
      <c r="D69" s="243" t="s">
        <v>366</v>
      </c>
      <c r="E69" s="244">
        <v>22000</v>
      </c>
      <c r="F69" s="242" t="s">
        <v>296</v>
      </c>
    </row>
    <row r="70" spans="1:6" ht="45" x14ac:dyDescent="0.25">
      <c r="A70" s="447"/>
      <c r="B70" s="450"/>
      <c r="C70" s="242">
        <f t="shared" si="1"/>
        <v>39</v>
      </c>
      <c r="D70" s="243" t="s">
        <v>367</v>
      </c>
      <c r="E70" s="244">
        <v>44000</v>
      </c>
      <c r="F70" s="242" t="s">
        <v>296</v>
      </c>
    </row>
    <row r="71" spans="1:6" ht="30" x14ac:dyDescent="0.25">
      <c r="A71" s="447"/>
      <c r="B71" s="450"/>
      <c r="C71" s="242">
        <f t="shared" si="1"/>
        <v>40</v>
      </c>
      <c r="D71" s="243" t="s">
        <v>368</v>
      </c>
      <c r="E71" s="244">
        <v>7000</v>
      </c>
      <c r="F71" s="242" t="s">
        <v>296</v>
      </c>
    </row>
    <row r="72" spans="1:6" ht="45" x14ac:dyDescent="0.25">
      <c r="A72" s="447"/>
      <c r="B72" s="450"/>
      <c r="C72" s="242">
        <f t="shared" si="1"/>
        <v>41</v>
      </c>
      <c r="D72" s="243" t="s">
        <v>369</v>
      </c>
      <c r="E72" s="244">
        <v>30000</v>
      </c>
      <c r="F72" s="242" t="s">
        <v>296</v>
      </c>
    </row>
    <row r="73" spans="1:6" ht="45" x14ac:dyDescent="0.25">
      <c r="A73" s="447"/>
      <c r="B73" s="450"/>
      <c r="C73" s="242">
        <f t="shared" si="1"/>
        <v>42</v>
      </c>
      <c r="D73" s="243" t="s">
        <v>370</v>
      </c>
      <c r="E73" s="244">
        <v>4000</v>
      </c>
      <c r="F73" s="242" t="s">
        <v>296</v>
      </c>
    </row>
    <row r="74" spans="1:6" ht="30" x14ac:dyDescent="0.25">
      <c r="A74" s="448"/>
      <c r="B74" s="451"/>
      <c r="C74" s="242">
        <f t="shared" si="1"/>
        <v>43</v>
      </c>
      <c r="D74" s="243" t="s">
        <v>371</v>
      </c>
      <c r="E74" s="244">
        <v>2800</v>
      </c>
      <c r="F74" s="242" t="s">
        <v>296</v>
      </c>
    </row>
    <row r="75" spans="1:6" ht="60" x14ac:dyDescent="0.25">
      <c r="A75" s="446">
        <v>8</v>
      </c>
      <c r="B75" s="449" t="s">
        <v>372</v>
      </c>
      <c r="C75" s="242">
        <v>1</v>
      </c>
      <c r="D75" s="243" t="s">
        <v>373</v>
      </c>
      <c r="E75" s="244">
        <v>7808</v>
      </c>
      <c r="F75" s="242" t="s">
        <v>296</v>
      </c>
    </row>
    <row r="76" spans="1:6" ht="30" x14ac:dyDescent="0.25">
      <c r="A76" s="447"/>
      <c r="B76" s="450"/>
      <c r="C76" s="242">
        <f>C75+1</f>
        <v>2</v>
      </c>
      <c r="D76" s="243" t="s">
        <v>374</v>
      </c>
      <c r="E76" s="244">
        <v>80.2</v>
      </c>
      <c r="F76" s="242" t="s">
        <v>296</v>
      </c>
    </row>
    <row r="77" spans="1:6" ht="45" x14ac:dyDescent="0.25">
      <c r="A77" s="447"/>
      <c r="B77" s="450"/>
      <c r="C77" s="242">
        <f t="shared" ref="C77:C140" si="2">C76+1</f>
        <v>3</v>
      </c>
      <c r="D77" s="243" t="s">
        <v>375</v>
      </c>
      <c r="E77" s="244">
        <v>28846.959999999999</v>
      </c>
      <c r="F77" s="242" t="s">
        <v>296</v>
      </c>
    </row>
    <row r="78" spans="1:6" ht="30" x14ac:dyDescent="0.25">
      <c r="A78" s="447"/>
      <c r="B78" s="450"/>
      <c r="C78" s="242">
        <f t="shared" si="2"/>
        <v>4</v>
      </c>
      <c r="D78" s="243" t="s">
        <v>376</v>
      </c>
      <c r="E78" s="244">
        <v>1000</v>
      </c>
      <c r="F78" s="242" t="s">
        <v>296</v>
      </c>
    </row>
    <row r="79" spans="1:6" x14ac:dyDescent="0.25">
      <c r="A79" s="447"/>
      <c r="B79" s="450"/>
      <c r="C79" s="242">
        <f t="shared" si="2"/>
        <v>5</v>
      </c>
      <c r="D79" s="243" t="s">
        <v>377</v>
      </c>
      <c r="E79" s="244">
        <v>8835</v>
      </c>
      <c r="F79" s="242" t="s">
        <v>296</v>
      </c>
    </row>
    <row r="80" spans="1:6" ht="30" x14ac:dyDescent="0.25">
      <c r="A80" s="447"/>
      <c r="B80" s="450"/>
      <c r="C80" s="242">
        <f t="shared" si="2"/>
        <v>6</v>
      </c>
      <c r="D80" s="243" t="s">
        <v>378</v>
      </c>
      <c r="E80" s="244">
        <v>4500</v>
      </c>
      <c r="F80" s="242" t="s">
        <v>296</v>
      </c>
    </row>
    <row r="81" spans="1:6" ht="30" x14ac:dyDescent="0.25">
      <c r="A81" s="447"/>
      <c r="B81" s="450"/>
      <c r="C81" s="242">
        <f t="shared" si="2"/>
        <v>7</v>
      </c>
      <c r="D81" s="243" t="s">
        <v>379</v>
      </c>
      <c r="E81" s="244">
        <v>461.38</v>
      </c>
      <c r="F81" s="242" t="s">
        <v>296</v>
      </c>
    </row>
    <row r="82" spans="1:6" x14ac:dyDescent="0.25">
      <c r="A82" s="447"/>
      <c r="B82" s="450"/>
      <c r="C82" s="242">
        <f t="shared" si="2"/>
        <v>8</v>
      </c>
      <c r="D82" s="243" t="s">
        <v>380</v>
      </c>
      <c r="E82" s="244">
        <v>880</v>
      </c>
      <c r="F82" s="242" t="s">
        <v>296</v>
      </c>
    </row>
    <row r="83" spans="1:6" ht="30" x14ac:dyDescent="0.25">
      <c r="A83" s="447"/>
      <c r="B83" s="450"/>
      <c r="C83" s="242">
        <f t="shared" si="2"/>
        <v>9</v>
      </c>
      <c r="D83" s="243" t="s">
        <v>381</v>
      </c>
      <c r="E83" s="244">
        <v>176</v>
      </c>
      <c r="F83" s="242" t="s">
        <v>296</v>
      </c>
    </row>
    <row r="84" spans="1:6" x14ac:dyDescent="0.25">
      <c r="A84" s="447"/>
      <c r="B84" s="450"/>
      <c r="C84" s="242">
        <f t="shared" si="2"/>
        <v>10</v>
      </c>
      <c r="D84" s="243" t="s">
        <v>382</v>
      </c>
      <c r="E84" s="244">
        <v>3699.55</v>
      </c>
      <c r="F84" s="242" t="s">
        <v>296</v>
      </c>
    </row>
    <row r="85" spans="1:6" ht="30" x14ac:dyDescent="0.25">
      <c r="A85" s="447"/>
      <c r="B85" s="450"/>
      <c r="C85" s="242">
        <f t="shared" si="2"/>
        <v>11</v>
      </c>
      <c r="D85" s="243" t="s">
        <v>383</v>
      </c>
      <c r="E85" s="244">
        <v>44</v>
      </c>
      <c r="F85" s="242" t="s">
        <v>296</v>
      </c>
    </row>
    <row r="86" spans="1:6" ht="30" x14ac:dyDescent="0.25">
      <c r="A86" s="447"/>
      <c r="B86" s="450"/>
      <c r="C86" s="242">
        <f t="shared" si="2"/>
        <v>12</v>
      </c>
      <c r="D86" s="243" t="s">
        <v>384</v>
      </c>
      <c r="E86" s="244">
        <v>8.8000000000000007</v>
      </c>
      <c r="F86" s="242" t="s">
        <v>296</v>
      </c>
    </row>
    <row r="87" spans="1:6" ht="90" x14ac:dyDescent="0.25">
      <c r="A87" s="447"/>
      <c r="B87" s="450"/>
      <c r="C87" s="242">
        <f t="shared" si="2"/>
        <v>13</v>
      </c>
      <c r="D87" s="243" t="s">
        <v>385</v>
      </c>
      <c r="E87" s="244">
        <v>20301.900000000001</v>
      </c>
      <c r="F87" s="242" t="s">
        <v>296</v>
      </c>
    </row>
    <row r="88" spans="1:6" ht="75" x14ac:dyDescent="0.25">
      <c r="A88" s="447"/>
      <c r="B88" s="450"/>
      <c r="C88" s="242">
        <f t="shared" si="2"/>
        <v>14</v>
      </c>
      <c r="D88" s="243" t="s">
        <v>386</v>
      </c>
      <c r="E88" s="244">
        <v>35828.339999999997</v>
      </c>
      <c r="F88" s="242" t="s">
        <v>296</v>
      </c>
    </row>
    <row r="89" spans="1:6" ht="120" x14ac:dyDescent="0.25">
      <c r="A89" s="447"/>
      <c r="B89" s="450"/>
      <c r="C89" s="242">
        <f t="shared" si="2"/>
        <v>15</v>
      </c>
      <c r="D89" s="243" t="s">
        <v>387</v>
      </c>
      <c r="E89" s="244">
        <v>4325.13</v>
      </c>
      <c r="F89" s="242" t="s">
        <v>296</v>
      </c>
    </row>
    <row r="90" spans="1:6" x14ac:dyDescent="0.25">
      <c r="A90" s="447"/>
      <c r="B90" s="450"/>
      <c r="C90" s="242">
        <f t="shared" si="2"/>
        <v>16</v>
      </c>
      <c r="D90" s="243" t="s">
        <v>388</v>
      </c>
      <c r="E90" s="244">
        <v>44</v>
      </c>
      <c r="F90" s="242" t="s">
        <v>296</v>
      </c>
    </row>
    <row r="91" spans="1:6" ht="30" x14ac:dyDescent="0.25">
      <c r="A91" s="447"/>
      <c r="B91" s="450"/>
      <c r="C91" s="242">
        <f t="shared" si="2"/>
        <v>17</v>
      </c>
      <c r="D91" s="243" t="s">
        <v>389</v>
      </c>
      <c r="E91" s="244">
        <v>1009</v>
      </c>
      <c r="F91" s="242" t="s">
        <v>296</v>
      </c>
    </row>
    <row r="92" spans="1:6" ht="30" x14ac:dyDescent="0.25">
      <c r="A92" s="447"/>
      <c r="B92" s="450"/>
      <c r="C92" s="242">
        <f t="shared" si="2"/>
        <v>18</v>
      </c>
      <c r="D92" s="243" t="s">
        <v>390</v>
      </c>
      <c r="E92" s="244">
        <v>1593</v>
      </c>
      <c r="F92" s="242" t="s">
        <v>296</v>
      </c>
    </row>
    <row r="93" spans="1:6" ht="30" x14ac:dyDescent="0.25">
      <c r="A93" s="447"/>
      <c r="B93" s="450"/>
      <c r="C93" s="242">
        <f t="shared" si="2"/>
        <v>19</v>
      </c>
      <c r="D93" s="243" t="s">
        <v>391</v>
      </c>
      <c r="E93" s="244">
        <v>1316.88</v>
      </c>
      <c r="F93" s="242" t="s">
        <v>296</v>
      </c>
    </row>
    <row r="94" spans="1:6" x14ac:dyDescent="0.25">
      <c r="A94" s="447"/>
      <c r="B94" s="450"/>
      <c r="C94" s="242">
        <f t="shared" si="2"/>
        <v>20</v>
      </c>
      <c r="D94" s="243" t="s">
        <v>392</v>
      </c>
      <c r="E94" s="244">
        <v>1132.8</v>
      </c>
      <c r="F94" s="242" t="s">
        <v>296</v>
      </c>
    </row>
    <row r="95" spans="1:6" x14ac:dyDescent="0.25">
      <c r="A95" s="447"/>
      <c r="B95" s="450"/>
      <c r="C95" s="242">
        <f t="shared" si="2"/>
        <v>21</v>
      </c>
      <c r="D95" s="243" t="s">
        <v>393</v>
      </c>
      <c r="E95" s="244">
        <v>1372.34</v>
      </c>
      <c r="F95" s="242" t="s">
        <v>296</v>
      </c>
    </row>
    <row r="96" spans="1:6" x14ac:dyDescent="0.25">
      <c r="A96" s="447"/>
      <c r="B96" s="450"/>
      <c r="C96" s="242">
        <f t="shared" si="2"/>
        <v>22</v>
      </c>
      <c r="D96" s="243" t="s">
        <v>394</v>
      </c>
      <c r="E96" s="244">
        <v>1659.08</v>
      </c>
      <c r="F96" s="242" t="s">
        <v>296</v>
      </c>
    </row>
    <row r="97" spans="1:6" x14ac:dyDescent="0.25">
      <c r="A97" s="447"/>
      <c r="B97" s="450"/>
      <c r="C97" s="242">
        <f t="shared" si="2"/>
        <v>23</v>
      </c>
      <c r="D97" s="243" t="s">
        <v>395</v>
      </c>
      <c r="E97" s="244">
        <v>8055.9</v>
      </c>
      <c r="F97" s="242" t="s">
        <v>296</v>
      </c>
    </row>
    <row r="98" spans="1:6" ht="30" x14ac:dyDescent="0.25">
      <c r="A98" s="447"/>
      <c r="B98" s="450"/>
      <c r="C98" s="242">
        <f t="shared" si="2"/>
        <v>24</v>
      </c>
      <c r="D98" s="243" t="s">
        <v>396</v>
      </c>
      <c r="E98" s="244">
        <v>1781.8</v>
      </c>
      <c r="F98" s="242" t="s">
        <v>296</v>
      </c>
    </row>
    <row r="99" spans="1:6" ht="30" x14ac:dyDescent="0.25">
      <c r="A99" s="447"/>
      <c r="B99" s="450"/>
      <c r="C99" s="242">
        <f t="shared" si="2"/>
        <v>25</v>
      </c>
      <c r="D99" s="243" t="s">
        <v>397</v>
      </c>
      <c r="E99" s="244">
        <v>10395.799999999999</v>
      </c>
      <c r="F99" s="242" t="s">
        <v>296</v>
      </c>
    </row>
    <row r="100" spans="1:6" x14ac:dyDescent="0.25">
      <c r="A100" s="447"/>
      <c r="B100" s="450"/>
      <c r="C100" s="242">
        <f t="shared" si="2"/>
        <v>26</v>
      </c>
      <c r="D100" s="243" t="s">
        <v>398</v>
      </c>
      <c r="E100" s="244">
        <v>6355.48</v>
      </c>
      <c r="F100" s="242" t="s">
        <v>296</v>
      </c>
    </row>
    <row r="101" spans="1:6" x14ac:dyDescent="0.25">
      <c r="A101" s="447"/>
      <c r="B101" s="450"/>
      <c r="C101" s="242">
        <f t="shared" si="2"/>
        <v>27</v>
      </c>
      <c r="D101" s="243" t="s">
        <v>399</v>
      </c>
      <c r="E101" s="244">
        <v>907585</v>
      </c>
      <c r="F101" s="242" t="s">
        <v>296</v>
      </c>
    </row>
    <row r="102" spans="1:6" ht="30" x14ac:dyDescent="0.25">
      <c r="A102" s="447"/>
      <c r="B102" s="450"/>
      <c r="C102" s="242">
        <f t="shared" si="2"/>
        <v>28</v>
      </c>
      <c r="D102" s="243" t="s">
        <v>400</v>
      </c>
      <c r="E102" s="244">
        <v>18880</v>
      </c>
      <c r="F102" s="242" t="s">
        <v>296</v>
      </c>
    </row>
    <row r="103" spans="1:6" ht="45" x14ac:dyDescent="0.25">
      <c r="A103" s="447"/>
      <c r="B103" s="450"/>
      <c r="C103" s="242">
        <f t="shared" si="2"/>
        <v>29</v>
      </c>
      <c r="D103" s="243" t="s">
        <v>401</v>
      </c>
      <c r="E103" s="244">
        <v>880</v>
      </c>
      <c r="F103" s="242" t="s">
        <v>296</v>
      </c>
    </row>
    <row r="104" spans="1:6" ht="30" x14ac:dyDescent="0.25">
      <c r="A104" s="447"/>
      <c r="B104" s="450"/>
      <c r="C104" s="242">
        <f t="shared" si="2"/>
        <v>30</v>
      </c>
      <c r="D104" s="243" t="s">
        <v>402</v>
      </c>
      <c r="E104" s="244">
        <v>725.7</v>
      </c>
      <c r="F104" s="242" t="s">
        <v>296</v>
      </c>
    </row>
    <row r="105" spans="1:6" ht="30" x14ac:dyDescent="0.25">
      <c r="A105" s="447"/>
      <c r="B105" s="450"/>
      <c r="C105" s="242">
        <f t="shared" si="2"/>
        <v>31</v>
      </c>
      <c r="D105" s="243" t="s">
        <v>403</v>
      </c>
      <c r="E105" s="244">
        <v>417.72</v>
      </c>
      <c r="F105" s="242" t="s">
        <v>296</v>
      </c>
    </row>
    <row r="106" spans="1:6" ht="30" x14ac:dyDescent="0.25">
      <c r="A106" s="447"/>
      <c r="B106" s="450"/>
      <c r="C106" s="242">
        <f t="shared" si="2"/>
        <v>32</v>
      </c>
      <c r="D106" s="243" t="s">
        <v>404</v>
      </c>
      <c r="E106" s="244">
        <v>1260.24</v>
      </c>
      <c r="F106" s="242" t="s">
        <v>296</v>
      </c>
    </row>
    <row r="107" spans="1:6" ht="30" x14ac:dyDescent="0.25">
      <c r="A107" s="447"/>
      <c r="B107" s="450"/>
      <c r="C107" s="242">
        <f t="shared" si="2"/>
        <v>33</v>
      </c>
      <c r="D107" s="243" t="s">
        <v>405</v>
      </c>
      <c r="E107" s="244">
        <v>870.84</v>
      </c>
      <c r="F107" s="242" t="s">
        <v>296</v>
      </c>
    </row>
    <row r="108" spans="1:6" x14ac:dyDescent="0.25">
      <c r="A108" s="447"/>
      <c r="B108" s="450"/>
      <c r="C108" s="242">
        <f t="shared" si="2"/>
        <v>34</v>
      </c>
      <c r="D108" s="458" t="s">
        <v>406</v>
      </c>
      <c r="E108" s="459">
        <v>923.94</v>
      </c>
      <c r="F108" s="242" t="s">
        <v>296</v>
      </c>
    </row>
    <row r="109" spans="1:6" x14ac:dyDescent="0.25">
      <c r="A109" s="447"/>
      <c r="B109" s="450"/>
      <c r="C109" s="242">
        <f t="shared" si="2"/>
        <v>35</v>
      </c>
      <c r="D109" s="458"/>
      <c r="E109" s="459"/>
      <c r="F109" s="242" t="s">
        <v>296</v>
      </c>
    </row>
    <row r="110" spans="1:6" ht="30" x14ac:dyDescent="0.25">
      <c r="A110" s="447"/>
      <c r="B110" s="450"/>
      <c r="C110" s="242">
        <f t="shared" si="2"/>
        <v>36</v>
      </c>
      <c r="D110" s="243" t="s">
        <v>407</v>
      </c>
      <c r="E110" s="244">
        <v>2749.4</v>
      </c>
      <c r="F110" s="242" t="s">
        <v>296</v>
      </c>
    </row>
    <row r="111" spans="1:6" x14ac:dyDescent="0.25">
      <c r="A111" s="447"/>
      <c r="B111" s="450"/>
      <c r="C111" s="242">
        <f t="shared" si="2"/>
        <v>37</v>
      </c>
      <c r="D111" s="243" t="s">
        <v>408</v>
      </c>
      <c r="E111" s="244">
        <v>2875.66</v>
      </c>
      <c r="F111" s="242" t="s">
        <v>296</v>
      </c>
    </row>
    <row r="112" spans="1:6" ht="30" x14ac:dyDescent="0.25">
      <c r="A112" s="447"/>
      <c r="B112" s="450"/>
      <c r="C112" s="242">
        <f t="shared" si="2"/>
        <v>38</v>
      </c>
      <c r="D112" s="243" t="s">
        <v>409</v>
      </c>
      <c r="E112" s="244">
        <v>2306.9</v>
      </c>
      <c r="F112" s="242" t="s">
        <v>296</v>
      </c>
    </row>
    <row r="113" spans="1:6" x14ac:dyDescent="0.25">
      <c r="A113" s="447"/>
      <c r="B113" s="450"/>
      <c r="C113" s="242">
        <f t="shared" si="2"/>
        <v>39</v>
      </c>
      <c r="D113" s="243" t="s">
        <v>410</v>
      </c>
      <c r="E113" s="244">
        <v>247.8</v>
      </c>
      <c r="F113" s="242" t="s">
        <v>296</v>
      </c>
    </row>
    <row r="114" spans="1:6" x14ac:dyDescent="0.25">
      <c r="A114" s="447"/>
      <c r="B114" s="450"/>
      <c r="C114" s="242">
        <f t="shared" si="2"/>
        <v>40</v>
      </c>
      <c r="D114" s="243" t="s">
        <v>411</v>
      </c>
      <c r="E114" s="244">
        <v>383.5</v>
      </c>
      <c r="F114" s="242" t="s">
        <v>296</v>
      </c>
    </row>
    <row r="115" spans="1:6" x14ac:dyDescent="0.25">
      <c r="A115" s="447"/>
      <c r="B115" s="450"/>
      <c r="C115" s="242">
        <f t="shared" si="2"/>
        <v>41</v>
      </c>
      <c r="D115" s="243" t="s">
        <v>412</v>
      </c>
      <c r="E115" s="244">
        <v>699.54</v>
      </c>
      <c r="F115" s="242" t="s">
        <v>296</v>
      </c>
    </row>
    <row r="116" spans="1:6" x14ac:dyDescent="0.25">
      <c r="A116" s="447"/>
      <c r="B116" s="450"/>
      <c r="C116" s="242">
        <f t="shared" si="2"/>
        <v>42</v>
      </c>
      <c r="D116" s="243" t="s">
        <v>413</v>
      </c>
      <c r="E116" s="244">
        <v>330.4</v>
      </c>
      <c r="F116" s="242" t="s">
        <v>296</v>
      </c>
    </row>
    <row r="117" spans="1:6" x14ac:dyDescent="0.25">
      <c r="A117" s="447"/>
      <c r="B117" s="450"/>
      <c r="C117" s="242">
        <f t="shared" si="2"/>
        <v>43</v>
      </c>
      <c r="D117" s="243" t="s">
        <v>414</v>
      </c>
      <c r="E117" s="244">
        <v>383.5</v>
      </c>
      <c r="F117" s="242" t="s">
        <v>296</v>
      </c>
    </row>
    <row r="118" spans="1:6" x14ac:dyDescent="0.25">
      <c r="A118" s="447"/>
      <c r="B118" s="450"/>
      <c r="C118" s="242">
        <f t="shared" si="2"/>
        <v>44</v>
      </c>
      <c r="D118" s="243" t="s">
        <v>415</v>
      </c>
      <c r="E118" s="244">
        <v>3699.55</v>
      </c>
      <c r="F118" s="242" t="s">
        <v>296</v>
      </c>
    </row>
    <row r="119" spans="1:6" ht="30" x14ac:dyDescent="0.25">
      <c r="A119" s="447"/>
      <c r="B119" s="450"/>
      <c r="C119" s="242">
        <f t="shared" si="2"/>
        <v>45</v>
      </c>
      <c r="D119" s="243" t="s">
        <v>416</v>
      </c>
      <c r="E119" s="244">
        <v>182.9</v>
      </c>
      <c r="F119" s="242" t="s">
        <v>296</v>
      </c>
    </row>
    <row r="120" spans="1:6" ht="30" x14ac:dyDescent="0.25">
      <c r="A120" s="447"/>
      <c r="B120" s="450"/>
      <c r="C120" s="242">
        <f t="shared" si="2"/>
        <v>46</v>
      </c>
      <c r="D120" s="243" t="s">
        <v>417</v>
      </c>
      <c r="E120" s="244">
        <v>1655.54</v>
      </c>
      <c r="F120" s="242" t="s">
        <v>296</v>
      </c>
    </row>
    <row r="121" spans="1:6" ht="30" x14ac:dyDescent="0.25">
      <c r="A121" s="447"/>
      <c r="B121" s="450"/>
      <c r="C121" s="242">
        <f t="shared" si="2"/>
        <v>47</v>
      </c>
      <c r="D121" s="243" t="s">
        <v>418</v>
      </c>
      <c r="E121" s="244">
        <v>5664</v>
      </c>
      <c r="F121" s="242" t="s">
        <v>296</v>
      </c>
    </row>
    <row r="122" spans="1:6" x14ac:dyDescent="0.25">
      <c r="A122" s="447"/>
      <c r="B122" s="450"/>
      <c r="C122" s="242">
        <f t="shared" si="2"/>
        <v>48</v>
      </c>
      <c r="D122" s="243" t="s">
        <v>419</v>
      </c>
      <c r="E122" s="244">
        <v>4248</v>
      </c>
      <c r="F122" s="242" t="s">
        <v>296</v>
      </c>
    </row>
    <row r="123" spans="1:6" x14ac:dyDescent="0.25">
      <c r="A123" s="447"/>
      <c r="B123" s="450"/>
      <c r="C123" s="242">
        <f t="shared" si="2"/>
        <v>49</v>
      </c>
      <c r="D123" s="243" t="s">
        <v>420</v>
      </c>
      <c r="E123" s="244">
        <v>886.54</v>
      </c>
      <c r="F123" s="242" t="s">
        <v>296</v>
      </c>
    </row>
    <row r="124" spans="1:6" ht="30" x14ac:dyDescent="0.25">
      <c r="A124" s="447"/>
      <c r="B124" s="450"/>
      <c r="C124" s="242">
        <f t="shared" si="2"/>
        <v>50</v>
      </c>
      <c r="D124" s="243" t="s">
        <v>421</v>
      </c>
      <c r="E124" s="244">
        <v>1268.5</v>
      </c>
      <c r="F124" s="242" t="s">
        <v>296</v>
      </c>
    </row>
    <row r="125" spans="1:6" ht="30" x14ac:dyDescent="0.25">
      <c r="A125" s="447"/>
      <c r="B125" s="450"/>
      <c r="C125" s="242">
        <f t="shared" si="2"/>
        <v>51</v>
      </c>
      <c r="D125" s="245" t="s">
        <v>422</v>
      </c>
      <c r="E125" s="246">
        <v>348.1</v>
      </c>
      <c r="F125" s="242" t="s">
        <v>296</v>
      </c>
    </row>
    <row r="126" spans="1:6" ht="30" x14ac:dyDescent="0.25">
      <c r="A126" s="447"/>
      <c r="B126" s="450"/>
      <c r="C126" s="242">
        <f t="shared" si="2"/>
        <v>52</v>
      </c>
      <c r="D126" s="243" t="s">
        <v>423</v>
      </c>
      <c r="E126" s="244">
        <v>826</v>
      </c>
      <c r="F126" s="242" t="s">
        <v>296</v>
      </c>
    </row>
    <row r="127" spans="1:6" ht="30" x14ac:dyDescent="0.25">
      <c r="A127" s="447"/>
      <c r="B127" s="450"/>
      <c r="C127" s="242">
        <f t="shared" si="2"/>
        <v>53</v>
      </c>
      <c r="D127" s="243" t="s">
        <v>424</v>
      </c>
      <c r="E127" s="244">
        <v>351.64</v>
      </c>
      <c r="F127" s="242" t="s">
        <v>296</v>
      </c>
    </row>
    <row r="128" spans="1:6" x14ac:dyDescent="0.25">
      <c r="A128" s="447"/>
      <c r="B128" s="450"/>
      <c r="C128" s="242">
        <f t="shared" si="2"/>
        <v>54</v>
      </c>
      <c r="D128" s="243" t="s">
        <v>425</v>
      </c>
      <c r="E128" s="244">
        <v>182.9</v>
      </c>
      <c r="F128" s="242" t="s">
        <v>296</v>
      </c>
    </row>
    <row r="129" spans="1:6" ht="30" x14ac:dyDescent="0.25">
      <c r="A129" s="447"/>
      <c r="B129" s="450"/>
      <c r="C129" s="242">
        <f t="shared" si="2"/>
        <v>55</v>
      </c>
      <c r="D129" s="243" t="s">
        <v>426</v>
      </c>
      <c r="E129" s="244">
        <v>562.54</v>
      </c>
      <c r="F129" s="242" t="s">
        <v>296</v>
      </c>
    </row>
    <row r="130" spans="1:6" x14ac:dyDescent="0.25">
      <c r="A130" s="447"/>
      <c r="B130" s="450"/>
      <c r="C130" s="242">
        <f t="shared" si="2"/>
        <v>56</v>
      </c>
      <c r="D130" s="243" t="s">
        <v>427</v>
      </c>
      <c r="E130" s="244">
        <v>3080.54</v>
      </c>
      <c r="F130" s="242" t="s">
        <v>296</v>
      </c>
    </row>
    <row r="131" spans="1:6" x14ac:dyDescent="0.25">
      <c r="A131" s="447"/>
      <c r="B131" s="450"/>
      <c r="C131" s="242">
        <f t="shared" si="2"/>
        <v>57</v>
      </c>
      <c r="D131" s="243" t="s">
        <v>428</v>
      </c>
      <c r="E131" s="244">
        <v>1687.4</v>
      </c>
      <c r="F131" s="242" t="s">
        <v>296</v>
      </c>
    </row>
    <row r="132" spans="1:6" x14ac:dyDescent="0.25">
      <c r="A132" s="447"/>
      <c r="B132" s="450"/>
      <c r="C132" s="242">
        <f t="shared" si="2"/>
        <v>58</v>
      </c>
      <c r="D132" s="243" t="s">
        <v>429</v>
      </c>
      <c r="E132" s="244">
        <v>1416</v>
      </c>
      <c r="F132" s="242" t="s">
        <v>296</v>
      </c>
    </row>
    <row r="133" spans="1:6" x14ac:dyDescent="0.25">
      <c r="A133" s="447"/>
      <c r="B133" s="450"/>
      <c r="C133" s="242">
        <f t="shared" si="2"/>
        <v>59</v>
      </c>
      <c r="D133" s="243" t="s">
        <v>430</v>
      </c>
      <c r="E133" s="244">
        <v>2832</v>
      </c>
      <c r="F133" s="242" t="s">
        <v>296</v>
      </c>
    </row>
    <row r="134" spans="1:6" ht="30" x14ac:dyDescent="0.25">
      <c r="A134" s="447"/>
      <c r="B134" s="450"/>
      <c r="C134" s="242">
        <f t="shared" si="2"/>
        <v>60</v>
      </c>
      <c r="D134" s="243" t="s">
        <v>431</v>
      </c>
      <c r="E134" s="244">
        <v>3163.58</v>
      </c>
      <c r="F134" s="242" t="s">
        <v>296</v>
      </c>
    </row>
    <row r="135" spans="1:6" ht="30" x14ac:dyDescent="0.25">
      <c r="A135" s="447"/>
      <c r="B135" s="450"/>
      <c r="C135" s="242">
        <f t="shared" si="2"/>
        <v>61</v>
      </c>
      <c r="D135" s="243" t="s">
        <v>432</v>
      </c>
      <c r="E135" s="244">
        <v>840.16</v>
      </c>
      <c r="F135" s="242" t="s">
        <v>296</v>
      </c>
    </row>
    <row r="136" spans="1:6" ht="30" x14ac:dyDescent="0.25">
      <c r="A136" s="447"/>
      <c r="B136" s="450"/>
      <c r="C136" s="242">
        <f t="shared" si="2"/>
        <v>62</v>
      </c>
      <c r="D136" s="243" t="s">
        <v>433</v>
      </c>
      <c r="E136" s="244">
        <v>76.7</v>
      </c>
      <c r="F136" s="242" t="s">
        <v>296</v>
      </c>
    </row>
    <row r="137" spans="1:6" ht="30" x14ac:dyDescent="0.25">
      <c r="A137" s="447"/>
      <c r="B137" s="450"/>
      <c r="C137" s="242">
        <f t="shared" si="2"/>
        <v>63</v>
      </c>
      <c r="D137" s="243" t="s">
        <v>434</v>
      </c>
      <c r="E137" s="244">
        <v>115.99</v>
      </c>
      <c r="F137" s="242" t="s">
        <v>296</v>
      </c>
    </row>
    <row r="138" spans="1:6" x14ac:dyDescent="0.25">
      <c r="A138" s="447"/>
      <c r="B138" s="450"/>
      <c r="C138" s="242">
        <f t="shared" si="2"/>
        <v>64</v>
      </c>
      <c r="D138" s="243" t="s">
        <v>435</v>
      </c>
      <c r="E138" s="244">
        <v>70.8</v>
      </c>
      <c r="F138" s="242" t="s">
        <v>296</v>
      </c>
    </row>
    <row r="139" spans="1:6" ht="30" x14ac:dyDescent="0.25">
      <c r="A139" s="447"/>
      <c r="B139" s="450"/>
      <c r="C139" s="242">
        <f t="shared" si="2"/>
        <v>65</v>
      </c>
      <c r="D139" s="243" t="s">
        <v>436</v>
      </c>
      <c r="E139" s="244">
        <v>1.1000000000000001</v>
      </c>
      <c r="F139" s="242" t="s">
        <v>296</v>
      </c>
    </row>
    <row r="140" spans="1:6" x14ac:dyDescent="0.25">
      <c r="A140" s="447"/>
      <c r="B140" s="450"/>
      <c r="C140" s="242">
        <f t="shared" si="2"/>
        <v>66</v>
      </c>
      <c r="D140" s="243" t="s">
        <v>437</v>
      </c>
      <c r="E140" s="244">
        <v>880</v>
      </c>
      <c r="F140" s="242" t="s">
        <v>296</v>
      </c>
    </row>
    <row r="141" spans="1:6" ht="30" x14ac:dyDescent="0.25">
      <c r="A141" s="447"/>
      <c r="B141" s="450"/>
      <c r="C141" s="242">
        <f t="shared" ref="C141:C172" si="3">C140+1</f>
        <v>67</v>
      </c>
      <c r="D141" s="243" t="s">
        <v>438</v>
      </c>
      <c r="E141" s="244">
        <v>8035.8</v>
      </c>
      <c r="F141" s="242" t="s">
        <v>296</v>
      </c>
    </row>
    <row r="142" spans="1:6" ht="30" x14ac:dyDescent="0.25">
      <c r="A142" s="447"/>
      <c r="B142" s="450"/>
      <c r="C142" s="242">
        <f t="shared" si="3"/>
        <v>68</v>
      </c>
      <c r="D142" s="243" t="s">
        <v>439</v>
      </c>
      <c r="E142" s="244">
        <v>7445.8</v>
      </c>
      <c r="F142" s="242" t="s">
        <v>296</v>
      </c>
    </row>
    <row r="143" spans="1:6" ht="30" x14ac:dyDescent="0.25">
      <c r="A143" s="447"/>
      <c r="B143" s="450"/>
      <c r="C143" s="242">
        <f t="shared" si="3"/>
        <v>69</v>
      </c>
      <c r="D143" s="243" t="s">
        <v>440</v>
      </c>
      <c r="E143" s="244">
        <v>97845</v>
      </c>
      <c r="F143" s="242" t="s">
        <v>296</v>
      </c>
    </row>
    <row r="144" spans="1:6" ht="30" x14ac:dyDescent="0.25">
      <c r="A144" s="447"/>
      <c r="B144" s="450"/>
      <c r="C144" s="242">
        <f t="shared" si="3"/>
        <v>70</v>
      </c>
      <c r="D144" s="243" t="s">
        <v>441</v>
      </c>
      <c r="E144" s="244">
        <v>453120</v>
      </c>
      <c r="F144" s="242" t="s">
        <v>296</v>
      </c>
    </row>
    <row r="145" spans="1:6" ht="30" x14ac:dyDescent="0.25">
      <c r="A145" s="447"/>
      <c r="B145" s="450"/>
      <c r="C145" s="242">
        <f t="shared" si="3"/>
        <v>71</v>
      </c>
      <c r="D145" s="243" t="s">
        <v>442</v>
      </c>
      <c r="E145" s="244">
        <v>97845.6</v>
      </c>
      <c r="F145" s="242" t="s">
        <v>296</v>
      </c>
    </row>
    <row r="146" spans="1:6" x14ac:dyDescent="0.25">
      <c r="A146" s="447"/>
      <c r="B146" s="450"/>
      <c r="C146" s="242">
        <f t="shared" si="3"/>
        <v>72</v>
      </c>
      <c r="D146" s="243" t="s">
        <v>443</v>
      </c>
      <c r="E146" s="244">
        <v>741.04</v>
      </c>
      <c r="F146" s="242" t="s">
        <v>296</v>
      </c>
    </row>
    <row r="147" spans="1:6" ht="45" x14ac:dyDescent="0.25">
      <c r="A147" s="447"/>
      <c r="B147" s="450"/>
      <c r="C147" s="242">
        <f t="shared" si="3"/>
        <v>73</v>
      </c>
      <c r="D147" s="243" t="s">
        <v>444</v>
      </c>
      <c r="E147" s="244">
        <v>257146</v>
      </c>
      <c r="F147" s="242" t="s">
        <v>296</v>
      </c>
    </row>
    <row r="148" spans="1:6" ht="30" x14ac:dyDescent="0.25">
      <c r="A148" s="447"/>
      <c r="B148" s="450"/>
      <c r="C148" s="242">
        <f t="shared" si="3"/>
        <v>74</v>
      </c>
      <c r="D148" s="243" t="s">
        <v>445</v>
      </c>
      <c r="E148" s="244">
        <v>1157.58</v>
      </c>
      <c r="F148" s="242" t="s">
        <v>296</v>
      </c>
    </row>
    <row r="149" spans="1:6" ht="30" x14ac:dyDescent="0.25">
      <c r="A149" s="447"/>
      <c r="B149" s="450"/>
      <c r="C149" s="242">
        <f t="shared" si="3"/>
        <v>75</v>
      </c>
      <c r="D149" s="243" t="s">
        <v>446</v>
      </c>
      <c r="E149" s="244">
        <v>15487.6</v>
      </c>
      <c r="F149" s="242" t="s">
        <v>296</v>
      </c>
    </row>
    <row r="150" spans="1:6" ht="60" x14ac:dyDescent="0.25">
      <c r="A150" s="447"/>
      <c r="B150" s="450"/>
      <c r="C150" s="242">
        <f t="shared" si="3"/>
        <v>76</v>
      </c>
      <c r="D150" s="243" t="s">
        <v>447</v>
      </c>
      <c r="E150" s="244">
        <v>347753</v>
      </c>
      <c r="F150" s="242" t="s">
        <v>296</v>
      </c>
    </row>
    <row r="151" spans="1:6" ht="30" x14ac:dyDescent="0.25">
      <c r="A151" s="447"/>
      <c r="B151" s="450"/>
      <c r="C151" s="242">
        <f t="shared" si="3"/>
        <v>77</v>
      </c>
      <c r="D151" s="243" t="s">
        <v>448</v>
      </c>
      <c r="E151" s="244">
        <v>17.600000000000001</v>
      </c>
      <c r="F151" s="242" t="s">
        <v>296</v>
      </c>
    </row>
    <row r="152" spans="1:6" x14ac:dyDescent="0.25">
      <c r="A152" s="447"/>
      <c r="B152" s="450"/>
      <c r="C152" s="242">
        <f t="shared" si="3"/>
        <v>78</v>
      </c>
      <c r="D152" s="243" t="s">
        <v>449</v>
      </c>
      <c r="E152" s="244">
        <v>2832</v>
      </c>
      <c r="F152" s="242" t="s">
        <v>296</v>
      </c>
    </row>
    <row r="153" spans="1:6" x14ac:dyDescent="0.25">
      <c r="A153" s="447"/>
      <c r="B153" s="450"/>
      <c r="C153" s="242">
        <f t="shared" si="3"/>
        <v>79</v>
      </c>
      <c r="D153" s="243" t="s">
        <v>450</v>
      </c>
      <c r="E153" s="244">
        <v>1299.18</v>
      </c>
      <c r="F153" s="242" t="s">
        <v>296</v>
      </c>
    </row>
    <row r="154" spans="1:6" ht="30" x14ac:dyDescent="0.25">
      <c r="A154" s="447"/>
      <c r="B154" s="450"/>
      <c r="C154" s="242">
        <f t="shared" si="3"/>
        <v>80</v>
      </c>
      <c r="D154" s="243" t="s">
        <v>451</v>
      </c>
      <c r="E154" s="244">
        <v>88</v>
      </c>
      <c r="F154" s="242" t="s">
        <v>296</v>
      </c>
    </row>
    <row r="155" spans="1:6" ht="30" x14ac:dyDescent="0.25">
      <c r="A155" s="447"/>
      <c r="B155" s="450"/>
      <c r="C155" s="242">
        <f t="shared" si="3"/>
        <v>81</v>
      </c>
      <c r="D155" s="243" t="s">
        <v>452</v>
      </c>
      <c r="E155" s="244">
        <v>44</v>
      </c>
      <c r="F155" s="242" t="s">
        <v>296</v>
      </c>
    </row>
    <row r="156" spans="1:6" ht="30" x14ac:dyDescent="0.25">
      <c r="A156" s="447"/>
      <c r="B156" s="450"/>
      <c r="C156" s="242">
        <f t="shared" si="3"/>
        <v>82</v>
      </c>
      <c r="D156" s="243" t="s">
        <v>453</v>
      </c>
      <c r="E156" s="244">
        <v>6.4</v>
      </c>
      <c r="F156" s="242" t="s">
        <v>296</v>
      </c>
    </row>
    <row r="157" spans="1:6" ht="30" x14ac:dyDescent="0.25">
      <c r="A157" s="447"/>
      <c r="B157" s="450"/>
      <c r="C157" s="242">
        <f t="shared" si="3"/>
        <v>83</v>
      </c>
      <c r="D157" s="243" t="s">
        <v>454</v>
      </c>
      <c r="E157" s="244">
        <v>885</v>
      </c>
      <c r="F157" s="242" t="s">
        <v>296</v>
      </c>
    </row>
    <row r="158" spans="1:6" ht="30" x14ac:dyDescent="0.25">
      <c r="A158" s="447"/>
      <c r="B158" s="450"/>
      <c r="C158" s="242">
        <f t="shared" si="3"/>
        <v>84</v>
      </c>
      <c r="D158" s="243" t="s">
        <v>455</v>
      </c>
      <c r="E158" s="244">
        <v>44</v>
      </c>
      <c r="F158" s="242" t="s">
        <v>296</v>
      </c>
    </row>
    <row r="159" spans="1:6" ht="30" x14ac:dyDescent="0.25">
      <c r="A159" s="447"/>
      <c r="B159" s="450"/>
      <c r="C159" s="242">
        <f t="shared" si="3"/>
        <v>85</v>
      </c>
      <c r="D159" s="243" t="s">
        <v>456</v>
      </c>
      <c r="E159" s="244">
        <v>2537</v>
      </c>
      <c r="F159" s="242" t="s">
        <v>296</v>
      </c>
    </row>
    <row r="160" spans="1:6" ht="30" x14ac:dyDescent="0.25">
      <c r="A160" s="447"/>
      <c r="B160" s="450"/>
      <c r="C160" s="242">
        <f t="shared" si="3"/>
        <v>86</v>
      </c>
      <c r="D160" s="243" t="s">
        <v>457</v>
      </c>
      <c r="E160" s="244">
        <v>175.99</v>
      </c>
      <c r="F160" s="242" t="s">
        <v>296</v>
      </c>
    </row>
    <row r="161" spans="1:6" ht="30" x14ac:dyDescent="0.25">
      <c r="A161" s="447"/>
      <c r="B161" s="450"/>
      <c r="C161" s="242">
        <f t="shared" si="3"/>
        <v>87</v>
      </c>
      <c r="D161" s="243" t="s">
        <v>458</v>
      </c>
      <c r="E161" s="244">
        <v>177</v>
      </c>
      <c r="F161" s="242" t="s">
        <v>296</v>
      </c>
    </row>
    <row r="162" spans="1:6" x14ac:dyDescent="0.25">
      <c r="A162" s="447"/>
      <c r="B162" s="450"/>
      <c r="C162" s="242">
        <f t="shared" si="3"/>
        <v>88</v>
      </c>
      <c r="D162" s="243" t="s">
        <v>459</v>
      </c>
      <c r="E162" s="244">
        <v>2.8</v>
      </c>
      <c r="F162" s="242" t="s">
        <v>296</v>
      </c>
    </row>
    <row r="163" spans="1:6" ht="30" x14ac:dyDescent="0.25">
      <c r="A163" s="447"/>
      <c r="B163" s="450"/>
      <c r="C163" s="242">
        <f t="shared" si="3"/>
        <v>89</v>
      </c>
      <c r="D163" s="243" t="s">
        <v>460</v>
      </c>
      <c r="E163" s="244">
        <v>44</v>
      </c>
      <c r="F163" s="242" t="s">
        <v>296</v>
      </c>
    </row>
    <row r="164" spans="1:6" ht="30" x14ac:dyDescent="0.25">
      <c r="A164" s="447"/>
      <c r="B164" s="450"/>
      <c r="C164" s="242">
        <f t="shared" si="3"/>
        <v>90</v>
      </c>
      <c r="D164" s="243" t="s">
        <v>461</v>
      </c>
      <c r="E164" s="244">
        <v>122.74</v>
      </c>
      <c r="F164" s="242" t="s">
        <v>296</v>
      </c>
    </row>
    <row r="165" spans="1:6" ht="30" x14ac:dyDescent="0.25">
      <c r="A165" s="447"/>
      <c r="B165" s="450"/>
      <c r="C165" s="242">
        <f t="shared" si="3"/>
        <v>91</v>
      </c>
      <c r="D165" s="243" t="s">
        <v>462</v>
      </c>
      <c r="E165" s="244">
        <v>1239</v>
      </c>
      <c r="F165" s="242" t="s">
        <v>296</v>
      </c>
    </row>
    <row r="166" spans="1:6" ht="30" x14ac:dyDescent="0.25">
      <c r="A166" s="448"/>
      <c r="B166" s="451"/>
      <c r="C166" s="242">
        <f t="shared" si="3"/>
        <v>92</v>
      </c>
      <c r="D166" s="243" t="s">
        <v>463</v>
      </c>
      <c r="E166" s="244">
        <v>601.79999999999995</v>
      </c>
      <c r="F166" s="242" t="s">
        <v>296</v>
      </c>
    </row>
    <row r="167" spans="1:6" ht="45" x14ac:dyDescent="0.25">
      <c r="A167" s="452">
        <v>9</v>
      </c>
      <c r="B167" s="455" t="s">
        <v>464</v>
      </c>
      <c r="C167" s="236">
        <v>1</v>
      </c>
      <c r="D167" s="237" t="s">
        <v>465</v>
      </c>
      <c r="E167" s="238">
        <v>150</v>
      </c>
      <c r="F167" s="247">
        <v>45139</v>
      </c>
    </row>
    <row r="168" spans="1:6" x14ac:dyDescent="0.25">
      <c r="A168" s="453"/>
      <c r="B168" s="456"/>
      <c r="C168" s="236">
        <f t="shared" si="3"/>
        <v>2</v>
      </c>
      <c r="D168" s="148" t="s">
        <v>1144</v>
      </c>
      <c r="E168" s="238">
        <v>4000</v>
      </c>
      <c r="F168" s="247">
        <v>45139</v>
      </c>
    </row>
    <row r="169" spans="1:6" x14ac:dyDescent="0.25">
      <c r="A169" s="454"/>
      <c r="B169" s="457"/>
      <c r="C169" s="236">
        <f t="shared" si="3"/>
        <v>3</v>
      </c>
      <c r="D169" s="148"/>
      <c r="E169" s="148"/>
      <c r="F169" s="236"/>
    </row>
    <row r="170" spans="1:6" x14ac:dyDescent="0.25">
      <c r="A170" s="460">
        <v>10</v>
      </c>
      <c r="B170" s="460" t="s">
        <v>466</v>
      </c>
      <c r="C170" s="236">
        <v>1</v>
      </c>
      <c r="D170" s="148" t="s">
        <v>467</v>
      </c>
      <c r="E170" s="238">
        <v>1500</v>
      </c>
      <c r="F170" s="247">
        <v>45139</v>
      </c>
    </row>
    <row r="171" spans="1:6" x14ac:dyDescent="0.25">
      <c r="A171" s="460"/>
      <c r="B171" s="460"/>
      <c r="C171" s="236">
        <f t="shared" si="3"/>
        <v>2</v>
      </c>
      <c r="D171" s="148"/>
      <c r="E171" s="148"/>
      <c r="F171" s="239"/>
    </row>
    <row r="172" spans="1:6" x14ac:dyDescent="0.25">
      <c r="A172" s="460"/>
      <c r="B172" s="460"/>
      <c r="C172" s="236">
        <f t="shared" si="3"/>
        <v>3</v>
      </c>
      <c r="D172" s="148"/>
      <c r="E172" s="148"/>
      <c r="F172" s="148"/>
    </row>
    <row r="173" spans="1:6" x14ac:dyDescent="0.25">
      <c r="A173" s="452">
        <v>11</v>
      </c>
      <c r="B173" s="455" t="s">
        <v>1145</v>
      </c>
      <c r="C173" s="239">
        <v>1</v>
      </c>
      <c r="D173" s="148" t="s">
        <v>1146</v>
      </c>
      <c r="E173" s="238">
        <v>150</v>
      </c>
      <c r="F173" s="247">
        <v>45139</v>
      </c>
    </row>
    <row r="174" spans="1:6" x14ac:dyDescent="0.25">
      <c r="A174" s="453"/>
      <c r="B174" s="456"/>
      <c r="C174" s="239">
        <v>2</v>
      </c>
      <c r="D174" s="148" t="s">
        <v>1147</v>
      </c>
      <c r="E174" s="238">
        <v>290</v>
      </c>
      <c r="F174" s="247">
        <v>45139</v>
      </c>
    </row>
    <row r="175" spans="1:6" x14ac:dyDescent="0.25">
      <c r="A175" s="454"/>
      <c r="B175" s="457"/>
      <c r="C175" s="239">
        <v>3</v>
      </c>
      <c r="D175" s="148"/>
      <c r="E175" s="148"/>
      <c r="F175" s="148"/>
    </row>
  </sheetData>
  <autoFilter ref="A3:F3"/>
  <mergeCells count="20">
    <mergeCell ref="A4:A9"/>
    <mergeCell ref="B4:B9"/>
    <mergeCell ref="A11:A12"/>
    <mergeCell ref="B11:B12"/>
    <mergeCell ref="A13:A14"/>
    <mergeCell ref="B13:B14"/>
    <mergeCell ref="A15:A30"/>
    <mergeCell ref="B15:B30"/>
    <mergeCell ref="A32:A74"/>
    <mergeCell ref="B32:B74"/>
    <mergeCell ref="A75:A166"/>
    <mergeCell ref="B75:B166"/>
    <mergeCell ref="A173:A175"/>
    <mergeCell ref="B173:B175"/>
    <mergeCell ref="D108:D109"/>
    <mergeCell ref="E108:E109"/>
    <mergeCell ref="A167:A169"/>
    <mergeCell ref="B167:B169"/>
    <mergeCell ref="A170:A172"/>
    <mergeCell ref="B170:B17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'В4.Группы работ услуг'!$B$2:$B$15</xm:f>
          </x14:formula1>
          <xm:sqref>B4:B173 B176:B222</xm:sqref>
        </x14:dataValidation>
        <x14:dataValidation type="list" allowBlank="1" showInputMessage="1" showErrorMessage="1">
          <x14:formula1>
            <xm:f>'В4.Группы работ услуг'!$B$2:$B$14</xm:f>
          </x14:formula1>
          <xm:sqref>B223:B241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H23"/>
  <sheetViews>
    <sheetView tabSelected="1" topLeftCell="A7" zoomScale="80" zoomScaleNormal="80" workbookViewId="0">
      <selection activeCell="E22" sqref="E22"/>
    </sheetView>
  </sheetViews>
  <sheetFormatPr defaultColWidth="8.85546875" defaultRowHeight="15" x14ac:dyDescent="0.25"/>
  <cols>
    <col min="1" max="1" width="8.85546875" style="14"/>
    <col min="2" max="2" width="6.28515625" style="14" customWidth="1"/>
    <col min="3" max="3" width="35.28515625" style="14" customWidth="1"/>
    <col min="4" max="4" width="8.7109375" style="14" customWidth="1"/>
    <col min="5" max="5" width="27.42578125" style="14" customWidth="1"/>
    <col min="6" max="6" width="8.7109375" style="14" customWidth="1"/>
    <col min="7" max="7" width="102.5703125" style="14" customWidth="1"/>
    <col min="8" max="9" width="8.85546875" style="14"/>
    <col min="10" max="10" width="11.42578125" style="14" bestFit="1" customWidth="1"/>
    <col min="11" max="16384" width="8.85546875" style="14"/>
  </cols>
  <sheetData>
    <row r="1" spans="1:8" x14ac:dyDescent="0.25">
      <c r="A1" s="32"/>
      <c r="B1" s="32"/>
      <c r="C1" s="32"/>
      <c r="D1" s="32"/>
      <c r="E1" s="32"/>
      <c r="F1" s="32"/>
      <c r="G1" s="32"/>
      <c r="H1" s="32"/>
    </row>
    <row r="2" spans="1:8" ht="18" x14ac:dyDescent="0.25">
      <c r="A2" s="32"/>
      <c r="B2" s="322" t="s">
        <v>134</v>
      </c>
      <c r="C2" s="322"/>
      <c r="D2" s="322"/>
      <c r="E2" s="322"/>
      <c r="F2" s="322"/>
      <c r="G2" s="322"/>
      <c r="H2" s="32"/>
    </row>
    <row r="3" spans="1:8" x14ac:dyDescent="0.25">
      <c r="A3" s="32"/>
      <c r="B3" s="32"/>
      <c r="C3" s="32"/>
      <c r="D3" s="32"/>
      <c r="E3" s="32"/>
      <c r="F3" s="32"/>
      <c r="G3" s="32"/>
      <c r="H3" s="32"/>
    </row>
    <row r="4" spans="1:8" ht="31.5" x14ac:dyDescent="0.25">
      <c r="A4" s="13"/>
      <c r="B4" s="126" t="s">
        <v>62</v>
      </c>
      <c r="C4" s="126" t="s">
        <v>54</v>
      </c>
      <c r="D4" s="126"/>
      <c r="E4" s="126" t="s">
        <v>132</v>
      </c>
      <c r="F4" s="126" t="s">
        <v>56</v>
      </c>
      <c r="G4" s="126" t="s">
        <v>133</v>
      </c>
      <c r="H4" s="13"/>
    </row>
    <row r="5" spans="1:8" ht="40.15" customHeight="1" x14ac:dyDescent="0.25">
      <c r="A5" s="13"/>
      <c r="B5" s="126">
        <v>1</v>
      </c>
      <c r="C5" s="323" t="s">
        <v>9</v>
      </c>
      <c r="D5" s="324"/>
      <c r="E5" s="311">
        <v>6</v>
      </c>
      <c r="F5" s="312" t="s">
        <v>24</v>
      </c>
      <c r="G5" s="313" t="s">
        <v>1295</v>
      </c>
      <c r="H5" s="13"/>
    </row>
    <row r="6" spans="1:8" ht="40.15" customHeight="1" x14ac:dyDescent="0.25">
      <c r="A6" s="13"/>
      <c r="B6" s="126">
        <v>2</v>
      </c>
      <c r="C6" s="276" t="s">
        <v>1285</v>
      </c>
      <c r="D6" s="309"/>
      <c r="E6" s="325" t="s">
        <v>1286</v>
      </c>
      <c r="F6" s="326"/>
      <c r="G6" s="327"/>
      <c r="H6" s="13"/>
    </row>
    <row r="7" spans="1:8" ht="47.25" x14ac:dyDescent="0.25">
      <c r="A7" s="13"/>
      <c r="B7" s="310" t="s">
        <v>1283</v>
      </c>
      <c r="C7" s="323" t="s">
        <v>1282</v>
      </c>
      <c r="D7" s="324"/>
      <c r="E7" s="100"/>
      <c r="F7" s="307" t="s">
        <v>1272</v>
      </c>
      <c r="G7" s="308" t="s">
        <v>1311</v>
      </c>
      <c r="H7" s="13"/>
    </row>
    <row r="8" spans="1:8" ht="54" customHeight="1" x14ac:dyDescent="0.25">
      <c r="A8" s="13"/>
      <c r="B8" s="310" t="s">
        <v>1284</v>
      </c>
      <c r="C8" s="323" t="s">
        <v>1281</v>
      </c>
      <c r="D8" s="324"/>
      <c r="E8" s="100">
        <f>E7*8*E10/12</f>
        <v>0</v>
      </c>
      <c r="F8" s="101" t="s">
        <v>1273</v>
      </c>
      <c r="G8" s="102" t="s">
        <v>1292</v>
      </c>
      <c r="H8" s="13"/>
    </row>
    <row r="9" spans="1:8" ht="40.15" customHeight="1" x14ac:dyDescent="0.25">
      <c r="A9" s="13"/>
      <c r="B9" s="126">
        <v>3</v>
      </c>
      <c r="C9" s="323" t="s">
        <v>36</v>
      </c>
      <c r="D9" s="324"/>
      <c r="E9" s="103"/>
      <c r="F9" s="101" t="s">
        <v>35</v>
      </c>
      <c r="G9" s="102" t="s">
        <v>1293</v>
      </c>
      <c r="H9" s="258" t="str">
        <f>IF(E9=0,"",IF(ABS(E9)&lt;0.3,CONCATENATE("Проверьте значение: процент вводится как целое или дробное число от 0 до 100, а не от 0 до 1"),""))</f>
        <v/>
      </c>
    </row>
    <row r="10" spans="1:8" ht="40.15" customHeight="1" x14ac:dyDescent="0.25">
      <c r="A10" s="13"/>
      <c r="B10" s="126">
        <v>4</v>
      </c>
      <c r="C10" s="323" t="s">
        <v>71</v>
      </c>
      <c r="D10" s="324"/>
      <c r="E10" s="320">
        <v>247</v>
      </c>
      <c r="F10" s="314" t="s">
        <v>45</v>
      </c>
      <c r="G10" s="315" t="s">
        <v>1312</v>
      </c>
      <c r="H10" s="13"/>
    </row>
    <row r="11" spans="1:8" ht="73.5" customHeight="1" x14ac:dyDescent="0.25">
      <c r="A11" s="13"/>
      <c r="B11" s="126">
        <v>5</v>
      </c>
      <c r="C11" s="323" t="s">
        <v>72</v>
      </c>
      <c r="D11" s="324"/>
      <c r="E11" s="103">
        <v>1.302</v>
      </c>
      <c r="F11" s="101" t="s">
        <v>73</v>
      </c>
      <c r="G11" s="102" t="s">
        <v>1296</v>
      </c>
      <c r="H11" s="13"/>
    </row>
    <row r="12" spans="1:8" ht="31.5" x14ac:dyDescent="0.25">
      <c r="A12" s="13"/>
      <c r="B12" s="328">
        <v>6</v>
      </c>
      <c r="C12" s="323" t="s">
        <v>1220</v>
      </c>
      <c r="D12" s="276" t="s">
        <v>1213</v>
      </c>
      <c r="E12" s="321">
        <v>4.4569999999999999</v>
      </c>
      <c r="F12" s="314" t="s">
        <v>153</v>
      </c>
      <c r="G12" s="315" t="s">
        <v>1218</v>
      </c>
      <c r="H12" s="13"/>
    </row>
    <row r="13" spans="1:8" ht="31.5" x14ac:dyDescent="0.25">
      <c r="A13" s="13"/>
      <c r="B13" s="328"/>
      <c r="C13" s="323"/>
      <c r="D13" s="276" t="s">
        <v>1214</v>
      </c>
      <c r="E13" s="321">
        <v>4.0259999999999998</v>
      </c>
      <c r="F13" s="314" t="s">
        <v>153</v>
      </c>
      <c r="G13" s="315" t="s">
        <v>1218</v>
      </c>
      <c r="H13" s="13"/>
    </row>
    <row r="14" spans="1:8" ht="31.5" x14ac:dyDescent="0.25">
      <c r="A14" s="13"/>
      <c r="B14" s="328"/>
      <c r="C14" s="323"/>
      <c r="D14" s="276" t="s">
        <v>1215</v>
      </c>
      <c r="E14" s="321">
        <v>4.0380000000000003</v>
      </c>
      <c r="F14" s="314" t="s">
        <v>153</v>
      </c>
      <c r="G14" s="315" t="s">
        <v>1218</v>
      </c>
      <c r="H14" s="13"/>
    </row>
    <row r="15" spans="1:8" ht="15.75" x14ac:dyDescent="0.25">
      <c r="A15" s="13"/>
      <c r="B15" s="328"/>
      <c r="C15" s="323"/>
      <c r="D15" s="276" t="s">
        <v>1216</v>
      </c>
      <c r="E15" s="321">
        <v>4.0380000000000003</v>
      </c>
      <c r="F15" s="314" t="s">
        <v>153</v>
      </c>
      <c r="G15" s="315" t="s">
        <v>1219</v>
      </c>
      <c r="H15" s="13"/>
    </row>
    <row r="16" spans="1:8" ht="15.75" x14ac:dyDescent="0.25">
      <c r="A16" s="13"/>
      <c r="B16" s="328"/>
      <c r="C16" s="323"/>
      <c r="D16" s="276" t="s">
        <v>1217</v>
      </c>
      <c r="E16" s="321">
        <v>4.0380000000000003</v>
      </c>
      <c r="F16" s="314" t="s">
        <v>153</v>
      </c>
      <c r="G16" s="315" t="s">
        <v>1219</v>
      </c>
      <c r="H16" s="13"/>
    </row>
    <row r="17" spans="1:8" ht="31.5" x14ac:dyDescent="0.25">
      <c r="A17" s="13"/>
      <c r="B17" s="328">
        <v>7</v>
      </c>
      <c r="C17" s="323" t="s">
        <v>1280</v>
      </c>
      <c r="D17" s="276" t="s">
        <v>1213</v>
      </c>
      <c r="E17" s="321">
        <v>13.215999999999999</v>
      </c>
      <c r="F17" s="314" t="s">
        <v>153</v>
      </c>
      <c r="G17" s="315" t="s">
        <v>1218</v>
      </c>
      <c r="H17" s="13"/>
    </row>
    <row r="18" spans="1:8" ht="31.5" x14ac:dyDescent="0.25">
      <c r="A18" s="13"/>
      <c r="B18" s="328"/>
      <c r="C18" s="323"/>
      <c r="D18" s="276" t="s">
        <v>1214</v>
      </c>
      <c r="E18" s="321">
        <v>10.221</v>
      </c>
      <c r="F18" s="314" t="s">
        <v>153</v>
      </c>
      <c r="G18" s="315" t="s">
        <v>1218</v>
      </c>
      <c r="H18" s="13"/>
    </row>
    <row r="19" spans="1:8" ht="31.5" x14ac:dyDescent="0.25">
      <c r="A19" s="13"/>
      <c r="B19" s="328"/>
      <c r="C19" s="323"/>
      <c r="D19" s="276" t="s">
        <v>1215</v>
      </c>
      <c r="E19" s="321">
        <v>8.2850000000000001</v>
      </c>
      <c r="F19" s="314" t="s">
        <v>153</v>
      </c>
      <c r="G19" s="315" t="s">
        <v>1218</v>
      </c>
      <c r="H19" s="13"/>
    </row>
    <row r="20" spans="1:8" ht="15.75" x14ac:dyDescent="0.25">
      <c r="A20" s="13"/>
      <c r="B20" s="328"/>
      <c r="C20" s="323"/>
      <c r="D20" s="276" t="s">
        <v>1216</v>
      </c>
      <c r="E20" s="321">
        <v>8.2850000000000001</v>
      </c>
      <c r="F20" s="314" t="s">
        <v>153</v>
      </c>
      <c r="G20" s="315" t="s">
        <v>1219</v>
      </c>
      <c r="H20" s="13"/>
    </row>
    <row r="21" spans="1:8" ht="15.75" x14ac:dyDescent="0.25">
      <c r="A21" s="13"/>
      <c r="B21" s="328"/>
      <c r="C21" s="323"/>
      <c r="D21" s="276" t="s">
        <v>1217</v>
      </c>
      <c r="E21" s="321">
        <v>8.2850000000000001</v>
      </c>
      <c r="F21" s="314" t="s">
        <v>153</v>
      </c>
      <c r="G21" s="315" t="s">
        <v>1219</v>
      </c>
      <c r="H21" s="13"/>
    </row>
    <row r="22" spans="1:8" x14ac:dyDescent="0.25">
      <c r="A22" s="13"/>
      <c r="B22" s="13"/>
      <c r="C22" s="13"/>
      <c r="D22" s="13"/>
      <c r="E22" s="13"/>
      <c r="F22" s="13"/>
      <c r="G22" s="13"/>
      <c r="H22" s="13"/>
    </row>
    <row r="23" spans="1:8" x14ac:dyDescent="0.25">
      <c r="A23" s="13"/>
      <c r="B23" s="13"/>
      <c r="C23" s="13"/>
      <c r="D23" s="13"/>
      <c r="E23" s="13"/>
      <c r="F23" s="13"/>
      <c r="G23" s="13"/>
      <c r="H23" s="13"/>
    </row>
  </sheetData>
  <mergeCells count="12">
    <mergeCell ref="C11:D11"/>
    <mergeCell ref="B17:B21"/>
    <mergeCell ref="C17:C21"/>
    <mergeCell ref="C12:C16"/>
    <mergeCell ref="B12:B16"/>
    <mergeCell ref="B2:G2"/>
    <mergeCell ref="C5:D5"/>
    <mergeCell ref="C8:D8"/>
    <mergeCell ref="C9:D9"/>
    <mergeCell ref="C10:D10"/>
    <mergeCell ref="C7:D7"/>
    <mergeCell ref="E6:G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H50"/>
  <sheetViews>
    <sheetView workbookViewId="0">
      <selection activeCell="L17" sqref="L17"/>
    </sheetView>
  </sheetViews>
  <sheetFormatPr defaultRowHeight="15" x14ac:dyDescent="0.25"/>
  <cols>
    <col min="1" max="1" width="5.7109375" style="139" customWidth="1"/>
    <col min="2" max="2" width="34.85546875" customWidth="1"/>
    <col min="3" max="3" width="5.7109375" customWidth="1"/>
    <col min="4" max="4" width="66.140625" customWidth="1"/>
    <col min="5" max="5" width="23.28515625" customWidth="1"/>
    <col min="6" max="6" width="15.7109375" style="139" customWidth="1"/>
  </cols>
  <sheetData>
    <row r="1" spans="1:8" ht="15.75" x14ac:dyDescent="0.25">
      <c r="A1" s="149" t="s">
        <v>172</v>
      </c>
    </row>
    <row r="3" spans="1:8" ht="30" x14ac:dyDescent="0.25">
      <c r="A3" s="135" t="s">
        <v>257</v>
      </c>
      <c r="B3" s="135" t="s">
        <v>468</v>
      </c>
      <c r="C3" s="135" t="s">
        <v>257</v>
      </c>
      <c r="D3" s="135" t="s">
        <v>469</v>
      </c>
      <c r="E3" s="135" t="s">
        <v>470</v>
      </c>
      <c r="F3" s="135" t="s">
        <v>262</v>
      </c>
    </row>
    <row r="4" spans="1:8" x14ac:dyDescent="0.25">
      <c r="A4" s="461">
        <v>1</v>
      </c>
      <c r="B4" s="462" t="s">
        <v>464</v>
      </c>
      <c r="C4" s="140">
        <v>1</v>
      </c>
      <c r="D4" s="150" t="s">
        <v>471</v>
      </c>
      <c r="E4" s="151">
        <v>34825</v>
      </c>
      <c r="F4" s="152">
        <v>44896</v>
      </c>
    </row>
    <row r="5" spans="1:8" x14ac:dyDescent="0.25">
      <c r="A5" s="461"/>
      <c r="B5" s="462"/>
      <c r="C5" s="140">
        <f>C4+1</f>
        <v>2</v>
      </c>
      <c r="D5" s="150" t="s">
        <v>472</v>
      </c>
      <c r="E5" s="151">
        <v>966879</v>
      </c>
      <c r="F5" s="152">
        <v>44896</v>
      </c>
    </row>
    <row r="6" spans="1:8" x14ac:dyDescent="0.25">
      <c r="A6" s="461"/>
      <c r="B6" s="462"/>
      <c r="C6" s="140">
        <f t="shared" ref="C6:C12" si="0">C5+1</f>
        <v>3</v>
      </c>
      <c r="D6" s="150" t="s">
        <v>473</v>
      </c>
      <c r="E6" s="151">
        <v>2162652.5</v>
      </c>
      <c r="F6" s="152">
        <v>44896</v>
      </c>
    </row>
    <row r="7" spans="1:8" ht="30" x14ac:dyDescent="0.25">
      <c r="A7" s="461"/>
      <c r="B7" s="462"/>
      <c r="C7" s="140">
        <f t="shared" si="0"/>
        <v>4</v>
      </c>
      <c r="D7" s="150" t="s">
        <v>474</v>
      </c>
      <c r="E7" s="151">
        <v>62227</v>
      </c>
      <c r="F7" s="152">
        <v>44896</v>
      </c>
    </row>
    <row r="8" spans="1:8" ht="45" x14ac:dyDescent="0.25">
      <c r="A8" s="461"/>
      <c r="B8" s="462"/>
      <c r="C8" s="140">
        <f t="shared" si="0"/>
        <v>5</v>
      </c>
      <c r="D8" s="150" t="s">
        <v>475</v>
      </c>
      <c r="E8" s="151">
        <v>5127317</v>
      </c>
      <c r="F8" s="152">
        <v>44896</v>
      </c>
    </row>
    <row r="9" spans="1:8" ht="45" x14ac:dyDescent="0.25">
      <c r="A9" s="461"/>
      <c r="B9" s="462"/>
      <c r="C9" s="140">
        <f t="shared" si="0"/>
        <v>6</v>
      </c>
      <c r="D9" s="150" t="s">
        <v>476</v>
      </c>
      <c r="E9" s="151">
        <v>7635076.7999999998</v>
      </c>
      <c r="F9" s="152">
        <v>44896</v>
      </c>
    </row>
    <row r="10" spans="1:8" x14ac:dyDescent="0.25">
      <c r="A10" s="461"/>
      <c r="B10" s="462"/>
      <c r="C10" s="140">
        <f t="shared" si="0"/>
        <v>7</v>
      </c>
      <c r="D10" s="150" t="s">
        <v>477</v>
      </c>
      <c r="E10" s="151">
        <v>93147</v>
      </c>
      <c r="F10" s="152">
        <v>44896</v>
      </c>
    </row>
    <row r="11" spans="1:8" x14ac:dyDescent="0.25">
      <c r="A11" s="461"/>
      <c r="B11" s="462"/>
      <c r="C11" s="140">
        <f t="shared" si="0"/>
        <v>8</v>
      </c>
      <c r="D11" s="150" t="s">
        <v>478</v>
      </c>
      <c r="E11" s="151">
        <v>4431568</v>
      </c>
      <c r="F11" s="152">
        <v>44896</v>
      </c>
    </row>
    <row r="12" spans="1:8" x14ac:dyDescent="0.25">
      <c r="A12" s="461"/>
      <c r="B12" s="462"/>
      <c r="C12" s="140">
        <f t="shared" si="0"/>
        <v>9</v>
      </c>
      <c r="D12" s="150" t="s">
        <v>479</v>
      </c>
      <c r="E12" s="151">
        <v>10634218.4</v>
      </c>
      <c r="F12" s="152">
        <v>44896</v>
      </c>
    </row>
    <row r="13" spans="1:8" ht="30" x14ac:dyDescent="0.25">
      <c r="A13" s="444">
        <v>2</v>
      </c>
      <c r="B13" s="445" t="s">
        <v>326</v>
      </c>
      <c r="C13" s="140">
        <v>1</v>
      </c>
      <c r="D13" s="248" t="s">
        <v>480</v>
      </c>
      <c r="E13" s="249">
        <v>1980</v>
      </c>
      <c r="F13" s="250">
        <v>2013</v>
      </c>
      <c r="H13" t="s">
        <v>482</v>
      </c>
    </row>
    <row r="14" spans="1:8" ht="45" x14ac:dyDescent="0.25">
      <c r="A14" s="444"/>
      <c r="B14" s="445"/>
      <c r="C14" s="140">
        <f>C13+1</f>
        <v>2</v>
      </c>
      <c r="D14" s="248" t="s">
        <v>483</v>
      </c>
      <c r="E14" s="249">
        <v>170</v>
      </c>
      <c r="F14" s="250">
        <v>2013</v>
      </c>
    </row>
    <row r="15" spans="1:8" ht="30" x14ac:dyDescent="0.25">
      <c r="A15" s="444"/>
      <c r="B15" s="445"/>
      <c r="C15" s="140">
        <f>C14+1</f>
        <v>3</v>
      </c>
      <c r="D15" s="248" t="s">
        <v>484</v>
      </c>
      <c r="E15" s="249">
        <v>3100</v>
      </c>
      <c r="F15" s="250">
        <v>2013</v>
      </c>
    </row>
    <row r="16" spans="1:8" ht="30" x14ac:dyDescent="0.25">
      <c r="A16" s="444"/>
      <c r="B16" s="445"/>
      <c r="C16" s="140">
        <f>C15+1</f>
        <v>4</v>
      </c>
      <c r="D16" s="248" t="s">
        <v>485</v>
      </c>
      <c r="E16" s="249">
        <v>1200</v>
      </c>
      <c r="F16" s="250">
        <v>2013</v>
      </c>
    </row>
    <row r="17" spans="1:8" ht="30" x14ac:dyDescent="0.25">
      <c r="A17" s="444"/>
      <c r="B17" s="445"/>
      <c r="C17" s="140">
        <f>C16+1</f>
        <v>5</v>
      </c>
      <c r="D17" s="248" t="s">
        <v>485</v>
      </c>
      <c r="E17" s="249">
        <v>3150</v>
      </c>
      <c r="F17" s="250">
        <v>2013</v>
      </c>
    </row>
    <row r="18" spans="1:8" ht="45" x14ac:dyDescent="0.25">
      <c r="A18" s="446"/>
      <c r="B18" s="449"/>
      <c r="C18" s="153">
        <f>C17+1</f>
        <v>6</v>
      </c>
      <c r="D18" s="248" t="s">
        <v>486</v>
      </c>
      <c r="E18" s="249">
        <v>1950</v>
      </c>
      <c r="F18" s="250">
        <v>2013</v>
      </c>
    </row>
    <row r="19" spans="1:8" ht="30" x14ac:dyDescent="0.25">
      <c r="A19" s="446">
        <v>3</v>
      </c>
      <c r="B19" s="449" t="s">
        <v>487</v>
      </c>
      <c r="C19" s="140">
        <v>1</v>
      </c>
      <c r="D19" s="248" t="s">
        <v>488</v>
      </c>
      <c r="E19" s="249">
        <v>290000</v>
      </c>
      <c r="F19" s="250" t="s">
        <v>481</v>
      </c>
      <c r="H19" t="s">
        <v>482</v>
      </c>
    </row>
    <row r="20" spans="1:8" ht="45" x14ac:dyDescent="0.25">
      <c r="A20" s="447"/>
      <c r="B20" s="450"/>
      <c r="C20" s="140">
        <f>C19+1</f>
        <v>2</v>
      </c>
      <c r="D20" s="248" t="s">
        <v>489</v>
      </c>
      <c r="E20" s="249">
        <v>2120000</v>
      </c>
      <c r="F20" s="250" t="s">
        <v>481</v>
      </c>
    </row>
    <row r="21" spans="1:8" ht="30" x14ac:dyDescent="0.25">
      <c r="A21" s="447"/>
      <c r="B21" s="450"/>
      <c r="C21" s="140">
        <f t="shared" ref="C21:C36" si="1">C20+1</f>
        <v>3</v>
      </c>
      <c r="D21" s="248" t="s">
        <v>490</v>
      </c>
      <c r="E21" s="249">
        <v>2120000</v>
      </c>
      <c r="F21" s="250" t="s">
        <v>481</v>
      </c>
    </row>
    <row r="22" spans="1:8" ht="60" x14ac:dyDescent="0.25">
      <c r="A22" s="447"/>
      <c r="B22" s="450"/>
      <c r="C22" s="140">
        <f t="shared" si="1"/>
        <v>4</v>
      </c>
      <c r="D22" s="248" t="s">
        <v>491</v>
      </c>
      <c r="E22" s="249">
        <v>2120000</v>
      </c>
      <c r="F22" s="250" t="s">
        <v>481</v>
      </c>
    </row>
    <row r="23" spans="1:8" ht="30" x14ac:dyDescent="0.25">
      <c r="A23" s="447"/>
      <c r="B23" s="450"/>
      <c r="C23" s="140">
        <f t="shared" si="1"/>
        <v>5</v>
      </c>
      <c r="D23" s="248" t="s">
        <v>492</v>
      </c>
      <c r="E23" s="249">
        <v>2120000</v>
      </c>
      <c r="F23" s="250" t="s">
        <v>481</v>
      </c>
    </row>
    <row r="24" spans="1:8" ht="30" x14ac:dyDescent="0.25">
      <c r="A24" s="447"/>
      <c r="B24" s="450"/>
      <c r="C24" s="140">
        <f t="shared" si="1"/>
        <v>6</v>
      </c>
      <c r="D24" s="248" t="s">
        <v>493</v>
      </c>
      <c r="E24" s="249">
        <v>166306000</v>
      </c>
      <c r="F24" s="250" t="s">
        <v>481</v>
      </c>
    </row>
    <row r="25" spans="1:8" ht="45" x14ac:dyDescent="0.25">
      <c r="A25" s="447"/>
      <c r="B25" s="450"/>
      <c r="C25" s="140">
        <f t="shared" si="1"/>
        <v>7</v>
      </c>
      <c r="D25" s="248" t="s">
        <v>494</v>
      </c>
      <c r="E25" s="249">
        <v>131100000000</v>
      </c>
      <c r="F25" s="250" t="s">
        <v>481</v>
      </c>
    </row>
    <row r="26" spans="1:8" x14ac:dyDescent="0.25">
      <c r="A26" s="447"/>
      <c r="B26" s="450"/>
      <c r="C26" s="140">
        <f t="shared" si="1"/>
        <v>8</v>
      </c>
      <c r="D26" s="248" t="s">
        <v>495</v>
      </c>
      <c r="E26" s="249">
        <v>6247000</v>
      </c>
      <c r="F26" s="250" t="s">
        <v>481</v>
      </c>
    </row>
    <row r="27" spans="1:8" x14ac:dyDescent="0.25">
      <c r="A27" s="447"/>
      <c r="B27" s="450"/>
      <c r="C27" s="140">
        <f t="shared" si="1"/>
        <v>9</v>
      </c>
      <c r="D27" s="248" t="s">
        <v>496</v>
      </c>
      <c r="E27" s="249">
        <v>6247000</v>
      </c>
      <c r="F27" s="250" t="s">
        <v>481</v>
      </c>
    </row>
    <row r="28" spans="1:8" ht="30" x14ac:dyDescent="0.25">
      <c r="A28" s="447"/>
      <c r="B28" s="450"/>
      <c r="C28" s="140">
        <f t="shared" si="1"/>
        <v>10</v>
      </c>
      <c r="D28" s="248" t="s">
        <v>497</v>
      </c>
      <c r="E28" s="249">
        <v>6247000</v>
      </c>
      <c r="F28" s="250" t="s">
        <v>481</v>
      </c>
    </row>
    <row r="29" spans="1:8" x14ac:dyDescent="0.25">
      <c r="A29" s="447"/>
      <c r="B29" s="450"/>
      <c r="C29" s="140">
        <f t="shared" si="1"/>
        <v>11</v>
      </c>
      <c r="D29" s="248" t="s">
        <v>498</v>
      </c>
      <c r="E29" s="249">
        <v>6247000</v>
      </c>
      <c r="F29" s="250" t="s">
        <v>481</v>
      </c>
    </row>
    <row r="30" spans="1:8" ht="30" x14ac:dyDescent="0.25">
      <c r="A30" s="447"/>
      <c r="B30" s="450"/>
      <c r="C30" s="140">
        <f t="shared" si="1"/>
        <v>12</v>
      </c>
      <c r="D30" s="248" t="s">
        <v>499</v>
      </c>
      <c r="E30" s="249">
        <v>166306000</v>
      </c>
      <c r="F30" s="250" t="s">
        <v>481</v>
      </c>
    </row>
    <row r="31" spans="1:8" ht="45" x14ac:dyDescent="0.25">
      <c r="A31" s="447"/>
      <c r="B31" s="450"/>
      <c r="C31" s="140">
        <f t="shared" si="1"/>
        <v>13</v>
      </c>
      <c r="D31" s="248" t="s">
        <v>500</v>
      </c>
      <c r="E31" s="249">
        <v>407500000</v>
      </c>
      <c r="F31" s="250" t="s">
        <v>481</v>
      </c>
    </row>
    <row r="32" spans="1:8" ht="30" x14ac:dyDescent="0.25">
      <c r="A32" s="447"/>
      <c r="B32" s="450"/>
      <c r="C32" s="140">
        <f t="shared" si="1"/>
        <v>14</v>
      </c>
      <c r="D32" s="248" t="s">
        <v>501</v>
      </c>
      <c r="E32" s="249">
        <v>9025000</v>
      </c>
      <c r="F32" s="250" t="s">
        <v>481</v>
      </c>
    </row>
    <row r="33" spans="1:6" x14ac:dyDescent="0.25">
      <c r="A33" s="447"/>
      <c r="B33" s="450"/>
      <c r="C33" s="140">
        <f t="shared" si="1"/>
        <v>15</v>
      </c>
      <c r="D33" s="248" t="s">
        <v>502</v>
      </c>
      <c r="E33" s="249">
        <v>9025000</v>
      </c>
      <c r="F33" s="250" t="s">
        <v>481</v>
      </c>
    </row>
    <row r="34" spans="1:6" x14ac:dyDescent="0.25">
      <c r="A34" s="447"/>
      <c r="B34" s="450"/>
      <c r="C34" s="140">
        <f t="shared" si="1"/>
        <v>16</v>
      </c>
      <c r="D34" s="248" t="s">
        <v>503</v>
      </c>
      <c r="E34" s="249">
        <v>33100000</v>
      </c>
      <c r="F34" s="250" t="s">
        <v>481</v>
      </c>
    </row>
    <row r="35" spans="1:6" ht="30" x14ac:dyDescent="0.25">
      <c r="A35" s="447"/>
      <c r="B35" s="450"/>
      <c r="C35" s="140">
        <f t="shared" si="1"/>
        <v>17</v>
      </c>
      <c r="D35" s="248" t="s">
        <v>504</v>
      </c>
      <c r="E35" s="249">
        <v>36100000</v>
      </c>
      <c r="F35" s="250" t="s">
        <v>481</v>
      </c>
    </row>
    <row r="36" spans="1:6" ht="30" x14ac:dyDescent="0.25">
      <c r="A36" s="448"/>
      <c r="B36" s="451"/>
      <c r="C36" s="140">
        <f t="shared" si="1"/>
        <v>18</v>
      </c>
      <c r="D36" s="248" t="s">
        <v>505</v>
      </c>
      <c r="E36" s="249">
        <v>36100000</v>
      </c>
      <c r="F36" s="250" t="s">
        <v>481</v>
      </c>
    </row>
    <row r="37" spans="1:6" x14ac:dyDescent="0.25">
      <c r="A37" s="154"/>
      <c r="B37" s="133"/>
      <c r="C37" s="133"/>
      <c r="D37" s="133"/>
      <c r="E37" s="133"/>
      <c r="F37" s="154"/>
    </row>
    <row r="38" spans="1:6" x14ac:dyDescent="0.25">
      <c r="A38" s="154"/>
      <c r="B38" s="133"/>
      <c r="C38" s="133"/>
      <c r="D38" s="133"/>
      <c r="E38" s="133"/>
      <c r="F38" s="154"/>
    </row>
    <row r="39" spans="1:6" x14ac:dyDescent="0.25">
      <c r="A39" s="154"/>
      <c r="B39" s="133"/>
      <c r="C39" s="133"/>
      <c r="D39" s="133"/>
      <c r="E39" s="133"/>
      <c r="F39" s="154"/>
    </row>
    <row r="40" spans="1:6" x14ac:dyDescent="0.25">
      <c r="A40" s="154"/>
      <c r="B40" s="133"/>
      <c r="C40" s="133"/>
      <c r="D40" s="133"/>
      <c r="E40" s="133"/>
      <c r="F40" s="154"/>
    </row>
    <row r="41" spans="1:6" x14ac:dyDescent="0.25">
      <c r="A41" s="154"/>
      <c r="B41" s="133"/>
      <c r="C41" s="133"/>
      <c r="D41" s="133"/>
      <c r="E41" s="133"/>
      <c r="F41" s="154"/>
    </row>
    <row r="42" spans="1:6" x14ac:dyDescent="0.25">
      <c r="A42" s="154"/>
      <c r="B42" s="133"/>
      <c r="C42" s="133"/>
      <c r="D42" s="133"/>
      <c r="E42" s="133"/>
      <c r="F42" s="154"/>
    </row>
    <row r="43" spans="1:6" x14ac:dyDescent="0.25">
      <c r="A43" s="154"/>
      <c r="B43" s="133"/>
      <c r="C43" s="133"/>
      <c r="D43" s="133"/>
      <c r="E43" s="133"/>
      <c r="F43" s="154"/>
    </row>
    <row r="44" spans="1:6" x14ac:dyDescent="0.25">
      <c r="A44" s="154"/>
      <c r="B44" s="133"/>
      <c r="C44" s="133"/>
      <c r="D44" s="133"/>
      <c r="E44" s="133"/>
      <c r="F44" s="154"/>
    </row>
    <row r="45" spans="1:6" x14ac:dyDescent="0.25">
      <c r="A45" s="154"/>
      <c r="B45" s="133"/>
      <c r="C45" s="133"/>
      <c r="D45" s="133"/>
      <c r="E45" s="133"/>
      <c r="F45" s="154"/>
    </row>
    <row r="46" spans="1:6" x14ac:dyDescent="0.25">
      <c r="A46" s="154"/>
      <c r="B46" s="133"/>
      <c r="C46" s="133"/>
      <c r="D46" s="133"/>
      <c r="E46" s="133"/>
      <c r="F46" s="154"/>
    </row>
    <row r="47" spans="1:6" x14ac:dyDescent="0.25">
      <c r="A47" s="154"/>
      <c r="B47" s="133"/>
      <c r="C47" s="133"/>
      <c r="D47" s="133"/>
      <c r="E47" s="133"/>
      <c r="F47" s="154"/>
    </row>
    <row r="48" spans="1:6" x14ac:dyDescent="0.25">
      <c r="A48" s="154"/>
      <c r="B48" s="133"/>
      <c r="C48" s="133"/>
      <c r="D48" s="133"/>
      <c r="E48" s="133"/>
      <c r="F48" s="154"/>
    </row>
    <row r="49" spans="1:6" x14ac:dyDescent="0.25">
      <c r="A49" s="154"/>
      <c r="B49" s="133"/>
      <c r="C49" s="133"/>
      <c r="D49" s="133"/>
      <c r="E49" s="133"/>
      <c r="F49" s="154"/>
    </row>
    <row r="50" spans="1:6" x14ac:dyDescent="0.25">
      <c r="A50" s="154"/>
      <c r="B50" s="133"/>
      <c r="C50" s="133"/>
      <c r="D50" s="133"/>
      <c r="E50" s="133"/>
      <c r="F50" s="154"/>
    </row>
  </sheetData>
  <autoFilter ref="A3:F3"/>
  <mergeCells count="6">
    <mergeCell ref="A4:A12"/>
    <mergeCell ref="B4:B12"/>
    <mergeCell ref="A13:A18"/>
    <mergeCell ref="B13:B18"/>
    <mergeCell ref="A19:A36"/>
    <mergeCell ref="B19:B3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'B5.Сферы объектов'!$B$2:$B$26</xm:f>
          </x14:formula1>
          <xm:sqref>B4:B36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Q194" sqref="Q194"/>
    </sheetView>
  </sheetViews>
  <sheetFormatPr defaultRowHeight="15" x14ac:dyDescent="0.25"/>
  <cols>
    <col min="1" max="1" width="4.28515625" customWidth="1"/>
    <col min="2" max="2" width="94.140625" customWidth="1"/>
  </cols>
  <sheetData>
    <row r="1" spans="1:2" x14ac:dyDescent="0.25">
      <c r="B1" s="1" t="s">
        <v>506</v>
      </c>
    </row>
    <row r="2" spans="1:2" x14ac:dyDescent="0.25">
      <c r="A2" s="10">
        <v>1</v>
      </c>
      <c r="B2" s="130" t="s">
        <v>191</v>
      </c>
    </row>
    <row r="3" spans="1:2" x14ac:dyDescent="0.25">
      <c r="A3" s="10">
        <f>A2+1</f>
        <v>2</v>
      </c>
      <c r="B3" s="130" t="s">
        <v>254</v>
      </c>
    </row>
    <row r="4" spans="1:2" x14ac:dyDescent="0.25">
      <c r="A4" s="10">
        <f t="shared" ref="A4:A19" si="0">A3+1</f>
        <v>3</v>
      </c>
      <c r="B4" s="130" t="s">
        <v>253</v>
      </c>
    </row>
    <row r="5" spans="1:2" x14ac:dyDescent="0.25">
      <c r="A5" s="10">
        <f t="shared" si="0"/>
        <v>4</v>
      </c>
      <c r="B5" s="130" t="s">
        <v>242</v>
      </c>
    </row>
    <row r="6" spans="1:2" ht="45" x14ac:dyDescent="0.25">
      <c r="A6" s="10">
        <f t="shared" si="0"/>
        <v>5</v>
      </c>
      <c r="B6" s="130" t="s">
        <v>224</v>
      </c>
    </row>
    <row r="7" spans="1:2" x14ac:dyDescent="0.25">
      <c r="A7" s="10">
        <f t="shared" si="0"/>
        <v>6</v>
      </c>
      <c r="B7" s="130" t="s">
        <v>240</v>
      </c>
    </row>
    <row r="8" spans="1:2" x14ac:dyDescent="0.25">
      <c r="A8" s="10">
        <f t="shared" si="0"/>
        <v>7</v>
      </c>
      <c r="B8" s="130" t="s">
        <v>210</v>
      </c>
    </row>
    <row r="9" spans="1:2" x14ac:dyDescent="0.25">
      <c r="A9" s="10">
        <f t="shared" si="0"/>
        <v>8</v>
      </c>
      <c r="B9" s="130" t="s">
        <v>219</v>
      </c>
    </row>
    <row r="10" spans="1:2" x14ac:dyDescent="0.25">
      <c r="A10" s="10">
        <f t="shared" si="0"/>
        <v>9</v>
      </c>
      <c r="B10" s="130" t="s">
        <v>251</v>
      </c>
    </row>
    <row r="11" spans="1:2" ht="30" x14ac:dyDescent="0.25">
      <c r="A11" s="10">
        <f t="shared" si="0"/>
        <v>10</v>
      </c>
      <c r="B11" s="130" t="s">
        <v>227</v>
      </c>
    </row>
    <row r="12" spans="1:2" x14ac:dyDescent="0.25">
      <c r="A12" s="10">
        <f t="shared" si="0"/>
        <v>11</v>
      </c>
      <c r="B12" s="130" t="s">
        <v>241</v>
      </c>
    </row>
    <row r="13" spans="1:2" x14ac:dyDescent="0.25">
      <c r="A13" s="10">
        <f t="shared" si="0"/>
        <v>12</v>
      </c>
      <c r="B13" s="130" t="s">
        <v>249</v>
      </c>
    </row>
    <row r="14" spans="1:2" x14ac:dyDescent="0.25">
      <c r="A14" s="10">
        <f t="shared" si="0"/>
        <v>13</v>
      </c>
      <c r="B14" s="130" t="s">
        <v>250</v>
      </c>
    </row>
    <row r="15" spans="1:2" x14ac:dyDescent="0.25">
      <c r="A15" s="10">
        <f t="shared" si="0"/>
        <v>14</v>
      </c>
      <c r="B15" s="148" t="s">
        <v>507</v>
      </c>
    </row>
    <row r="16" spans="1:2" x14ac:dyDescent="0.25">
      <c r="A16" s="10">
        <f t="shared" si="0"/>
        <v>15</v>
      </c>
      <c r="B16" s="148" t="s">
        <v>186</v>
      </c>
    </row>
    <row r="17" spans="1:2" x14ac:dyDescent="0.25">
      <c r="A17" s="10">
        <f t="shared" si="0"/>
        <v>16</v>
      </c>
      <c r="B17" s="148" t="s">
        <v>207</v>
      </c>
    </row>
    <row r="18" spans="1:2" x14ac:dyDescent="0.25">
      <c r="A18" s="10">
        <f t="shared" si="0"/>
        <v>17</v>
      </c>
      <c r="B18" s="148" t="s">
        <v>209</v>
      </c>
    </row>
    <row r="19" spans="1:2" x14ac:dyDescent="0.25">
      <c r="A19" s="10">
        <f t="shared" si="0"/>
        <v>18</v>
      </c>
      <c r="B19" s="148" t="s">
        <v>208</v>
      </c>
    </row>
    <row r="20" spans="1:2" x14ac:dyDescent="0.25">
      <c r="A20" s="10">
        <v>19</v>
      </c>
      <c r="B20" s="148" t="s">
        <v>243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W270"/>
  <sheetViews>
    <sheetView workbookViewId="0">
      <selection activeCell="H26" sqref="H26"/>
    </sheetView>
  </sheetViews>
  <sheetFormatPr defaultRowHeight="15" x14ac:dyDescent="0.25"/>
  <cols>
    <col min="1" max="1" width="42.140625" customWidth="1"/>
    <col min="2" max="2" width="20.85546875" customWidth="1"/>
    <col min="3" max="3" width="46.28515625" customWidth="1"/>
    <col min="4" max="7" width="12.140625" customWidth="1"/>
    <col min="8" max="8" width="14.42578125" customWidth="1"/>
    <col min="254" max="254" width="196.7109375" customWidth="1"/>
    <col min="255" max="255" width="22.7109375" customWidth="1"/>
    <col min="256" max="257" width="12.140625" customWidth="1"/>
    <col min="258" max="258" width="16.42578125" customWidth="1"/>
    <col min="259" max="259" width="12.140625" customWidth="1"/>
    <col min="260" max="260" width="12.7109375" customWidth="1"/>
    <col min="261" max="261" width="12.140625" customWidth="1"/>
    <col min="262" max="262" width="14.7109375" customWidth="1"/>
    <col min="510" max="510" width="196.7109375" customWidth="1"/>
    <col min="511" max="511" width="22.7109375" customWidth="1"/>
    <col min="512" max="513" width="12.140625" customWidth="1"/>
    <col min="514" max="514" width="16.42578125" customWidth="1"/>
    <col min="515" max="515" width="12.140625" customWidth="1"/>
    <col min="516" max="516" width="12.7109375" customWidth="1"/>
    <col min="517" max="517" width="12.140625" customWidth="1"/>
    <col min="518" max="518" width="14.7109375" customWidth="1"/>
    <col min="766" max="766" width="196.7109375" customWidth="1"/>
    <col min="767" max="767" width="22.7109375" customWidth="1"/>
    <col min="768" max="769" width="12.140625" customWidth="1"/>
    <col min="770" max="770" width="16.42578125" customWidth="1"/>
    <col min="771" max="771" width="12.140625" customWidth="1"/>
    <col min="772" max="772" width="12.7109375" customWidth="1"/>
    <col min="773" max="773" width="12.140625" customWidth="1"/>
    <col min="774" max="774" width="14.7109375" customWidth="1"/>
    <col min="1022" max="1022" width="196.7109375" customWidth="1"/>
    <col min="1023" max="1023" width="22.7109375" customWidth="1"/>
    <col min="1024" max="1025" width="12.140625" customWidth="1"/>
    <col min="1026" max="1026" width="16.42578125" customWidth="1"/>
    <col min="1027" max="1027" width="12.140625" customWidth="1"/>
    <col min="1028" max="1028" width="12.7109375" customWidth="1"/>
    <col min="1029" max="1029" width="12.140625" customWidth="1"/>
    <col min="1030" max="1030" width="14.7109375" customWidth="1"/>
    <col min="1278" max="1278" width="196.7109375" customWidth="1"/>
    <col min="1279" max="1279" width="22.7109375" customWidth="1"/>
    <col min="1280" max="1281" width="12.140625" customWidth="1"/>
    <col min="1282" max="1282" width="16.42578125" customWidth="1"/>
    <col min="1283" max="1283" width="12.140625" customWidth="1"/>
    <col min="1284" max="1284" width="12.7109375" customWidth="1"/>
    <col min="1285" max="1285" width="12.140625" customWidth="1"/>
    <col min="1286" max="1286" width="14.7109375" customWidth="1"/>
    <col min="1534" max="1534" width="196.7109375" customWidth="1"/>
    <col min="1535" max="1535" width="22.7109375" customWidth="1"/>
    <col min="1536" max="1537" width="12.140625" customWidth="1"/>
    <col min="1538" max="1538" width="16.42578125" customWidth="1"/>
    <col min="1539" max="1539" width="12.140625" customWidth="1"/>
    <col min="1540" max="1540" width="12.7109375" customWidth="1"/>
    <col min="1541" max="1541" width="12.140625" customWidth="1"/>
    <col min="1542" max="1542" width="14.7109375" customWidth="1"/>
    <col min="1790" max="1790" width="196.7109375" customWidth="1"/>
    <col min="1791" max="1791" width="22.7109375" customWidth="1"/>
    <col min="1792" max="1793" width="12.140625" customWidth="1"/>
    <col min="1794" max="1794" width="16.42578125" customWidth="1"/>
    <col min="1795" max="1795" width="12.140625" customWidth="1"/>
    <col min="1796" max="1796" width="12.7109375" customWidth="1"/>
    <col min="1797" max="1797" width="12.140625" customWidth="1"/>
    <col min="1798" max="1798" width="14.7109375" customWidth="1"/>
    <col min="2046" max="2046" width="196.7109375" customWidth="1"/>
    <col min="2047" max="2047" width="22.7109375" customWidth="1"/>
    <col min="2048" max="2049" width="12.140625" customWidth="1"/>
    <col min="2050" max="2050" width="16.42578125" customWidth="1"/>
    <col min="2051" max="2051" width="12.140625" customWidth="1"/>
    <col min="2052" max="2052" width="12.7109375" customWidth="1"/>
    <col min="2053" max="2053" width="12.140625" customWidth="1"/>
    <col min="2054" max="2054" width="14.7109375" customWidth="1"/>
    <col min="2302" max="2302" width="196.7109375" customWidth="1"/>
    <col min="2303" max="2303" width="22.7109375" customWidth="1"/>
    <col min="2304" max="2305" width="12.140625" customWidth="1"/>
    <col min="2306" max="2306" width="16.42578125" customWidth="1"/>
    <col min="2307" max="2307" width="12.140625" customWidth="1"/>
    <col min="2308" max="2308" width="12.7109375" customWidth="1"/>
    <col min="2309" max="2309" width="12.140625" customWidth="1"/>
    <col min="2310" max="2310" width="14.7109375" customWidth="1"/>
    <col min="2558" max="2558" width="196.7109375" customWidth="1"/>
    <col min="2559" max="2559" width="22.7109375" customWidth="1"/>
    <col min="2560" max="2561" width="12.140625" customWidth="1"/>
    <col min="2562" max="2562" width="16.42578125" customWidth="1"/>
    <col min="2563" max="2563" width="12.140625" customWidth="1"/>
    <col min="2564" max="2564" width="12.7109375" customWidth="1"/>
    <col min="2565" max="2565" width="12.140625" customWidth="1"/>
    <col min="2566" max="2566" width="14.7109375" customWidth="1"/>
    <col min="2814" max="2814" width="196.7109375" customWidth="1"/>
    <col min="2815" max="2815" width="22.7109375" customWidth="1"/>
    <col min="2816" max="2817" width="12.140625" customWidth="1"/>
    <col min="2818" max="2818" width="16.42578125" customWidth="1"/>
    <col min="2819" max="2819" width="12.140625" customWidth="1"/>
    <col min="2820" max="2820" width="12.7109375" customWidth="1"/>
    <col min="2821" max="2821" width="12.140625" customWidth="1"/>
    <col min="2822" max="2822" width="14.7109375" customWidth="1"/>
    <col min="3070" max="3070" width="196.7109375" customWidth="1"/>
    <col min="3071" max="3071" width="22.7109375" customWidth="1"/>
    <col min="3072" max="3073" width="12.140625" customWidth="1"/>
    <col min="3074" max="3074" width="16.42578125" customWidth="1"/>
    <col min="3075" max="3075" width="12.140625" customWidth="1"/>
    <col min="3076" max="3076" width="12.7109375" customWidth="1"/>
    <col min="3077" max="3077" width="12.140625" customWidth="1"/>
    <col min="3078" max="3078" width="14.7109375" customWidth="1"/>
    <col min="3326" max="3326" width="196.7109375" customWidth="1"/>
    <col min="3327" max="3327" width="22.7109375" customWidth="1"/>
    <col min="3328" max="3329" width="12.140625" customWidth="1"/>
    <col min="3330" max="3330" width="16.42578125" customWidth="1"/>
    <col min="3331" max="3331" width="12.140625" customWidth="1"/>
    <col min="3332" max="3332" width="12.7109375" customWidth="1"/>
    <col min="3333" max="3333" width="12.140625" customWidth="1"/>
    <col min="3334" max="3334" width="14.7109375" customWidth="1"/>
    <col min="3582" max="3582" width="196.7109375" customWidth="1"/>
    <col min="3583" max="3583" width="22.7109375" customWidth="1"/>
    <col min="3584" max="3585" width="12.140625" customWidth="1"/>
    <col min="3586" max="3586" width="16.42578125" customWidth="1"/>
    <col min="3587" max="3587" width="12.140625" customWidth="1"/>
    <col min="3588" max="3588" width="12.7109375" customWidth="1"/>
    <col min="3589" max="3589" width="12.140625" customWidth="1"/>
    <col min="3590" max="3590" width="14.7109375" customWidth="1"/>
    <col min="3838" max="3838" width="196.7109375" customWidth="1"/>
    <col min="3839" max="3839" width="22.7109375" customWidth="1"/>
    <col min="3840" max="3841" width="12.140625" customWidth="1"/>
    <col min="3842" max="3842" width="16.42578125" customWidth="1"/>
    <col min="3843" max="3843" width="12.140625" customWidth="1"/>
    <col min="3844" max="3844" width="12.7109375" customWidth="1"/>
    <col min="3845" max="3845" width="12.140625" customWidth="1"/>
    <col min="3846" max="3846" width="14.7109375" customWidth="1"/>
    <col min="4094" max="4094" width="196.7109375" customWidth="1"/>
    <col min="4095" max="4095" width="22.7109375" customWidth="1"/>
    <col min="4096" max="4097" width="12.140625" customWidth="1"/>
    <col min="4098" max="4098" width="16.42578125" customWidth="1"/>
    <col min="4099" max="4099" width="12.140625" customWidth="1"/>
    <col min="4100" max="4100" width="12.7109375" customWidth="1"/>
    <col min="4101" max="4101" width="12.140625" customWidth="1"/>
    <col min="4102" max="4102" width="14.7109375" customWidth="1"/>
    <col min="4350" max="4350" width="196.7109375" customWidth="1"/>
    <col min="4351" max="4351" width="22.7109375" customWidth="1"/>
    <col min="4352" max="4353" width="12.140625" customWidth="1"/>
    <col min="4354" max="4354" width="16.42578125" customWidth="1"/>
    <col min="4355" max="4355" width="12.140625" customWidth="1"/>
    <col min="4356" max="4356" width="12.7109375" customWidth="1"/>
    <col min="4357" max="4357" width="12.140625" customWidth="1"/>
    <col min="4358" max="4358" width="14.7109375" customWidth="1"/>
    <col min="4606" max="4606" width="196.7109375" customWidth="1"/>
    <col min="4607" max="4607" width="22.7109375" customWidth="1"/>
    <col min="4608" max="4609" width="12.140625" customWidth="1"/>
    <col min="4610" max="4610" width="16.42578125" customWidth="1"/>
    <col min="4611" max="4611" width="12.140625" customWidth="1"/>
    <col min="4612" max="4612" width="12.7109375" customWidth="1"/>
    <col min="4613" max="4613" width="12.140625" customWidth="1"/>
    <col min="4614" max="4614" width="14.7109375" customWidth="1"/>
    <col min="4862" max="4862" width="196.7109375" customWidth="1"/>
    <col min="4863" max="4863" width="22.7109375" customWidth="1"/>
    <col min="4864" max="4865" width="12.140625" customWidth="1"/>
    <col min="4866" max="4866" width="16.42578125" customWidth="1"/>
    <col min="4867" max="4867" width="12.140625" customWidth="1"/>
    <col min="4868" max="4868" width="12.7109375" customWidth="1"/>
    <col min="4869" max="4869" width="12.140625" customWidth="1"/>
    <col min="4870" max="4870" width="14.7109375" customWidth="1"/>
    <col min="5118" max="5118" width="196.7109375" customWidth="1"/>
    <col min="5119" max="5119" width="22.7109375" customWidth="1"/>
    <col min="5120" max="5121" width="12.140625" customWidth="1"/>
    <col min="5122" max="5122" width="16.42578125" customWidth="1"/>
    <col min="5123" max="5123" width="12.140625" customWidth="1"/>
    <col min="5124" max="5124" width="12.7109375" customWidth="1"/>
    <col min="5125" max="5125" width="12.140625" customWidth="1"/>
    <col min="5126" max="5126" width="14.7109375" customWidth="1"/>
    <col min="5374" max="5374" width="196.7109375" customWidth="1"/>
    <col min="5375" max="5375" width="22.7109375" customWidth="1"/>
    <col min="5376" max="5377" width="12.140625" customWidth="1"/>
    <col min="5378" max="5378" width="16.42578125" customWidth="1"/>
    <col min="5379" max="5379" width="12.140625" customWidth="1"/>
    <col min="5380" max="5380" width="12.7109375" customWidth="1"/>
    <col min="5381" max="5381" width="12.140625" customWidth="1"/>
    <col min="5382" max="5382" width="14.7109375" customWidth="1"/>
    <col min="5630" max="5630" width="196.7109375" customWidth="1"/>
    <col min="5631" max="5631" width="22.7109375" customWidth="1"/>
    <col min="5632" max="5633" width="12.140625" customWidth="1"/>
    <col min="5634" max="5634" width="16.42578125" customWidth="1"/>
    <col min="5635" max="5635" width="12.140625" customWidth="1"/>
    <col min="5636" max="5636" width="12.7109375" customWidth="1"/>
    <col min="5637" max="5637" width="12.140625" customWidth="1"/>
    <col min="5638" max="5638" width="14.7109375" customWidth="1"/>
    <col min="5886" max="5886" width="196.7109375" customWidth="1"/>
    <col min="5887" max="5887" width="22.7109375" customWidth="1"/>
    <col min="5888" max="5889" width="12.140625" customWidth="1"/>
    <col min="5890" max="5890" width="16.42578125" customWidth="1"/>
    <col min="5891" max="5891" width="12.140625" customWidth="1"/>
    <col min="5892" max="5892" width="12.7109375" customWidth="1"/>
    <col min="5893" max="5893" width="12.140625" customWidth="1"/>
    <col min="5894" max="5894" width="14.7109375" customWidth="1"/>
    <col min="6142" max="6142" width="196.7109375" customWidth="1"/>
    <col min="6143" max="6143" width="22.7109375" customWidth="1"/>
    <col min="6144" max="6145" width="12.140625" customWidth="1"/>
    <col min="6146" max="6146" width="16.42578125" customWidth="1"/>
    <col min="6147" max="6147" width="12.140625" customWidth="1"/>
    <col min="6148" max="6148" width="12.7109375" customWidth="1"/>
    <col min="6149" max="6149" width="12.140625" customWidth="1"/>
    <col min="6150" max="6150" width="14.7109375" customWidth="1"/>
    <col min="6398" max="6398" width="196.7109375" customWidth="1"/>
    <col min="6399" max="6399" width="22.7109375" customWidth="1"/>
    <col min="6400" max="6401" width="12.140625" customWidth="1"/>
    <col min="6402" max="6402" width="16.42578125" customWidth="1"/>
    <col min="6403" max="6403" width="12.140625" customWidth="1"/>
    <col min="6404" max="6404" width="12.7109375" customWidth="1"/>
    <col min="6405" max="6405" width="12.140625" customWidth="1"/>
    <col min="6406" max="6406" width="14.7109375" customWidth="1"/>
    <col min="6654" max="6654" width="196.7109375" customWidth="1"/>
    <col min="6655" max="6655" width="22.7109375" customWidth="1"/>
    <col min="6656" max="6657" width="12.140625" customWidth="1"/>
    <col min="6658" max="6658" width="16.42578125" customWidth="1"/>
    <col min="6659" max="6659" width="12.140625" customWidth="1"/>
    <col min="6660" max="6660" width="12.7109375" customWidth="1"/>
    <col min="6661" max="6661" width="12.140625" customWidth="1"/>
    <col min="6662" max="6662" width="14.7109375" customWidth="1"/>
    <col min="6910" max="6910" width="196.7109375" customWidth="1"/>
    <col min="6911" max="6911" width="22.7109375" customWidth="1"/>
    <col min="6912" max="6913" width="12.140625" customWidth="1"/>
    <col min="6914" max="6914" width="16.42578125" customWidth="1"/>
    <col min="6915" max="6915" width="12.140625" customWidth="1"/>
    <col min="6916" max="6916" width="12.7109375" customWidth="1"/>
    <col min="6917" max="6917" width="12.140625" customWidth="1"/>
    <col min="6918" max="6918" width="14.7109375" customWidth="1"/>
    <col min="7166" max="7166" width="196.7109375" customWidth="1"/>
    <col min="7167" max="7167" width="22.7109375" customWidth="1"/>
    <col min="7168" max="7169" width="12.140625" customWidth="1"/>
    <col min="7170" max="7170" width="16.42578125" customWidth="1"/>
    <col min="7171" max="7171" width="12.140625" customWidth="1"/>
    <col min="7172" max="7172" width="12.7109375" customWidth="1"/>
    <col min="7173" max="7173" width="12.140625" customWidth="1"/>
    <col min="7174" max="7174" width="14.7109375" customWidth="1"/>
    <col min="7422" max="7422" width="196.7109375" customWidth="1"/>
    <col min="7423" max="7423" width="22.7109375" customWidth="1"/>
    <col min="7424" max="7425" width="12.140625" customWidth="1"/>
    <col min="7426" max="7426" width="16.42578125" customWidth="1"/>
    <col min="7427" max="7427" width="12.140625" customWidth="1"/>
    <col min="7428" max="7428" width="12.7109375" customWidth="1"/>
    <col min="7429" max="7429" width="12.140625" customWidth="1"/>
    <col min="7430" max="7430" width="14.7109375" customWidth="1"/>
    <col min="7678" max="7678" width="196.7109375" customWidth="1"/>
    <col min="7679" max="7679" width="22.7109375" customWidth="1"/>
    <col min="7680" max="7681" width="12.140625" customWidth="1"/>
    <col min="7682" max="7682" width="16.42578125" customWidth="1"/>
    <col min="7683" max="7683" width="12.140625" customWidth="1"/>
    <col min="7684" max="7684" width="12.7109375" customWidth="1"/>
    <col min="7685" max="7685" width="12.140625" customWidth="1"/>
    <col min="7686" max="7686" width="14.7109375" customWidth="1"/>
    <col min="7934" max="7934" width="196.7109375" customWidth="1"/>
    <col min="7935" max="7935" width="22.7109375" customWidth="1"/>
    <col min="7936" max="7937" width="12.140625" customWidth="1"/>
    <col min="7938" max="7938" width="16.42578125" customWidth="1"/>
    <col min="7939" max="7939" width="12.140625" customWidth="1"/>
    <col min="7940" max="7940" width="12.7109375" customWidth="1"/>
    <col min="7941" max="7941" width="12.140625" customWidth="1"/>
    <col min="7942" max="7942" width="14.7109375" customWidth="1"/>
    <col min="8190" max="8190" width="196.7109375" customWidth="1"/>
    <col min="8191" max="8191" width="22.7109375" customWidth="1"/>
    <col min="8192" max="8193" width="12.140625" customWidth="1"/>
    <col min="8194" max="8194" width="16.42578125" customWidth="1"/>
    <col min="8195" max="8195" width="12.140625" customWidth="1"/>
    <col min="8196" max="8196" width="12.7109375" customWidth="1"/>
    <col min="8197" max="8197" width="12.140625" customWidth="1"/>
    <col min="8198" max="8198" width="14.7109375" customWidth="1"/>
    <col min="8446" max="8446" width="196.7109375" customWidth="1"/>
    <col min="8447" max="8447" width="22.7109375" customWidth="1"/>
    <col min="8448" max="8449" width="12.140625" customWidth="1"/>
    <col min="8450" max="8450" width="16.42578125" customWidth="1"/>
    <col min="8451" max="8451" width="12.140625" customWidth="1"/>
    <col min="8452" max="8452" width="12.7109375" customWidth="1"/>
    <col min="8453" max="8453" width="12.140625" customWidth="1"/>
    <col min="8454" max="8454" width="14.7109375" customWidth="1"/>
    <col min="8702" max="8702" width="196.7109375" customWidth="1"/>
    <col min="8703" max="8703" width="22.7109375" customWidth="1"/>
    <col min="8704" max="8705" width="12.140625" customWidth="1"/>
    <col min="8706" max="8706" width="16.42578125" customWidth="1"/>
    <col min="8707" max="8707" width="12.140625" customWidth="1"/>
    <col min="8708" max="8708" width="12.7109375" customWidth="1"/>
    <col min="8709" max="8709" width="12.140625" customWidth="1"/>
    <col min="8710" max="8710" width="14.7109375" customWidth="1"/>
    <col min="8958" max="8958" width="196.7109375" customWidth="1"/>
    <col min="8959" max="8959" width="22.7109375" customWidth="1"/>
    <col min="8960" max="8961" width="12.140625" customWidth="1"/>
    <col min="8962" max="8962" width="16.42578125" customWidth="1"/>
    <col min="8963" max="8963" width="12.140625" customWidth="1"/>
    <col min="8964" max="8964" width="12.7109375" customWidth="1"/>
    <col min="8965" max="8965" width="12.140625" customWidth="1"/>
    <col min="8966" max="8966" width="14.7109375" customWidth="1"/>
    <col min="9214" max="9214" width="196.7109375" customWidth="1"/>
    <col min="9215" max="9215" width="22.7109375" customWidth="1"/>
    <col min="9216" max="9217" width="12.140625" customWidth="1"/>
    <col min="9218" max="9218" width="16.42578125" customWidth="1"/>
    <col min="9219" max="9219" width="12.140625" customWidth="1"/>
    <col min="9220" max="9220" width="12.7109375" customWidth="1"/>
    <col min="9221" max="9221" width="12.140625" customWidth="1"/>
    <col min="9222" max="9222" width="14.7109375" customWidth="1"/>
    <col min="9470" max="9470" width="196.7109375" customWidth="1"/>
    <col min="9471" max="9471" width="22.7109375" customWidth="1"/>
    <col min="9472" max="9473" width="12.140625" customWidth="1"/>
    <col min="9474" max="9474" width="16.42578125" customWidth="1"/>
    <col min="9475" max="9475" width="12.140625" customWidth="1"/>
    <col min="9476" max="9476" width="12.7109375" customWidth="1"/>
    <col min="9477" max="9477" width="12.140625" customWidth="1"/>
    <col min="9478" max="9478" width="14.7109375" customWidth="1"/>
    <col min="9726" max="9726" width="196.7109375" customWidth="1"/>
    <col min="9727" max="9727" width="22.7109375" customWidth="1"/>
    <col min="9728" max="9729" width="12.140625" customWidth="1"/>
    <col min="9730" max="9730" width="16.42578125" customWidth="1"/>
    <col min="9731" max="9731" width="12.140625" customWidth="1"/>
    <col min="9732" max="9732" width="12.7109375" customWidth="1"/>
    <col min="9733" max="9733" width="12.140625" customWidth="1"/>
    <col min="9734" max="9734" width="14.7109375" customWidth="1"/>
    <col min="9982" max="9982" width="196.7109375" customWidth="1"/>
    <col min="9983" max="9983" width="22.7109375" customWidth="1"/>
    <col min="9984" max="9985" width="12.140625" customWidth="1"/>
    <col min="9986" max="9986" width="16.42578125" customWidth="1"/>
    <col min="9987" max="9987" width="12.140625" customWidth="1"/>
    <col min="9988" max="9988" width="12.7109375" customWidth="1"/>
    <col min="9989" max="9989" width="12.140625" customWidth="1"/>
    <col min="9990" max="9990" width="14.7109375" customWidth="1"/>
    <col min="10238" max="10238" width="196.7109375" customWidth="1"/>
    <col min="10239" max="10239" width="22.7109375" customWidth="1"/>
    <col min="10240" max="10241" width="12.140625" customWidth="1"/>
    <col min="10242" max="10242" width="16.42578125" customWidth="1"/>
    <col min="10243" max="10243" width="12.140625" customWidth="1"/>
    <col min="10244" max="10244" width="12.7109375" customWidth="1"/>
    <col min="10245" max="10245" width="12.140625" customWidth="1"/>
    <col min="10246" max="10246" width="14.7109375" customWidth="1"/>
    <col min="10494" max="10494" width="196.7109375" customWidth="1"/>
    <col min="10495" max="10495" width="22.7109375" customWidth="1"/>
    <col min="10496" max="10497" width="12.140625" customWidth="1"/>
    <col min="10498" max="10498" width="16.42578125" customWidth="1"/>
    <col min="10499" max="10499" width="12.140625" customWidth="1"/>
    <col min="10500" max="10500" width="12.7109375" customWidth="1"/>
    <col min="10501" max="10501" width="12.140625" customWidth="1"/>
    <col min="10502" max="10502" width="14.7109375" customWidth="1"/>
    <col min="10750" max="10750" width="196.7109375" customWidth="1"/>
    <col min="10751" max="10751" width="22.7109375" customWidth="1"/>
    <col min="10752" max="10753" width="12.140625" customWidth="1"/>
    <col min="10754" max="10754" width="16.42578125" customWidth="1"/>
    <col min="10755" max="10755" width="12.140625" customWidth="1"/>
    <col min="10756" max="10756" width="12.7109375" customWidth="1"/>
    <col min="10757" max="10757" width="12.140625" customWidth="1"/>
    <col min="10758" max="10758" width="14.7109375" customWidth="1"/>
    <col min="11006" max="11006" width="196.7109375" customWidth="1"/>
    <col min="11007" max="11007" width="22.7109375" customWidth="1"/>
    <col min="11008" max="11009" width="12.140625" customWidth="1"/>
    <col min="11010" max="11010" width="16.42578125" customWidth="1"/>
    <col min="11011" max="11011" width="12.140625" customWidth="1"/>
    <col min="11012" max="11012" width="12.7109375" customWidth="1"/>
    <col min="11013" max="11013" width="12.140625" customWidth="1"/>
    <col min="11014" max="11014" width="14.7109375" customWidth="1"/>
    <col min="11262" max="11262" width="196.7109375" customWidth="1"/>
    <col min="11263" max="11263" width="22.7109375" customWidth="1"/>
    <col min="11264" max="11265" width="12.140625" customWidth="1"/>
    <col min="11266" max="11266" width="16.42578125" customWidth="1"/>
    <col min="11267" max="11267" width="12.140625" customWidth="1"/>
    <col min="11268" max="11268" width="12.7109375" customWidth="1"/>
    <col min="11269" max="11269" width="12.140625" customWidth="1"/>
    <col min="11270" max="11270" width="14.7109375" customWidth="1"/>
    <col min="11518" max="11518" width="196.7109375" customWidth="1"/>
    <col min="11519" max="11519" width="22.7109375" customWidth="1"/>
    <col min="11520" max="11521" width="12.140625" customWidth="1"/>
    <col min="11522" max="11522" width="16.42578125" customWidth="1"/>
    <col min="11523" max="11523" width="12.140625" customWidth="1"/>
    <col min="11524" max="11524" width="12.7109375" customWidth="1"/>
    <col min="11525" max="11525" width="12.140625" customWidth="1"/>
    <col min="11526" max="11526" width="14.7109375" customWidth="1"/>
    <col min="11774" max="11774" width="196.7109375" customWidth="1"/>
    <col min="11775" max="11775" width="22.7109375" customWidth="1"/>
    <col min="11776" max="11777" width="12.140625" customWidth="1"/>
    <col min="11778" max="11778" width="16.42578125" customWidth="1"/>
    <col min="11779" max="11779" width="12.140625" customWidth="1"/>
    <col min="11780" max="11780" width="12.7109375" customWidth="1"/>
    <col min="11781" max="11781" width="12.140625" customWidth="1"/>
    <col min="11782" max="11782" width="14.7109375" customWidth="1"/>
    <col min="12030" max="12030" width="196.7109375" customWidth="1"/>
    <col min="12031" max="12031" width="22.7109375" customWidth="1"/>
    <col min="12032" max="12033" width="12.140625" customWidth="1"/>
    <col min="12034" max="12034" width="16.42578125" customWidth="1"/>
    <col min="12035" max="12035" width="12.140625" customWidth="1"/>
    <col min="12036" max="12036" width="12.7109375" customWidth="1"/>
    <col min="12037" max="12037" width="12.140625" customWidth="1"/>
    <col min="12038" max="12038" width="14.7109375" customWidth="1"/>
    <col min="12286" max="12286" width="196.7109375" customWidth="1"/>
    <col min="12287" max="12287" width="22.7109375" customWidth="1"/>
    <col min="12288" max="12289" width="12.140625" customWidth="1"/>
    <col min="12290" max="12290" width="16.42578125" customWidth="1"/>
    <col min="12291" max="12291" width="12.140625" customWidth="1"/>
    <col min="12292" max="12292" width="12.7109375" customWidth="1"/>
    <col min="12293" max="12293" width="12.140625" customWidth="1"/>
    <col min="12294" max="12294" width="14.7109375" customWidth="1"/>
    <col min="12542" max="12542" width="196.7109375" customWidth="1"/>
    <col min="12543" max="12543" width="22.7109375" customWidth="1"/>
    <col min="12544" max="12545" width="12.140625" customWidth="1"/>
    <col min="12546" max="12546" width="16.42578125" customWidth="1"/>
    <col min="12547" max="12547" width="12.140625" customWidth="1"/>
    <col min="12548" max="12548" width="12.7109375" customWidth="1"/>
    <col min="12549" max="12549" width="12.140625" customWidth="1"/>
    <col min="12550" max="12550" width="14.7109375" customWidth="1"/>
    <col min="12798" max="12798" width="196.7109375" customWidth="1"/>
    <col min="12799" max="12799" width="22.7109375" customWidth="1"/>
    <col min="12800" max="12801" width="12.140625" customWidth="1"/>
    <col min="12802" max="12802" width="16.42578125" customWidth="1"/>
    <col min="12803" max="12803" width="12.140625" customWidth="1"/>
    <col min="12804" max="12804" width="12.7109375" customWidth="1"/>
    <col min="12805" max="12805" width="12.140625" customWidth="1"/>
    <col min="12806" max="12806" width="14.7109375" customWidth="1"/>
    <col min="13054" max="13054" width="196.7109375" customWidth="1"/>
    <col min="13055" max="13055" width="22.7109375" customWidth="1"/>
    <col min="13056" max="13057" width="12.140625" customWidth="1"/>
    <col min="13058" max="13058" width="16.42578125" customWidth="1"/>
    <col min="13059" max="13059" width="12.140625" customWidth="1"/>
    <col min="13060" max="13060" width="12.7109375" customWidth="1"/>
    <col min="13061" max="13061" width="12.140625" customWidth="1"/>
    <col min="13062" max="13062" width="14.7109375" customWidth="1"/>
    <col min="13310" max="13310" width="196.7109375" customWidth="1"/>
    <col min="13311" max="13311" width="22.7109375" customWidth="1"/>
    <col min="13312" max="13313" width="12.140625" customWidth="1"/>
    <col min="13314" max="13314" width="16.42578125" customWidth="1"/>
    <col min="13315" max="13315" width="12.140625" customWidth="1"/>
    <col min="13316" max="13316" width="12.7109375" customWidth="1"/>
    <col min="13317" max="13317" width="12.140625" customWidth="1"/>
    <col min="13318" max="13318" width="14.7109375" customWidth="1"/>
    <col min="13566" max="13566" width="196.7109375" customWidth="1"/>
    <col min="13567" max="13567" width="22.7109375" customWidth="1"/>
    <col min="13568" max="13569" width="12.140625" customWidth="1"/>
    <col min="13570" max="13570" width="16.42578125" customWidth="1"/>
    <col min="13571" max="13571" width="12.140625" customWidth="1"/>
    <col min="13572" max="13572" width="12.7109375" customWidth="1"/>
    <col min="13573" max="13573" width="12.140625" customWidth="1"/>
    <col min="13574" max="13574" width="14.7109375" customWidth="1"/>
    <col min="13822" max="13822" width="196.7109375" customWidth="1"/>
    <col min="13823" max="13823" width="22.7109375" customWidth="1"/>
    <col min="13824" max="13825" width="12.140625" customWidth="1"/>
    <col min="13826" max="13826" width="16.42578125" customWidth="1"/>
    <col min="13827" max="13827" width="12.140625" customWidth="1"/>
    <col min="13828" max="13828" width="12.7109375" customWidth="1"/>
    <col min="13829" max="13829" width="12.140625" customWidth="1"/>
    <col min="13830" max="13830" width="14.7109375" customWidth="1"/>
    <col min="14078" max="14078" width="196.7109375" customWidth="1"/>
    <col min="14079" max="14079" width="22.7109375" customWidth="1"/>
    <col min="14080" max="14081" width="12.140625" customWidth="1"/>
    <col min="14082" max="14082" width="16.42578125" customWidth="1"/>
    <col min="14083" max="14083" width="12.140625" customWidth="1"/>
    <col min="14084" max="14084" width="12.7109375" customWidth="1"/>
    <col min="14085" max="14085" width="12.140625" customWidth="1"/>
    <col min="14086" max="14086" width="14.7109375" customWidth="1"/>
    <col min="14334" max="14334" width="196.7109375" customWidth="1"/>
    <col min="14335" max="14335" width="22.7109375" customWidth="1"/>
    <col min="14336" max="14337" width="12.140625" customWidth="1"/>
    <col min="14338" max="14338" width="16.42578125" customWidth="1"/>
    <col min="14339" max="14339" width="12.140625" customWidth="1"/>
    <col min="14340" max="14340" width="12.7109375" customWidth="1"/>
    <col min="14341" max="14341" width="12.140625" customWidth="1"/>
    <col min="14342" max="14342" width="14.7109375" customWidth="1"/>
    <col min="14590" max="14590" width="196.7109375" customWidth="1"/>
    <col min="14591" max="14591" width="22.7109375" customWidth="1"/>
    <col min="14592" max="14593" width="12.140625" customWidth="1"/>
    <col min="14594" max="14594" width="16.42578125" customWidth="1"/>
    <col min="14595" max="14595" width="12.140625" customWidth="1"/>
    <col min="14596" max="14596" width="12.7109375" customWidth="1"/>
    <col min="14597" max="14597" width="12.140625" customWidth="1"/>
    <col min="14598" max="14598" width="14.7109375" customWidth="1"/>
    <col min="14846" max="14846" width="196.7109375" customWidth="1"/>
    <col min="14847" max="14847" width="22.7109375" customWidth="1"/>
    <col min="14848" max="14849" width="12.140625" customWidth="1"/>
    <col min="14850" max="14850" width="16.42578125" customWidth="1"/>
    <col min="14851" max="14851" width="12.140625" customWidth="1"/>
    <col min="14852" max="14852" width="12.7109375" customWidth="1"/>
    <col min="14853" max="14853" width="12.140625" customWidth="1"/>
    <col min="14854" max="14854" width="14.7109375" customWidth="1"/>
    <col min="15102" max="15102" width="196.7109375" customWidth="1"/>
    <col min="15103" max="15103" width="22.7109375" customWidth="1"/>
    <col min="15104" max="15105" width="12.140625" customWidth="1"/>
    <col min="15106" max="15106" width="16.42578125" customWidth="1"/>
    <col min="15107" max="15107" width="12.140625" customWidth="1"/>
    <col min="15108" max="15108" width="12.7109375" customWidth="1"/>
    <col min="15109" max="15109" width="12.140625" customWidth="1"/>
    <col min="15110" max="15110" width="14.7109375" customWidth="1"/>
    <col min="15358" max="15358" width="196.7109375" customWidth="1"/>
    <col min="15359" max="15359" width="22.7109375" customWidth="1"/>
    <col min="15360" max="15361" width="12.140625" customWidth="1"/>
    <col min="15362" max="15362" width="16.42578125" customWidth="1"/>
    <col min="15363" max="15363" width="12.140625" customWidth="1"/>
    <col min="15364" max="15364" width="12.7109375" customWidth="1"/>
    <col min="15365" max="15365" width="12.140625" customWidth="1"/>
    <col min="15366" max="15366" width="14.7109375" customWidth="1"/>
    <col min="15614" max="15614" width="196.7109375" customWidth="1"/>
    <col min="15615" max="15615" width="22.7109375" customWidth="1"/>
    <col min="15616" max="15617" width="12.140625" customWidth="1"/>
    <col min="15618" max="15618" width="16.42578125" customWidth="1"/>
    <col min="15619" max="15619" width="12.140625" customWidth="1"/>
    <col min="15620" max="15620" width="12.7109375" customWidth="1"/>
    <col min="15621" max="15621" width="12.140625" customWidth="1"/>
    <col min="15622" max="15622" width="14.7109375" customWidth="1"/>
    <col min="15870" max="15870" width="196.7109375" customWidth="1"/>
    <col min="15871" max="15871" width="22.7109375" customWidth="1"/>
    <col min="15872" max="15873" width="12.140625" customWidth="1"/>
    <col min="15874" max="15874" width="16.42578125" customWidth="1"/>
    <col min="15875" max="15875" width="12.140625" customWidth="1"/>
    <col min="15876" max="15876" width="12.7109375" customWidth="1"/>
    <col min="15877" max="15877" width="12.140625" customWidth="1"/>
    <col min="15878" max="15878" width="14.7109375" customWidth="1"/>
    <col min="16126" max="16126" width="196.7109375" customWidth="1"/>
    <col min="16127" max="16127" width="22.7109375" customWidth="1"/>
    <col min="16128" max="16129" width="12.140625" customWidth="1"/>
    <col min="16130" max="16130" width="16.42578125" customWidth="1"/>
    <col min="16131" max="16131" width="12.140625" customWidth="1"/>
    <col min="16132" max="16132" width="12.7109375" customWidth="1"/>
    <col min="16133" max="16133" width="12.140625" customWidth="1"/>
    <col min="16134" max="16134" width="14.7109375" customWidth="1"/>
  </cols>
  <sheetData>
    <row r="1" spans="1:23" ht="12.75" customHeight="1" x14ac:dyDescent="0.25">
      <c r="C1" s="128" t="s">
        <v>508</v>
      </c>
      <c r="D1" s="128"/>
      <c r="E1" s="128"/>
      <c r="F1" s="128"/>
      <c r="G1" s="128"/>
      <c r="H1" s="128"/>
      <c r="I1" s="128"/>
      <c r="J1" s="128"/>
      <c r="K1" s="128"/>
      <c r="L1" s="128"/>
      <c r="M1" s="128"/>
      <c r="N1" s="128"/>
      <c r="O1" s="128"/>
      <c r="P1" s="128"/>
      <c r="Q1" s="128"/>
      <c r="R1" s="128"/>
      <c r="S1" s="128"/>
      <c r="T1" s="128"/>
      <c r="U1" s="128"/>
      <c r="V1" s="128"/>
      <c r="W1" s="128"/>
    </row>
    <row r="2" spans="1:23" ht="12.75" customHeight="1" x14ac:dyDescent="0.25">
      <c r="C2" s="155" t="s">
        <v>509</v>
      </c>
      <c r="D2" s="155"/>
      <c r="E2" s="155"/>
      <c r="F2" s="155"/>
      <c r="G2" s="155"/>
    </row>
    <row r="3" spans="1:23" ht="12.75" customHeight="1" x14ac:dyDescent="0.25">
      <c r="C3" s="156" t="s">
        <v>510</v>
      </c>
      <c r="D3" s="156" t="s">
        <v>511</v>
      </c>
      <c r="E3" s="156" t="s">
        <v>510</v>
      </c>
      <c r="F3" s="156" t="s">
        <v>510</v>
      </c>
      <c r="G3" s="156" t="s">
        <v>510</v>
      </c>
      <c r="H3" t="s">
        <v>1140</v>
      </c>
      <c r="I3" s="157" t="s">
        <v>512</v>
      </c>
      <c r="P3" s="157" t="s">
        <v>1139</v>
      </c>
    </row>
    <row r="4" spans="1:23" ht="12.75" customHeight="1" x14ac:dyDescent="0.25">
      <c r="C4" s="156" t="s">
        <v>510</v>
      </c>
      <c r="D4" s="156" t="s">
        <v>513</v>
      </c>
      <c r="E4" s="156" t="s">
        <v>514</v>
      </c>
      <c r="F4" s="156" t="s">
        <v>515</v>
      </c>
      <c r="G4" s="156" t="s">
        <v>516</v>
      </c>
      <c r="I4" s="156" t="s">
        <v>513</v>
      </c>
      <c r="J4" s="156" t="s">
        <v>514</v>
      </c>
      <c r="K4" s="156" t="s">
        <v>515</v>
      </c>
      <c r="L4" s="156" t="s">
        <v>516</v>
      </c>
    </row>
    <row r="5" spans="1:23" ht="12.75" customHeight="1" x14ac:dyDescent="0.25">
      <c r="C5" s="156"/>
      <c r="D5" s="156"/>
      <c r="E5" s="156"/>
      <c r="F5" s="156"/>
      <c r="G5" s="156"/>
      <c r="I5" s="158">
        <v>17</v>
      </c>
      <c r="J5">
        <v>18</v>
      </c>
      <c r="K5">
        <v>22</v>
      </c>
      <c r="L5">
        <v>20</v>
      </c>
    </row>
    <row r="6" spans="1:23" ht="12.75" customHeight="1" x14ac:dyDescent="0.25">
      <c r="A6" s="156" t="s">
        <v>517</v>
      </c>
      <c r="B6" s="158"/>
      <c r="D6" s="159">
        <v>63260.3</v>
      </c>
      <c r="E6" s="159">
        <v>65093.7</v>
      </c>
      <c r="F6" s="159">
        <v>71334.399999999994</v>
      </c>
      <c r="G6" s="159">
        <v>71203.600000000006</v>
      </c>
      <c r="H6" s="230">
        <f>AVERAGE(D6:G6)</f>
        <v>67723</v>
      </c>
      <c r="I6" s="160">
        <f>D6/I$5/8</f>
        <v>465.14926470588239</v>
      </c>
      <c r="J6" s="160">
        <f t="shared" ref="J6:L17" si="0">E6/J$5/8</f>
        <v>452.03958333333333</v>
      </c>
      <c r="K6" s="160">
        <f t="shared" si="0"/>
        <v>405.30909090909086</v>
      </c>
      <c r="L6" s="160">
        <f t="shared" si="0"/>
        <v>445.02250000000004</v>
      </c>
      <c r="P6" s="161">
        <f>AVERAGE(I6:L6)*1.302</f>
        <v>575.32790287767375</v>
      </c>
    </row>
    <row r="7" spans="1:23" ht="12.75" customHeight="1" x14ac:dyDescent="0.25">
      <c r="A7" s="156" t="s">
        <v>518</v>
      </c>
      <c r="B7" s="156" t="s">
        <v>519</v>
      </c>
      <c r="C7" s="156" t="s">
        <v>520</v>
      </c>
      <c r="D7" s="159">
        <v>37607.699999999997</v>
      </c>
      <c r="E7" s="159">
        <v>37138.6</v>
      </c>
      <c r="F7" s="162">
        <v>41727</v>
      </c>
      <c r="G7" s="159">
        <v>41241.5</v>
      </c>
      <c r="H7" s="230">
        <f t="shared" ref="H7:H70" si="1">AVERAGE(D7:G7)</f>
        <v>39428.699999999997</v>
      </c>
      <c r="I7" s="160">
        <f t="shared" ref="I7:L51" si="2">D7/I$5/8</f>
        <v>276.52720588235292</v>
      </c>
      <c r="J7" s="160">
        <f t="shared" si="0"/>
        <v>257.90694444444443</v>
      </c>
      <c r="K7" s="160">
        <f t="shared" si="0"/>
        <v>237.08522727272728</v>
      </c>
      <c r="L7" s="160">
        <f t="shared" si="0"/>
        <v>257.75937499999998</v>
      </c>
      <c r="P7" s="161">
        <f t="shared" ref="P7:P70" si="3">AVERAGE(I7:L7)*1.302</f>
        <v>335.03023397114526</v>
      </c>
    </row>
    <row r="8" spans="1:23" ht="12.75" customHeight="1" x14ac:dyDescent="0.25">
      <c r="C8" s="156" t="s">
        <v>521</v>
      </c>
      <c r="D8" s="159">
        <v>37310.1</v>
      </c>
      <c r="E8" s="159">
        <v>39769.699999999997</v>
      </c>
      <c r="F8" s="159">
        <v>40543.9</v>
      </c>
      <c r="G8" s="159">
        <v>41199.599999999999</v>
      </c>
      <c r="H8" s="230">
        <f t="shared" si="1"/>
        <v>39705.824999999997</v>
      </c>
      <c r="I8" s="160">
        <f t="shared" si="2"/>
        <v>274.33897058823527</v>
      </c>
      <c r="J8" s="160">
        <f t="shared" si="0"/>
        <v>276.17847222222218</v>
      </c>
      <c r="K8" s="160">
        <f t="shared" si="0"/>
        <v>230.36306818181819</v>
      </c>
      <c r="L8" s="160">
        <f t="shared" si="0"/>
        <v>257.4975</v>
      </c>
      <c r="P8" s="161">
        <f t="shared" si="3"/>
        <v>337.99204257798573</v>
      </c>
    </row>
    <row r="9" spans="1:23" ht="12.75" customHeight="1" x14ac:dyDescent="0.25">
      <c r="C9" s="156" t="s">
        <v>522</v>
      </c>
      <c r="D9" s="159">
        <v>48482.400000000001</v>
      </c>
      <c r="E9" s="159">
        <v>40493.5</v>
      </c>
      <c r="F9" s="159">
        <v>41623.1</v>
      </c>
      <c r="G9" s="159">
        <v>47934.5</v>
      </c>
      <c r="H9" s="230">
        <f t="shared" si="1"/>
        <v>44633.375</v>
      </c>
      <c r="I9" s="160">
        <f t="shared" si="2"/>
        <v>356.48823529411766</v>
      </c>
      <c r="J9" s="160">
        <f t="shared" si="0"/>
        <v>281.20486111111109</v>
      </c>
      <c r="K9" s="160">
        <f t="shared" si="0"/>
        <v>236.49488636363637</v>
      </c>
      <c r="L9" s="160">
        <f t="shared" si="0"/>
        <v>299.59062499999999</v>
      </c>
      <c r="P9" s="161">
        <f t="shared" si="3"/>
        <v>382.06493682876561</v>
      </c>
    </row>
    <row r="10" spans="1:23" ht="12.75" customHeight="1" x14ac:dyDescent="0.25">
      <c r="C10" s="156" t="s">
        <v>523</v>
      </c>
      <c r="D10" s="159">
        <v>46566.5</v>
      </c>
      <c r="E10" s="159">
        <v>43273.2</v>
      </c>
      <c r="F10" s="159">
        <v>47346.9</v>
      </c>
      <c r="G10" s="159">
        <v>46388.1</v>
      </c>
      <c r="H10" s="230">
        <f t="shared" si="1"/>
        <v>45893.675000000003</v>
      </c>
      <c r="I10" s="160">
        <f t="shared" si="2"/>
        <v>342.40073529411762</v>
      </c>
      <c r="J10" s="160">
        <f t="shared" si="0"/>
        <v>300.50833333333333</v>
      </c>
      <c r="K10" s="160">
        <f t="shared" si="0"/>
        <v>269.01647727272729</v>
      </c>
      <c r="L10" s="160">
        <f t="shared" si="0"/>
        <v>289.92562499999997</v>
      </c>
      <c r="P10" s="161">
        <f t="shared" si="3"/>
        <v>391.20255612800804</v>
      </c>
    </row>
    <row r="11" spans="1:23" ht="12.75" customHeight="1" x14ac:dyDescent="0.25">
      <c r="C11" s="156" t="s">
        <v>524</v>
      </c>
      <c r="D11" s="159">
        <v>38415.699999999997</v>
      </c>
      <c r="E11" s="159">
        <v>35564.199999999997</v>
      </c>
      <c r="F11" s="159">
        <v>39670.400000000001</v>
      </c>
      <c r="G11" s="159">
        <v>40152.1</v>
      </c>
      <c r="H11" s="230">
        <f t="shared" si="1"/>
        <v>38450.6</v>
      </c>
      <c r="I11" s="160">
        <f t="shared" si="2"/>
        <v>282.46838235294115</v>
      </c>
      <c r="J11" s="160">
        <f t="shared" si="0"/>
        <v>246.9736111111111</v>
      </c>
      <c r="K11" s="160">
        <f t="shared" si="0"/>
        <v>225.4</v>
      </c>
      <c r="L11" s="160">
        <f t="shared" si="0"/>
        <v>250.950625</v>
      </c>
      <c r="P11" s="161">
        <f t="shared" si="3"/>
        <v>327.38549731004906</v>
      </c>
    </row>
    <row r="12" spans="1:23" ht="12.75" customHeight="1" x14ac:dyDescent="0.25">
      <c r="C12" s="156" t="s">
        <v>525</v>
      </c>
      <c r="D12" s="159">
        <v>36643.5</v>
      </c>
      <c r="E12" s="159">
        <v>37143.4</v>
      </c>
      <c r="F12" s="159">
        <v>41681.5</v>
      </c>
      <c r="G12" s="162">
        <v>40904</v>
      </c>
      <c r="H12" s="230">
        <f t="shared" si="1"/>
        <v>39093.1</v>
      </c>
      <c r="I12" s="160">
        <f t="shared" si="2"/>
        <v>269.4375</v>
      </c>
      <c r="J12" s="160">
        <f t="shared" si="0"/>
        <v>257.94027777777779</v>
      </c>
      <c r="K12" s="160">
        <f t="shared" si="0"/>
        <v>236.82670454545453</v>
      </c>
      <c r="L12" s="160">
        <f t="shared" si="0"/>
        <v>255.65</v>
      </c>
      <c r="P12" s="161">
        <f t="shared" si="3"/>
        <v>331.96263399621211</v>
      </c>
    </row>
    <row r="13" spans="1:23" ht="12.75" customHeight="1" x14ac:dyDescent="0.25">
      <c r="C13" s="156" t="s">
        <v>526</v>
      </c>
      <c r="D13" s="159">
        <v>35699.5</v>
      </c>
      <c r="E13" s="159">
        <v>34776.1</v>
      </c>
      <c r="F13" s="159">
        <v>37160.699999999997</v>
      </c>
      <c r="G13" s="159">
        <v>36466.400000000001</v>
      </c>
      <c r="H13" s="230">
        <f t="shared" si="1"/>
        <v>36025.675000000003</v>
      </c>
      <c r="I13" s="160">
        <f t="shared" si="2"/>
        <v>262.49632352941177</v>
      </c>
      <c r="J13" s="160">
        <f t="shared" si="0"/>
        <v>241.50069444444443</v>
      </c>
      <c r="K13" s="160">
        <f t="shared" si="0"/>
        <v>211.1403409090909</v>
      </c>
      <c r="L13" s="160">
        <f t="shared" si="0"/>
        <v>227.91500000000002</v>
      </c>
      <c r="P13" s="161">
        <f t="shared" si="3"/>
        <v>306.9635428163993</v>
      </c>
    </row>
    <row r="14" spans="1:23" ht="12.75" customHeight="1" x14ac:dyDescent="0.25">
      <c r="B14" s="156" t="s">
        <v>527</v>
      </c>
      <c r="C14" s="156" t="s">
        <v>528</v>
      </c>
      <c r="D14" s="159">
        <v>32104.3</v>
      </c>
      <c r="E14" s="159">
        <v>34239.4</v>
      </c>
      <c r="F14" s="159">
        <v>34316.300000000003</v>
      </c>
      <c r="G14" s="162">
        <v>34924</v>
      </c>
      <c r="H14" s="230">
        <f t="shared" si="1"/>
        <v>33896</v>
      </c>
      <c r="I14" s="160">
        <f t="shared" si="2"/>
        <v>236.06102941176471</v>
      </c>
      <c r="J14" s="160">
        <f t="shared" si="0"/>
        <v>237.77361111111111</v>
      </c>
      <c r="K14" s="160">
        <f t="shared" si="0"/>
        <v>194.97897727272729</v>
      </c>
      <c r="L14" s="160">
        <f t="shared" si="0"/>
        <v>218.27500000000001</v>
      </c>
      <c r="P14" s="161">
        <f t="shared" si="3"/>
        <v>288.74734509246883</v>
      </c>
    </row>
    <row r="15" spans="1:23" ht="12.75" customHeight="1" x14ac:dyDescent="0.25">
      <c r="C15" s="156" t="s">
        <v>529</v>
      </c>
      <c r="D15" s="159">
        <v>54793.3</v>
      </c>
      <c r="E15" s="159">
        <v>59663.6</v>
      </c>
      <c r="F15" s="162">
        <v>60024</v>
      </c>
      <c r="G15" s="159">
        <v>57617.1</v>
      </c>
      <c r="H15" s="230">
        <f t="shared" si="1"/>
        <v>58024.5</v>
      </c>
      <c r="I15" s="160">
        <f t="shared" si="2"/>
        <v>402.89191176470592</v>
      </c>
      <c r="J15" s="160">
        <f t="shared" si="0"/>
        <v>414.33055555555552</v>
      </c>
      <c r="K15" s="160">
        <f t="shared" si="0"/>
        <v>341.04545454545456</v>
      </c>
      <c r="L15" s="160">
        <f t="shared" si="0"/>
        <v>360.106875</v>
      </c>
      <c r="P15" s="161">
        <f t="shared" si="3"/>
        <v>494.23099637979055</v>
      </c>
    </row>
    <row r="16" spans="1:23" ht="12.75" customHeight="1" x14ac:dyDescent="0.25">
      <c r="C16" s="156" t="s">
        <v>530</v>
      </c>
      <c r="D16" s="162">
        <v>24171</v>
      </c>
      <c r="E16" s="159">
        <v>26519.8</v>
      </c>
      <c r="F16" s="159">
        <v>30065.7</v>
      </c>
      <c r="G16" s="159">
        <v>25882.6</v>
      </c>
      <c r="H16" s="230">
        <f t="shared" si="1"/>
        <v>26659.775000000001</v>
      </c>
      <c r="I16" s="160">
        <f t="shared" si="2"/>
        <v>177.72794117647058</v>
      </c>
      <c r="J16" s="160">
        <f t="shared" si="0"/>
        <v>184.16527777777776</v>
      </c>
      <c r="K16" s="160">
        <f t="shared" si="0"/>
        <v>170.82784090909092</v>
      </c>
      <c r="L16" s="160">
        <f t="shared" si="0"/>
        <v>161.76624999999999</v>
      </c>
      <c r="P16" s="161">
        <f t="shared" si="3"/>
        <v>226.05561936051694</v>
      </c>
    </row>
    <row r="17" spans="1:16" ht="12.75" customHeight="1" x14ac:dyDescent="0.25">
      <c r="C17" s="156" t="s">
        <v>531</v>
      </c>
      <c r="D17" s="159">
        <v>41975.5</v>
      </c>
      <c r="E17" s="159">
        <v>43849.599999999999</v>
      </c>
      <c r="F17" s="162">
        <v>45588</v>
      </c>
      <c r="G17" s="159">
        <v>50178.5</v>
      </c>
      <c r="H17" s="230">
        <f t="shared" si="1"/>
        <v>45397.9</v>
      </c>
      <c r="I17" s="160">
        <f t="shared" si="2"/>
        <v>308.64338235294116</v>
      </c>
      <c r="J17" s="160">
        <f t="shared" si="0"/>
        <v>304.51111111111112</v>
      </c>
      <c r="K17" s="160">
        <f t="shared" si="0"/>
        <v>259.02272727272725</v>
      </c>
      <c r="L17" s="160">
        <f t="shared" si="0"/>
        <v>313.61562500000002</v>
      </c>
      <c r="P17" s="161">
        <f t="shared" si="3"/>
        <v>385.97557128732177</v>
      </c>
    </row>
    <row r="18" spans="1:16" ht="12.75" customHeight="1" x14ac:dyDescent="0.25">
      <c r="B18" s="156" t="s">
        <v>532</v>
      </c>
      <c r="C18" s="156" t="s">
        <v>533</v>
      </c>
      <c r="D18" s="159">
        <v>142836.9</v>
      </c>
      <c r="E18" s="159">
        <v>116634.1</v>
      </c>
      <c r="F18" s="159">
        <v>132643.6</v>
      </c>
      <c r="G18" s="159">
        <v>170304.2</v>
      </c>
      <c r="H18" s="230">
        <f t="shared" si="1"/>
        <v>140604.70000000001</v>
      </c>
      <c r="I18" s="160">
        <f t="shared" si="2"/>
        <v>1050.2713235294118</v>
      </c>
      <c r="J18" s="160">
        <f t="shared" si="2"/>
        <v>809.95902777777781</v>
      </c>
      <c r="K18" s="160">
        <f t="shared" si="2"/>
        <v>753.65681818181827</v>
      </c>
      <c r="L18" s="160">
        <f t="shared" si="2"/>
        <v>1064.4012500000001</v>
      </c>
      <c r="P18" s="161">
        <f t="shared" si="3"/>
        <v>1197.2828805436723</v>
      </c>
    </row>
    <row r="19" spans="1:16" ht="12.75" customHeight="1" x14ac:dyDescent="0.25">
      <c r="C19" s="156" t="s">
        <v>534</v>
      </c>
      <c r="D19" s="159">
        <v>54352.6</v>
      </c>
      <c r="E19" s="159">
        <v>55069.2</v>
      </c>
      <c r="F19" s="159">
        <v>49660.2</v>
      </c>
      <c r="G19" s="159">
        <v>52234.400000000001</v>
      </c>
      <c r="H19" s="230">
        <f t="shared" si="1"/>
        <v>52829.1</v>
      </c>
      <c r="I19" s="160">
        <f t="shared" si="2"/>
        <v>399.65147058823527</v>
      </c>
      <c r="J19" s="160">
        <f t="shared" si="2"/>
        <v>382.42499999999995</v>
      </c>
      <c r="K19" s="160">
        <f t="shared" si="2"/>
        <v>282.16022727272724</v>
      </c>
      <c r="L19" s="160">
        <f t="shared" si="2"/>
        <v>326.46500000000003</v>
      </c>
      <c r="P19" s="161">
        <f t="shared" si="3"/>
        <v>452.67340265374338</v>
      </c>
    </row>
    <row r="20" spans="1:16" ht="12.75" customHeight="1" x14ac:dyDescent="0.25">
      <c r="A20" s="156" t="s">
        <v>535</v>
      </c>
      <c r="B20" s="156" t="s">
        <v>536</v>
      </c>
      <c r="C20" s="156" t="s">
        <v>537</v>
      </c>
      <c r="D20" s="159">
        <v>94815.8</v>
      </c>
      <c r="E20" s="159">
        <v>94598.8</v>
      </c>
      <c r="F20" s="159">
        <v>102087.8</v>
      </c>
      <c r="G20" s="159">
        <v>99040.5</v>
      </c>
      <c r="H20" s="230">
        <f t="shared" si="1"/>
        <v>97635.725000000006</v>
      </c>
      <c r="I20" s="160">
        <f t="shared" si="2"/>
        <v>697.17500000000007</v>
      </c>
      <c r="J20" s="160">
        <f t="shared" si="2"/>
        <v>656.93611111111113</v>
      </c>
      <c r="K20" s="160">
        <f t="shared" si="2"/>
        <v>580.0443181818182</v>
      </c>
      <c r="L20" s="160">
        <f t="shared" si="2"/>
        <v>619.00312499999995</v>
      </c>
      <c r="P20" s="161">
        <f t="shared" si="3"/>
        <v>831.0531094223486</v>
      </c>
    </row>
    <row r="21" spans="1:16" ht="12.75" customHeight="1" x14ac:dyDescent="0.25">
      <c r="C21" s="156" t="s">
        <v>538</v>
      </c>
      <c r="D21" s="159">
        <v>83071.600000000006</v>
      </c>
      <c r="E21" s="159">
        <v>78195.600000000006</v>
      </c>
      <c r="F21" s="159">
        <v>93304.3</v>
      </c>
      <c r="G21" s="159">
        <v>84783.3</v>
      </c>
      <c r="H21" s="230">
        <f t="shared" si="1"/>
        <v>84838.7</v>
      </c>
      <c r="I21" s="160">
        <f t="shared" si="2"/>
        <v>610.82058823529417</v>
      </c>
      <c r="J21" s="160">
        <f t="shared" si="2"/>
        <v>543.02500000000009</v>
      </c>
      <c r="K21" s="160">
        <f t="shared" si="2"/>
        <v>530.1380681818182</v>
      </c>
      <c r="L21" s="160">
        <f t="shared" si="2"/>
        <v>529.895625</v>
      </c>
      <c r="P21" s="161">
        <f t="shared" si="3"/>
        <v>720.61770610127007</v>
      </c>
    </row>
    <row r="22" spans="1:16" ht="12.75" customHeight="1" x14ac:dyDescent="0.25">
      <c r="B22" s="156" t="s">
        <v>539</v>
      </c>
      <c r="C22" s="156" t="s">
        <v>540</v>
      </c>
      <c r="D22" s="159">
        <v>145985.79999999999</v>
      </c>
      <c r="E22" s="159">
        <v>143264.29999999999</v>
      </c>
      <c r="F22" s="159">
        <v>157500.4</v>
      </c>
      <c r="G22" s="159">
        <v>156146.6</v>
      </c>
      <c r="H22" s="230">
        <f t="shared" si="1"/>
        <v>150724.27499999999</v>
      </c>
      <c r="I22" s="160">
        <f t="shared" si="2"/>
        <v>1073.425</v>
      </c>
      <c r="J22" s="160">
        <f t="shared" si="2"/>
        <v>994.8909722222221</v>
      </c>
      <c r="K22" s="160">
        <f t="shared" si="2"/>
        <v>894.88863636363635</v>
      </c>
      <c r="L22" s="160">
        <f t="shared" si="2"/>
        <v>975.91624999999999</v>
      </c>
      <c r="P22" s="161">
        <f t="shared" si="3"/>
        <v>1282.183839469697</v>
      </c>
    </row>
    <row r="23" spans="1:16" ht="12.75" customHeight="1" x14ac:dyDescent="0.25">
      <c r="C23" s="156" t="s">
        <v>541</v>
      </c>
      <c r="D23" s="159">
        <v>211493.8</v>
      </c>
      <c r="E23" s="159">
        <v>207073.5</v>
      </c>
      <c r="F23" s="159">
        <v>207604.6</v>
      </c>
      <c r="G23" s="159">
        <v>278979.90000000002</v>
      </c>
      <c r="H23" s="230">
        <f t="shared" si="1"/>
        <v>226287.95</v>
      </c>
      <c r="I23" s="160">
        <f t="shared" si="2"/>
        <v>1555.1014705882353</v>
      </c>
      <c r="J23" s="160">
        <f t="shared" si="2"/>
        <v>1438.0104166666667</v>
      </c>
      <c r="K23" s="160">
        <f t="shared" si="2"/>
        <v>1179.5715909090909</v>
      </c>
      <c r="L23" s="160">
        <f t="shared" si="2"/>
        <v>1743.6243750000001</v>
      </c>
      <c r="P23" s="161">
        <f t="shared" si="3"/>
        <v>1925.75820620488</v>
      </c>
    </row>
    <row r="24" spans="1:16" ht="12.75" customHeight="1" x14ac:dyDescent="0.25">
      <c r="B24" s="156" t="s">
        <v>542</v>
      </c>
      <c r="C24" s="156" t="s">
        <v>543</v>
      </c>
      <c r="D24" s="159">
        <v>75482.5</v>
      </c>
      <c r="E24" s="159">
        <v>87859.4</v>
      </c>
      <c r="F24" s="159">
        <v>84897.4</v>
      </c>
      <c r="G24" s="159">
        <v>78292.399999999994</v>
      </c>
      <c r="H24" s="230">
        <f t="shared" si="1"/>
        <v>81632.924999999988</v>
      </c>
      <c r="I24" s="160">
        <f t="shared" si="2"/>
        <v>555.01838235294122</v>
      </c>
      <c r="J24" s="160">
        <f t="shared" si="2"/>
        <v>610.13472222222219</v>
      </c>
      <c r="K24" s="160">
        <f t="shared" si="2"/>
        <v>482.37159090909086</v>
      </c>
      <c r="L24" s="160">
        <f t="shared" si="2"/>
        <v>489.32749999999999</v>
      </c>
      <c r="P24" s="161">
        <f t="shared" si="3"/>
        <v>695.54538963012487</v>
      </c>
    </row>
    <row r="25" spans="1:16" ht="12.75" customHeight="1" x14ac:dyDescent="0.25">
      <c r="C25" s="156" t="s">
        <v>544</v>
      </c>
      <c r="D25" s="159">
        <v>115316.4</v>
      </c>
      <c r="E25" s="159">
        <v>107095.3</v>
      </c>
      <c r="F25" s="159">
        <v>131811.4</v>
      </c>
      <c r="G25" s="159">
        <v>115334.3</v>
      </c>
      <c r="H25" s="230">
        <f t="shared" si="1"/>
        <v>117389.34999999999</v>
      </c>
      <c r="I25" s="160">
        <f t="shared" si="2"/>
        <v>847.91470588235291</v>
      </c>
      <c r="J25" s="160">
        <f t="shared" si="2"/>
        <v>743.71736111111113</v>
      </c>
      <c r="K25" s="160">
        <f t="shared" si="2"/>
        <v>748.9284090909091</v>
      </c>
      <c r="L25" s="160">
        <f t="shared" si="2"/>
        <v>720.83937500000002</v>
      </c>
      <c r="P25" s="161">
        <f t="shared" si="3"/>
        <v>996.48565152796346</v>
      </c>
    </row>
    <row r="26" spans="1:16" ht="12.75" customHeight="1" x14ac:dyDescent="0.25">
      <c r="B26" s="156" t="s">
        <v>545</v>
      </c>
      <c r="C26" s="156" t="s">
        <v>546</v>
      </c>
      <c r="D26" s="159">
        <v>52318.2</v>
      </c>
      <c r="E26" s="159">
        <v>53363.9</v>
      </c>
      <c r="F26" s="162">
        <v>58196</v>
      </c>
      <c r="G26" s="159">
        <v>59377.3</v>
      </c>
      <c r="H26" s="230">
        <f t="shared" si="1"/>
        <v>55813.850000000006</v>
      </c>
      <c r="I26" s="160">
        <f t="shared" si="2"/>
        <v>384.69264705882352</v>
      </c>
      <c r="J26" s="160">
        <f t="shared" si="2"/>
        <v>370.58263888888888</v>
      </c>
      <c r="K26" s="160">
        <f t="shared" si="2"/>
        <v>330.65909090909093</v>
      </c>
      <c r="L26" s="160">
        <f t="shared" si="2"/>
        <v>371.10812500000003</v>
      </c>
      <c r="P26" s="161">
        <f t="shared" si="3"/>
        <v>474.2673343543895</v>
      </c>
    </row>
    <row r="27" spans="1:16" ht="12.75" customHeight="1" x14ac:dyDescent="0.25">
      <c r="C27" s="156" t="s">
        <v>547</v>
      </c>
      <c r="D27" s="159">
        <v>126162.4</v>
      </c>
      <c r="E27" s="159">
        <v>106412.3</v>
      </c>
      <c r="F27" s="159">
        <v>160188.1</v>
      </c>
      <c r="G27" s="159">
        <v>135368.4</v>
      </c>
      <c r="H27" s="230">
        <f t="shared" si="1"/>
        <v>132032.80000000002</v>
      </c>
      <c r="I27" s="160">
        <f t="shared" si="2"/>
        <v>927.66470588235291</v>
      </c>
      <c r="J27" s="160">
        <f t="shared" si="2"/>
        <v>738.97430555555559</v>
      </c>
      <c r="K27" s="160">
        <f t="shared" si="2"/>
        <v>910.15965909090914</v>
      </c>
      <c r="L27" s="160">
        <f t="shared" si="2"/>
        <v>846.05250000000001</v>
      </c>
      <c r="P27" s="161">
        <f t="shared" si="3"/>
        <v>1114.1380560071302</v>
      </c>
    </row>
    <row r="28" spans="1:16" ht="12.75" customHeight="1" x14ac:dyDescent="0.25">
      <c r="B28" s="156" t="s">
        <v>548</v>
      </c>
      <c r="C28" s="156" t="s">
        <v>549</v>
      </c>
      <c r="D28" s="162">
        <v>114582</v>
      </c>
      <c r="E28" s="162">
        <v>109876</v>
      </c>
      <c r="F28" s="162">
        <v>129725</v>
      </c>
      <c r="G28" s="159">
        <v>115564.8</v>
      </c>
      <c r="H28" s="230">
        <f t="shared" si="1"/>
        <v>117436.95</v>
      </c>
      <c r="I28" s="160">
        <f t="shared" si="2"/>
        <v>842.51470588235293</v>
      </c>
      <c r="J28" s="160">
        <f t="shared" si="2"/>
        <v>763.02777777777783</v>
      </c>
      <c r="K28" s="160">
        <f t="shared" si="2"/>
        <v>737.07386363636363</v>
      </c>
      <c r="L28" s="160">
        <f t="shared" si="2"/>
        <v>722.28</v>
      </c>
      <c r="P28" s="161">
        <f t="shared" si="3"/>
        <v>997.62376104500891</v>
      </c>
    </row>
    <row r="29" spans="1:16" ht="12.75" customHeight="1" x14ac:dyDescent="0.25">
      <c r="C29" s="156" t="s">
        <v>550</v>
      </c>
      <c r="D29" s="159">
        <v>90636.800000000003</v>
      </c>
      <c r="E29" s="159">
        <v>94994.7</v>
      </c>
      <c r="F29" s="159">
        <v>103540.9</v>
      </c>
      <c r="G29" s="159">
        <v>104784.9</v>
      </c>
      <c r="H29" s="230">
        <f t="shared" si="1"/>
        <v>98489.325000000012</v>
      </c>
      <c r="I29" s="160">
        <f t="shared" si="2"/>
        <v>666.44705882352946</v>
      </c>
      <c r="J29" s="160">
        <f t="shared" si="2"/>
        <v>659.6854166666667</v>
      </c>
      <c r="K29" s="160">
        <f t="shared" si="2"/>
        <v>588.30056818181811</v>
      </c>
      <c r="L29" s="160">
        <f t="shared" si="2"/>
        <v>654.90562499999999</v>
      </c>
      <c r="P29" s="161">
        <f t="shared" si="3"/>
        <v>836.31973665274063</v>
      </c>
    </row>
    <row r="30" spans="1:16" ht="12.75" customHeight="1" x14ac:dyDescent="0.25">
      <c r="A30" s="156" t="s">
        <v>551</v>
      </c>
      <c r="B30" s="156" t="s">
        <v>552</v>
      </c>
      <c r="C30" s="156" t="s">
        <v>553</v>
      </c>
      <c r="D30" s="159">
        <v>49487.3</v>
      </c>
      <c r="E30" s="159">
        <v>47054.7</v>
      </c>
      <c r="F30" s="159">
        <v>50758.7</v>
      </c>
      <c r="G30" s="159">
        <v>49619.3</v>
      </c>
      <c r="H30" s="230">
        <f t="shared" si="1"/>
        <v>49230</v>
      </c>
      <c r="I30" s="160">
        <f t="shared" si="2"/>
        <v>363.87720588235294</v>
      </c>
      <c r="J30" s="160">
        <f t="shared" si="2"/>
        <v>326.76874999999995</v>
      </c>
      <c r="K30" s="160">
        <f t="shared" si="2"/>
        <v>288.40170454545455</v>
      </c>
      <c r="L30" s="160">
        <f t="shared" si="2"/>
        <v>310.12062500000002</v>
      </c>
      <c r="P30" s="161">
        <f t="shared" si="3"/>
        <v>419.62427690675133</v>
      </c>
    </row>
    <row r="31" spans="1:16" ht="12.75" customHeight="1" x14ac:dyDescent="0.25">
      <c r="C31" s="156" t="s">
        <v>554</v>
      </c>
      <c r="D31" s="159">
        <v>61918.8</v>
      </c>
      <c r="E31" s="159">
        <v>54742.6</v>
      </c>
      <c r="F31" s="159">
        <v>59410.5</v>
      </c>
      <c r="G31" s="159">
        <v>72431.5</v>
      </c>
      <c r="H31" s="230">
        <f t="shared" si="1"/>
        <v>62125.85</v>
      </c>
      <c r="I31" s="160">
        <f t="shared" si="2"/>
        <v>455.28529411764708</v>
      </c>
      <c r="J31" s="160">
        <f t="shared" si="2"/>
        <v>380.15694444444443</v>
      </c>
      <c r="K31" s="160">
        <f t="shared" si="2"/>
        <v>337.55965909090907</v>
      </c>
      <c r="L31" s="160">
        <f t="shared" si="2"/>
        <v>452.69687499999998</v>
      </c>
      <c r="P31" s="161">
        <f t="shared" si="3"/>
        <v>529.16495049855166</v>
      </c>
    </row>
    <row r="32" spans="1:16" ht="12.75" customHeight="1" x14ac:dyDescent="0.25">
      <c r="C32" s="156" t="s">
        <v>555</v>
      </c>
      <c r="D32" s="159">
        <v>42077.4</v>
      </c>
      <c r="E32" s="159">
        <v>45260.9</v>
      </c>
      <c r="F32" s="159">
        <v>44911.7</v>
      </c>
      <c r="G32" s="159">
        <v>48847.7</v>
      </c>
      <c r="H32" s="230">
        <f t="shared" si="1"/>
        <v>45274.425000000003</v>
      </c>
      <c r="I32" s="160">
        <f t="shared" si="2"/>
        <v>309.39264705882351</v>
      </c>
      <c r="J32" s="160">
        <f t="shared" si="2"/>
        <v>314.31180555555557</v>
      </c>
      <c r="K32" s="160">
        <f t="shared" si="2"/>
        <v>255.18011363636361</v>
      </c>
      <c r="L32" s="160">
        <f t="shared" si="2"/>
        <v>305.29812499999997</v>
      </c>
      <c r="P32" s="161">
        <f t="shared" si="3"/>
        <v>385.45146600211677</v>
      </c>
    </row>
    <row r="33" spans="2:16" ht="12.75" customHeight="1" x14ac:dyDescent="0.25">
      <c r="C33" s="156" t="s">
        <v>556</v>
      </c>
      <c r="D33" s="159">
        <v>55491.5</v>
      </c>
      <c r="E33" s="159">
        <v>49560.9</v>
      </c>
      <c r="F33" s="159">
        <v>58839.199999999997</v>
      </c>
      <c r="G33" s="159">
        <v>55442.1</v>
      </c>
      <c r="H33" s="230">
        <f t="shared" si="1"/>
        <v>54833.424999999996</v>
      </c>
      <c r="I33" s="160">
        <f t="shared" si="2"/>
        <v>408.02573529411762</v>
      </c>
      <c r="J33" s="160">
        <f t="shared" si="2"/>
        <v>344.17291666666665</v>
      </c>
      <c r="K33" s="160">
        <f t="shared" si="2"/>
        <v>334.31363636363636</v>
      </c>
      <c r="L33" s="160">
        <f t="shared" si="2"/>
        <v>346.513125</v>
      </c>
      <c r="P33" s="161">
        <f t="shared" si="3"/>
        <v>466.44977203709885</v>
      </c>
    </row>
    <row r="34" spans="2:16" ht="12.75" customHeight="1" x14ac:dyDescent="0.25">
      <c r="C34" s="156" t="s">
        <v>557</v>
      </c>
      <c r="D34" s="159">
        <v>51416.2</v>
      </c>
      <c r="E34" s="159">
        <v>49381.7</v>
      </c>
      <c r="F34" s="159">
        <v>56343.5</v>
      </c>
      <c r="G34" s="159">
        <v>52649.1</v>
      </c>
      <c r="H34" s="230">
        <f t="shared" si="1"/>
        <v>52447.625</v>
      </c>
      <c r="I34" s="160">
        <f t="shared" si="2"/>
        <v>378.06029411764706</v>
      </c>
      <c r="J34" s="160">
        <f t="shared" si="2"/>
        <v>342.92847222222218</v>
      </c>
      <c r="K34" s="160">
        <f t="shared" si="2"/>
        <v>320.13352272727275</v>
      </c>
      <c r="L34" s="160">
        <f t="shared" si="2"/>
        <v>329.05687499999999</v>
      </c>
      <c r="P34" s="161">
        <f t="shared" si="3"/>
        <v>445.99331790385475</v>
      </c>
    </row>
    <row r="35" spans="2:16" ht="12.75" customHeight="1" x14ac:dyDescent="0.25">
      <c r="C35" s="156" t="s">
        <v>558</v>
      </c>
      <c r="D35" s="159">
        <v>48594.6</v>
      </c>
      <c r="E35" s="162">
        <v>48937</v>
      </c>
      <c r="F35" s="159">
        <v>52422.8</v>
      </c>
      <c r="G35" s="159">
        <v>52227.7</v>
      </c>
      <c r="H35" s="230">
        <f t="shared" si="1"/>
        <v>50545.525000000009</v>
      </c>
      <c r="I35" s="160">
        <f t="shared" si="2"/>
        <v>357.31323529411765</v>
      </c>
      <c r="J35" s="160">
        <f t="shared" si="2"/>
        <v>339.84027777777777</v>
      </c>
      <c r="K35" s="160">
        <f t="shared" si="2"/>
        <v>297.8568181818182</v>
      </c>
      <c r="L35" s="160">
        <f t="shared" si="2"/>
        <v>326.42312499999997</v>
      </c>
      <c r="P35" s="161">
        <f t="shared" si="3"/>
        <v>430.12659001058375</v>
      </c>
    </row>
    <row r="36" spans="2:16" ht="12.75" customHeight="1" x14ac:dyDescent="0.25">
      <c r="C36" s="156" t="s">
        <v>559</v>
      </c>
      <c r="D36" s="159">
        <v>44557.2</v>
      </c>
      <c r="E36" s="159">
        <v>42405.2</v>
      </c>
      <c r="F36" s="159">
        <v>45886.6</v>
      </c>
      <c r="G36" s="159">
        <v>46567.3</v>
      </c>
      <c r="H36" s="230">
        <f t="shared" si="1"/>
        <v>44854.074999999997</v>
      </c>
      <c r="I36" s="160">
        <f t="shared" si="2"/>
        <v>327.62647058823529</v>
      </c>
      <c r="J36" s="160">
        <f t="shared" si="2"/>
        <v>294.48055555555555</v>
      </c>
      <c r="K36" s="160">
        <f t="shared" si="2"/>
        <v>260.71931818181815</v>
      </c>
      <c r="L36" s="160">
        <f t="shared" si="2"/>
        <v>291.04562500000003</v>
      </c>
      <c r="P36" s="161">
        <f t="shared" si="3"/>
        <v>382.09532601548574</v>
      </c>
    </row>
    <row r="37" spans="2:16" ht="12.75" customHeight="1" x14ac:dyDescent="0.25">
      <c r="C37" s="156" t="s">
        <v>560</v>
      </c>
      <c r="D37" s="159">
        <v>58406.9</v>
      </c>
      <c r="E37" s="159">
        <v>58017.599999999999</v>
      </c>
      <c r="F37" s="159">
        <v>66248.7</v>
      </c>
      <c r="G37" s="162">
        <v>61237</v>
      </c>
      <c r="H37" s="230">
        <f t="shared" si="1"/>
        <v>60977.55</v>
      </c>
      <c r="I37" s="160">
        <f t="shared" si="2"/>
        <v>429.46250000000003</v>
      </c>
      <c r="J37" s="160">
        <f t="shared" si="2"/>
        <v>402.9</v>
      </c>
      <c r="K37" s="160">
        <f t="shared" si="2"/>
        <v>376.41306818181818</v>
      </c>
      <c r="L37" s="160">
        <f t="shared" si="2"/>
        <v>382.73124999999999</v>
      </c>
      <c r="P37" s="161">
        <f t="shared" si="3"/>
        <v>518.03546931818175</v>
      </c>
    </row>
    <row r="38" spans="2:16" ht="12.75" customHeight="1" x14ac:dyDescent="0.25">
      <c r="C38" s="156" t="s">
        <v>561</v>
      </c>
      <c r="D38" s="159">
        <v>62617.8</v>
      </c>
      <c r="E38" s="159">
        <v>60330.6</v>
      </c>
      <c r="F38" s="159">
        <v>82959.899999999994</v>
      </c>
      <c r="G38" s="159">
        <v>65518.6</v>
      </c>
      <c r="H38" s="230">
        <f t="shared" si="1"/>
        <v>67856.724999999991</v>
      </c>
      <c r="I38" s="160">
        <f t="shared" si="2"/>
        <v>460.42500000000001</v>
      </c>
      <c r="J38" s="160">
        <f t="shared" si="2"/>
        <v>418.96249999999998</v>
      </c>
      <c r="K38" s="160">
        <f t="shared" si="2"/>
        <v>471.36306818181816</v>
      </c>
      <c r="L38" s="160">
        <f t="shared" si="2"/>
        <v>409.49124999999998</v>
      </c>
      <c r="P38" s="161">
        <f t="shared" si="3"/>
        <v>572.95871181818188</v>
      </c>
    </row>
    <row r="39" spans="2:16" ht="12.75" customHeight="1" x14ac:dyDescent="0.25">
      <c r="B39" s="156" t="s">
        <v>562</v>
      </c>
      <c r="C39" s="156" t="s">
        <v>563</v>
      </c>
      <c r="D39" s="159">
        <v>57608.5</v>
      </c>
      <c r="E39" s="159">
        <v>56160.6</v>
      </c>
      <c r="F39" s="159">
        <v>70159.8</v>
      </c>
      <c r="G39" s="159">
        <v>71092.399999999994</v>
      </c>
      <c r="H39" s="230">
        <f t="shared" si="1"/>
        <v>63755.325000000004</v>
      </c>
      <c r="I39" s="160">
        <f t="shared" si="2"/>
        <v>423.59191176470586</v>
      </c>
      <c r="J39" s="160">
        <f t="shared" si="2"/>
        <v>390.00416666666666</v>
      </c>
      <c r="K39" s="160">
        <f t="shared" si="2"/>
        <v>398.63522727272726</v>
      </c>
      <c r="L39" s="160">
        <f t="shared" si="2"/>
        <v>444.32749999999999</v>
      </c>
      <c r="P39" s="161">
        <f t="shared" si="3"/>
        <v>539.20989125668439</v>
      </c>
    </row>
    <row r="40" spans="2:16" ht="12.75" customHeight="1" x14ac:dyDescent="0.25">
      <c r="B40" s="156" t="s">
        <v>564</v>
      </c>
      <c r="C40" s="156" t="s">
        <v>565</v>
      </c>
      <c r="D40" s="159">
        <v>130813.3</v>
      </c>
      <c r="E40" s="159">
        <v>166798.29999999999</v>
      </c>
      <c r="F40" s="159">
        <v>148335.79999999999</v>
      </c>
      <c r="G40" s="159">
        <v>145579.6</v>
      </c>
      <c r="H40" s="230">
        <f t="shared" si="1"/>
        <v>147881.75</v>
      </c>
      <c r="I40" s="160">
        <f t="shared" si="2"/>
        <v>961.86250000000007</v>
      </c>
      <c r="J40" s="160">
        <f t="shared" si="2"/>
        <v>1158.3215277777776</v>
      </c>
      <c r="K40" s="160">
        <f t="shared" si="2"/>
        <v>842.81704545454534</v>
      </c>
      <c r="L40" s="160">
        <f t="shared" si="2"/>
        <v>909.87250000000006</v>
      </c>
      <c r="P40" s="161">
        <f t="shared" si="3"/>
        <v>1260.6203480871211</v>
      </c>
    </row>
    <row r="41" spans="2:16" ht="12.75" customHeight="1" x14ac:dyDescent="0.25">
      <c r="B41" s="156" t="s">
        <v>566</v>
      </c>
      <c r="C41" s="156" t="s">
        <v>567</v>
      </c>
      <c r="D41" s="159">
        <v>39186.9</v>
      </c>
      <c r="E41" s="159">
        <v>39381.9</v>
      </c>
      <c r="F41" s="159">
        <v>40919.800000000003</v>
      </c>
      <c r="G41" s="159">
        <v>42189.4</v>
      </c>
      <c r="H41" s="230">
        <f t="shared" si="1"/>
        <v>40419.5</v>
      </c>
      <c r="I41" s="160">
        <f t="shared" si="2"/>
        <v>288.13897058823528</v>
      </c>
      <c r="J41" s="160">
        <f t="shared" si="2"/>
        <v>273.48541666666665</v>
      </c>
      <c r="K41" s="160">
        <f t="shared" si="2"/>
        <v>232.49886363636367</v>
      </c>
      <c r="L41" s="160">
        <f t="shared" si="2"/>
        <v>263.68375000000003</v>
      </c>
      <c r="P41" s="161">
        <f t="shared" si="3"/>
        <v>344.3161787901069</v>
      </c>
    </row>
    <row r="42" spans="2:16" ht="12.75" customHeight="1" x14ac:dyDescent="0.25">
      <c r="C42" s="156" t="s">
        <v>568</v>
      </c>
      <c r="D42" s="159">
        <v>38376.1</v>
      </c>
      <c r="E42" s="159">
        <v>38742.1</v>
      </c>
      <c r="F42" s="159">
        <v>47803.1</v>
      </c>
      <c r="G42" s="159">
        <v>48612.3</v>
      </c>
      <c r="H42" s="230">
        <f t="shared" si="1"/>
        <v>43383.399999999994</v>
      </c>
      <c r="I42" s="160">
        <f t="shared" si="2"/>
        <v>282.17720588235295</v>
      </c>
      <c r="J42" s="160">
        <f t="shared" si="2"/>
        <v>269.04236111111112</v>
      </c>
      <c r="K42" s="160">
        <f t="shared" si="2"/>
        <v>271.60852272727271</v>
      </c>
      <c r="L42" s="160">
        <f t="shared" si="2"/>
        <v>303.82687500000003</v>
      </c>
      <c r="P42" s="161">
        <f t="shared" si="3"/>
        <v>366.72619101659978</v>
      </c>
    </row>
    <row r="43" spans="2:16" ht="12.75" customHeight="1" x14ac:dyDescent="0.25">
      <c r="C43" s="156" t="s">
        <v>569</v>
      </c>
      <c r="D43" s="159">
        <v>38180.300000000003</v>
      </c>
      <c r="E43" s="159">
        <v>39762.400000000001</v>
      </c>
      <c r="F43" s="159">
        <v>45788.3</v>
      </c>
      <c r="G43" s="159">
        <v>43057.3</v>
      </c>
      <c r="H43" s="230">
        <f t="shared" si="1"/>
        <v>41697.075000000004</v>
      </c>
      <c r="I43" s="160">
        <f t="shared" si="2"/>
        <v>280.73750000000001</v>
      </c>
      <c r="J43" s="160">
        <f t="shared" si="2"/>
        <v>276.12777777777779</v>
      </c>
      <c r="K43" s="160">
        <f t="shared" si="2"/>
        <v>260.16079545454545</v>
      </c>
      <c r="L43" s="160">
        <f t="shared" si="2"/>
        <v>269.10812500000003</v>
      </c>
      <c r="P43" s="161">
        <f t="shared" si="3"/>
        <v>353.53668152462126</v>
      </c>
    </row>
    <row r="44" spans="2:16" ht="12.75" customHeight="1" x14ac:dyDescent="0.25">
      <c r="C44" s="156" t="s">
        <v>570</v>
      </c>
      <c r="D44" s="159">
        <v>37864.400000000001</v>
      </c>
      <c r="E44" s="159">
        <v>38577.1</v>
      </c>
      <c r="F44" s="159">
        <v>40775.1</v>
      </c>
      <c r="G44" s="162">
        <v>41276</v>
      </c>
      <c r="H44" s="230">
        <f t="shared" si="1"/>
        <v>39623.15</v>
      </c>
      <c r="I44" s="160">
        <f t="shared" si="2"/>
        <v>278.41470588235296</v>
      </c>
      <c r="J44" s="160">
        <f t="shared" si="2"/>
        <v>267.89652777777775</v>
      </c>
      <c r="K44" s="160">
        <f t="shared" si="2"/>
        <v>231.67670454545453</v>
      </c>
      <c r="L44" s="160">
        <f t="shared" si="2"/>
        <v>257.97500000000002</v>
      </c>
      <c r="P44" s="161">
        <f t="shared" si="3"/>
        <v>337.20593638591799</v>
      </c>
    </row>
    <row r="45" spans="2:16" ht="12.75" customHeight="1" x14ac:dyDescent="0.25">
      <c r="B45" s="156" t="s">
        <v>571</v>
      </c>
      <c r="C45" s="156" t="s">
        <v>572</v>
      </c>
      <c r="D45" s="159">
        <v>28302.799999999999</v>
      </c>
      <c r="E45" s="162">
        <v>28282</v>
      </c>
      <c r="F45" s="162">
        <v>37284</v>
      </c>
      <c r="G45" s="159">
        <v>31899.3</v>
      </c>
      <c r="H45" s="230">
        <f t="shared" si="1"/>
        <v>31442.025000000001</v>
      </c>
      <c r="I45" s="160">
        <f t="shared" si="2"/>
        <v>208.10882352941175</v>
      </c>
      <c r="J45" s="160">
        <f t="shared" si="2"/>
        <v>196.40277777777777</v>
      </c>
      <c r="K45" s="160">
        <f t="shared" si="2"/>
        <v>211.84090909090909</v>
      </c>
      <c r="L45" s="160">
        <f t="shared" si="2"/>
        <v>199.37062499999999</v>
      </c>
      <c r="P45" s="161">
        <f t="shared" si="3"/>
        <v>265.51788057208114</v>
      </c>
    </row>
    <row r="46" spans="2:16" ht="12.75" customHeight="1" x14ac:dyDescent="0.25">
      <c r="C46" s="156" t="s">
        <v>573</v>
      </c>
      <c r="D46" s="159">
        <v>23451.200000000001</v>
      </c>
      <c r="E46" s="159">
        <v>29582.3</v>
      </c>
      <c r="F46" s="159">
        <v>36532.6</v>
      </c>
      <c r="G46" s="159">
        <v>39552.400000000001</v>
      </c>
      <c r="H46" s="230">
        <f t="shared" si="1"/>
        <v>32279.625</v>
      </c>
      <c r="I46" s="160">
        <f t="shared" si="2"/>
        <v>172.43529411764706</v>
      </c>
      <c r="J46" s="160">
        <f t="shared" si="2"/>
        <v>205.43263888888887</v>
      </c>
      <c r="K46" s="160">
        <f t="shared" si="2"/>
        <v>207.5715909090909</v>
      </c>
      <c r="L46" s="160">
        <f t="shared" si="2"/>
        <v>247.20250000000001</v>
      </c>
      <c r="P46" s="161">
        <f t="shared" si="3"/>
        <v>271.02497878453653</v>
      </c>
    </row>
    <row r="47" spans="2:16" ht="12.75" customHeight="1" x14ac:dyDescent="0.25">
      <c r="C47" s="156" t="s">
        <v>574</v>
      </c>
      <c r="D47" s="159">
        <v>28268.6</v>
      </c>
      <c r="E47" s="159">
        <v>29790.400000000001</v>
      </c>
      <c r="F47" s="159">
        <v>30800.7</v>
      </c>
      <c r="G47" s="159">
        <v>34469.800000000003</v>
      </c>
      <c r="H47" s="230">
        <f t="shared" si="1"/>
        <v>30832.375</v>
      </c>
      <c r="I47" s="160">
        <f t="shared" si="2"/>
        <v>207.85735294117646</v>
      </c>
      <c r="J47" s="160">
        <f t="shared" si="2"/>
        <v>206.87777777777779</v>
      </c>
      <c r="K47" s="160">
        <f t="shared" si="2"/>
        <v>175.00397727272727</v>
      </c>
      <c r="L47" s="160">
        <f t="shared" si="2"/>
        <v>215.43625000000003</v>
      </c>
      <c r="P47" s="161">
        <f t="shared" si="3"/>
        <v>262.08457902629232</v>
      </c>
    </row>
    <row r="48" spans="2:16" ht="12.75" customHeight="1" x14ac:dyDescent="0.25">
      <c r="B48" s="156" t="s">
        <v>575</v>
      </c>
      <c r="C48" s="156" t="s">
        <v>576</v>
      </c>
      <c r="D48" s="159">
        <v>36443.800000000003</v>
      </c>
      <c r="E48" s="159">
        <v>39643.699999999997</v>
      </c>
      <c r="F48" s="159">
        <v>41983.1</v>
      </c>
      <c r="G48" s="162">
        <v>42437</v>
      </c>
      <c r="H48" s="230">
        <f t="shared" si="1"/>
        <v>40126.9</v>
      </c>
      <c r="I48" s="160">
        <f t="shared" si="2"/>
        <v>267.96911764705885</v>
      </c>
      <c r="J48" s="160">
        <f t="shared" si="2"/>
        <v>275.30347222222218</v>
      </c>
      <c r="K48" s="160">
        <f t="shared" si="2"/>
        <v>238.5403409090909</v>
      </c>
      <c r="L48" s="160">
        <f t="shared" si="2"/>
        <v>265.23124999999999</v>
      </c>
      <c r="P48" s="161">
        <f t="shared" si="3"/>
        <v>340.81288084336012</v>
      </c>
    </row>
    <row r="49" spans="2:16" ht="12.75" customHeight="1" x14ac:dyDescent="0.25">
      <c r="C49" s="156" t="s">
        <v>577</v>
      </c>
      <c r="D49" s="162">
        <v>35228</v>
      </c>
      <c r="E49" s="159">
        <v>40359.5</v>
      </c>
      <c r="F49" s="159">
        <v>42640.9</v>
      </c>
      <c r="G49" s="159">
        <v>42852.4</v>
      </c>
      <c r="H49" s="230">
        <f t="shared" si="1"/>
        <v>40270.199999999997</v>
      </c>
      <c r="I49" s="160">
        <f t="shared" si="2"/>
        <v>259.02941176470586</v>
      </c>
      <c r="J49" s="160">
        <f t="shared" si="2"/>
        <v>280.27430555555554</v>
      </c>
      <c r="K49" s="160">
        <f t="shared" si="2"/>
        <v>242.27784090909091</v>
      </c>
      <c r="L49" s="160">
        <f t="shared" si="2"/>
        <v>267.82749999999999</v>
      </c>
      <c r="P49" s="161">
        <f t="shared" si="3"/>
        <v>341.58264845365426</v>
      </c>
    </row>
    <row r="50" spans="2:16" ht="12.75" customHeight="1" x14ac:dyDescent="0.25">
      <c r="C50" s="156" t="s">
        <v>579</v>
      </c>
      <c r="D50" s="159">
        <v>36453.800000000003</v>
      </c>
      <c r="E50" s="162">
        <v>37750</v>
      </c>
      <c r="F50" s="159">
        <v>40445.800000000003</v>
      </c>
      <c r="G50" s="159">
        <v>39440.800000000003</v>
      </c>
      <c r="H50" s="230">
        <f t="shared" si="1"/>
        <v>38522.600000000006</v>
      </c>
      <c r="I50" s="160">
        <f t="shared" si="2"/>
        <v>268.04264705882355</v>
      </c>
      <c r="J50" s="160">
        <f t="shared" si="2"/>
        <v>262.15277777777777</v>
      </c>
      <c r="K50" s="160">
        <f t="shared" si="2"/>
        <v>229.80568181818182</v>
      </c>
      <c r="L50" s="160">
        <f t="shared" si="2"/>
        <v>246.50500000000002</v>
      </c>
      <c r="P50" s="161">
        <f t="shared" si="3"/>
        <v>327.6177377161319</v>
      </c>
    </row>
    <row r="51" spans="2:16" ht="12.75" customHeight="1" x14ac:dyDescent="0.25">
      <c r="B51" s="156" t="s">
        <v>578</v>
      </c>
      <c r="C51" s="156" t="s">
        <v>580</v>
      </c>
      <c r="D51" s="159">
        <v>41602.9</v>
      </c>
      <c r="E51" s="159">
        <v>39761.9</v>
      </c>
      <c r="F51" s="159">
        <v>45949.3</v>
      </c>
      <c r="G51" s="162">
        <v>43947</v>
      </c>
      <c r="H51" s="230">
        <f t="shared" si="1"/>
        <v>42815.275000000001</v>
      </c>
      <c r="I51" s="160">
        <f t="shared" si="2"/>
        <v>305.90367647058827</v>
      </c>
      <c r="J51" s="160">
        <f t="shared" si="2"/>
        <v>276.12430555555557</v>
      </c>
      <c r="K51" s="160">
        <f t="shared" si="2"/>
        <v>261.0755681818182</v>
      </c>
      <c r="L51" s="160">
        <f t="shared" si="2"/>
        <v>274.66874999999999</v>
      </c>
      <c r="P51" s="161">
        <f t="shared" si="3"/>
        <v>363.83488371769164</v>
      </c>
    </row>
    <row r="52" spans="2:16" ht="12.75" customHeight="1" x14ac:dyDescent="0.25">
      <c r="B52" s="156" t="s">
        <v>581</v>
      </c>
      <c r="C52" s="156" t="s">
        <v>582</v>
      </c>
      <c r="D52" s="159">
        <v>73083.399999999994</v>
      </c>
      <c r="E52" s="159">
        <v>78397.5</v>
      </c>
      <c r="F52" s="159">
        <v>76746.3</v>
      </c>
      <c r="G52" s="159">
        <v>85817.9</v>
      </c>
      <c r="H52" s="230">
        <f t="shared" si="1"/>
        <v>78511.274999999994</v>
      </c>
      <c r="I52" s="160">
        <f t="shared" ref="I52:L104" si="4">D52/I$5/8</f>
        <v>537.37794117647059</v>
      </c>
      <c r="J52" s="160">
        <f t="shared" si="4"/>
        <v>544.42708333333337</v>
      </c>
      <c r="K52" s="160">
        <f t="shared" si="4"/>
        <v>436.05852272727276</v>
      </c>
      <c r="L52" s="160">
        <f t="shared" si="4"/>
        <v>536.36187499999994</v>
      </c>
      <c r="P52" s="161">
        <f t="shared" si="3"/>
        <v>668.65037493816851</v>
      </c>
    </row>
    <row r="53" spans="2:16" ht="12.75" customHeight="1" x14ac:dyDescent="0.25">
      <c r="C53" s="156" t="s">
        <v>583</v>
      </c>
      <c r="D53" s="159">
        <v>64921.2</v>
      </c>
      <c r="E53" s="159">
        <v>65798.600000000006</v>
      </c>
      <c r="F53" s="159">
        <v>66477.600000000006</v>
      </c>
      <c r="G53" s="159">
        <v>66389.7</v>
      </c>
      <c r="H53" s="230">
        <f t="shared" si="1"/>
        <v>65896.775000000009</v>
      </c>
      <c r="I53" s="160">
        <f t="shared" si="4"/>
        <v>477.36176470588231</v>
      </c>
      <c r="J53" s="160">
        <f t="shared" si="4"/>
        <v>456.93472222222226</v>
      </c>
      <c r="K53" s="160">
        <f t="shared" si="4"/>
        <v>377.7136363636364</v>
      </c>
      <c r="L53" s="160">
        <f t="shared" si="4"/>
        <v>414.93562499999996</v>
      </c>
      <c r="P53" s="161">
        <f t="shared" si="3"/>
        <v>562.12084106896168</v>
      </c>
    </row>
    <row r="54" spans="2:16" ht="12.75" customHeight="1" x14ac:dyDescent="0.25">
      <c r="B54" s="156" t="s">
        <v>584</v>
      </c>
      <c r="C54" s="156" t="s">
        <v>585</v>
      </c>
      <c r="D54" s="162">
        <v>50718</v>
      </c>
      <c r="E54" s="159">
        <v>49084.6</v>
      </c>
      <c r="F54" s="159">
        <v>53013.8</v>
      </c>
      <c r="G54" s="159">
        <v>55285.4</v>
      </c>
      <c r="H54" s="230">
        <f t="shared" si="1"/>
        <v>52025.450000000004</v>
      </c>
      <c r="I54" s="160">
        <f t="shared" si="4"/>
        <v>372.9264705882353</v>
      </c>
      <c r="J54" s="160">
        <f t="shared" si="4"/>
        <v>340.86527777777775</v>
      </c>
      <c r="K54" s="160">
        <f t="shared" si="4"/>
        <v>301.21477272727276</v>
      </c>
      <c r="L54" s="160">
        <f t="shared" si="4"/>
        <v>345.53375</v>
      </c>
      <c r="P54" s="161">
        <f t="shared" si="3"/>
        <v>442.85585824086456</v>
      </c>
    </row>
    <row r="55" spans="2:16" ht="12.75" customHeight="1" x14ac:dyDescent="0.25">
      <c r="C55" s="156" t="s">
        <v>586</v>
      </c>
      <c r="D55" s="159">
        <v>66721.899999999994</v>
      </c>
      <c r="E55" s="162">
        <v>70569</v>
      </c>
      <c r="F55" s="159">
        <v>86614.1</v>
      </c>
      <c r="G55" s="159">
        <v>99961.7</v>
      </c>
      <c r="H55" s="230">
        <f t="shared" si="1"/>
        <v>80966.675000000003</v>
      </c>
      <c r="I55" s="160">
        <f t="shared" si="4"/>
        <v>490.60220588235291</v>
      </c>
      <c r="J55" s="160">
        <f t="shared" si="4"/>
        <v>490.0625</v>
      </c>
      <c r="K55" s="160">
        <f t="shared" si="4"/>
        <v>492.12556818181821</v>
      </c>
      <c r="L55" s="160">
        <f t="shared" si="4"/>
        <v>624.760625</v>
      </c>
      <c r="P55" s="161">
        <f t="shared" si="3"/>
        <v>682.75281764538772</v>
      </c>
    </row>
    <row r="56" spans="2:16" ht="12.75" customHeight="1" x14ac:dyDescent="0.25">
      <c r="B56" s="156" t="s">
        <v>587</v>
      </c>
      <c r="C56" s="156" t="s">
        <v>588</v>
      </c>
      <c r="D56" s="159">
        <v>69094.600000000006</v>
      </c>
      <c r="E56" s="159">
        <v>74771.399999999994</v>
      </c>
      <c r="F56" s="159">
        <v>74953.5</v>
      </c>
      <c r="G56" s="159">
        <v>69876.800000000003</v>
      </c>
      <c r="H56" s="230">
        <f t="shared" si="1"/>
        <v>72174.074999999997</v>
      </c>
      <c r="I56" s="160">
        <f t="shared" si="4"/>
        <v>508.04852941176478</v>
      </c>
      <c r="J56" s="160">
        <f t="shared" si="4"/>
        <v>519.24583333333328</v>
      </c>
      <c r="K56" s="160">
        <f t="shared" si="4"/>
        <v>425.87215909090907</v>
      </c>
      <c r="L56" s="160">
        <f t="shared" si="4"/>
        <v>436.73</v>
      </c>
      <c r="P56" s="161">
        <f t="shared" si="3"/>
        <v>615.16131785762036</v>
      </c>
    </row>
    <row r="57" spans="2:16" ht="12.75" customHeight="1" x14ac:dyDescent="0.25">
      <c r="C57" s="156" t="s">
        <v>589</v>
      </c>
      <c r="D57" s="159">
        <v>97341.7</v>
      </c>
      <c r="E57" s="159">
        <v>106496.2</v>
      </c>
      <c r="F57" s="159">
        <v>108772.5</v>
      </c>
      <c r="G57" s="159">
        <v>108595.3</v>
      </c>
      <c r="H57" s="230">
        <f t="shared" si="1"/>
        <v>105301.425</v>
      </c>
      <c r="I57" s="160">
        <f t="shared" si="4"/>
        <v>715.747794117647</v>
      </c>
      <c r="J57" s="160">
        <f t="shared" si="4"/>
        <v>739.55694444444441</v>
      </c>
      <c r="K57" s="160">
        <f t="shared" si="4"/>
        <v>618.02556818181813</v>
      </c>
      <c r="L57" s="160">
        <f t="shared" si="4"/>
        <v>678.72062500000004</v>
      </c>
      <c r="P57" s="161">
        <f t="shared" si="3"/>
        <v>895.79257828264258</v>
      </c>
    </row>
    <row r="58" spans="2:16" ht="12.75" customHeight="1" x14ac:dyDescent="0.25">
      <c r="C58" s="156" t="s">
        <v>590</v>
      </c>
      <c r="D58" s="159">
        <v>22032.5</v>
      </c>
      <c r="E58" s="159">
        <v>20236.099999999999</v>
      </c>
      <c r="F58" s="159">
        <v>20430.599999999999</v>
      </c>
      <c r="G58" s="162">
        <v>30910</v>
      </c>
      <c r="H58" s="230">
        <f t="shared" si="1"/>
        <v>23402.3</v>
      </c>
      <c r="I58" s="160">
        <f t="shared" si="4"/>
        <v>162.00367647058823</v>
      </c>
      <c r="J58" s="160">
        <f t="shared" si="4"/>
        <v>140.52847222222221</v>
      </c>
      <c r="K58" s="160">
        <f t="shared" si="4"/>
        <v>116.08295454545454</v>
      </c>
      <c r="L58" s="160">
        <f t="shared" si="4"/>
        <v>193.1875</v>
      </c>
      <c r="P58" s="161">
        <f t="shared" si="3"/>
        <v>199.14174735405524</v>
      </c>
    </row>
    <row r="59" spans="2:16" ht="12.75" customHeight="1" x14ac:dyDescent="0.25">
      <c r="B59" s="156" t="s">
        <v>591</v>
      </c>
      <c r="C59" s="156" t="s">
        <v>592</v>
      </c>
      <c r="D59" s="159">
        <v>90465.9</v>
      </c>
      <c r="E59" s="159">
        <v>78488.7</v>
      </c>
      <c r="F59" s="162">
        <v>93498</v>
      </c>
      <c r="G59" s="159">
        <v>89234.1</v>
      </c>
      <c r="H59" s="230">
        <f t="shared" si="1"/>
        <v>87921.674999999988</v>
      </c>
      <c r="I59" s="160">
        <f t="shared" si="4"/>
        <v>665.19044117647059</v>
      </c>
      <c r="J59" s="160">
        <f t="shared" si="4"/>
        <v>545.0604166666667</v>
      </c>
      <c r="K59" s="160">
        <f t="shared" si="4"/>
        <v>531.23863636363637</v>
      </c>
      <c r="L59" s="160">
        <f t="shared" si="4"/>
        <v>557.71312499999999</v>
      </c>
      <c r="P59" s="161">
        <f t="shared" si="3"/>
        <v>748.39045255180474</v>
      </c>
    </row>
    <row r="60" spans="2:16" ht="12.75" customHeight="1" x14ac:dyDescent="0.25">
      <c r="C60" s="156" t="s">
        <v>593</v>
      </c>
      <c r="D60" s="162">
        <v>83953</v>
      </c>
      <c r="E60" s="159">
        <v>87983.5</v>
      </c>
      <c r="F60" s="159">
        <v>87081.4</v>
      </c>
      <c r="G60" s="159">
        <v>100449.9</v>
      </c>
      <c r="H60" s="230">
        <f t="shared" si="1"/>
        <v>89866.95</v>
      </c>
      <c r="I60" s="160">
        <f t="shared" si="4"/>
        <v>617.30147058823525</v>
      </c>
      <c r="J60" s="160">
        <f t="shared" si="4"/>
        <v>610.99652777777783</v>
      </c>
      <c r="K60" s="160">
        <f t="shared" si="4"/>
        <v>494.78068181818179</v>
      </c>
      <c r="L60" s="160">
        <f t="shared" si="4"/>
        <v>627.81187499999999</v>
      </c>
      <c r="P60" s="161">
        <f t="shared" si="3"/>
        <v>765.21487571245552</v>
      </c>
    </row>
    <row r="61" spans="2:16" ht="12.75" customHeight="1" x14ac:dyDescent="0.25">
      <c r="C61" s="156" t="s">
        <v>594</v>
      </c>
      <c r="D61" s="159">
        <v>62420.800000000003</v>
      </c>
      <c r="E61" s="159">
        <v>65181.3</v>
      </c>
      <c r="F61" s="159">
        <v>75411.899999999994</v>
      </c>
      <c r="G61" s="159">
        <v>73706.8</v>
      </c>
      <c r="H61" s="230">
        <f t="shared" si="1"/>
        <v>69180.2</v>
      </c>
      <c r="I61" s="160">
        <f t="shared" si="4"/>
        <v>458.97647058823532</v>
      </c>
      <c r="J61" s="160">
        <f t="shared" si="4"/>
        <v>452.64791666666667</v>
      </c>
      <c r="K61" s="160">
        <f t="shared" si="4"/>
        <v>428.47670454545454</v>
      </c>
      <c r="L61" s="160">
        <f t="shared" si="4"/>
        <v>460.66750000000002</v>
      </c>
      <c r="P61" s="161">
        <f t="shared" si="3"/>
        <v>586.15017663101605</v>
      </c>
    </row>
    <row r="62" spans="2:16" ht="12.75" customHeight="1" x14ac:dyDescent="0.25">
      <c r="C62" s="156" t="s">
        <v>595</v>
      </c>
      <c r="D62" s="159">
        <v>77990.2</v>
      </c>
      <c r="E62" s="159">
        <v>70364.7</v>
      </c>
      <c r="F62" s="159">
        <v>85440.6</v>
      </c>
      <c r="G62" s="159">
        <v>91227.9</v>
      </c>
      <c r="H62" s="230">
        <f t="shared" si="1"/>
        <v>81255.850000000006</v>
      </c>
      <c r="I62" s="160">
        <f t="shared" si="4"/>
        <v>573.4573529411764</v>
      </c>
      <c r="J62" s="160">
        <f t="shared" si="4"/>
        <v>488.64374999999995</v>
      </c>
      <c r="K62" s="160">
        <f t="shared" si="4"/>
        <v>485.45795454545458</v>
      </c>
      <c r="L62" s="160">
        <f t="shared" si="4"/>
        <v>570.17437499999994</v>
      </c>
      <c r="P62" s="161">
        <f t="shared" si="3"/>
        <v>689.3222322743984</v>
      </c>
    </row>
    <row r="63" spans="2:16" ht="12.75" customHeight="1" x14ac:dyDescent="0.25">
      <c r="C63" s="156" t="s">
        <v>596</v>
      </c>
      <c r="D63" s="159">
        <v>67107.5</v>
      </c>
      <c r="E63" s="159">
        <v>69701.3</v>
      </c>
      <c r="F63" s="159">
        <v>73592.3</v>
      </c>
      <c r="G63" s="162">
        <v>81494</v>
      </c>
      <c r="H63" s="230">
        <f t="shared" si="1"/>
        <v>72973.774999999994</v>
      </c>
      <c r="I63" s="160">
        <f t="shared" si="4"/>
        <v>493.4375</v>
      </c>
      <c r="J63" s="160">
        <f t="shared" si="4"/>
        <v>484.03680555555559</v>
      </c>
      <c r="K63" s="160">
        <f t="shared" si="4"/>
        <v>418.1380681818182</v>
      </c>
      <c r="L63" s="160">
        <f t="shared" si="4"/>
        <v>509.33749999999998</v>
      </c>
      <c r="P63" s="161">
        <f t="shared" si="3"/>
        <v>620.06118390151516</v>
      </c>
    </row>
    <row r="64" spans="2:16" ht="12.75" customHeight="1" x14ac:dyDescent="0.25">
      <c r="C64" s="156" t="s">
        <v>597</v>
      </c>
      <c r="D64" s="159">
        <v>56518.400000000001</v>
      </c>
      <c r="E64" s="159">
        <v>61272.2</v>
      </c>
      <c r="F64" s="162">
        <v>64957</v>
      </c>
      <c r="G64" s="162">
        <v>67141</v>
      </c>
      <c r="H64" s="230">
        <f t="shared" si="1"/>
        <v>62472.15</v>
      </c>
      <c r="I64" s="160">
        <f t="shared" si="4"/>
        <v>415.57647058823528</v>
      </c>
      <c r="J64" s="160">
        <f t="shared" si="4"/>
        <v>425.50138888888887</v>
      </c>
      <c r="K64" s="160">
        <f t="shared" si="4"/>
        <v>369.07386363636363</v>
      </c>
      <c r="L64" s="160">
        <f t="shared" si="4"/>
        <v>419.63125000000002</v>
      </c>
      <c r="P64" s="161">
        <f t="shared" si="3"/>
        <v>530.49435774844017</v>
      </c>
    </row>
    <row r="65" spans="2:16" ht="12.75" customHeight="1" x14ac:dyDescent="0.25">
      <c r="B65" s="156" t="s">
        <v>598</v>
      </c>
      <c r="C65" s="156" t="s">
        <v>599</v>
      </c>
      <c r="D65" s="159">
        <v>94665.3</v>
      </c>
      <c r="E65" s="159">
        <v>100803.3</v>
      </c>
      <c r="F65" s="159">
        <v>182859.8</v>
      </c>
      <c r="G65" s="159">
        <v>97284.1</v>
      </c>
      <c r="H65" s="230">
        <f t="shared" si="1"/>
        <v>118903.125</v>
      </c>
      <c r="I65" s="160">
        <f t="shared" si="4"/>
        <v>696.06838235294117</v>
      </c>
      <c r="J65" s="160">
        <f t="shared" si="4"/>
        <v>700.02291666666667</v>
      </c>
      <c r="K65" s="160">
        <f t="shared" si="4"/>
        <v>1038.9761363636362</v>
      </c>
      <c r="L65" s="160">
        <f t="shared" si="4"/>
        <v>608.02562499999999</v>
      </c>
      <c r="P65" s="161">
        <f t="shared" si="3"/>
        <v>990.52679115474598</v>
      </c>
    </row>
    <row r="66" spans="2:16" ht="12.75" customHeight="1" x14ac:dyDescent="0.25">
      <c r="C66" s="156" t="s">
        <v>600</v>
      </c>
      <c r="D66" s="159">
        <v>83196.600000000006</v>
      </c>
      <c r="E66" s="159">
        <v>97746.9</v>
      </c>
      <c r="F66" s="159">
        <v>101614.9</v>
      </c>
      <c r="G66" s="159">
        <v>97639.1</v>
      </c>
      <c r="H66" s="230">
        <f t="shared" si="1"/>
        <v>95049.375</v>
      </c>
      <c r="I66" s="160">
        <f t="shared" si="4"/>
        <v>611.73970588235295</v>
      </c>
      <c r="J66" s="160">
        <f t="shared" si="4"/>
        <v>678.79791666666665</v>
      </c>
      <c r="K66" s="160">
        <f t="shared" si="4"/>
        <v>577.35738636363635</v>
      </c>
      <c r="L66" s="160">
        <f t="shared" si="4"/>
        <v>610.24437499999999</v>
      </c>
      <c r="P66" s="161">
        <f t="shared" si="3"/>
        <v>806.63436946356956</v>
      </c>
    </row>
    <row r="67" spans="2:16" ht="12.75" customHeight="1" x14ac:dyDescent="0.25">
      <c r="B67" s="156" t="s">
        <v>601</v>
      </c>
      <c r="C67" s="156" t="s">
        <v>602</v>
      </c>
      <c r="D67" s="159">
        <v>55723.4</v>
      </c>
      <c r="E67" s="159">
        <v>56616.800000000003</v>
      </c>
      <c r="F67" s="159">
        <v>62232.6</v>
      </c>
      <c r="G67" s="159">
        <v>63377.4</v>
      </c>
      <c r="H67" s="230">
        <f t="shared" si="1"/>
        <v>59487.55</v>
      </c>
      <c r="I67" s="160">
        <f t="shared" si="4"/>
        <v>409.73088235294119</v>
      </c>
      <c r="J67" s="160">
        <f t="shared" si="4"/>
        <v>393.17222222222222</v>
      </c>
      <c r="K67" s="160">
        <f t="shared" si="4"/>
        <v>353.59431818181815</v>
      </c>
      <c r="L67" s="160">
        <f t="shared" si="4"/>
        <v>396.10874999999999</v>
      </c>
      <c r="P67" s="161">
        <f t="shared" si="3"/>
        <v>505.37330923239745</v>
      </c>
    </row>
    <row r="68" spans="2:16" ht="12.75" customHeight="1" x14ac:dyDescent="0.25">
      <c r="C68" s="156" t="s">
        <v>603</v>
      </c>
      <c r="D68" s="159">
        <v>50238.8</v>
      </c>
      <c r="E68" s="162">
        <v>50110</v>
      </c>
      <c r="F68" s="159">
        <v>61421.599999999999</v>
      </c>
      <c r="G68" s="159">
        <v>59819.3</v>
      </c>
      <c r="H68" s="230">
        <f t="shared" si="1"/>
        <v>55397.425000000003</v>
      </c>
      <c r="I68" s="160">
        <f t="shared" si="4"/>
        <v>369.40294117647062</v>
      </c>
      <c r="J68" s="160">
        <f t="shared" si="4"/>
        <v>347.98611111111109</v>
      </c>
      <c r="K68" s="160">
        <f t="shared" si="4"/>
        <v>348.98636363636365</v>
      </c>
      <c r="L68" s="160">
        <f t="shared" si="4"/>
        <v>373.87062500000002</v>
      </c>
      <c r="P68" s="161">
        <f t="shared" si="3"/>
        <v>468.80008632074424</v>
      </c>
    </row>
    <row r="69" spans="2:16" ht="12.75" customHeight="1" x14ac:dyDescent="0.25">
      <c r="B69" s="156" t="s">
        <v>604</v>
      </c>
      <c r="C69" s="156" t="s">
        <v>605</v>
      </c>
      <c r="D69" s="162">
        <v>58310</v>
      </c>
      <c r="E69" s="159">
        <v>55843.5</v>
      </c>
      <c r="F69" s="159">
        <v>64586.3</v>
      </c>
      <c r="G69" s="159">
        <v>60000.2</v>
      </c>
      <c r="H69" s="230">
        <f t="shared" si="1"/>
        <v>59685</v>
      </c>
      <c r="I69" s="160">
        <f t="shared" si="4"/>
        <v>428.75</v>
      </c>
      <c r="J69" s="160">
        <f t="shared" si="4"/>
        <v>387.80208333333331</v>
      </c>
      <c r="K69" s="160">
        <f t="shared" si="4"/>
        <v>366.96761363636364</v>
      </c>
      <c r="L69" s="160">
        <f t="shared" si="4"/>
        <v>375.00124999999997</v>
      </c>
      <c r="P69" s="161">
        <f t="shared" si="3"/>
        <v>507.29856823863639</v>
      </c>
    </row>
    <row r="70" spans="2:16" ht="12.75" customHeight="1" x14ac:dyDescent="0.25">
      <c r="C70" s="156" t="s">
        <v>606</v>
      </c>
      <c r="D70" s="159">
        <v>57305.3</v>
      </c>
      <c r="E70" s="159">
        <v>60191.4</v>
      </c>
      <c r="F70" s="159">
        <v>62834.400000000001</v>
      </c>
      <c r="G70" s="159">
        <v>63751.6</v>
      </c>
      <c r="H70" s="230">
        <f t="shared" si="1"/>
        <v>61020.675000000003</v>
      </c>
      <c r="I70" s="160">
        <f t="shared" si="4"/>
        <v>421.36250000000001</v>
      </c>
      <c r="J70" s="160">
        <f t="shared" si="4"/>
        <v>417.99583333333334</v>
      </c>
      <c r="K70" s="160">
        <f t="shared" si="4"/>
        <v>357.01363636363635</v>
      </c>
      <c r="L70" s="160">
        <f t="shared" si="4"/>
        <v>398.44749999999999</v>
      </c>
      <c r="P70" s="161">
        <f t="shared" si="3"/>
        <v>519.11373738636371</v>
      </c>
    </row>
    <row r="71" spans="2:16" ht="12.75" customHeight="1" x14ac:dyDescent="0.25">
      <c r="C71" s="156" t="s">
        <v>607</v>
      </c>
      <c r="D71" s="159">
        <v>51404.4</v>
      </c>
      <c r="E71" s="159">
        <v>49227.199999999997</v>
      </c>
      <c r="F71" s="159">
        <v>54867.9</v>
      </c>
      <c r="G71" s="159">
        <v>53232.6</v>
      </c>
      <c r="H71" s="230">
        <f t="shared" ref="H71:H134" si="5">AVERAGE(D71:G71)</f>
        <v>52183.025000000001</v>
      </c>
      <c r="I71" s="160">
        <f t="shared" si="4"/>
        <v>377.97352941176473</v>
      </c>
      <c r="J71" s="160">
        <f t="shared" si="4"/>
        <v>341.85555555555555</v>
      </c>
      <c r="K71" s="160">
        <f t="shared" si="4"/>
        <v>311.74943181818185</v>
      </c>
      <c r="L71" s="160">
        <f t="shared" si="4"/>
        <v>332.70375000000001</v>
      </c>
      <c r="P71" s="161">
        <f t="shared" ref="P71:P134" si="6">AVERAGE(I71:L71)*1.302</f>
        <v>444.07387783868097</v>
      </c>
    </row>
    <row r="72" spans="2:16" ht="12.75" customHeight="1" x14ac:dyDescent="0.25">
      <c r="C72" s="156" t="s">
        <v>608</v>
      </c>
      <c r="D72" s="159">
        <v>64293.9</v>
      </c>
      <c r="E72" s="162">
        <v>61639</v>
      </c>
      <c r="F72" s="159">
        <v>63626.6</v>
      </c>
      <c r="G72" s="159">
        <v>64817.3</v>
      </c>
      <c r="H72" s="230">
        <f t="shared" si="5"/>
        <v>63594.2</v>
      </c>
      <c r="I72" s="160">
        <f t="shared" si="4"/>
        <v>472.74926470588235</v>
      </c>
      <c r="J72" s="160">
        <f t="shared" si="4"/>
        <v>428.04861111111109</v>
      </c>
      <c r="K72" s="160">
        <f t="shared" si="4"/>
        <v>361.51477272727271</v>
      </c>
      <c r="L72" s="160">
        <f t="shared" si="4"/>
        <v>405.10812500000003</v>
      </c>
      <c r="P72" s="161">
        <f t="shared" si="6"/>
        <v>542.74546178865864</v>
      </c>
    </row>
    <row r="73" spans="2:16" ht="12.75" customHeight="1" x14ac:dyDescent="0.25">
      <c r="C73" s="156" t="s">
        <v>609</v>
      </c>
      <c r="D73" s="162">
        <v>67273</v>
      </c>
      <c r="E73" s="159">
        <v>65839.899999999994</v>
      </c>
      <c r="F73" s="159">
        <v>69247.8</v>
      </c>
      <c r="G73" s="159">
        <v>82642.8</v>
      </c>
      <c r="H73" s="230">
        <f t="shared" si="5"/>
        <v>71250.875</v>
      </c>
      <c r="I73" s="160">
        <f t="shared" si="4"/>
        <v>494.65441176470586</v>
      </c>
      <c r="J73" s="160">
        <f t="shared" si="4"/>
        <v>457.22152777777774</v>
      </c>
      <c r="K73" s="160">
        <f t="shared" si="4"/>
        <v>393.45340909090913</v>
      </c>
      <c r="L73" s="160">
        <f t="shared" si="4"/>
        <v>516.51750000000004</v>
      </c>
      <c r="P73" s="161">
        <f t="shared" si="6"/>
        <v>606.03114923016938</v>
      </c>
    </row>
    <row r="74" spans="2:16" ht="12.75" customHeight="1" x14ac:dyDescent="0.25">
      <c r="C74" s="156" t="s">
        <v>610</v>
      </c>
      <c r="D74" s="159">
        <v>46700.7</v>
      </c>
      <c r="E74" s="159">
        <v>49704.1</v>
      </c>
      <c r="F74" s="159">
        <v>56255.1</v>
      </c>
      <c r="G74" s="159">
        <v>56684.2</v>
      </c>
      <c r="H74" s="230">
        <f t="shared" si="5"/>
        <v>52336.024999999994</v>
      </c>
      <c r="I74" s="160">
        <f t="shared" si="4"/>
        <v>343.38749999999999</v>
      </c>
      <c r="J74" s="160">
        <f t="shared" si="4"/>
        <v>345.16736111111112</v>
      </c>
      <c r="K74" s="160">
        <f t="shared" si="4"/>
        <v>319.63124999999997</v>
      </c>
      <c r="L74" s="160">
        <f t="shared" si="4"/>
        <v>354.27625</v>
      </c>
      <c r="P74" s="161">
        <f t="shared" si="6"/>
        <v>443.48149854166667</v>
      </c>
    </row>
    <row r="75" spans="2:16" ht="12.75" customHeight="1" x14ac:dyDescent="0.25">
      <c r="C75" s="156" t="s">
        <v>611</v>
      </c>
      <c r="D75" s="159">
        <v>41519.5</v>
      </c>
      <c r="E75" s="159">
        <v>42629.4</v>
      </c>
      <c r="F75" s="159">
        <v>48272.3</v>
      </c>
      <c r="G75" s="159">
        <v>44102.9</v>
      </c>
      <c r="H75" s="230">
        <f t="shared" si="5"/>
        <v>44131.025000000001</v>
      </c>
      <c r="I75" s="160">
        <f t="shared" si="4"/>
        <v>305.29044117647061</v>
      </c>
      <c r="J75" s="160">
        <f t="shared" si="4"/>
        <v>296.03750000000002</v>
      </c>
      <c r="K75" s="160">
        <f t="shared" si="4"/>
        <v>274.27443181818182</v>
      </c>
      <c r="L75" s="160">
        <f t="shared" si="4"/>
        <v>275.643125</v>
      </c>
      <c r="P75" s="161">
        <f t="shared" si="6"/>
        <v>374.73040959725938</v>
      </c>
    </row>
    <row r="76" spans="2:16" ht="12.75" customHeight="1" x14ac:dyDescent="0.25">
      <c r="C76" s="156" t="s">
        <v>612</v>
      </c>
      <c r="D76" s="159">
        <v>58985.3</v>
      </c>
      <c r="E76" s="159">
        <v>60065.599999999999</v>
      </c>
      <c r="F76" s="159">
        <v>70392.5</v>
      </c>
      <c r="G76" s="159">
        <v>68072.5</v>
      </c>
      <c r="H76" s="230">
        <f t="shared" si="5"/>
        <v>64378.974999999999</v>
      </c>
      <c r="I76" s="160">
        <f t="shared" si="4"/>
        <v>433.71544117647062</v>
      </c>
      <c r="J76" s="160">
        <f t="shared" si="4"/>
        <v>417.12222222222221</v>
      </c>
      <c r="K76" s="160">
        <f t="shared" si="4"/>
        <v>399.95738636363637</v>
      </c>
      <c r="L76" s="160">
        <f t="shared" si="4"/>
        <v>425.453125</v>
      </c>
      <c r="P76" s="161">
        <f t="shared" si="6"/>
        <v>545.61878088513822</v>
      </c>
    </row>
    <row r="77" spans="2:16" ht="12.75" customHeight="1" x14ac:dyDescent="0.25">
      <c r="B77" s="156" t="s">
        <v>613</v>
      </c>
      <c r="C77" s="156" t="s">
        <v>614</v>
      </c>
      <c r="D77" s="159">
        <v>72814.100000000006</v>
      </c>
      <c r="E77" s="162">
        <v>74542</v>
      </c>
      <c r="F77" s="159">
        <v>86964.9</v>
      </c>
      <c r="G77" s="159">
        <v>74570.7</v>
      </c>
      <c r="H77" s="230">
        <f t="shared" si="5"/>
        <v>77222.925000000003</v>
      </c>
      <c r="I77" s="160">
        <f t="shared" si="4"/>
        <v>535.39779411764709</v>
      </c>
      <c r="J77" s="160">
        <f t="shared" si="4"/>
        <v>517.65277777777783</v>
      </c>
      <c r="K77" s="160">
        <f t="shared" si="4"/>
        <v>494.11874999999998</v>
      </c>
      <c r="L77" s="160">
        <f t="shared" si="4"/>
        <v>466.06687499999998</v>
      </c>
      <c r="P77" s="161">
        <f t="shared" si="6"/>
        <v>655.30838208946091</v>
      </c>
    </row>
    <row r="78" spans="2:16" ht="12.75" customHeight="1" x14ac:dyDescent="0.25">
      <c r="C78" s="156" t="s">
        <v>615</v>
      </c>
      <c r="D78" s="159">
        <v>82882.100000000006</v>
      </c>
      <c r="E78" s="159">
        <v>70635.3</v>
      </c>
      <c r="F78" s="159">
        <v>75161.3</v>
      </c>
      <c r="G78" s="159">
        <v>71547.7</v>
      </c>
      <c r="H78" s="230">
        <f t="shared" si="5"/>
        <v>75056.600000000006</v>
      </c>
      <c r="I78" s="160">
        <f t="shared" si="4"/>
        <v>609.42720588235295</v>
      </c>
      <c r="J78" s="160">
        <f t="shared" si="4"/>
        <v>490.52291666666667</v>
      </c>
      <c r="K78" s="160">
        <f t="shared" si="4"/>
        <v>427.05284090909095</v>
      </c>
      <c r="L78" s="160">
        <f t="shared" si="4"/>
        <v>447.17312499999997</v>
      </c>
      <c r="P78" s="161">
        <f t="shared" si="6"/>
        <v>642.59431679311501</v>
      </c>
    </row>
    <row r="79" spans="2:16" ht="12.75" customHeight="1" x14ac:dyDescent="0.25">
      <c r="C79" s="156" t="s">
        <v>616</v>
      </c>
      <c r="D79" s="159">
        <v>57537.2</v>
      </c>
      <c r="E79" s="162">
        <v>58225</v>
      </c>
      <c r="F79" s="159">
        <v>60669.8</v>
      </c>
      <c r="G79" s="159">
        <v>63643.4</v>
      </c>
      <c r="H79" s="230">
        <f t="shared" si="5"/>
        <v>60018.85</v>
      </c>
      <c r="I79" s="160">
        <f t="shared" si="4"/>
        <v>423.06764705882352</v>
      </c>
      <c r="J79" s="160">
        <f t="shared" si="4"/>
        <v>404.34027777777777</v>
      </c>
      <c r="K79" s="160">
        <f t="shared" si="4"/>
        <v>344.71477272727276</v>
      </c>
      <c r="L79" s="160">
        <f t="shared" si="4"/>
        <v>397.77125000000001</v>
      </c>
      <c r="P79" s="161">
        <f t="shared" si="6"/>
        <v>511.000479932041</v>
      </c>
    </row>
    <row r="80" spans="2:16" ht="12.75" customHeight="1" x14ac:dyDescent="0.25">
      <c r="C80" s="156" t="s">
        <v>617</v>
      </c>
      <c r="D80" s="159">
        <v>93624.1</v>
      </c>
      <c r="E80" s="159">
        <v>87779.3</v>
      </c>
      <c r="F80" s="159">
        <v>94693.5</v>
      </c>
      <c r="G80" s="159">
        <v>127796.5</v>
      </c>
      <c r="H80" s="230">
        <f t="shared" si="5"/>
        <v>100973.35</v>
      </c>
      <c r="I80" s="160">
        <f t="shared" si="4"/>
        <v>688.41250000000002</v>
      </c>
      <c r="J80" s="160">
        <f t="shared" si="4"/>
        <v>609.57847222222222</v>
      </c>
      <c r="K80" s="160">
        <f t="shared" si="4"/>
        <v>538.03125</v>
      </c>
      <c r="L80" s="160">
        <f t="shared" si="4"/>
        <v>798.72812499999998</v>
      </c>
      <c r="P80" s="161">
        <f t="shared" si="6"/>
        <v>857.61123802083341</v>
      </c>
    </row>
    <row r="81" spans="2:16" ht="12.75" customHeight="1" x14ac:dyDescent="0.25">
      <c r="C81" s="156" t="s">
        <v>618</v>
      </c>
      <c r="D81" s="159">
        <v>53905.599999999999</v>
      </c>
      <c r="E81" s="159">
        <v>54874.9</v>
      </c>
      <c r="F81" s="159">
        <v>59726.1</v>
      </c>
      <c r="G81" s="159">
        <v>61876.2</v>
      </c>
      <c r="H81" s="230">
        <f t="shared" si="5"/>
        <v>57595.7</v>
      </c>
      <c r="I81" s="160">
        <f t="shared" si="4"/>
        <v>396.36470588235295</v>
      </c>
      <c r="J81" s="160">
        <f t="shared" si="4"/>
        <v>381.07569444444448</v>
      </c>
      <c r="K81" s="160">
        <f t="shared" si="4"/>
        <v>339.3528409090909</v>
      </c>
      <c r="L81" s="160">
        <f t="shared" si="4"/>
        <v>386.72624999999999</v>
      </c>
      <c r="P81" s="161">
        <f t="shared" si="6"/>
        <v>489.39559439728163</v>
      </c>
    </row>
    <row r="82" spans="2:16" ht="12.75" customHeight="1" x14ac:dyDescent="0.25">
      <c r="B82" s="156" t="s">
        <v>619</v>
      </c>
      <c r="C82" s="156" t="s">
        <v>620</v>
      </c>
      <c r="D82" s="159">
        <v>49595.6</v>
      </c>
      <c r="E82" s="162">
        <v>50967</v>
      </c>
      <c r="F82" s="159">
        <v>56354.1</v>
      </c>
      <c r="G82" s="159">
        <v>55035.6</v>
      </c>
      <c r="H82" s="230">
        <f t="shared" si="5"/>
        <v>52988.075000000004</v>
      </c>
      <c r="I82" s="160">
        <f t="shared" si="4"/>
        <v>364.67352941176472</v>
      </c>
      <c r="J82" s="160">
        <f t="shared" si="4"/>
        <v>353.9375</v>
      </c>
      <c r="K82" s="160">
        <f t="shared" si="4"/>
        <v>320.19374999999997</v>
      </c>
      <c r="L82" s="160">
        <f t="shared" si="4"/>
        <v>343.97249999999997</v>
      </c>
      <c r="P82" s="161">
        <f t="shared" si="6"/>
        <v>450.09400444852935</v>
      </c>
    </row>
    <row r="83" spans="2:16" ht="12.75" customHeight="1" x14ac:dyDescent="0.25">
      <c r="C83" s="156" t="s">
        <v>621</v>
      </c>
      <c r="D83" s="159">
        <v>49602.400000000001</v>
      </c>
      <c r="E83" s="159">
        <v>50997.9</v>
      </c>
      <c r="F83" s="162">
        <v>54984</v>
      </c>
      <c r="G83" s="159">
        <v>59583.8</v>
      </c>
      <c r="H83" s="230">
        <f t="shared" si="5"/>
        <v>53792.024999999994</v>
      </c>
      <c r="I83" s="160">
        <f t="shared" si="4"/>
        <v>364.72352941176473</v>
      </c>
      <c r="J83" s="160">
        <f t="shared" si="4"/>
        <v>354.15208333333334</v>
      </c>
      <c r="K83" s="160">
        <f t="shared" si="4"/>
        <v>312.40909090909093</v>
      </c>
      <c r="L83" s="160">
        <f t="shared" si="4"/>
        <v>372.39875000000001</v>
      </c>
      <c r="P83" s="161">
        <f t="shared" si="6"/>
        <v>456.89896416443861</v>
      </c>
    </row>
    <row r="84" spans="2:16" ht="12.75" customHeight="1" x14ac:dyDescent="0.25">
      <c r="C84" s="156" t="s">
        <v>622</v>
      </c>
      <c r="D84" s="159">
        <v>101829.9</v>
      </c>
      <c r="E84" s="159">
        <v>75857.399999999994</v>
      </c>
      <c r="F84" s="159">
        <v>83543.899999999994</v>
      </c>
      <c r="G84" s="159">
        <v>95055.8</v>
      </c>
      <c r="H84" s="230">
        <f t="shared" si="5"/>
        <v>89071.75</v>
      </c>
      <c r="I84" s="160">
        <f t="shared" si="4"/>
        <v>748.7492647058823</v>
      </c>
      <c r="J84" s="160">
        <f t="shared" si="4"/>
        <v>526.78749999999991</v>
      </c>
      <c r="K84" s="160">
        <f t="shared" si="4"/>
        <v>474.68124999999998</v>
      </c>
      <c r="L84" s="160">
        <f t="shared" si="4"/>
        <v>594.09875</v>
      </c>
      <c r="P84" s="161">
        <f t="shared" si="6"/>
        <v>763.07510691176469</v>
      </c>
    </row>
    <row r="85" spans="2:16" ht="12.75" customHeight="1" x14ac:dyDescent="0.25">
      <c r="C85" s="156" t="s">
        <v>623</v>
      </c>
      <c r="D85" s="159">
        <v>56949.1</v>
      </c>
      <c r="E85" s="159">
        <v>58212.800000000003</v>
      </c>
      <c r="F85" s="159">
        <v>61959.7</v>
      </c>
      <c r="G85" s="159">
        <v>67345.3</v>
      </c>
      <c r="H85" s="230">
        <f t="shared" si="5"/>
        <v>61116.724999999991</v>
      </c>
      <c r="I85" s="160">
        <f t="shared" si="4"/>
        <v>418.74338235294118</v>
      </c>
      <c r="J85" s="160">
        <f t="shared" si="4"/>
        <v>404.25555555555559</v>
      </c>
      <c r="K85" s="160">
        <f t="shared" si="4"/>
        <v>352.04374999999999</v>
      </c>
      <c r="L85" s="160">
        <f t="shared" si="4"/>
        <v>420.90812500000004</v>
      </c>
      <c r="P85" s="161">
        <f t="shared" si="6"/>
        <v>519.48198960171578</v>
      </c>
    </row>
    <row r="86" spans="2:16" ht="12.75" customHeight="1" x14ac:dyDescent="0.25">
      <c r="C86" s="156" t="s">
        <v>624</v>
      </c>
      <c r="D86" s="159">
        <v>55967.5</v>
      </c>
      <c r="E86" s="159">
        <v>55140.800000000003</v>
      </c>
      <c r="F86" s="162">
        <v>58278</v>
      </c>
      <c r="G86" s="162">
        <v>60519</v>
      </c>
      <c r="H86" s="230">
        <f t="shared" si="5"/>
        <v>57476.324999999997</v>
      </c>
      <c r="I86" s="160">
        <f t="shared" si="4"/>
        <v>411.52573529411762</v>
      </c>
      <c r="J86" s="160">
        <f t="shared" si="4"/>
        <v>382.92222222222222</v>
      </c>
      <c r="K86" s="160">
        <f t="shared" si="4"/>
        <v>331.125</v>
      </c>
      <c r="L86" s="160">
        <f t="shared" si="4"/>
        <v>378.24374999999998</v>
      </c>
      <c r="P86" s="161">
        <f t="shared" si="6"/>
        <v>489.49233829656856</v>
      </c>
    </row>
    <row r="87" spans="2:16" ht="12.75" customHeight="1" x14ac:dyDescent="0.25">
      <c r="C87" s="156" t="s">
        <v>625</v>
      </c>
      <c r="D87" s="159">
        <v>49395.3</v>
      </c>
      <c r="E87" s="159">
        <v>49929.9</v>
      </c>
      <c r="F87" s="159">
        <v>52055.6</v>
      </c>
      <c r="G87" s="159">
        <v>59083.7</v>
      </c>
      <c r="H87" s="230">
        <f t="shared" si="5"/>
        <v>52616.125</v>
      </c>
      <c r="I87" s="160">
        <f t="shared" si="4"/>
        <v>363.20073529411769</v>
      </c>
      <c r="J87" s="160">
        <f t="shared" si="4"/>
        <v>346.73541666666665</v>
      </c>
      <c r="K87" s="160">
        <f t="shared" si="4"/>
        <v>295.77045454545453</v>
      </c>
      <c r="L87" s="160">
        <f t="shared" si="4"/>
        <v>369.27312499999999</v>
      </c>
      <c r="P87" s="161">
        <f t="shared" si="6"/>
        <v>447.55590260528078</v>
      </c>
    </row>
    <row r="88" spans="2:16" ht="12.75" customHeight="1" x14ac:dyDescent="0.25">
      <c r="B88" s="156" t="s">
        <v>626</v>
      </c>
      <c r="C88" s="156" t="s">
        <v>627</v>
      </c>
      <c r="D88" s="159">
        <v>73846.600000000006</v>
      </c>
      <c r="E88" s="159">
        <v>71938.2</v>
      </c>
      <c r="F88" s="159">
        <v>84496.3</v>
      </c>
      <c r="G88" s="159">
        <v>84008.7</v>
      </c>
      <c r="H88" s="230">
        <f t="shared" si="5"/>
        <v>78572.45</v>
      </c>
      <c r="I88" s="160">
        <f t="shared" si="4"/>
        <v>542.98970588235295</v>
      </c>
      <c r="J88" s="160">
        <f t="shared" si="4"/>
        <v>499.57083333333333</v>
      </c>
      <c r="K88" s="160">
        <f t="shared" si="4"/>
        <v>480.09261363636364</v>
      </c>
      <c r="L88" s="160">
        <f t="shared" si="4"/>
        <v>525.05437499999994</v>
      </c>
      <c r="P88" s="161">
        <f t="shared" si="6"/>
        <v>666.52880031584232</v>
      </c>
    </row>
    <row r="89" spans="2:16" ht="12.75" customHeight="1" x14ac:dyDescent="0.25">
      <c r="C89" s="156" t="s">
        <v>628</v>
      </c>
      <c r="D89" s="159">
        <v>136842.1</v>
      </c>
      <c r="E89" s="159">
        <v>141327.79999999999</v>
      </c>
      <c r="F89" s="159">
        <v>196065.6</v>
      </c>
      <c r="G89" s="159">
        <v>155280.20000000001</v>
      </c>
      <c r="H89" s="230">
        <f t="shared" si="5"/>
        <v>157378.92499999999</v>
      </c>
      <c r="I89" s="160">
        <f t="shared" si="4"/>
        <v>1006.1919117647059</v>
      </c>
      <c r="J89" s="160">
        <f t="shared" si="4"/>
        <v>981.44305555555547</v>
      </c>
      <c r="K89" s="160">
        <f t="shared" si="4"/>
        <v>1114.0090909090909</v>
      </c>
      <c r="L89" s="160">
        <f t="shared" si="4"/>
        <v>970.50125000000003</v>
      </c>
      <c r="P89" s="161">
        <f t="shared" si="6"/>
        <v>1325.483297828654</v>
      </c>
    </row>
    <row r="90" spans="2:16" ht="12.75" customHeight="1" x14ac:dyDescent="0.25">
      <c r="C90" s="156" t="s">
        <v>629</v>
      </c>
      <c r="D90" s="162">
        <v>74308</v>
      </c>
      <c r="E90" s="159">
        <v>81840.800000000003</v>
      </c>
      <c r="F90" s="162">
        <v>76717</v>
      </c>
      <c r="G90" s="159">
        <v>78669.600000000006</v>
      </c>
      <c r="H90" s="230">
        <f t="shared" si="5"/>
        <v>77883.850000000006</v>
      </c>
      <c r="I90" s="160">
        <f t="shared" si="4"/>
        <v>546.38235294117646</v>
      </c>
      <c r="J90" s="160">
        <f t="shared" si="4"/>
        <v>568.33888888888896</v>
      </c>
      <c r="K90" s="160">
        <f t="shared" si="4"/>
        <v>435.89204545454544</v>
      </c>
      <c r="L90" s="160">
        <f t="shared" si="4"/>
        <v>491.68500000000006</v>
      </c>
      <c r="P90" s="161">
        <f t="shared" si="6"/>
        <v>664.76809251114094</v>
      </c>
    </row>
    <row r="91" spans="2:16" ht="12.75" customHeight="1" x14ac:dyDescent="0.25">
      <c r="C91" s="156" t="s">
        <v>630</v>
      </c>
      <c r="D91" s="162">
        <v>69260</v>
      </c>
      <c r="E91" s="159">
        <v>66706.600000000006</v>
      </c>
      <c r="F91" s="159">
        <v>69855.7</v>
      </c>
      <c r="G91" s="159">
        <v>64872.2</v>
      </c>
      <c r="H91" s="230">
        <f t="shared" si="5"/>
        <v>67673.625</v>
      </c>
      <c r="I91" s="160">
        <f t="shared" si="4"/>
        <v>509.26470588235293</v>
      </c>
      <c r="J91" s="160">
        <f t="shared" si="4"/>
        <v>463.24027777777781</v>
      </c>
      <c r="K91" s="160">
        <f t="shared" si="4"/>
        <v>396.90738636363636</v>
      </c>
      <c r="L91" s="160">
        <f t="shared" si="4"/>
        <v>405.45124999999996</v>
      </c>
      <c r="P91" s="161">
        <f t="shared" si="6"/>
        <v>577.71810831773621</v>
      </c>
    </row>
    <row r="92" spans="2:16" ht="12.75" customHeight="1" x14ac:dyDescent="0.25">
      <c r="C92" s="156" t="s">
        <v>631</v>
      </c>
      <c r="D92" s="159">
        <v>75481.899999999994</v>
      </c>
      <c r="E92" s="159">
        <v>76736.600000000006</v>
      </c>
      <c r="F92" s="159">
        <v>79223.100000000006</v>
      </c>
      <c r="G92" s="159">
        <v>81493.600000000006</v>
      </c>
      <c r="H92" s="230">
        <f t="shared" si="5"/>
        <v>78233.8</v>
      </c>
      <c r="I92" s="160">
        <f t="shared" si="4"/>
        <v>555.01397058823522</v>
      </c>
      <c r="J92" s="160">
        <f t="shared" si="4"/>
        <v>532.89305555555563</v>
      </c>
      <c r="K92" s="160">
        <f t="shared" si="4"/>
        <v>450.13125000000002</v>
      </c>
      <c r="L92" s="160">
        <f t="shared" si="4"/>
        <v>509.33500000000004</v>
      </c>
      <c r="P92" s="161">
        <f t="shared" si="6"/>
        <v>666.42000138480398</v>
      </c>
    </row>
    <row r="93" spans="2:16" ht="12.75" customHeight="1" x14ac:dyDescent="0.25">
      <c r="C93" s="156" t="s">
        <v>632</v>
      </c>
      <c r="D93" s="159">
        <v>76098.600000000006</v>
      </c>
      <c r="E93" s="159">
        <v>75258.3</v>
      </c>
      <c r="F93" s="159">
        <v>84211.4</v>
      </c>
      <c r="G93" s="159">
        <v>83868.800000000003</v>
      </c>
      <c r="H93" s="230">
        <f t="shared" si="5"/>
        <v>79859.275000000009</v>
      </c>
      <c r="I93" s="160">
        <f t="shared" si="4"/>
        <v>559.54852941176478</v>
      </c>
      <c r="J93" s="160">
        <f t="shared" si="4"/>
        <v>522.6270833333333</v>
      </c>
      <c r="K93" s="160">
        <f t="shared" si="4"/>
        <v>478.4738636363636</v>
      </c>
      <c r="L93" s="160">
        <f t="shared" si="4"/>
        <v>524.18000000000006</v>
      </c>
      <c r="P93" s="161">
        <f t="shared" si="6"/>
        <v>678.61199456216593</v>
      </c>
    </row>
    <row r="94" spans="2:16" ht="12.75" customHeight="1" x14ac:dyDescent="0.25">
      <c r="C94" s="156" t="s">
        <v>633</v>
      </c>
      <c r="D94" s="159">
        <v>75518.3</v>
      </c>
      <c r="E94" s="159">
        <v>75114.600000000006</v>
      </c>
      <c r="F94" s="159">
        <v>79965.899999999994</v>
      </c>
      <c r="G94" s="159">
        <v>87432.2</v>
      </c>
      <c r="H94" s="230">
        <f t="shared" si="5"/>
        <v>79507.75</v>
      </c>
      <c r="I94" s="160">
        <f t="shared" si="4"/>
        <v>555.28161764705885</v>
      </c>
      <c r="J94" s="160">
        <f t="shared" si="4"/>
        <v>521.62916666666672</v>
      </c>
      <c r="K94" s="160">
        <f t="shared" si="4"/>
        <v>454.35170454545454</v>
      </c>
      <c r="L94" s="160">
        <f t="shared" si="4"/>
        <v>546.45124999999996</v>
      </c>
      <c r="P94" s="161">
        <f t="shared" si="6"/>
        <v>676.29582199866309</v>
      </c>
    </row>
    <row r="95" spans="2:16" ht="12.75" customHeight="1" x14ac:dyDescent="0.25">
      <c r="C95" s="156" t="s">
        <v>634</v>
      </c>
      <c r="D95" s="159">
        <v>96819.1</v>
      </c>
      <c r="E95" s="159">
        <v>91927.1</v>
      </c>
      <c r="F95" s="162">
        <v>115572</v>
      </c>
      <c r="G95" s="159">
        <v>118101.5</v>
      </c>
      <c r="H95" s="230">
        <f t="shared" si="5"/>
        <v>105604.925</v>
      </c>
      <c r="I95" s="160">
        <f t="shared" si="4"/>
        <v>711.90514705882356</v>
      </c>
      <c r="J95" s="160">
        <f t="shared" si="4"/>
        <v>638.38263888888889</v>
      </c>
      <c r="K95" s="160">
        <f t="shared" si="4"/>
        <v>656.65909090909088</v>
      </c>
      <c r="L95" s="160">
        <f t="shared" si="4"/>
        <v>738.13437499999998</v>
      </c>
      <c r="P95" s="161">
        <f t="shared" si="6"/>
        <v>893.52394747938956</v>
      </c>
    </row>
    <row r="96" spans="2:16" ht="12.75" customHeight="1" x14ac:dyDescent="0.25">
      <c r="B96" s="156" t="s">
        <v>635</v>
      </c>
      <c r="C96" s="156" t="s">
        <v>636</v>
      </c>
      <c r="D96" s="159">
        <v>63612.6</v>
      </c>
      <c r="E96" s="159">
        <v>63794.1</v>
      </c>
      <c r="F96" s="159">
        <v>71341.899999999994</v>
      </c>
      <c r="G96" s="159">
        <v>69203.199999999997</v>
      </c>
      <c r="H96" s="230">
        <f t="shared" si="5"/>
        <v>66987.95</v>
      </c>
      <c r="I96" s="160">
        <f t="shared" si="4"/>
        <v>467.73970588235295</v>
      </c>
      <c r="J96" s="160">
        <f t="shared" si="4"/>
        <v>443.01458333333335</v>
      </c>
      <c r="K96" s="160">
        <f t="shared" si="4"/>
        <v>405.35170454545454</v>
      </c>
      <c r="L96" s="160">
        <f t="shared" si="4"/>
        <v>432.52</v>
      </c>
      <c r="P96" s="161">
        <f t="shared" si="6"/>
        <v>569.17776096925138</v>
      </c>
    </row>
    <row r="97" spans="2:16" ht="12.75" customHeight="1" x14ac:dyDescent="0.25">
      <c r="C97" s="156" t="s">
        <v>637</v>
      </c>
      <c r="D97" s="159">
        <v>67935.399999999994</v>
      </c>
      <c r="E97" s="159">
        <v>63762.7</v>
      </c>
      <c r="F97" s="159">
        <v>76711.7</v>
      </c>
      <c r="G97" s="159">
        <v>62485.8</v>
      </c>
      <c r="H97" s="230">
        <f t="shared" si="5"/>
        <v>67723.899999999994</v>
      </c>
      <c r="I97" s="160">
        <f t="shared" si="4"/>
        <v>499.52499999999998</v>
      </c>
      <c r="J97" s="160">
        <f t="shared" si="4"/>
        <v>442.79652777777778</v>
      </c>
      <c r="K97" s="160">
        <f t="shared" si="4"/>
        <v>435.8619318181818</v>
      </c>
      <c r="L97" s="160">
        <f t="shared" si="4"/>
        <v>390.53625</v>
      </c>
      <c r="P97" s="161">
        <f t="shared" si="6"/>
        <v>575.71826547348485</v>
      </c>
    </row>
    <row r="98" spans="2:16" ht="12.75" customHeight="1" x14ac:dyDescent="0.25">
      <c r="C98" s="156" t="s">
        <v>638</v>
      </c>
      <c r="D98" s="159">
        <v>64210.1</v>
      </c>
      <c r="E98" s="159">
        <v>64657.3</v>
      </c>
      <c r="F98" s="159">
        <v>73895.399999999994</v>
      </c>
      <c r="G98" s="159">
        <v>72796.800000000003</v>
      </c>
      <c r="H98" s="230">
        <f t="shared" si="5"/>
        <v>68889.899999999994</v>
      </c>
      <c r="I98" s="160">
        <f t="shared" si="4"/>
        <v>472.13308823529411</v>
      </c>
      <c r="J98" s="160">
        <f t="shared" si="4"/>
        <v>449.00902777777782</v>
      </c>
      <c r="K98" s="160">
        <f t="shared" si="4"/>
        <v>419.86022727272723</v>
      </c>
      <c r="L98" s="160">
        <f t="shared" si="4"/>
        <v>454.98</v>
      </c>
      <c r="P98" s="161">
        <f t="shared" si="6"/>
        <v>584.59225273952768</v>
      </c>
    </row>
    <row r="99" spans="2:16" ht="12.75" customHeight="1" x14ac:dyDescent="0.25">
      <c r="C99" s="156" t="s">
        <v>639</v>
      </c>
      <c r="D99" s="159">
        <v>53507.4</v>
      </c>
      <c r="E99" s="159">
        <v>49539.6</v>
      </c>
      <c r="F99" s="159">
        <v>62418.7</v>
      </c>
      <c r="G99" s="159">
        <v>63961.2</v>
      </c>
      <c r="H99" s="230">
        <f t="shared" si="5"/>
        <v>57356.725000000006</v>
      </c>
      <c r="I99" s="160">
        <f t="shared" si="4"/>
        <v>393.43676470588235</v>
      </c>
      <c r="J99" s="160">
        <f t="shared" si="4"/>
        <v>344.02499999999998</v>
      </c>
      <c r="K99" s="160">
        <f t="shared" si="4"/>
        <v>354.65170454545455</v>
      </c>
      <c r="L99" s="160">
        <f t="shared" si="4"/>
        <v>399.75749999999999</v>
      </c>
      <c r="P99" s="161">
        <f t="shared" si="6"/>
        <v>485.60400049131016</v>
      </c>
    </row>
    <row r="100" spans="2:16" ht="12.75" customHeight="1" x14ac:dyDescent="0.25">
      <c r="C100" s="156" t="s">
        <v>640</v>
      </c>
      <c r="D100" s="159">
        <v>57186.5</v>
      </c>
      <c r="E100" s="159">
        <v>53731.9</v>
      </c>
      <c r="F100" s="159">
        <v>56687.1</v>
      </c>
      <c r="G100" s="159">
        <v>62721.599999999999</v>
      </c>
      <c r="H100" s="230">
        <f t="shared" si="5"/>
        <v>57581.775000000001</v>
      </c>
      <c r="I100" s="160">
        <f t="shared" si="4"/>
        <v>420.4889705882353</v>
      </c>
      <c r="J100" s="160">
        <f t="shared" si="4"/>
        <v>373.13819444444448</v>
      </c>
      <c r="K100" s="160">
        <f t="shared" si="4"/>
        <v>322.08579545454546</v>
      </c>
      <c r="L100" s="160">
        <f t="shared" si="4"/>
        <v>392.01</v>
      </c>
      <c r="P100" s="161">
        <f t="shared" si="6"/>
        <v>490.76382363859182</v>
      </c>
    </row>
    <row r="101" spans="2:16" ht="12.75" customHeight="1" x14ac:dyDescent="0.25">
      <c r="C101" s="156" t="s">
        <v>641</v>
      </c>
      <c r="D101" s="159">
        <v>68473.399999999994</v>
      </c>
      <c r="E101" s="159">
        <v>71038.8</v>
      </c>
      <c r="F101" s="159">
        <v>78489.600000000006</v>
      </c>
      <c r="G101" s="159">
        <v>76026.7</v>
      </c>
      <c r="H101" s="230">
        <f t="shared" si="5"/>
        <v>73507.125</v>
      </c>
      <c r="I101" s="160">
        <f t="shared" si="4"/>
        <v>503.48088235294114</v>
      </c>
      <c r="J101" s="160">
        <f t="shared" si="4"/>
        <v>493.32500000000005</v>
      </c>
      <c r="K101" s="160">
        <f t="shared" si="4"/>
        <v>445.9636363636364</v>
      </c>
      <c r="L101" s="160">
        <f t="shared" si="4"/>
        <v>475.166875</v>
      </c>
      <c r="P101" s="161">
        <f t="shared" si="6"/>
        <v>624.28829615474604</v>
      </c>
    </row>
    <row r="102" spans="2:16" ht="12.75" customHeight="1" x14ac:dyDescent="0.25">
      <c r="B102" s="156" t="s">
        <v>642</v>
      </c>
      <c r="C102" s="156" t="s">
        <v>643</v>
      </c>
      <c r="D102" s="159">
        <v>69867.7</v>
      </c>
      <c r="E102" s="159">
        <v>68198.100000000006</v>
      </c>
      <c r="F102" s="159">
        <v>76800.2</v>
      </c>
      <c r="G102" s="159">
        <v>71474.7</v>
      </c>
      <c r="H102" s="230">
        <f t="shared" si="5"/>
        <v>71585.175000000003</v>
      </c>
      <c r="I102" s="160">
        <f t="shared" si="4"/>
        <v>513.73308823529408</v>
      </c>
      <c r="J102" s="160">
        <f t="shared" si="4"/>
        <v>473.59791666666672</v>
      </c>
      <c r="K102" s="160">
        <f t="shared" si="4"/>
        <v>436.36477272727274</v>
      </c>
      <c r="L102" s="160">
        <f t="shared" si="4"/>
        <v>446.71687499999996</v>
      </c>
      <c r="P102" s="161">
        <f t="shared" si="6"/>
        <v>608.81931843081554</v>
      </c>
    </row>
    <row r="103" spans="2:16" ht="12.75" customHeight="1" x14ac:dyDescent="0.25">
      <c r="C103" s="156" t="s">
        <v>644</v>
      </c>
      <c r="D103" s="159">
        <v>61166.8</v>
      </c>
      <c r="E103" s="162">
        <v>61177</v>
      </c>
      <c r="F103" s="159">
        <v>67011.3</v>
      </c>
      <c r="G103" s="159">
        <v>70526.100000000006</v>
      </c>
      <c r="H103" s="230">
        <f t="shared" si="5"/>
        <v>64970.3</v>
      </c>
      <c r="I103" s="160">
        <f t="shared" si="4"/>
        <v>449.75588235294117</v>
      </c>
      <c r="J103" s="160">
        <f t="shared" si="4"/>
        <v>424.84027777777777</v>
      </c>
      <c r="K103" s="160">
        <f t="shared" si="4"/>
        <v>380.74602272727276</v>
      </c>
      <c r="L103" s="160">
        <f t="shared" si="4"/>
        <v>440.78812500000004</v>
      </c>
      <c r="P103" s="161">
        <f t="shared" si="6"/>
        <v>552.09041520777635</v>
      </c>
    </row>
    <row r="104" spans="2:16" ht="12.75" customHeight="1" x14ac:dyDescent="0.25">
      <c r="C104" s="156" t="s">
        <v>645</v>
      </c>
      <c r="D104" s="159">
        <v>63019.199999999997</v>
      </c>
      <c r="E104" s="159">
        <v>61715.1</v>
      </c>
      <c r="F104" s="159">
        <v>67650.5</v>
      </c>
      <c r="G104" s="159">
        <v>67240.3</v>
      </c>
      <c r="H104" s="230">
        <f t="shared" si="5"/>
        <v>64906.274999999994</v>
      </c>
      <c r="I104" s="160">
        <f t="shared" si="4"/>
        <v>463.37647058823529</v>
      </c>
      <c r="J104" s="160">
        <f t="shared" si="4"/>
        <v>428.57708333333335</v>
      </c>
      <c r="K104" s="160">
        <f t="shared" si="4"/>
        <v>384.37784090909093</v>
      </c>
      <c r="L104" s="160">
        <f t="shared" si="4"/>
        <v>420.25187500000004</v>
      </c>
      <c r="P104" s="161">
        <f t="shared" si="6"/>
        <v>552.23785432987972</v>
      </c>
    </row>
    <row r="105" spans="2:16" ht="12.75" customHeight="1" x14ac:dyDescent="0.25">
      <c r="C105" s="156" t="s">
        <v>646</v>
      </c>
      <c r="D105" s="162">
        <v>52555</v>
      </c>
      <c r="E105" s="159">
        <v>53200.800000000003</v>
      </c>
      <c r="F105" s="159">
        <v>58028.1</v>
      </c>
      <c r="G105" s="159">
        <v>56163.7</v>
      </c>
      <c r="H105" s="230">
        <f t="shared" si="5"/>
        <v>54986.899999999994</v>
      </c>
      <c r="I105" s="160">
        <f t="shared" ref="I105:L149" si="7">D105/I$5/8</f>
        <v>386.43382352941177</v>
      </c>
      <c r="J105" s="160">
        <f t="shared" si="7"/>
        <v>369.45000000000005</v>
      </c>
      <c r="K105" s="160">
        <f t="shared" si="7"/>
        <v>329.70511363636365</v>
      </c>
      <c r="L105" s="160">
        <f t="shared" si="7"/>
        <v>351.02312499999999</v>
      </c>
      <c r="P105" s="161">
        <f t="shared" si="6"/>
        <v>467.6172262349599</v>
      </c>
    </row>
    <row r="106" spans="2:16" ht="12.75" customHeight="1" x14ac:dyDescent="0.25">
      <c r="C106" s="156" t="s">
        <v>647</v>
      </c>
      <c r="D106" s="159">
        <v>65556.899999999994</v>
      </c>
      <c r="E106" s="159">
        <v>66296.5</v>
      </c>
      <c r="F106" s="159">
        <v>70304.2</v>
      </c>
      <c r="G106" s="159">
        <v>77349.3</v>
      </c>
      <c r="H106" s="230">
        <f t="shared" si="5"/>
        <v>69876.724999999991</v>
      </c>
      <c r="I106" s="160">
        <f t="shared" si="7"/>
        <v>482.03602941176467</v>
      </c>
      <c r="J106" s="160">
        <f t="shared" si="7"/>
        <v>460.39236111111109</v>
      </c>
      <c r="K106" s="160">
        <f t="shared" si="7"/>
        <v>399.4556818181818</v>
      </c>
      <c r="L106" s="160">
        <f t="shared" si="7"/>
        <v>483.43312500000002</v>
      </c>
      <c r="P106" s="161">
        <f t="shared" si="6"/>
        <v>594.14074773451432</v>
      </c>
    </row>
    <row r="107" spans="2:16" ht="12.75" customHeight="1" x14ac:dyDescent="0.25">
      <c r="B107" s="156" t="s">
        <v>648</v>
      </c>
      <c r="C107" s="156" t="s">
        <v>649</v>
      </c>
      <c r="D107" s="159">
        <v>63353.5</v>
      </c>
      <c r="E107" s="159">
        <v>65368.2</v>
      </c>
      <c r="F107" s="162">
        <v>68437</v>
      </c>
      <c r="G107" s="159">
        <v>69826.399999999994</v>
      </c>
      <c r="H107" s="230">
        <f t="shared" si="5"/>
        <v>66746.274999999994</v>
      </c>
      <c r="I107" s="160">
        <f t="shared" si="7"/>
        <v>465.83455882352939</v>
      </c>
      <c r="J107" s="160">
        <f t="shared" si="7"/>
        <v>453.94583333333333</v>
      </c>
      <c r="K107" s="160">
        <f t="shared" si="7"/>
        <v>388.84659090909093</v>
      </c>
      <c r="L107" s="160">
        <f t="shared" si="7"/>
        <v>436.41499999999996</v>
      </c>
      <c r="P107" s="161">
        <f t="shared" si="6"/>
        <v>568.0111654879679</v>
      </c>
    </row>
    <row r="108" spans="2:16" ht="12.75" customHeight="1" x14ac:dyDescent="0.25">
      <c r="C108" s="156" t="s">
        <v>650</v>
      </c>
      <c r="D108" s="159">
        <v>60681.2</v>
      </c>
      <c r="E108" s="159">
        <v>62052.6</v>
      </c>
      <c r="F108" s="159">
        <v>68555.7</v>
      </c>
      <c r="G108" s="159">
        <v>69174.3</v>
      </c>
      <c r="H108" s="230">
        <f t="shared" si="5"/>
        <v>65115.95</v>
      </c>
      <c r="I108" s="160">
        <f t="shared" si="7"/>
        <v>446.18529411764706</v>
      </c>
      <c r="J108" s="160">
        <f t="shared" si="7"/>
        <v>430.92083333333335</v>
      </c>
      <c r="K108" s="160">
        <f t="shared" si="7"/>
        <v>389.52102272727274</v>
      </c>
      <c r="L108" s="160">
        <f t="shared" si="7"/>
        <v>432.33937500000002</v>
      </c>
      <c r="P108" s="161">
        <f t="shared" si="6"/>
        <v>553.01360394552148</v>
      </c>
    </row>
    <row r="109" spans="2:16" ht="12.75" customHeight="1" x14ac:dyDescent="0.25">
      <c r="C109" s="156" t="s">
        <v>651</v>
      </c>
      <c r="D109" s="159">
        <v>49703.9</v>
      </c>
      <c r="E109" s="159">
        <v>55225.9</v>
      </c>
      <c r="F109" s="159">
        <v>58428.4</v>
      </c>
      <c r="G109" s="159">
        <v>62246.9</v>
      </c>
      <c r="H109" s="230">
        <f t="shared" si="5"/>
        <v>56401.275000000001</v>
      </c>
      <c r="I109" s="160">
        <f t="shared" si="7"/>
        <v>365.4698529411765</v>
      </c>
      <c r="J109" s="160">
        <f t="shared" si="7"/>
        <v>383.51319444444448</v>
      </c>
      <c r="K109" s="160">
        <f t="shared" si="7"/>
        <v>331.97954545454547</v>
      </c>
      <c r="L109" s="160">
        <f t="shared" si="7"/>
        <v>389.04312500000003</v>
      </c>
      <c r="P109" s="161">
        <f t="shared" si="6"/>
        <v>478.48686115697427</v>
      </c>
    </row>
    <row r="110" spans="2:16" ht="12.75" customHeight="1" x14ac:dyDescent="0.25">
      <c r="B110" s="156" t="s">
        <v>652</v>
      </c>
      <c r="C110" s="156" t="s">
        <v>653</v>
      </c>
      <c r="D110" s="159">
        <v>61474.6</v>
      </c>
      <c r="E110" s="159">
        <v>62144.2</v>
      </c>
      <c r="F110" s="162">
        <v>69014</v>
      </c>
      <c r="G110" s="159">
        <v>67775.399999999994</v>
      </c>
      <c r="H110" s="230">
        <f t="shared" si="5"/>
        <v>65102.049999999996</v>
      </c>
      <c r="I110" s="160">
        <f t="shared" si="7"/>
        <v>452.01911764705881</v>
      </c>
      <c r="J110" s="160">
        <f t="shared" si="7"/>
        <v>431.55694444444441</v>
      </c>
      <c r="K110" s="160">
        <f t="shared" si="7"/>
        <v>392.125</v>
      </c>
      <c r="L110" s="160">
        <f t="shared" si="7"/>
        <v>423.59624999999994</v>
      </c>
      <c r="P110" s="161">
        <f t="shared" si="6"/>
        <v>553.1212750857843</v>
      </c>
    </row>
    <row r="111" spans="2:16" ht="12.75" customHeight="1" x14ac:dyDescent="0.25">
      <c r="C111" s="156" t="s">
        <v>654</v>
      </c>
      <c r="D111" s="159">
        <v>77406.2</v>
      </c>
      <c r="E111" s="159">
        <v>73096.800000000003</v>
      </c>
      <c r="F111" s="159">
        <v>82088.3</v>
      </c>
      <c r="G111" s="159">
        <v>80132.5</v>
      </c>
      <c r="H111" s="230">
        <f t="shared" si="5"/>
        <v>78180.95</v>
      </c>
      <c r="I111" s="160">
        <f t="shared" si="7"/>
        <v>569.16323529411761</v>
      </c>
      <c r="J111" s="160">
        <f t="shared" si="7"/>
        <v>507.61666666666667</v>
      </c>
      <c r="K111" s="160">
        <f t="shared" si="7"/>
        <v>466.41079545454545</v>
      </c>
      <c r="L111" s="160">
        <f t="shared" si="7"/>
        <v>500.828125</v>
      </c>
      <c r="P111" s="161">
        <f t="shared" si="6"/>
        <v>665.32812669618977</v>
      </c>
    </row>
    <row r="112" spans="2:16" ht="12.75" customHeight="1" x14ac:dyDescent="0.25">
      <c r="C112" s="156" t="s">
        <v>655</v>
      </c>
      <c r="D112" s="159">
        <v>40907.199999999997</v>
      </c>
      <c r="E112" s="159">
        <v>44424.3</v>
      </c>
      <c r="F112" s="159">
        <v>51268.6</v>
      </c>
      <c r="G112" s="159">
        <v>57477.5</v>
      </c>
      <c r="H112" s="230">
        <f t="shared" si="5"/>
        <v>48519.4</v>
      </c>
      <c r="I112" s="160">
        <f t="shared" si="7"/>
        <v>300.78823529411761</v>
      </c>
      <c r="J112" s="160">
        <f t="shared" si="7"/>
        <v>308.50208333333336</v>
      </c>
      <c r="K112" s="160">
        <f t="shared" si="7"/>
        <v>291.29886363636365</v>
      </c>
      <c r="L112" s="160">
        <f t="shared" si="7"/>
        <v>359.234375</v>
      </c>
      <c r="P112" s="161">
        <f t="shared" si="6"/>
        <v>410.07256788937167</v>
      </c>
    </row>
    <row r="113" spans="1:16" ht="12.75" customHeight="1" x14ac:dyDescent="0.25">
      <c r="B113" s="156" t="s">
        <v>656</v>
      </c>
      <c r="C113" s="156" t="s">
        <v>657</v>
      </c>
      <c r="D113" s="159">
        <v>37377.699999999997</v>
      </c>
      <c r="E113" s="159">
        <v>37150.699999999997</v>
      </c>
      <c r="F113" s="159">
        <v>38791.4</v>
      </c>
      <c r="G113" s="162">
        <v>42223</v>
      </c>
      <c r="H113" s="230">
        <f t="shared" si="5"/>
        <v>38885.699999999997</v>
      </c>
      <c r="I113" s="160">
        <f t="shared" si="7"/>
        <v>274.83602941176468</v>
      </c>
      <c r="J113" s="160">
        <f t="shared" si="7"/>
        <v>257.99097222222218</v>
      </c>
      <c r="K113" s="160">
        <f t="shared" si="7"/>
        <v>220.40568181818182</v>
      </c>
      <c r="L113" s="160">
        <f t="shared" si="7"/>
        <v>263.89375000000001</v>
      </c>
      <c r="P113" s="161">
        <f t="shared" si="6"/>
        <v>331.07465408868092</v>
      </c>
    </row>
    <row r="114" spans="1:16" ht="12.75" customHeight="1" x14ac:dyDescent="0.25">
      <c r="B114" s="156" t="s">
        <v>658</v>
      </c>
      <c r="C114" s="156" t="s">
        <v>659</v>
      </c>
      <c r="D114" s="159">
        <v>51856.2</v>
      </c>
      <c r="E114" s="159">
        <v>55744.4</v>
      </c>
      <c r="F114" s="159">
        <v>58618.9</v>
      </c>
      <c r="G114" s="159">
        <v>59537.5</v>
      </c>
      <c r="H114" s="230">
        <f t="shared" si="5"/>
        <v>56439.25</v>
      </c>
      <c r="I114" s="160">
        <f t="shared" si="7"/>
        <v>381.29558823529408</v>
      </c>
      <c r="J114" s="160">
        <f t="shared" si="7"/>
        <v>387.11388888888888</v>
      </c>
      <c r="K114" s="160">
        <f t="shared" si="7"/>
        <v>333.06193181818185</v>
      </c>
      <c r="L114" s="160">
        <f t="shared" si="7"/>
        <v>372.109375</v>
      </c>
      <c r="P114" s="161">
        <f t="shared" si="6"/>
        <v>479.65054517323978</v>
      </c>
    </row>
    <row r="115" spans="1:16" ht="12.75" customHeight="1" x14ac:dyDescent="0.25">
      <c r="C115" s="156" t="s">
        <v>660</v>
      </c>
      <c r="D115" s="159">
        <v>41555.699999999997</v>
      </c>
      <c r="E115" s="159">
        <v>39913.300000000003</v>
      </c>
      <c r="F115" s="162">
        <v>43583</v>
      </c>
      <c r="G115" s="159">
        <v>42789.7</v>
      </c>
      <c r="H115" s="230">
        <f t="shared" si="5"/>
        <v>41960.425000000003</v>
      </c>
      <c r="I115" s="160">
        <f t="shared" si="7"/>
        <v>305.55661764705883</v>
      </c>
      <c r="J115" s="160">
        <f t="shared" si="7"/>
        <v>277.17569444444445</v>
      </c>
      <c r="K115" s="160">
        <f t="shared" si="7"/>
        <v>247.63068181818181</v>
      </c>
      <c r="L115" s="160">
        <f t="shared" si="7"/>
        <v>267.43562499999996</v>
      </c>
      <c r="P115" s="161">
        <f t="shared" si="6"/>
        <v>357.33345045510248</v>
      </c>
    </row>
    <row r="116" spans="1:16" ht="12.75" customHeight="1" x14ac:dyDescent="0.25">
      <c r="C116" s="156" t="s">
        <v>661</v>
      </c>
      <c r="D116" s="162">
        <v>40030</v>
      </c>
      <c r="E116" s="159">
        <v>40280.400000000001</v>
      </c>
      <c r="F116" s="159">
        <v>42007.6</v>
      </c>
      <c r="G116" s="159">
        <v>44156.6</v>
      </c>
      <c r="H116" s="230">
        <f t="shared" si="5"/>
        <v>41618.65</v>
      </c>
      <c r="I116" s="160">
        <f t="shared" si="7"/>
        <v>294.33823529411762</v>
      </c>
      <c r="J116" s="160">
        <f t="shared" si="7"/>
        <v>279.72500000000002</v>
      </c>
      <c r="K116" s="160">
        <f t="shared" si="7"/>
        <v>238.67954545454543</v>
      </c>
      <c r="L116" s="160">
        <f t="shared" si="7"/>
        <v>275.97874999999999</v>
      </c>
      <c r="P116" s="161">
        <f t="shared" si="6"/>
        <v>354.37885825868983</v>
      </c>
    </row>
    <row r="117" spans="1:16" ht="12.75" customHeight="1" x14ac:dyDescent="0.25">
      <c r="C117" s="156" t="s">
        <v>662</v>
      </c>
      <c r="D117" s="159">
        <v>36376.300000000003</v>
      </c>
      <c r="E117" s="159">
        <v>37027.199999999997</v>
      </c>
      <c r="F117" s="162">
        <v>39413</v>
      </c>
      <c r="G117" s="159">
        <v>41922.800000000003</v>
      </c>
      <c r="H117" s="230">
        <f t="shared" si="5"/>
        <v>38684.824999999997</v>
      </c>
      <c r="I117" s="160">
        <f t="shared" si="7"/>
        <v>267.47279411764708</v>
      </c>
      <c r="J117" s="160">
        <f t="shared" si="7"/>
        <v>257.13333333333333</v>
      </c>
      <c r="K117" s="160">
        <f t="shared" si="7"/>
        <v>223.9375</v>
      </c>
      <c r="L117" s="160">
        <f t="shared" si="7"/>
        <v>262.01750000000004</v>
      </c>
      <c r="P117" s="161">
        <f t="shared" si="6"/>
        <v>328.93764698529418</v>
      </c>
    </row>
    <row r="118" spans="1:16" ht="12.75" customHeight="1" x14ac:dyDescent="0.25">
      <c r="C118" s="156" t="s">
        <v>663</v>
      </c>
      <c r="D118" s="159">
        <v>62585.8</v>
      </c>
      <c r="E118" s="159">
        <v>62900.4</v>
      </c>
      <c r="F118" s="159">
        <v>88005.6</v>
      </c>
      <c r="G118" s="159">
        <v>67276.899999999994</v>
      </c>
      <c r="H118" s="230">
        <f t="shared" si="5"/>
        <v>70192.175000000003</v>
      </c>
      <c r="I118" s="160">
        <f t="shared" si="7"/>
        <v>460.18970588235294</v>
      </c>
      <c r="J118" s="160">
        <f t="shared" si="7"/>
        <v>436.80833333333334</v>
      </c>
      <c r="K118" s="160">
        <f t="shared" si="7"/>
        <v>500.03181818181821</v>
      </c>
      <c r="L118" s="160">
        <f t="shared" si="7"/>
        <v>420.48062499999997</v>
      </c>
      <c r="P118" s="161">
        <f t="shared" si="6"/>
        <v>591.59966202038765</v>
      </c>
    </row>
    <row r="119" spans="1:16" ht="12.75" customHeight="1" x14ac:dyDescent="0.25">
      <c r="C119" s="156" t="s">
        <v>664</v>
      </c>
      <c r="D119" s="159">
        <v>43135.9</v>
      </c>
      <c r="E119" s="159">
        <v>43493.599999999999</v>
      </c>
      <c r="F119" s="159">
        <v>43620.5</v>
      </c>
      <c r="G119" s="159">
        <v>45169.599999999999</v>
      </c>
      <c r="H119" s="230">
        <f t="shared" si="5"/>
        <v>43854.9</v>
      </c>
      <c r="I119" s="160">
        <f t="shared" si="7"/>
        <v>317.17573529411766</v>
      </c>
      <c r="J119" s="160">
        <f t="shared" si="7"/>
        <v>302.03888888888889</v>
      </c>
      <c r="K119" s="160">
        <f t="shared" si="7"/>
        <v>247.84375</v>
      </c>
      <c r="L119" s="160">
        <f t="shared" si="7"/>
        <v>282.31</v>
      </c>
      <c r="P119" s="161">
        <f t="shared" si="6"/>
        <v>374.11940579656869</v>
      </c>
    </row>
    <row r="120" spans="1:16" ht="12.75" customHeight="1" x14ac:dyDescent="0.25">
      <c r="B120" s="156" t="s">
        <v>665</v>
      </c>
      <c r="C120" s="156" t="s">
        <v>666</v>
      </c>
      <c r="D120" s="159">
        <v>67714.399999999994</v>
      </c>
      <c r="E120" s="159">
        <v>68289.100000000006</v>
      </c>
      <c r="F120" s="159">
        <v>72400.100000000006</v>
      </c>
      <c r="G120" s="159">
        <v>75433.7</v>
      </c>
      <c r="H120" s="230">
        <f t="shared" si="5"/>
        <v>70959.324999999997</v>
      </c>
      <c r="I120" s="160">
        <f t="shared" si="7"/>
        <v>497.9</v>
      </c>
      <c r="J120" s="160">
        <f t="shared" si="7"/>
        <v>474.22986111111118</v>
      </c>
      <c r="K120" s="160">
        <f t="shared" si="7"/>
        <v>411.36420454545458</v>
      </c>
      <c r="L120" s="160">
        <f t="shared" si="7"/>
        <v>471.46062499999999</v>
      </c>
      <c r="P120" s="161">
        <f t="shared" si="6"/>
        <v>603.78775180871207</v>
      </c>
    </row>
    <row r="121" spans="1:16" ht="12.75" customHeight="1" x14ac:dyDescent="0.25">
      <c r="C121" s="156" t="s">
        <v>667</v>
      </c>
      <c r="D121" s="159">
        <v>62061.1</v>
      </c>
      <c r="E121" s="159">
        <v>70202.399999999994</v>
      </c>
      <c r="F121" s="159">
        <v>72106.100000000006</v>
      </c>
      <c r="G121" s="159">
        <v>77072.600000000006</v>
      </c>
      <c r="H121" s="230">
        <f t="shared" si="5"/>
        <v>70360.55</v>
      </c>
      <c r="I121" s="160">
        <f t="shared" si="7"/>
        <v>456.33161764705881</v>
      </c>
      <c r="J121" s="160">
        <f t="shared" si="7"/>
        <v>487.51666666666665</v>
      </c>
      <c r="K121" s="160">
        <f t="shared" si="7"/>
        <v>409.69375000000002</v>
      </c>
      <c r="L121" s="160">
        <f t="shared" si="7"/>
        <v>481.70375000000001</v>
      </c>
      <c r="P121" s="161">
        <f t="shared" si="6"/>
        <v>597.37250279411762</v>
      </c>
    </row>
    <row r="122" spans="1:16" ht="12.75" customHeight="1" x14ac:dyDescent="0.25">
      <c r="A122" s="156" t="s">
        <v>668</v>
      </c>
      <c r="B122" s="156" t="s">
        <v>669</v>
      </c>
      <c r="C122" s="156" t="s">
        <v>670</v>
      </c>
      <c r="D122" s="162">
        <v>81379</v>
      </c>
      <c r="E122" s="159">
        <v>79902.899999999994</v>
      </c>
      <c r="F122" s="159">
        <v>84727.3</v>
      </c>
      <c r="G122" s="159">
        <v>102842.7</v>
      </c>
      <c r="H122" s="230">
        <f t="shared" si="5"/>
        <v>87212.975000000006</v>
      </c>
      <c r="I122" s="160">
        <f t="shared" si="7"/>
        <v>598.375</v>
      </c>
      <c r="J122" s="160">
        <f t="shared" si="7"/>
        <v>554.88124999999991</v>
      </c>
      <c r="K122" s="160">
        <f t="shared" si="7"/>
        <v>481.40511363636364</v>
      </c>
      <c r="L122" s="160">
        <f t="shared" si="7"/>
        <v>642.76687500000003</v>
      </c>
      <c r="P122" s="161">
        <f t="shared" si="6"/>
        <v>741.30289167613648</v>
      </c>
    </row>
    <row r="123" spans="1:16" ht="12.75" customHeight="1" x14ac:dyDescent="0.25">
      <c r="C123" s="156" t="s">
        <v>671</v>
      </c>
      <c r="D123" s="159">
        <v>54285.7</v>
      </c>
      <c r="E123" s="159">
        <v>58719.8</v>
      </c>
      <c r="F123" s="159">
        <v>60512.5</v>
      </c>
      <c r="G123" s="159">
        <v>61522.5</v>
      </c>
      <c r="H123" s="230">
        <f t="shared" si="5"/>
        <v>58760.125</v>
      </c>
      <c r="I123" s="160">
        <f t="shared" si="7"/>
        <v>399.15955882352938</v>
      </c>
      <c r="J123" s="160">
        <f t="shared" si="7"/>
        <v>407.7763888888889</v>
      </c>
      <c r="K123" s="160">
        <f t="shared" si="7"/>
        <v>343.82102272727275</v>
      </c>
      <c r="L123" s="160">
        <f t="shared" si="7"/>
        <v>384.515625</v>
      </c>
      <c r="P123" s="161">
        <f t="shared" si="6"/>
        <v>499.73122981561943</v>
      </c>
    </row>
    <row r="124" spans="1:16" ht="12.75" customHeight="1" x14ac:dyDescent="0.25">
      <c r="C124" s="156" t="s">
        <v>672</v>
      </c>
      <c r="D124" s="159">
        <v>53253.3</v>
      </c>
      <c r="E124" s="159">
        <v>49457.7</v>
      </c>
      <c r="F124" s="159">
        <v>52645.7</v>
      </c>
      <c r="G124" s="159">
        <v>58256.2</v>
      </c>
      <c r="H124" s="230">
        <f t="shared" si="5"/>
        <v>53403.225000000006</v>
      </c>
      <c r="I124" s="160">
        <f t="shared" si="7"/>
        <v>391.56838235294117</v>
      </c>
      <c r="J124" s="160">
        <f t="shared" si="7"/>
        <v>343.45624999999995</v>
      </c>
      <c r="K124" s="160">
        <f t="shared" si="7"/>
        <v>299.12329545454543</v>
      </c>
      <c r="L124" s="160">
        <f t="shared" si="7"/>
        <v>364.10124999999999</v>
      </c>
      <c r="P124" s="161">
        <f t="shared" si="6"/>
        <v>455.13010737633692</v>
      </c>
    </row>
    <row r="125" spans="1:16" ht="12.75" customHeight="1" x14ac:dyDescent="0.25">
      <c r="A125" s="156" t="s">
        <v>673</v>
      </c>
      <c r="B125" s="156" t="s">
        <v>674</v>
      </c>
      <c r="C125" s="156" t="s">
        <v>675</v>
      </c>
      <c r="D125" s="159">
        <v>47404.6</v>
      </c>
      <c r="E125" s="159">
        <v>44670.8</v>
      </c>
      <c r="F125" s="159">
        <v>48844.4</v>
      </c>
      <c r="G125" s="159">
        <v>49464.800000000003</v>
      </c>
      <c r="H125" s="230">
        <f t="shared" si="5"/>
        <v>47596.149999999994</v>
      </c>
      <c r="I125" s="160">
        <f t="shared" si="7"/>
        <v>348.56323529411765</v>
      </c>
      <c r="J125" s="160">
        <f t="shared" si="7"/>
        <v>310.2138888888889</v>
      </c>
      <c r="K125" s="160">
        <f t="shared" si="7"/>
        <v>277.52500000000003</v>
      </c>
      <c r="L125" s="160">
        <f t="shared" si="7"/>
        <v>309.15500000000003</v>
      </c>
      <c r="P125" s="161">
        <f t="shared" si="6"/>
        <v>405.39629392156866</v>
      </c>
    </row>
    <row r="126" spans="1:16" ht="12.75" customHeight="1" x14ac:dyDescent="0.25">
      <c r="B126" s="156" t="s">
        <v>676</v>
      </c>
      <c r="C126" s="156" t="s">
        <v>677</v>
      </c>
      <c r="D126" s="159">
        <v>45676.1</v>
      </c>
      <c r="E126" s="159">
        <v>43356.800000000003</v>
      </c>
      <c r="F126" s="159">
        <v>46519.8</v>
      </c>
      <c r="G126" s="159">
        <v>46783.1</v>
      </c>
      <c r="H126" s="230">
        <f t="shared" si="5"/>
        <v>45583.950000000004</v>
      </c>
      <c r="I126" s="160">
        <f t="shared" si="7"/>
        <v>335.8536764705882</v>
      </c>
      <c r="J126" s="160">
        <f t="shared" si="7"/>
        <v>301.0888888888889</v>
      </c>
      <c r="K126" s="160">
        <f t="shared" si="7"/>
        <v>264.31704545454545</v>
      </c>
      <c r="L126" s="160">
        <f t="shared" si="7"/>
        <v>292.39437499999997</v>
      </c>
      <c r="P126" s="161">
        <f t="shared" si="6"/>
        <v>388.53437238246443</v>
      </c>
    </row>
    <row r="127" spans="1:16" ht="12.75" customHeight="1" x14ac:dyDescent="0.25">
      <c r="B127" s="156" t="s">
        <v>678</v>
      </c>
      <c r="C127" s="156" t="s">
        <v>679</v>
      </c>
      <c r="D127" s="159">
        <v>53716.2</v>
      </c>
      <c r="E127" s="159">
        <v>50319.6</v>
      </c>
      <c r="F127" s="159">
        <v>54198.5</v>
      </c>
      <c r="G127" s="159">
        <v>54413.3</v>
      </c>
      <c r="H127" s="230">
        <f t="shared" si="5"/>
        <v>53161.899999999994</v>
      </c>
      <c r="I127" s="160">
        <f t="shared" si="7"/>
        <v>394.97205882352938</v>
      </c>
      <c r="J127" s="160">
        <f t="shared" si="7"/>
        <v>349.44166666666666</v>
      </c>
      <c r="K127" s="160">
        <f t="shared" si="7"/>
        <v>307.94602272727275</v>
      </c>
      <c r="L127" s="160">
        <f t="shared" si="7"/>
        <v>340.083125</v>
      </c>
      <c r="P127" s="161">
        <f t="shared" si="6"/>
        <v>453.2401552322861</v>
      </c>
    </row>
    <row r="128" spans="1:16" ht="12.75" customHeight="1" x14ac:dyDescent="0.25">
      <c r="C128" s="156" t="s">
        <v>680</v>
      </c>
      <c r="D128" s="159">
        <v>81556.5</v>
      </c>
      <c r="E128" s="159">
        <v>63512.7</v>
      </c>
      <c r="F128" s="159">
        <v>64838.2</v>
      </c>
      <c r="G128" s="159">
        <v>78951.600000000006</v>
      </c>
      <c r="H128" s="230">
        <f t="shared" si="5"/>
        <v>72214.75</v>
      </c>
      <c r="I128" s="160">
        <f t="shared" si="7"/>
        <v>599.68014705882354</v>
      </c>
      <c r="J128" s="160">
        <f t="shared" si="7"/>
        <v>441.06041666666664</v>
      </c>
      <c r="K128" s="160">
        <f t="shared" si="7"/>
        <v>368.39886363636361</v>
      </c>
      <c r="L128" s="160">
        <f t="shared" si="7"/>
        <v>493.44750000000005</v>
      </c>
      <c r="P128" s="161">
        <f t="shared" si="6"/>
        <v>619.29204485628338</v>
      </c>
    </row>
    <row r="129" spans="1:16" ht="12.75" customHeight="1" x14ac:dyDescent="0.25">
      <c r="C129" s="156" t="s">
        <v>681</v>
      </c>
      <c r="D129" s="159">
        <v>44722.7</v>
      </c>
      <c r="E129" s="162">
        <v>48231</v>
      </c>
      <c r="F129" s="159">
        <v>50638.2</v>
      </c>
      <c r="G129" s="159">
        <v>50993.1</v>
      </c>
      <c r="H129" s="230">
        <f t="shared" si="5"/>
        <v>48646.25</v>
      </c>
      <c r="I129" s="160">
        <f t="shared" si="7"/>
        <v>328.84338235294115</v>
      </c>
      <c r="J129" s="160">
        <f t="shared" si="7"/>
        <v>334.9375</v>
      </c>
      <c r="K129" s="160">
        <f t="shared" si="7"/>
        <v>287.71704545454543</v>
      </c>
      <c r="L129" s="160">
        <f t="shared" si="7"/>
        <v>318.70687499999997</v>
      </c>
      <c r="P129" s="161">
        <f t="shared" si="6"/>
        <v>413.45166331383683</v>
      </c>
    </row>
    <row r="130" spans="1:16" ht="12.75" customHeight="1" x14ac:dyDescent="0.25">
      <c r="B130" s="156" t="s">
        <v>682</v>
      </c>
      <c r="C130" s="156" t="s">
        <v>683</v>
      </c>
      <c r="D130" s="159">
        <v>43674.5</v>
      </c>
      <c r="E130" s="159">
        <v>41590.400000000001</v>
      </c>
      <c r="F130" s="159">
        <v>43645.4</v>
      </c>
      <c r="G130" s="162">
        <v>47234</v>
      </c>
      <c r="H130" s="230">
        <f t="shared" si="5"/>
        <v>44036.074999999997</v>
      </c>
      <c r="I130" s="160">
        <f t="shared" si="7"/>
        <v>321.1360294117647</v>
      </c>
      <c r="J130" s="160">
        <f t="shared" si="7"/>
        <v>288.82222222222225</v>
      </c>
      <c r="K130" s="160">
        <f t="shared" si="7"/>
        <v>247.98522727272729</v>
      </c>
      <c r="L130" s="160">
        <f t="shared" si="7"/>
        <v>295.21249999999998</v>
      </c>
      <c r="P130" s="161">
        <f t="shared" si="6"/>
        <v>375.35227113413549</v>
      </c>
    </row>
    <row r="131" spans="1:16" ht="12.75" customHeight="1" x14ac:dyDescent="0.25">
      <c r="A131" s="156" t="s">
        <v>684</v>
      </c>
      <c r="B131" s="156" t="s">
        <v>685</v>
      </c>
      <c r="C131" s="156" t="s">
        <v>686</v>
      </c>
      <c r="D131" s="159">
        <v>52254.3</v>
      </c>
      <c r="E131" s="159">
        <v>54161.4</v>
      </c>
      <c r="F131" s="159">
        <v>58555.6</v>
      </c>
      <c r="G131" s="159">
        <v>52427.8</v>
      </c>
      <c r="H131" s="230">
        <f t="shared" si="5"/>
        <v>54349.775000000009</v>
      </c>
      <c r="I131" s="160">
        <f t="shared" si="7"/>
        <v>384.22279411764708</v>
      </c>
      <c r="J131" s="160">
        <f t="shared" si="7"/>
        <v>376.12083333333334</v>
      </c>
      <c r="K131" s="160">
        <f t="shared" si="7"/>
        <v>332.70227272727271</v>
      </c>
      <c r="L131" s="160">
        <f t="shared" si="7"/>
        <v>327.67375000000004</v>
      </c>
      <c r="P131" s="161">
        <f t="shared" si="6"/>
        <v>462.44424613302147</v>
      </c>
    </row>
    <row r="132" spans="1:16" ht="12.75" customHeight="1" x14ac:dyDescent="0.25">
      <c r="C132" s="156" t="s">
        <v>687</v>
      </c>
      <c r="D132" s="159">
        <v>53127.9</v>
      </c>
      <c r="E132" s="159">
        <v>56029.2</v>
      </c>
      <c r="F132" s="159">
        <v>62030.6</v>
      </c>
      <c r="G132" s="159">
        <v>62417.4</v>
      </c>
      <c r="H132" s="230">
        <f t="shared" si="5"/>
        <v>58401.275000000001</v>
      </c>
      <c r="I132" s="160">
        <f t="shared" si="7"/>
        <v>390.6463235294118</v>
      </c>
      <c r="J132" s="160">
        <f t="shared" si="7"/>
        <v>389.09166666666664</v>
      </c>
      <c r="K132" s="160">
        <f t="shared" si="7"/>
        <v>352.4465909090909</v>
      </c>
      <c r="L132" s="160">
        <f t="shared" si="7"/>
        <v>390.10874999999999</v>
      </c>
      <c r="P132" s="161">
        <f t="shared" si="6"/>
        <v>495.50647927473261</v>
      </c>
    </row>
    <row r="133" spans="1:16" ht="12.75" customHeight="1" x14ac:dyDescent="0.25">
      <c r="B133" s="156" t="s">
        <v>688</v>
      </c>
      <c r="C133" s="156" t="s">
        <v>689</v>
      </c>
      <c r="D133" s="159">
        <v>61725.9</v>
      </c>
      <c r="E133" s="159">
        <v>64371.5</v>
      </c>
      <c r="F133" s="159">
        <v>71294.100000000006</v>
      </c>
      <c r="G133" s="159">
        <v>71914.8</v>
      </c>
      <c r="H133" s="230">
        <f t="shared" si="5"/>
        <v>67326.574999999997</v>
      </c>
      <c r="I133" s="160">
        <f t="shared" si="7"/>
        <v>453.86691176470589</v>
      </c>
      <c r="J133" s="160">
        <f t="shared" si="7"/>
        <v>447.02430555555554</v>
      </c>
      <c r="K133" s="160">
        <f t="shared" si="7"/>
        <v>405.08011363636365</v>
      </c>
      <c r="L133" s="160">
        <f t="shared" si="7"/>
        <v>449.46750000000003</v>
      </c>
      <c r="P133" s="161">
        <f t="shared" si="6"/>
        <v>571.39533947638142</v>
      </c>
    </row>
    <row r="134" spans="1:16" ht="12.75" customHeight="1" x14ac:dyDescent="0.25">
      <c r="C134" s="156" t="s">
        <v>690</v>
      </c>
      <c r="D134" s="159">
        <v>72516.800000000003</v>
      </c>
      <c r="E134" s="159">
        <v>86988.2</v>
      </c>
      <c r="F134" s="159">
        <v>95221.8</v>
      </c>
      <c r="G134" s="159">
        <v>92619.6</v>
      </c>
      <c r="H134" s="230">
        <f t="shared" si="5"/>
        <v>86836.6</v>
      </c>
      <c r="I134" s="160">
        <f t="shared" si="7"/>
        <v>533.21176470588239</v>
      </c>
      <c r="J134" s="160">
        <f t="shared" si="7"/>
        <v>604.08472222222224</v>
      </c>
      <c r="K134" s="160">
        <f t="shared" si="7"/>
        <v>541.03295454545457</v>
      </c>
      <c r="L134" s="160">
        <f t="shared" si="7"/>
        <v>578.87250000000006</v>
      </c>
      <c r="P134" s="161">
        <f t="shared" si="6"/>
        <v>734.71923194964347</v>
      </c>
    </row>
    <row r="135" spans="1:16" ht="12.75" customHeight="1" x14ac:dyDescent="0.25">
      <c r="C135" s="156" t="s">
        <v>691</v>
      </c>
      <c r="D135" s="159">
        <v>81335.899999999994</v>
      </c>
      <c r="E135" s="159">
        <v>81382.899999999994</v>
      </c>
      <c r="F135" s="159">
        <v>94045.1</v>
      </c>
      <c r="G135" s="159">
        <v>94849.8</v>
      </c>
      <c r="H135" s="230">
        <f t="shared" ref="H135:H198" si="8">AVERAGE(D135:G135)</f>
        <v>87903.425000000003</v>
      </c>
      <c r="I135" s="160">
        <f t="shared" si="7"/>
        <v>598.05808823529412</v>
      </c>
      <c r="J135" s="160">
        <f t="shared" si="7"/>
        <v>565.15902777777774</v>
      </c>
      <c r="K135" s="160">
        <f t="shared" si="7"/>
        <v>534.34715909090914</v>
      </c>
      <c r="L135" s="160">
        <f t="shared" si="7"/>
        <v>592.81124999999997</v>
      </c>
      <c r="P135" s="161">
        <f t="shared" ref="P135:P198" si="9">AVERAGE(I135:L135)*1.302</f>
        <v>745.51723342134585</v>
      </c>
    </row>
    <row r="136" spans="1:16" ht="12.75" customHeight="1" x14ac:dyDescent="0.25">
      <c r="B136" s="156" t="s">
        <v>692</v>
      </c>
      <c r="C136" s="156" t="s">
        <v>693</v>
      </c>
      <c r="D136" s="159">
        <v>66740.600000000006</v>
      </c>
      <c r="E136" s="159">
        <v>68951.199999999997</v>
      </c>
      <c r="F136" s="159">
        <v>75608.399999999994</v>
      </c>
      <c r="G136" s="159">
        <v>74330.100000000006</v>
      </c>
      <c r="H136" s="230">
        <f t="shared" si="8"/>
        <v>71407.574999999997</v>
      </c>
      <c r="I136" s="160">
        <f t="shared" si="7"/>
        <v>490.73970588235301</v>
      </c>
      <c r="J136" s="160">
        <f t="shared" si="7"/>
        <v>478.82777777777778</v>
      </c>
      <c r="K136" s="160">
        <f t="shared" si="7"/>
        <v>429.59318181818179</v>
      </c>
      <c r="L136" s="160">
        <f t="shared" si="7"/>
        <v>464.56312500000001</v>
      </c>
      <c r="P136" s="161">
        <f t="shared" si="9"/>
        <v>606.64209380069087</v>
      </c>
    </row>
    <row r="137" spans="1:16" ht="12.75" customHeight="1" x14ac:dyDescent="0.25">
      <c r="C137" s="156" t="s">
        <v>694</v>
      </c>
      <c r="D137" s="159">
        <v>44686.400000000001</v>
      </c>
      <c r="E137" s="159">
        <v>45293.1</v>
      </c>
      <c r="F137" s="162">
        <v>49225</v>
      </c>
      <c r="G137" s="159">
        <v>49822.7</v>
      </c>
      <c r="H137" s="230">
        <f t="shared" si="8"/>
        <v>47256.800000000003</v>
      </c>
      <c r="I137" s="160">
        <f t="shared" si="7"/>
        <v>328.57647058823528</v>
      </c>
      <c r="J137" s="160">
        <f t="shared" si="7"/>
        <v>314.53541666666666</v>
      </c>
      <c r="K137" s="160">
        <f t="shared" si="7"/>
        <v>279.6875</v>
      </c>
      <c r="L137" s="160">
        <f t="shared" si="7"/>
        <v>311.39187499999997</v>
      </c>
      <c r="P137" s="161">
        <f t="shared" si="9"/>
        <v>401.72925586397059</v>
      </c>
    </row>
    <row r="138" spans="1:16" ht="12.75" customHeight="1" x14ac:dyDescent="0.25">
      <c r="C138" s="156" t="s">
        <v>695</v>
      </c>
      <c r="D138" s="159">
        <v>28579.1</v>
      </c>
      <c r="E138" s="159">
        <v>29079.200000000001</v>
      </c>
      <c r="F138" s="159">
        <v>32605.7</v>
      </c>
      <c r="G138" s="159">
        <v>35137.4</v>
      </c>
      <c r="H138" s="230">
        <f t="shared" si="8"/>
        <v>31350.35</v>
      </c>
      <c r="I138" s="160">
        <f t="shared" si="7"/>
        <v>210.14044117647057</v>
      </c>
      <c r="J138" s="160">
        <f t="shared" si="7"/>
        <v>201.9388888888889</v>
      </c>
      <c r="K138" s="160">
        <f t="shared" si="7"/>
        <v>185.25965909090908</v>
      </c>
      <c r="L138" s="160">
        <f t="shared" si="7"/>
        <v>219.60875000000001</v>
      </c>
      <c r="P138" s="161">
        <f t="shared" si="9"/>
        <v>265.91648909536542</v>
      </c>
    </row>
    <row r="139" spans="1:16" ht="12.75" customHeight="1" x14ac:dyDescent="0.25">
      <c r="C139" s="156" t="s">
        <v>696</v>
      </c>
      <c r="D139" s="159">
        <v>60530.8</v>
      </c>
      <c r="E139" s="159">
        <v>62051.3</v>
      </c>
      <c r="F139" s="159">
        <v>70650.100000000006</v>
      </c>
      <c r="G139" s="159">
        <v>69881.600000000006</v>
      </c>
      <c r="H139" s="230">
        <f t="shared" si="8"/>
        <v>65778.450000000012</v>
      </c>
      <c r="I139" s="160">
        <f t="shared" si="7"/>
        <v>445.07941176470592</v>
      </c>
      <c r="J139" s="160">
        <f t="shared" si="7"/>
        <v>430.91180555555559</v>
      </c>
      <c r="K139" s="160">
        <f t="shared" si="7"/>
        <v>401.42102272727277</v>
      </c>
      <c r="L139" s="160">
        <f t="shared" si="7"/>
        <v>436.76000000000005</v>
      </c>
      <c r="P139" s="161">
        <f t="shared" si="9"/>
        <v>557.96306413547245</v>
      </c>
    </row>
    <row r="140" spans="1:16" ht="12.75" customHeight="1" x14ac:dyDescent="0.25">
      <c r="A140" s="156" t="s">
        <v>697</v>
      </c>
      <c r="B140" s="156" t="s">
        <v>698</v>
      </c>
      <c r="C140" s="156" t="s">
        <v>699</v>
      </c>
      <c r="D140" s="159">
        <v>67717.899999999994</v>
      </c>
      <c r="E140" s="159">
        <v>74117.2</v>
      </c>
      <c r="F140" s="159">
        <v>75155.899999999994</v>
      </c>
      <c r="G140" s="159">
        <v>84399.2</v>
      </c>
      <c r="H140" s="230">
        <f t="shared" si="8"/>
        <v>75347.549999999988</v>
      </c>
      <c r="I140" s="160">
        <f t="shared" si="7"/>
        <v>497.9257352941176</v>
      </c>
      <c r="J140" s="160">
        <f t="shared" si="7"/>
        <v>514.70277777777778</v>
      </c>
      <c r="K140" s="160">
        <f t="shared" si="7"/>
        <v>427.02215909090904</v>
      </c>
      <c r="L140" s="160">
        <f t="shared" si="7"/>
        <v>527.495</v>
      </c>
      <c r="P140" s="161">
        <f t="shared" si="9"/>
        <v>640.30591628899299</v>
      </c>
    </row>
    <row r="141" spans="1:16" ht="12.75" customHeight="1" x14ac:dyDescent="0.25">
      <c r="C141" s="156" t="s">
        <v>700</v>
      </c>
      <c r="D141" s="159">
        <v>44641.8</v>
      </c>
      <c r="E141" s="159">
        <v>44852.3</v>
      </c>
      <c r="F141" s="159">
        <v>47690.3</v>
      </c>
      <c r="G141" s="159">
        <v>52727.3</v>
      </c>
      <c r="H141" s="230">
        <f t="shared" si="8"/>
        <v>47477.925000000003</v>
      </c>
      <c r="I141" s="160">
        <f t="shared" si="7"/>
        <v>328.24852941176471</v>
      </c>
      <c r="J141" s="160">
        <f t="shared" si="7"/>
        <v>311.47430555555559</v>
      </c>
      <c r="K141" s="160">
        <f t="shared" si="7"/>
        <v>270.96761363636364</v>
      </c>
      <c r="L141" s="160">
        <f t="shared" si="7"/>
        <v>329.54562500000003</v>
      </c>
      <c r="P141" s="161">
        <f t="shared" si="9"/>
        <v>403.69684195799914</v>
      </c>
    </row>
    <row r="142" spans="1:16" ht="12.75" customHeight="1" x14ac:dyDescent="0.25">
      <c r="C142" s="156" t="s">
        <v>701</v>
      </c>
      <c r="D142" s="159">
        <v>44879.9</v>
      </c>
      <c r="E142" s="159">
        <v>46873.1</v>
      </c>
      <c r="F142" s="159">
        <v>50296.800000000003</v>
      </c>
      <c r="G142" s="159">
        <v>51184.1</v>
      </c>
      <c r="H142" s="230">
        <f t="shared" si="8"/>
        <v>48308.474999999999</v>
      </c>
      <c r="I142" s="160">
        <f t="shared" si="7"/>
        <v>329.99926470588235</v>
      </c>
      <c r="J142" s="160">
        <f t="shared" si="7"/>
        <v>325.50763888888889</v>
      </c>
      <c r="K142" s="160">
        <f t="shared" si="7"/>
        <v>285.77727272727276</v>
      </c>
      <c r="L142" s="160">
        <f t="shared" si="7"/>
        <v>319.90062499999999</v>
      </c>
      <c r="P142" s="161">
        <f t="shared" si="9"/>
        <v>410.51565283032534</v>
      </c>
    </row>
    <row r="143" spans="1:16" ht="12.75" customHeight="1" x14ac:dyDescent="0.25">
      <c r="C143" s="156" t="s">
        <v>702</v>
      </c>
      <c r="D143" s="159">
        <v>40916.1</v>
      </c>
      <c r="E143" s="159">
        <v>37665.9</v>
      </c>
      <c r="F143" s="159">
        <v>42711.6</v>
      </c>
      <c r="G143" s="162">
        <v>54211</v>
      </c>
      <c r="H143" s="230">
        <f t="shared" si="8"/>
        <v>43876.15</v>
      </c>
      <c r="I143" s="160">
        <f t="shared" si="7"/>
        <v>300.8536764705882</v>
      </c>
      <c r="J143" s="160">
        <f t="shared" si="7"/>
        <v>261.56875000000002</v>
      </c>
      <c r="K143" s="160">
        <f t="shared" si="7"/>
        <v>242.67954545454543</v>
      </c>
      <c r="L143" s="160">
        <f t="shared" si="7"/>
        <v>338.81875000000002</v>
      </c>
      <c r="P143" s="161">
        <f t="shared" si="9"/>
        <v>372.34619498663102</v>
      </c>
    </row>
    <row r="144" spans="1:16" ht="12.75" customHeight="1" x14ac:dyDescent="0.25">
      <c r="B144" s="156" t="s">
        <v>703</v>
      </c>
      <c r="C144" s="156" t="s">
        <v>704</v>
      </c>
      <c r="D144" s="159">
        <v>53060.4</v>
      </c>
      <c r="E144" s="159">
        <v>58432.3</v>
      </c>
      <c r="F144" s="159">
        <v>76159.3</v>
      </c>
      <c r="G144" s="159">
        <v>91181.3</v>
      </c>
      <c r="H144" s="230">
        <f t="shared" si="8"/>
        <v>69708.324999999997</v>
      </c>
      <c r="I144" s="160">
        <f t="shared" si="7"/>
        <v>390.15000000000003</v>
      </c>
      <c r="J144" s="160">
        <f t="shared" si="7"/>
        <v>405.77986111111113</v>
      </c>
      <c r="K144" s="160">
        <f t="shared" si="7"/>
        <v>432.72329545454545</v>
      </c>
      <c r="L144" s="160">
        <f t="shared" si="7"/>
        <v>569.88312500000006</v>
      </c>
      <c r="P144" s="161">
        <f t="shared" si="9"/>
        <v>585.42355964962132</v>
      </c>
    </row>
    <row r="145" spans="2:16" ht="12.75" customHeight="1" x14ac:dyDescent="0.25">
      <c r="C145" s="156" t="s">
        <v>705</v>
      </c>
      <c r="D145" s="159">
        <v>55511.5</v>
      </c>
      <c r="E145" s="162">
        <v>58906</v>
      </c>
      <c r="F145" s="159">
        <v>62450.6</v>
      </c>
      <c r="G145" s="159">
        <v>80024.2</v>
      </c>
      <c r="H145" s="230">
        <f t="shared" si="8"/>
        <v>64223.074999999997</v>
      </c>
      <c r="I145" s="160">
        <f t="shared" si="7"/>
        <v>408.17279411764707</v>
      </c>
      <c r="J145" s="160">
        <f t="shared" si="7"/>
        <v>409.06944444444446</v>
      </c>
      <c r="K145" s="160">
        <f t="shared" si="7"/>
        <v>354.83295454545453</v>
      </c>
      <c r="L145" s="160">
        <f t="shared" si="7"/>
        <v>500.15125</v>
      </c>
      <c r="P145" s="161">
        <f t="shared" si="9"/>
        <v>544.3097072315062</v>
      </c>
    </row>
    <row r="146" spans="2:16" ht="12.75" customHeight="1" x14ac:dyDescent="0.25">
      <c r="C146" s="156" t="s">
        <v>706</v>
      </c>
      <c r="D146" s="162">
        <v>54959</v>
      </c>
      <c r="E146" s="159">
        <v>61562.7</v>
      </c>
      <c r="F146" s="159">
        <v>63143.6</v>
      </c>
      <c r="G146" s="159">
        <v>61027.199999999997</v>
      </c>
      <c r="H146" s="230">
        <f t="shared" si="8"/>
        <v>60173.125</v>
      </c>
      <c r="I146" s="160">
        <f t="shared" si="7"/>
        <v>404.11029411764707</v>
      </c>
      <c r="J146" s="160">
        <f t="shared" si="7"/>
        <v>427.51874999999995</v>
      </c>
      <c r="K146" s="160">
        <f t="shared" si="7"/>
        <v>358.77045454545453</v>
      </c>
      <c r="L146" s="160">
        <f t="shared" si="7"/>
        <v>381.41999999999996</v>
      </c>
      <c r="P146" s="161">
        <f t="shared" si="9"/>
        <v>511.62724681483957</v>
      </c>
    </row>
    <row r="147" spans="2:16" ht="12.75" customHeight="1" x14ac:dyDescent="0.25">
      <c r="C147" s="156" t="s">
        <v>707</v>
      </c>
      <c r="D147" s="159">
        <v>72891.199999999997</v>
      </c>
      <c r="E147" s="159">
        <v>80022.3</v>
      </c>
      <c r="F147" s="159">
        <v>96491.7</v>
      </c>
      <c r="G147" s="159">
        <v>83166.3</v>
      </c>
      <c r="H147" s="230">
        <f t="shared" si="8"/>
        <v>83142.875</v>
      </c>
      <c r="I147" s="160">
        <f t="shared" si="7"/>
        <v>535.96470588235297</v>
      </c>
      <c r="J147" s="160">
        <f t="shared" si="7"/>
        <v>555.71041666666667</v>
      </c>
      <c r="K147" s="160">
        <f t="shared" si="7"/>
        <v>548.24829545454543</v>
      </c>
      <c r="L147" s="160">
        <f t="shared" si="7"/>
        <v>519.78937500000006</v>
      </c>
      <c r="P147" s="161">
        <f t="shared" si="9"/>
        <v>702.98651412266042</v>
      </c>
    </row>
    <row r="148" spans="2:16" ht="12.75" customHeight="1" x14ac:dyDescent="0.25">
      <c r="C148" s="156" t="s">
        <v>708</v>
      </c>
      <c r="D148" s="159">
        <v>106100.6</v>
      </c>
      <c r="E148" s="159">
        <v>126001.7</v>
      </c>
      <c r="F148" s="159">
        <v>107443.5</v>
      </c>
      <c r="G148" s="159">
        <v>134563.1</v>
      </c>
      <c r="H148" s="230">
        <f t="shared" si="8"/>
        <v>118527.22500000001</v>
      </c>
      <c r="I148" s="160">
        <f t="shared" si="7"/>
        <v>780.15147058823538</v>
      </c>
      <c r="J148" s="160">
        <f t="shared" si="7"/>
        <v>875.0118055555555</v>
      </c>
      <c r="K148" s="160">
        <f t="shared" si="7"/>
        <v>610.47443181818187</v>
      </c>
      <c r="L148" s="160">
        <f t="shared" si="7"/>
        <v>841.01937500000008</v>
      </c>
      <c r="P148" s="161">
        <f t="shared" si="9"/>
        <v>1011.2168805041223</v>
      </c>
    </row>
    <row r="149" spans="2:16" ht="12.75" customHeight="1" x14ac:dyDescent="0.25">
      <c r="C149" s="156" t="s">
        <v>709</v>
      </c>
      <c r="D149" s="159">
        <v>79203.100000000006</v>
      </c>
      <c r="E149" s="159">
        <v>80789.5</v>
      </c>
      <c r="F149" s="159">
        <v>90994.1</v>
      </c>
      <c r="G149" s="159">
        <v>97600.8</v>
      </c>
      <c r="H149" s="230">
        <f t="shared" si="8"/>
        <v>87146.875</v>
      </c>
      <c r="I149" s="160">
        <f t="shared" si="7"/>
        <v>582.3757352941177</v>
      </c>
      <c r="J149" s="160">
        <f t="shared" si="7"/>
        <v>561.03819444444446</v>
      </c>
      <c r="K149" s="160">
        <f t="shared" si="7"/>
        <v>517.01193181818189</v>
      </c>
      <c r="L149" s="160">
        <f t="shared" si="7"/>
        <v>610.005</v>
      </c>
      <c r="P149" s="161">
        <f t="shared" si="9"/>
        <v>739.0252454367203</v>
      </c>
    </row>
    <row r="150" spans="2:16" ht="12.75" customHeight="1" x14ac:dyDescent="0.25">
      <c r="C150" s="156" t="s">
        <v>710</v>
      </c>
      <c r="D150" s="159">
        <v>54235.6</v>
      </c>
      <c r="E150" s="159">
        <v>73848.100000000006</v>
      </c>
      <c r="F150" s="159">
        <v>88948.2</v>
      </c>
      <c r="G150" s="159">
        <v>74319.5</v>
      </c>
      <c r="H150" s="230">
        <f t="shared" si="8"/>
        <v>72837.850000000006</v>
      </c>
      <c r="I150" s="160">
        <f t="shared" ref="I150:L195" si="10">D150/I$5/8</f>
        <v>398.7911764705882</v>
      </c>
      <c r="J150" s="160">
        <f t="shared" si="10"/>
        <v>512.83402777777781</v>
      </c>
      <c r="K150" s="160">
        <f t="shared" si="10"/>
        <v>505.38749999999999</v>
      </c>
      <c r="L150" s="160">
        <f t="shared" si="10"/>
        <v>464.49687499999999</v>
      </c>
      <c r="P150" s="161">
        <f t="shared" si="9"/>
        <v>612.43136804534311</v>
      </c>
    </row>
    <row r="151" spans="2:16" ht="12.75" customHeight="1" x14ac:dyDescent="0.25">
      <c r="C151" s="156" t="s">
        <v>711</v>
      </c>
      <c r="D151" s="159">
        <v>58264.7</v>
      </c>
      <c r="E151" s="159">
        <v>61434.5</v>
      </c>
      <c r="F151" s="159">
        <v>75406.8</v>
      </c>
      <c r="G151" s="159">
        <v>89041.600000000006</v>
      </c>
      <c r="H151" s="230">
        <f t="shared" si="8"/>
        <v>71036.899999999994</v>
      </c>
      <c r="I151" s="160">
        <f t="shared" si="10"/>
        <v>428.41691176470584</v>
      </c>
      <c r="J151" s="160">
        <f t="shared" si="10"/>
        <v>426.62847222222223</v>
      </c>
      <c r="K151" s="160">
        <f t="shared" si="10"/>
        <v>428.44772727272726</v>
      </c>
      <c r="L151" s="160">
        <f t="shared" si="10"/>
        <v>556.51</v>
      </c>
      <c r="P151" s="161">
        <f t="shared" si="9"/>
        <v>598.92101271501781</v>
      </c>
    </row>
    <row r="152" spans="2:16" ht="12.75" customHeight="1" x14ac:dyDescent="0.25">
      <c r="B152" s="156" t="s">
        <v>712</v>
      </c>
      <c r="C152" s="156" t="s">
        <v>713</v>
      </c>
      <c r="D152" s="159">
        <v>45172.6</v>
      </c>
      <c r="E152" s="159">
        <v>45470.2</v>
      </c>
      <c r="F152" s="159">
        <v>47981.3</v>
      </c>
      <c r="G152" s="159">
        <v>44703.4</v>
      </c>
      <c r="H152" s="230">
        <f t="shared" si="8"/>
        <v>45831.874999999993</v>
      </c>
      <c r="I152" s="160">
        <f t="shared" si="10"/>
        <v>332.15147058823527</v>
      </c>
      <c r="J152" s="160">
        <f t="shared" si="10"/>
        <v>315.76527777777778</v>
      </c>
      <c r="K152" s="160">
        <f t="shared" si="10"/>
        <v>272.62102272727276</v>
      </c>
      <c r="L152" s="160">
        <f t="shared" si="10"/>
        <v>279.39625000000001</v>
      </c>
      <c r="P152" s="161">
        <f t="shared" si="9"/>
        <v>390.57852386586455</v>
      </c>
    </row>
    <row r="153" spans="2:16" ht="12.75" customHeight="1" x14ac:dyDescent="0.25">
      <c r="C153" s="156" t="s">
        <v>714</v>
      </c>
      <c r="D153" s="159">
        <v>41739.699999999997</v>
      </c>
      <c r="E153" s="159">
        <v>34356.9</v>
      </c>
      <c r="F153" s="159">
        <v>38308.5</v>
      </c>
      <c r="G153" s="159">
        <v>40000.1</v>
      </c>
      <c r="H153" s="230">
        <f t="shared" si="8"/>
        <v>38601.300000000003</v>
      </c>
      <c r="I153" s="160">
        <f t="shared" si="10"/>
        <v>306.90955882352938</v>
      </c>
      <c r="J153" s="160">
        <f t="shared" si="10"/>
        <v>238.58958333333334</v>
      </c>
      <c r="K153" s="160">
        <f t="shared" si="10"/>
        <v>217.66193181818181</v>
      </c>
      <c r="L153" s="160">
        <f t="shared" si="10"/>
        <v>250.00062499999999</v>
      </c>
      <c r="P153" s="161">
        <f t="shared" si="9"/>
        <v>329.78413301637698</v>
      </c>
    </row>
    <row r="154" spans="2:16" ht="12.75" customHeight="1" x14ac:dyDescent="0.25">
      <c r="C154" s="156" t="s">
        <v>715</v>
      </c>
      <c r="D154" s="159">
        <v>48562.9</v>
      </c>
      <c r="E154" s="159">
        <v>45458.400000000001</v>
      </c>
      <c r="F154" s="159">
        <v>48769.2</v>
      </c>
      <c r="G154" s="159">
        <v>48548.800000000003</v>
      </c>
      <c r="H154" s="230">
        <f t="shared" si="8"/>
        <v>47834.824999999997</v>
      </c>
      <c r="I154" s="160">
        <f t="shared" si="10"/>
        <v>357.08014705882351</v>
      </c>
      <c r="J154" s="160">
        <f t="shared" si="10"/>
        <v>315.68333333333334</v>
      </c>
      <c r="K154" s="160">
        <f t="shared" si="10"/>
        <v>277.09772727272724</v>
      </c>
      <c r="L154" s="160">
        <f t="shared" si="10"/>
        <v>303.43</v>
      </c>
      <c r="P154" s="161">
        <f t="shared" si="9"/>
        <v>407.94628809491985</v>
      </c>
    </row>
    <row r="155" spans="2:16" ht="12.75" customHeight="1" x14ac:dyDescent="0.25">
      <c r="C155" s="156" t="s">
        <v>716</v>
      </c>
      <c r="D155" s="159">
        <v>67282.3</v>
      </c>
      <c r="E155" s="159">
        <v>52260.7</v>
      </c>
      <c r="F155" s="159">
        <v>63728.7</v>
      </c>
      <c r="G155" s="159">
        <v>53314.7</v>
      </c>
      <c r="H155" s="230">
        <f t="shared" si="8"/>
        <v>59146.600000000006</v>
      </c>
      <c r="I155" s="160">
        <f t="shared" si="10"/>
        <v>494.72279411764708</v>
      </c>
      <c r="J155" s="160">
        <f t="shared" si="10"/>
        <v>362.92152777777778</v>
      </c>
      <c r="K155" s="160">
        <f t="shared" si="10"/>
        <v>362.09488636363636</v>
      </c>
      <c r="L155" s="160">
        <f t="shared" si="10"/>
        <v>333.21687499999996</v>
      </c>
      <c r="P155" s="161">
        <f t="shared" si="9"/>
        <v>505.48720510082438</v>
      </c>
    </row>
    <row r="156" spans="2:16" ht="12.75" customHeight="1" x14ac:dyDescent="0.25">
      <c r="C156" s="156" t="s">
        <v>717</v>
      </c>
      <c r="D156" s="159">
        <v>58803.8</v>
      </c>
      <c r="E156" s="159">
        <v>46752.1</v>
      </c>
      <c r="F156" s="159">
        <v>48134.400000000001</v>
      </c>
      <c r="G156" s="162">
        <v>70018</v>
      </c>
      <c r="H156" s="230">
        <f t="shared" si="8"/>
        <v>55927.074999999997</v>
      </c>
      <c r="I156" s="160">
        <f t="shared" si="10"/>
        <v>432.38088235294117</v>
      </c>
      <c r="J156" s="160">
        <f t="shared" si="10"/>
        <v>324.66736111111112</v>
      </c>
      <c r="K156" s="160">
        <f t="shared" si="10"/>
        <v>273.4909090909091</v>
      </c>
      <c r="L156" s="160">
        <f t="shared" si="10"/>
        <v>437.61250000000001</v>
      </c>
      <c r="P156" s="161">
        <f t="shared" si="9"/>
        <v>477.88336290663995</v>
      </c>
    </row>
    <row r="157" spans="2:16" ht="12.75" customHeight="1" x14ac:dyDescent="0.25">
      <c r="C157" s="156" t="s">
        <v>718</v>
      </c>
      <c r="D157" s="159">
        <v>32669.3</v>
      </c>
      <c r="E157" s="159">
        <v>30056.1</v>
      </c>
      <c r="F157" s="159">
        <v>31217.1</v>
      </c>
      <c r="G157" s="159">
        <v>34718.9</v>
      </c>
      <c r="H157" s="230">
        <f t="shared" si="8"/>
        <v>32165.35</v>
      </c>
      <c r="I157" s="160">
        <f t="shared" si="10"/>
        <v>240.21544117647059</v>
      </c>
      <c r="J157" s="160">
        <f t="shared" si="10"/>
        <v>208.72291666666666</v>
      </c>
      <c r="K157" s="160">
        <f t="shared" si="10"/>
        <v>177.36988636363637</v>
      </c>
      <c r="L157" s="160">
        <f t="shared" si="10"/>
        <v>216.99312500000002</v>
      </c>
      <c r="P157" s="161">
        <f t="shared" si="9"/>
        <v>274.49459567680481</v>
      </c>
    </row>
    <row r="158" spans="2:16" ht="12.75" customHeight="1" x14ac:dyDescent="0.25">
      <c r="C158" s="156" t="s">
        <v>719</v>
      </c>
      <c r="D158" s="159">
        <v>53799.9</v>
      </c>
      <c r="E158" s="162">
        <v>52574</v>
      </c>
      <c r="F158" s="159">
        <v>60769.4</v>
      </c>
      <c r="G158" s="159">
        <v>57464.9</v>
      </c>
      <c r="H158" s="230">
        <f t="shared" si="8"/>
        <v>56152.049999999996</v>
      </c>
      <c r="I158" s="160">
        <f t="shared" si="10"/>
        <v>395.58750000000003</v>
      </c>
      <c r="J158" s="160">
        <f t="shared" si="10"/>
        <v>365.09722222222223</v>
      </c>
      <c r="K158" s="160">
        <f t="shared" si="10"/>
        <v>345.28068181818185</v>
      </c>
      <c r="L158" s="160">
        <f t="shared" si="10"/>
        <v>359.15562499999999</v>
      </c>
      <c r="P158" s="161">
        <f t="shared" si="9"/>
        <v>476.89689495265156</v>
      </c>
    </row>
    <row r="159" spans="2:16" ht="12.75" customHeight="1" x14ac:dyDescent="0.25">
      <c r="C159" s="156" t="s">
        <v>720</v>
      </c>
      <c r="D159" s="159">
        <v>45661.8</v>
      </c>
      <c r="E159" s="159">
        <v>49598.3</v>
      </c>
      <c r="F159" s="159">
        <v>52560.2</v>
      </c>
      <c r="G159" s="159">
        <v>52287.5</v>
      </c>
      <c r="H159" s="230">
        <f t="shared" si="8"/>
        <v>50026.95</v>
      </c>
      <c r="I159" s="160">
        <f t="shared" si="10"/>
        <v>335.74852941176471</v>
      </c>
      <c r="J159" s="160">
        <f t="shared" si="10"/>
        <v>344.4326388888889</v>
      </c>
      <c r="K159" s="160">
        <f t="shared" si="10"/>
        <v>298.63749999999999</v>
      </c>
      <c r="L159" s="160">
        <f t="shared" si="10"/>
        <v>326.796875</v>
      </c>
      <c r="P159" s="161">
        <f t="shared" si="9"/>
        <v>424.97785934436274</v>
      </c>
    </row>
    <row r="160" spans="2:16" ht="12.75" customHeight="1" x14ac:dyDescent="0.25">
      <c r="C160" s="156" t="s">
        <v>721</v>
      </c>
      <c r="D160" s="159">
        <v>69117.3</v>
      </c>
      <c r="E160" s="159">
        <v>61139.6</v>
      </c>
      <c r="F160" s="159">
        <v>72908.3</v>
      </c>
      <c r="G160" s="159">
        <v>68384.800000000003</v>
      </c>
      <c r="H160" s="230">
        <f t="shared" si="8"/>
        <v>67887.5</v>
      </c>
      <c r="I160" s="160">
        <f t="shared" si="10"/>
        <v>508.21544117647062</v>
      </c>
      <c r="J160" s="160">
        <f t="shared" si="10"/>
        <v>424.58055555555552</v>
      </c>
      <c r="K160" s="160">
        <f t="shared" si="10"/>
        <v>414.25170454545457</v>
      </c>
      <c r="L160" s="160">
        <f t="shared" si="10"/>
        <v>427.40500000000003</v>
      </c>
      <c r="P160" s="161">
        <f t="shared" si="9"/>
        <v>577.58435426582002</v>
      </c>
    </row>
    <row r="161" spans="1:16" ht="12.75" customHeight="1" x14ac:dyDescent="0.25">
      <c r="A161" s="156" t="s">
        <v>722</v>
      </c>
      <c r="B161" s="156" t="s">
        <v>723</v>
      </c>
      <c r="C161" s="156" t="s">
        <v>724</v>
      </c>
      <c r="D161" s="159">
        <v>84207.2</v>
      </c>
      <c r="E161" s="159">
        <v>76195.600000000006</v>
      </c>
      <c r="F161" s="159">
        <v>78473.8</v>
      </c>
      <c r="G161" s="162">
        <v>73310</v>
      </c>
      <c r="H161" s="230">
        <f t="shared" si="8"/>
        <v>78046.649999999994</v>
      </c>
      <c r="I161" s="160">
        <f t="shared" si="10"/>
        <v>619.17058823529408</v>
      </c>
      <c r="J161" s="160">
        <f t="shared" si="10"/>
        <v>529.13611111111118</v>
      </c>
      <c r="K161" s="160">
        <f t="shared" si="10"/>
        <v>445.87386363636364</v>
      </c>
      <c r="L161" s="160">
        <f t="shared" si="10"/>
        <v>458.1875</v>
      </c>
      <c r="P161" s="161">
        <f t="shared" si="9"/>
        <v>668.04580450089134</v>
      </c>
    </row>
    <row r="162" spans="1:16" ht="12.75" customHeight="1" x14ac:dyDescent="0.25">
      <c r="C162" s="156" t="s">
        <v>725</v>
      </c>
      <c r="D162" s="159">
        <v>89604.9</v>
      </c>
      <c r="E162" s="159">
        <v>89467.1</v>
      </c>
      <c r="F162" s="159">
        <v>88535.6</v>
      </c>
      <c r="G162" s="162">
        <v>97845</v>
      </c>
      <c r="H162" s="230">
        <f t="shared" si="8"/>
        <v>91363.15</v>
      </c>
      <c r="I162" s="160">
        <f t="shared" si="10"/>
        <v>658.85955882352937</v>
      </c>
      <c r="J162" s="160">
        <f t="shared" si="10"/>
        <v>621.29930555555563</v>
      </c>
      <c r="K162" s="160">
        <f t="shared" si="10"/>
        <v>503.04318181818184</v>
      </c>
      <c r="L162" s="160">
        <f t="shared" si="10"/>
        <v>611.53125</v>
      </c>
      <c r="P162" s="161">
        <f t="shared" si="9"/>
        <v>779.48568791221044</v>
      </c>
    </row>
    <row r="163" spans="1:16" ht="12.75" customHeight="1" x14ac:dyDescent="0.25">
      <c r="C163" s="156" t="s">
        <v>726</v>
      </c>
      <c r="D163" s="159">
        <v>59234.1</v>
      </c>
      <c r="E163" s="159">
        <v>56505.2</v>
      </c>
      <c r="F163" s="159">
        <v>60958.5</v>
      </c>
      <c r="G163" s="159">
        <v>60428.5</v>
      </c>
      <c r="H163" s="230">
        <f t="shared" si="8"/>
        <v>59281.574999999997</v>
      </c>
      <c r="I163" s="160">
        <f t="shared" si="10"/>
        <v>435.54485294117649</v>
      </c>
      <c r="J163" s="160">
        <f t="shared" si="10"/>
        <v>392.39722222222218</v>
      </c>
      <c r="K163" s="160">
        <f t="shared" si="10"/>
        <v>346.35511363636363</v>
      </c>
      <c r="L163" s="160">
        <f t="shared" si="10"/>
        <v>377.67812500000002</v>
      </c>
      <c r="P163" s="161">
        <f t="shared" si="9"/>
        <v>505.16796464182261</v>
      </c>
    </row>
    <row r="164" spans="1:16" ht="12.75" customHeight="1" x14ac:dyDescent="0.25">
      <c r="C164" s="156" t="s">
        <v>727</v>
      </c>
      <c r="D164" s="159">
        <v>52494.6</v>
      </c>
      <c r="E164" s="162">
        <v>51307</v>
      </c>
      <c r="F164" s="159">
        <v>54751.199999999997</v>
      </c>
      <c r="G164" s="159">
        <v>57652.5</v>
      </c>
      <c r="H164" s="230">
        <f t="shared" si="8"/>
        <v>54051.324999999997</v>
      </c>
      <c r="I164" s="160">
        <f t="shared" si="10"/>
        <v>385.98970588235295</v>
      </c>
      <c r="J164" s="160">
        <f t="shared" si="10"/>
        <v>356.29861111111109</v>
      </c>
      <c r="K164" s="160">
        <f t="shared" si="10"/>
        <v>311.08636363636361</v>
      </c>
      <c r="L164" s="160">
        <f t="shared" si="10"/>
        <v>360.328125</v>
      </c>
      <c r="P164" s="161">
        <f t="shared" si="9"/>
        <v>460.16026323250895</v>
      </c>
    </row>
    <row r="165" spans="1:16" ht="12.75" customHeight="1" x14ac:dyDescent="0.25">
      <c r="C165" s="156" t="s">
        <v>728</v>
      </c>
      <c r="D165" s="159">
        <v>104707.1</v>
      </c>
      <c r="E165" s="159">
        <v>107355.1</v>
      </c>
      <c r="F165" s="159">
        <v>107469.5</v>
      </c>
      <c r="G165" s="159">
        <v>123819.5</v>
      </c>
      <c r="H165" s="230">
        <f t="shared" si="8"/>
        <v>110837.8</v>
      </c>
      <c r="I165" s="160">
        <f t="shared" si="10"/>
        <v>769.90514705882356</v>
      </c>
      <c r="J165" s="160">
        <f t="shared" si="10"/>
        <v>745.52152777777781</v>
      </c>
      <c r="K165" s="160">
        <f t="shared" si="10"/>
        <v>610.62215909090912</v>
      </c>
      <c r="L165" s="160">
        <f t="shared" si="10"/>
        <v>773.87187500000005</v>
      </c>
      <c r="P165" s="161">
        <f t="shared" si="9"/>
        <v>943.92419075590476</v>
      </c>
    </row>
    <row r="166" spans="1:16" ht="12.75" customHeight="1" x14ac:dyDescent="0.25">
      <c r="B166" s="156" t="s">
        <v>729</v>
      </c>
      <c r="C166" s="156" t="s">
        <v>730</v>
      </c>
      <c r="D166" s="159">
        <v>70019.5</v>
      </c>
      <c r="E166" s="159">
        <v>68209.100000000006</v>
      </c>
      <c r="F166" s="159">
        <v>69473.100000000006</v>
      </c>
      <c r="G166" s="159">
        <v>63021.9</v>
      </c>
      <c r="H166" s="230">
        <f t="shared" si="8"/>
        <v>67680.900000000009</v>
      </c>
      <c r="I166" s="160">
        <f t="shared" si="10"/>
        <v>514.84926470588232</v>
      </c>
      <c r="J166" s="160">
        <f t="shared" si="10"/>
        <v>473.67430555555558</v>
      </c>
      <c r="K166" s="160">
        <f t="shared" si="10"/>
        <v>394.73352272727277</v>
      </c>
      <c r="L166" s="160">
        <f t="shared" si="10"/>
        <v>393.88687500000003</v>
      </c>
      <c r="P166" s="161">
        <f t="shared" si="9"/>
        <v>578.46036158032541</v>
      </c>
    </row>
    <row r="167" spans="1:16" ht="12.75" customHeight="1" x14ac:dyDescent="0.25">
      <c r="C167" s="156" t="s">
        <v>731</v>
      </c>
      <c r="D167" s="159">
        <v>134866.20000000001</v>
      </c>
      <c r="E167" s="159">
        <v>238597.5</v>
      </c>
      <c r="F167" s="159">
        <v>153109.70000000001</v>
      </c>
      <c r="G167" s="159">
        <v>155604.79999999999</v>
      </c>
      <c r="H167" s="230">
        <f t="shared" si="8"/>
        <v>170544.55</v>
      </c>
      <c r="I167" s="160">
        <f t="shared" si="10"/>
        <v>991.66323529411773</v>
      </c>
      <c r="J167" s="160">
        <f t="shared" si="10"/>
        <v>1656.9270833333333</v>
      </c>
      <c r="K167" s="160">
        <f t="shared" si="10"/>
        <v>869.9414772727273</v>
      </c>
      <c r="L167" s="160">
        <f t="shared" si="10"/>
        <v>972.53</v>
      </c>
      <c r="P167" s="161">
        <f t="shared" si="9"/>
        <v>1461.8406145655081</v>
      </c>
    </row>
    <row r="168" spans="1:16" ht="12.75" customHeight="1" x14ac:dyDescent="0.25">
      <c r="C168" s="156" t="s">
        <v>732</v>
      </c>
      <c r="D168" s="159">
        <v>32382.400000000001</v>
      </c>
      <c r="E168" s="159">
        <v>35023.5</v>
      </c>
      <c r="F168" s="159">
        <v>37036.6</v>
      </c>
      <c r="G168" s="159">
        <v>42419.4</v>
      </c>
      <c r="H168" s="230">
        <f t="shared" si="8"/>
        <v>36715.474999999999</v>
      </c>
      <c r="I168" s="160">
        <f t="shared" si="10"/>
        <v>238.10588235294119</v>
      </c>
      <c r="J168" s="160">
        <f t="shared" si="10"/>
        <v>243.21875</v>
      </c>
      <c r="K168" s="160">
        <f t="shared" si="10"/>
        <v>210.43522727272727</v>
      </c>
      <c r="L168" s="160">
        <f t="shared" si="10"/>
        <v>265.12125000000003</v>
      </c>
      <c r="P168" s="161">
        <f t="shared" si="9"/>
        <v>311.46480118315509</v>
      </c>
    </row>
    <row r="169" spans="1:16" ht="12.75" customHeight="1" x14ac:dyDescent="0.25">
      <c r="C169" s="156" t="s">
        <v>733</v>
      </c>
      <c r="D169" s="159">
        <v>57703.9</v>
      </c>
      <c r="E169" s="162">
        <v>55964</v>
      </c>
      <c r="F169" s="159">
        <v>67043.899999999994</v>
      </c>
      <c r="G169" s="159">
        <v>70790.7</v>
      </c>
      <c r="H169" s="230">
        <f t="shared" si="8"/>
        <v>62875.625</v>
      </c>
      <c r="I169" s="160">
        <f t="shared" si="10"/>
        <v>424.29338235294119</v>
      </c>
      <c r="J169" s="160">
        <f t="shared" si="10"/>
        <v>388.63888888888891</v>
      </c>
      <c r="K169" s="160">
        <f t="shared" si="10"/>
        <v>380.93124999999998</v>
      </c>
      <c r="L169" s="160">
        <f t="shared" si="10"/>
        <v>442.44187499999998</v>
      </c>
      <c r="P169" s="161">
        <f t="shared" si="9"/>
        <v>532.6174064767157</v>
      </c>
    </row>
    <row r="170" spans="1:16" ht="12.75" customHeight="1" x14ac:dyDescent="0.25">
      <c r="B170" s="156" t="s">
        <v>734</v>
      </c>
      <c r="C170" s="156" t="s">
        <v>735</v>
      </c>
      <c r="D170" s="159">
        <v>146791.4</v>
      </c>
      <c r="E170" s="162">
        <v>141602</v>
      </c>
      <c r="F170" s="159">
        <v>161722.6</v>
      </c>
      <c r="G170" s="159">
        <v>152161.29999999999</v>
      </c>
      <c r="H170" s="230">
        <f t="shared" si="8"/>
        <v>150569.32500000001</v>
      </c>
      <c r="I170" s="160">
        <f t="shared" si="10"/>
        <v>1079.3485294117647</v>
      </c>
      <c r="J170" s="160">
        <f t="shared" si="10"/>
        <v>983.34722222222217</v>
      </c>
      <c r="K170" s="160">
        <f t="shared" si="10"/>
        <v>918.87840909090914</v>
      </c>
      <c r="L170" s="160">
        <f t="shared" si="10"/>
        <v>951.00812499999995</v>
      </c>
      <c r="P170" s="161">
        <f t="shared" si="9"/>
        <v>1280.0555340034539</v>
      </c>
    </row>
    <row r="171" spans="1:16" ht="12.75" customHeight="1" x14ac:dyDescent="0.25">
      <c r="C171" s="156" t="s">
        <v>736</v>
      </c>
      <c r="D171" s="162">
        <v>110446</v>
      </c>
      <c r="E171" s="159">
        <v>115507.4</v>
      </c>
      <c r="F171" s="159">
        <v>111204.3</v>
      </c>
      <c r="G171" s="159">
        <v>137849.5</v>
      </c>
      <c r="H171" s="230">
        <f t="shared" si="8"/>
        <v>118751.8</v>
      </c>
      <c r="I171" s="160">
        <f t="shared" si="10"/>
        <v>812.10294117647061</v>
      </c>
      <c r="J171" s="160">
        <f t="shared" si="10"/>
        <v>802.13472222222219</v>
      </c>
      <c r="K171" s="160">
        <f t="shared" si="10"/>
        <v>631.84261363636369</v>
      </c>
      <c r="L171" s="160">
        <f t="shared" si="10"/>
        <v>861.55937500000005</v>
      </c>
      <c r="P171" s="161">
        <f t="shared" si="9"/>
        <v>1011.5367067374109</v>
      </c>
    </row>
    <row r="172" spans="1:16" ht="12.75" customHeight="1" x14ac:dyDescent="0.25">
      <c r="B172" s="156" t="s">
        <v>737</v>
      </c>
      <c r="C172" s="156" t="s">
        <v>738</v>
      </c>
      <c r="D172" s="159">
        <v>54058.9</v>
      </c>
      <c r="E172" s="159">
        <v>58051.7</v>
      </c>
      <c r="F172" s="159">
        <v>58738.2</v>
      </c>
      <c r="G172" s="159">
        <v>58420.2</v>
      </c>
      <c r="H172" s="230">
        <f t="shared" si="8"/>
        <v>57317.25</v>
      </c>
      <c r="I172" s="160">
        <f t="shared" si="10"/>
        <v>397.49191176470589</v>
      </c>
      <c r="J172" s="160">
        <f t="shared" si="10"/>
        <v>403.13680555555555</v>
      </c>
      <c r="K172" s="160">
        <f t="shared" si="10"/>
        <v>333.73977272727274</v>
      </c>
      <c r="L172" s="160">
        <f t="shared" si="10"/>
        <v>365.12624999999997</v>
      </c>
      <c r="P172" s="161">
        <f t="shared" si="9"/>
        <v>488.08553788547238</v>
      </c>
    </row>
    <row r="173" spans="1:16" ht="12.75" customHeight="1" x14ac:dyDescent="0.25">
      <c r="C173" s="156" t="s">
        <v>739</v>
      </c>
      <c r="D173" s="162">
        <v>68635</v>
      </c>
      <c r="E173" s="159">
        <v>67227.8</v>
      </c>
      <c r="F173" s="159">
        <v>73236.100000000006</v>
      </c>
      <c r="G173" s="159">
        <v>74195.100000000006</v>
      </c>
      <c r="H173" s="230">
        <f t="shared" si="8"/>
        <v>70823.5</v>
      </c>
      <c r="I173" s="160">
        <f t="shared" si="10"/>
        <v>504.66911764705884</v>
      </c>
      <c r="J173" s="160">
        <f t="shared" si="10"/>
        <v>466.85972222222222</v>
      </c>
      <c r="K173" s="160">
        <f t="shared" si="10"/>
        <v>416.11420454545458</v>
      </c>
      <c r="L173" s="160">
        <f t="shared" si="10"/>
        <v>463.71937500000001</v>
      </c>
      <c r="P173" s="161">
        <f t="shared" si="9"/>
        <v>602.61846751949645</v>
      </c>
    </row>
    <row r="174" spans="1:16" ht="12.75" customHeight="1" x14ac:dyDescent="0.25">
      <c r="B174" s="156" t="s">
        <v>740</v>
      </c>
      <c r="C174" s="156" t="s">
        <v>741</v>
      </c>
      <c r="D174" s="159">
        <v>39251.300000000003</v>
      </c>
      <c r="E174" s="159">
        <v>36438.5</v>
      </c>
      <c r="F174" s="159">
        <v>35235.9</v>
      </c>
      <c r="G174" s="159">
        <v>34108.6</v>
      </c>
      <c r="H174" s="230">
        <f t="shared" si="8"/>
        <v>36258.575000000004</v>
      </c>
      <c r="I174" s="160">
        <f t="shared" si="10"/>
        <v>288.61250000000001</v>
      </c>
      <c r="J174" s="160">
        <f t="shared" si="10"/>
        <v>253.04513888888889</v>
      </c>
      <c r="K174" s="160">
        <f t="shared" si="10"/>
        <v>200.20397727272729</v>
      </c>
      <c r="L174" s="160">
        <f t="shared" si="10"/>
        <v>213.17874999999998</v>
      </c>
      <c r="P174" s="161">
        <f t="shared" si="9"/>
        <v>310.86563918560608</v>
      </c>
    </row>
    <row r="175" spans="1:16" ht="12.75" customHeight="1" x14ac:dyDescent="0.25">
      <c r="C175" s="156" t="s">
        <v>742</v>
      </c>
      <c r="D175" s="159">
        <v>55750.2</v>
      </c>
      <c r="E175" s="159">
        <v>55994.7</v>
      </c>
      <c r="F175" s="159">
        <v>59017.3</v>
      </c>
      <c r="G175" s="162">
        <v>56283</v>
      </c>
      <c r="H175" s="230">
        <f t="shared" si="8"/>
        <v>56761.3</v>
      </c>
      <c r="I175" s="160">
        <f t="shared" si="10"/>
        <v>409.92794117647054</v>
      </c>
      <c r="J175" s="160">
        <f t="shared" si="10"/>
        <v>388.85208333333333</v>
      </c>
      <c r="K175" s="160">
        <f t="shared" si="10"/>
        <v>335.3255681818182</v>
      </c>
      <c r="L175" s="160">
        <f t="shared" si="10"/>
        <v>351.76875000000001</v>
      </c>
      <c r="P175" s="161">
        <f t="shared" si="9"/>
        <v>483.65209854612294</v>
      </c>
    </row>
    <row r="176" spans="1:16" ht="12.75" customHeight="1" x14ac:dyDescent="0.25">
      <c r="A176" s="156" t="s">
        <v>743</v>
      </c>
      <c r="B176" s="156" t="s">
        <v>744</v>
      </c>
      <c r="C176" s="156" t="s">
        <v>745</v>
      </c>
      <c r="D176" s="159">
        <v>55244.4</v>
      </c>
      <c r="E176" s="159">
        <v>51152.4</v>
      </c>
      <c r="F176" s="159">
        <v>55374.8</v>
      </c>
      <c r="G176" s="159">
        <v>53555.9</v>
      </c>
      <c r="H176" s="230">
        <f t="shared" si="8"/>
        <v>53831.875</v>
      </c>
      <c r="I176" s="160">
        <f t="shared" si="10"/>
        <v>406.2088235294118</v>
      </c>
      <c r="J176" s="160">
        <f t="shared" si="10"/>
        <v>355.22500000000002</v>
      </c>
      <c r="K176" s="160">
        <f t="shared" si="10"/>
        <v>314.62954545454545</v>
      </c>
      <c r="L176" s="160">
        <f t="shared" si="10"/>
        <v>334.72437500000001</v>
      </c>
      <c r="P176" s="161">
        <f t="shared" si="9"/>
        <v>459.21141066677814</v>
      </c>
    </row>
    <row r="177" spans="1:16" ht="12.75" customHeight="1" x14ac:dyDescent="0.25">
      <c r="C177" s="156" t="s">
        <v>746</v>
      </c>
      <c r="D177" s="159">
        <v>42675.6</v>
      </c>
      <c r="E177" s="159">
        <v>49977.599999999999</v>
      </c>
      <c r="F177" s="159">
        <v>40331.599999999999</v>
      </c>
      <c r="G177" s="159">
        <v>42018.400000000001</v>
      </c>
      <c r="H177" s="230">
        <f t="shared" si="8"/>
        <v>43750.799999999996</v>
      </c>
      <c r="I177" s="160">
        <f t="shared" si="10"/>
        <v>313.7911764705882</v>
      </c>
      <c r="J177" s="160">
        <f t="shared" si="10"/>
        <v>347.06666666666666</v>
      </c>
      <c r="K177" s="160">
        <f t="shared" si="10"/>
        <v>229.15681818181818</v>
      </c>
      <c r="L177" s="160">
        <f t="shared" si="10"/>
        <v>262.61500000000001</v>
      </c>
      <c r="P177" s="161">
        <f t="shared" si="9"/>
        <v>375.18095475935826</v>
      </c>
    </row>
    <row r="178" spans="1:16" ht="12.75" customHeight="1" x14ac:dyDescent="0.25">
      <c r="C178" s="156" t="s">
        <v>747</v>
      </c>
      <c r="D178" s="159">
        <v>26805.1</v>
      </c>
      <c r="E178" s="159">
        <v>25898.5</v>
      </c>
      <c r="F178" s="159">
        <v>25036.799999999999</v>
      </c>
      <c r="G178" s="159">
        <v>25420.400000000001</v>
      </c>
      <c r="H178" s="230">
        <f t="shared" si="8"/>
        <v>25790.199999999997</v>
      </c>
      <c r="I178" s="160">
        <f t="shared" si="10"/>
        <v>197.09632352941176</v>
      </c>
      <c r="J178" s="160">
        <f t="shared" si="10"/>
        <v>179.85069444444446</v>
      </c>
      <c r="K178" s="160">
        <f t="shared" si="10"/>
        <v>142.25454545454545</v>
      </c>
      <c r="L178" s="160">
        <f t="shared" si="10"/>
        <v>158.8775</v>
      </c>
      <c r="P178" s="161">
        <f t="shared" si="9"/>
        <v>220.71473514594476</v>
      </c>
    </row>
    <row r="179" spans="1:16" ht="12.75" customHeight="1" x14ac:dyDescent="0.25">
      <c r="C179" s="156" t="s">
        <v>748</v>
      </c>
      <c r="D179" s="159">
        <v>44767.5</v>
      </c>
      <c r="E179" s="162">
        <v>42870</v>
      </c>
      <c r="F179" s="159">
        <v>46128.7</v>
      </c>
      <c r="G179" s="159">
        <v>44489.7</v>
      </c>
      <c r="H179" s="230">
        <f t="shared" si="8"/>
        <v>44563.975000000006</v>
      </c>
      <c r="I179" s="160">
        <f t="shared" si="10"/>
        <v>329.17279411764707</v>
      </c>
      <c r="J179" s="160">
        <f t="shared" si="10"/>
        <v>297.70833333333331</v>
      </c>
      <c r="K179" s="160">
        <f t="shared" si="10"/>
        <v>262.09488636363636</v>
      </c>
      <c r="L179" s="160">
        <f t="shared" si="10"/>
        <v>278.06062499999996</v>
      </c>
      <c r="P179" s="161">
        <f t="shared" si="9"/>
        <v>379.87042593415777</v>
      </c>
    </row>
    <row r="180" spans="1:16" ht="12.75" customHeight="1" x14ac:dyDescent="0.25">
      <c r="B180" s="156" t="s">
        <v>749</v>
      </c>
      <c r="C180" s="156" t="s">
        <v>750</v>
      </c>
      <c r="D180" s="159">
        <v>38040.1</v>
      </c>
      <c r="E180" s="159">
        <v>34198.9</v>
      </c>
      <c r="F180" s="159">
        <v>36062.699999999997</v>
      </c>
      <c r="G180" s="159">
        <v>35183.300000000003</v>
      </c>
      <c r="H180" s="230">
        <f t="shared" si="8"/>
        <v>35871.25</v>
      </c>
      <c r="I180" s="160">
        <f t="shared" si="10"/>
        <v>279.70661764705881</v>
      </c>
      <c r="J180" s="160">
        <f t="shared" si="10"/>
        <v>237.49236111111111</v>
      </c>
      <c r="K180" s="160">
        <f t="shared" si="10"/>
        <v>204.90170454545452</v>
      </c>
      <c r="L180" s="160">
        <f t="shared" si="10"/>
        <v>219.89562500000002</v>
      </c>
      <c r="P180" s="161">
        <f t="shared" si="9"/>
        <v>306.61979835282978</v>
      </c>
    </row>
    <row r="181" spans="1:16" ht="12.75" customHeight="1" x14ac:dyDescent="0.25">
      <c r="C181" s="156" t="s">
        <v>751</v>
      </c>
      <c r="D181" s="159">
        <v>40030.9</v>
      </c>
      <c r="E181" s="159">
        <v>39157.699999999997</v>
      </c>
      <c r="F181" s="159">
        <v>41445.699999999997</v>
      </c>
      <c r="G181" s="159">
        <v>40899.800000000003</v>
      </c>
      <c r="H181" s="230">
        <f t="shared" si="8"/>
        <v>40383.525000000001</v>
      </c>
      <c r="I181" s="160">
        <f t="shared" si="10"/>
        <v>294.3448529411765</v>
      </c>
      <c r="J181" s="160">
        <f t="shared" si="10"/>
        <v>271.92847222222218</v>
      </c>
      <c r="K181" s="160">
        <f t="shared" si="10"/>
        <v>235.4869318181818</v>
      </c>
      <c r="L181" s="160">
        <f t="shared" si="10"/>
        <v>255.62375000000003</v>
      </c>
      <c r="P181" s="161">
        <f t="shared" si="9"/>
        <v>344.17849427250451</v>
      </c>
    </row>
    <row r="182" spans="1:16" ht="12.75" customHeight="1" x14ac:dyDescent="0.25">
      <c r="A182" s="223"/>
      <c r="C182" s="156" t="s">
        <v>752</v>
      </c>
      <c r="D182" s="159">
        <v>26243.1</v>
      </c>
      <c r="E182" s="159">
        <v>25985.8</v>
      </c>
      <c r="F182" s="159">
        <v>27059.8</v>
      </c>
      <c r="G182" s="162">
        <v>27380</v>
      </c>
      <c r="H182" s="230">
        <f t="shared" si="8"/>
        <v>26667.174999999999</v>
      </c>
      <c r="I182" s="160">
        <f t="shared" si="10"/>
        <v>192.96397058823527</v>
      </c>
      <c r="J182" s="160">
        <f t="shared" si="10"/>
        <v>180.45694444444445</v>
      </c>
      <c r="K182" s="160">
        <f t="shared" si="10"/>
        <v>153.74886363636364</v>
      </c>
      <c r="L182" s="160">
        <f t="shared" si="10"/>
        <v>171.125</v>
      </c>
      <c r="P182" s="161">
        <f t="shared" si="9"/>
        <v>227.29495045677362</v>
      </c>
    </row>
    <row r="183" spans="1:16" ht="12.75" customHeight="1" x14ac:dyDescent="0.25">
      <c r="A183" s="156" t="s">
        <v>753</v>
      </c>
      <c r="B183" s="156" t="s">
        <v>754</v>
      </c>
      <c r="C183" s="156" t="s">
        <v>755</v>
      </c>
      <c r="D183" s="162">
        <v>54087</v>
      </c>
      <c r="E183" s="159">
        <v>54920.6</v>
      </c>
      <c r="F183" s="159">
        <v>55757.8</v>
      </c>
      <c r="G183" s="159">
        <v>67440.3</v>
      </c>
      <c r="H183" s="230">
        <f t="shared" si="8"/>
        <v>58051.425000000003</v>
      </c>
      <c r="I183" s="160">
        <f t="shared" si="10"/>
        <v>397.6985294117647</v>
      </c>
      <c r="J183" s="160">
        <f t="shared" si="10"/>
        <v>381.39305555555552</v>
      </c>
      <c r="K183" s="160">
        <f t="shared" si="10"/>
        <v>316.80568181818182</v>
      </c>
      <c r="L183" s="160">
        <f t="shared" si="10"/>
        <v>421.50187500000004</v>
      </c>
      <c r="P183" s="161">
        <f t="shared" si="9"/>
        <v>493.91342065118084</v>
      </c>
    </row>
    <row r="184" spans="1:16" ht="12.75" customHeight="1" x14ac:dyDescent="0.25">
      <c r="C184" s="156" t="s">
        <v>756</v>
      </c>
      <c r="D184" s="159">
        <v>75871.899999999994</v>
      </c>
      <c r="E184" s="159">
        <v>88204.3</v>
      </c>
      <c r="F184" s="159">
        <v>89351.1</v>
      </c>
      <c r="G184" s="159">
        <v>96306.9</v>
      </c>
      <c r="H184" s="230">
        <f t="shared" si="8"/>
        <v>87433.55</v>
      </c>
      <c r="I184" s="160">
        <f t="shared" si="10"/>
        <v>557.88161764705876</v>
      </c>
      <c r="J184" s="160">
        <f t="shared" si="10"/>
        <v>612.52986111111113</v>
      </c>
      <c r="K184" s="160">
        <f t="shared" si="10"/>
        <v>507.67670454545458</v>
      </c>
      <c r="L184" s="160">
        <f t="shared" si="10"/>
        <v>601.91812499999992</v>
      </c>
      <c r="P184" s="161">
        <f t="shared" si="9"/>
        <v>742.14205335282975</v>
      </c>
    </row>
    <row r="185" spans="1:16" ht="12.75" customHeight="1" x14ac:dyDescent="0.25">
      <c r="B185" s="156" t="s">
        <v>757</v>
      </c>
      <c r="C185" s="156" t="s">
        <v>758</v>
      </c>
      <c r="D185" s="159">
        <v>82754.5</v>
      </c>
      <c r="E185" s="159">
        <v>74285.399999999994</v>
      </c>
      <c r="F185" s="159">
        <v>94560.4</v>
      </c>
      <c r="G185" s="159">
        <v>78989.100000000006</v>
      </c>
      <c r="H185" s="230">
        <f t="shared" si="8"/>
        <v>82647.350000000006</v>
      </c>
      <c r="I185" s="160">
        <f t="shared" si="10"/>
        <v>608.48897058823525</v>
      </c>
      <c r="J185" s="160">
        <f t="shared" si="10"/>
        <v>515.87083333333328</v>
      </c>
      <c r="K185" s="160">
        <f t="shared" si="10"/>
        <v>537.27499999999998</v>
      </c>
      <c r="L185" s="160">
        <f t="shared" si="10"/>
        <v>493.68187500000005</v>
      </c>
      <c r="P185" s="161">
        <f t="shared" si="9"/>
        <v>701.55557898897064</v>
      </c>
    </row>
    <row r="186" spans="1:16" ht="12.75" customHeight="1" x14ac:dyDescent="0.25">
      <c r="C186" s="156" t="s">
        <v>759</v>
      </c>
      <c r="D186" s="159">
        <v>76877.399999999994</v>
      </c>
      <c r="E186" s="162">
        <v>78780</v>
      </c>
      <c r="F186" s="162">
        <v>75841</v>
      </c>
      <c r="G186" s="159">
        <v>145555.5</v>
      </c>
      <c r="H186" s="230">
        <f t="shared" si="8"/>
        <v>94263.475000000006</v>
      </c>
      <c r="I186" s="160">
        <f t="shared" si="10"/>
        <v>565.27499999999998</v>
      </c>
      <c r="J186" s="160">
        <f t="shared" si="10"/>
        <v>547.08333333333337</v>
      </c>
      <c r="K186" s="160">
        <f t="shared" si="10"/>
        <v>430.91477272727275</v>
      </c>
      <c r="L186" s="160">
        <f t="shared" si="10"/>
        <v>909.72187499999995</v>
      </c>
      <c r="P186" s="161">
        <f t="shared" si="9"/>
        <v>798.44986633522717</v>
      </c>
    </row>
    <row r="187" spans="1:16" ht="12.75" customHeight="1" x14ac:dyDescent="0.25">
      <c r="B187" s="156" t="s">
        <v>760</v>
      </c>
      <c r="C187" s="156" t="s">
        <v>761</v>
      </c>
      <c r="D187" s="159">
        <v>56707.9</v>
      </c>
      <c r="E187" s="162">
        <v>62759</v>
      </c>
      <c r="F187" s="162">
        <v>60222</v>
      </c>
      <c r="G187" s="159">
        <v>72207.399999999994</v>
      </c>
      <c r="H187" s="230">
        <f t="shared" si="8"/>
        <v>62974.074999999997</v>
      </c>
      <c r="I187" s="160">
        <f t="shared" si="10"/>
        <v>416.9698529411765</v>
      </c>
      <c r="J187" s="160">
        <f t="shared" si="10"/>
        <v>435.82638888888891</v>
      </c>
      <c r="K187" s="160">
        <f t="shared" si="10"/>
        <v>342.17045454545456</v>
      </c>
      <c r="L187" s="160">
        <f t="shared" si="10"/>
        <v>451.29624999999999</v>
      </c>
      <c r="P187" s="161">
        <f t="shared" si="9"/>
        <v>535.85858904523172</v>
      </c>
    </row>
    <row r="188" spans="1:16" ht="12.75" customHeight="1" x14ac:dyDescent="0.25">
      <c r="C188" s="156" t="s">
        <v>762</v>
      </c>
      <c r="D188" s="159">
        <v>90527.3</v>
      </c>
      <c r="E188" s="159">
        <v>89073.3</v>
      </c>
      <c r="F188" s="159">
        <v>93806.6</v>
      </c>
      <c r="G188" s="162">
        <v>97499</v>
      </c>
      <c r="H188" s="230">
        <f t="shared" si="8"/>
        <v>92726.55</v>
      </c>
      <c r="I188" s="160">
        <f t="shared" si="10"/>
        <v>665.64191176470592</v>
      </c>
      <c r="J188" s="160">
        <f t="shared" si="10"/>
        <v>618.5645833333333</v>
      </c>
      <c r="K188" s="160">
        <f t="shared" si="10"/>
        <v>532.99204545454552</v>
      </c>
      <c r="L188" s="160">
        <f t="shared" si="10"/>
        <v>609.36874999999998</v>
      </c>
      <c r="P188" s="161">
        <f t="shared" si="9"/>
        <v>789.84765307486634</v>
      </c>
    </row>
    <row r="189" spans="1:16" ht="12.75" customHeight="1" x14ac:dyDescent="0.25">
      <c r="B189" s="156" t="s">
        <v>763</v>
      </c>
      <c r="C189" s="156" t="s">
        <v>764</v>
      </c>
      <c r="D189" s="159">
        <v>71859.100000000006</v>
      </c>
      <c r="E189" s="162">
        <v>76491</v>
      </c>
      <c r="F189" s="159">
        <v>102274.1</v>
      </c>
      <c r="G189" s="162">
        <v>78258</v>
      </c>
      <c r="H189" s="230">
        <f t="shared" si="8"/>
        <v>82220.55</v>
      </c>
      <c r="I189" s="160">
        <f t="shared" si="10"/>
        <v>528.3757352941177</v>
      </c>
      <c r="J189" s="160">
        <f t="shared" si="10"/>
        <v>531.1875</v>
      </c>
      <c r="K189" s="160">
        <f t="shared" si="10"/>
        <v>581.1028409090909</v>
      </c>
      <c r="L189" s="160">
        <f t="shared" si="10"/>
        <v>489.11250000000001</v>
      </c>
      <c r="P189" s="161">
        <f t="shared" si="9"/>
        <v>693.24292655414445</v>
      </c>
    </row>
    <row r="190" spans="1:16" ht="12.75" customHeight="1" x14ac:dyDescent="0.25">
      <c r="C190" s="156" t="s">
        <v>765</v>
      </c>
      <c r="D190" s="159">
        <v>89267.9</v>
      </c>
      <c r="E190" s="159">
        <v>115908.1</v>
      </c>
      <c r="F190" s="159">
        <v>190161.5</v>
      </c>
      <c r="G190" s="159">
        <v>97084.1</v>
      </c>
      <c r="H190" s="230">
        <f t="shared" si="8"/>
        <v>123105.4</v>
      </c>
      <c r="I190" s="160">
        <f t="shared" si="10"/>
        <v>656.38161764705876</v>
      </c>
      <c r="J190" s="160">
        <f t="shared" si="10"/>
        <v>804.91736111111118</v>
      </c>
      <c r="K190" s="160">
        <f t="shared" si="10"/>
        <v>1080.4630681818182</v>
      </c>
      <c r="L190" s="160">
        <f t="shared" si="10"/>
        <v>606.77562499999999</v>
      </c>
      <c r="P190" s="161">
        <f t="shared" si="9"/>
        <v>1024.8490122164662</v>
      </c>
    </row>
    <row r="191" spans="1:16" ht="12.75" customHeight="1" x14ac:dyDescent="0.25">
      <c r="C191" s="156" t="s">
        <v>766</v>
      </c>
      <c r="D191" s="159">
        <v>107454.7</v>
      </c>
      <c r="E191" s="159">
        <v>103450.2</v>
      </c>
      <c r="F191" s="162">
        <v>111289</v>
      </c>
      <c r="G191" s="159">
        <v>141327.9</v>
      </c>
      <c r="H191" s="230">
        <f t="shared" si="8"/>
        <v>115880.45000000001</v>
      </c>
      <c r="I191" s="160">
        <f t="shared" si="10"/>
        <v>790.10808823529408</v>
      </c>
      <c r="J191" s="160">
        <f t="shared" si="10"/>
        <v>718.4041666666667</v>
      </c>
      <c r="K191" s="160">
        <f t="shared" si="10"/>
        <v>632.32386363636363</v>
      </c>
      <c r="L191" s="160">
        <f t="shared" si="10"/>
        <v>883.29937499999994</v>
      </c>
      <c r="P191" s="161">
        <f t="shared" si="9"/>
        <v>984.35610314672454</v>
      </c>
    </row>
    <row r="192" spans="1:16" ht="12.75" customHeight="1" x14ac:dyDescent="0.25">
      <c r="C192" s="156" t="s">
        <v>767</v>
      </c>
      <c r="D192" s="159">
        <v>102350.7</v>
      </c>
      <c r="E192" s="159">
        <v>93367.9</v>
      </c>
      <c r="F192" s="159">
        <v>112758.2</v>
      </c>
      <c r="G192" s="159">
        <v>115781.8</v>
      </c>
      <c r="H192" s="230">
        <f t="shared" si="8"/>
        <v>106064.65</v>
      </c>
      <c r="I192" s="160">
        <f t="shared" si="10"/>
        <v>752.57867647058822</v>
      </c>
      <c r="J192" s="160">
        <f t="shared" si="10"/>
        <v>648.38819444444437</v>
      </c>
      <c r="K192" s="160">
        <f t="shared" si="10"/>
        <v>640.67159090909092</v>
      </c>
      <c r="L192" s="160">
        <f t="shared" si="10"/>
        <v>723.63625000000002</v>
      </c>
      <c r="P192" s="161">
        <f t="shared" si="9"/>
        <v>900.09691869875223</v>
      </c>
    </row>
    <row r="193" spans="1:16" ht="12.75" customHeight="1" x14ac:dyDescent="0.25">
      <c r="B193" s="156" t="s">
        <v>768</v>
      </c>
      <c r="C193" s="156" t="s">
        <v>769</v>
      </c>
      <c r="D193" s="159">
        <v>143303.5</v>
      </c>
      <c r="E193" s="159">
        <v>156989.29999999999</v>
      </c>
      <c r="F193" s="162">
        <v>165672</v>
      </c>
      <c r="G193" s="159">
        <v>161223.79999999999</v>
      </c>
      <c r="H193" s="230">
        <f t="shared" si="8"/>
        <v>156797.15</v>
      </c>
      <c r="I193" s="160">
        <f t="shared" si="10"/>
        <v>1053.7022058823529</v>
      </c>
      <c r="J193" s="160">
        <f t="shared" si="10"/>
        <v>1090.2034722222222</v>
      </c>
      <c r="K193" s="160">
        <f t="shared" si="10"/>
        <v>941.31818181818187</v>
      </c>
      <c r="L193" s="160">
        <f t="shared" si="10"/>
        <v>1007.6487499999999</v>
      </c>
      <c r="P193" s="161">
        <f t="shared" si="9"/>
        <v>1332.2300345298574</v>
      </c>
    </row>
    <row r="194" spans="1:16" ht="12.75" customHeight="1" x14ac:dyDescent="0.25">
      <c r="B194" s="156" t="s">
        <v>770</v>
      </c>
      <c r="C194" s="156" t="s">
        <v>771</v>
      </c>
      <c r="D194" s="159">
        <v>116943.9</v>
      </c>
      <c r="E194" s="159">
        <v>102949.9</v>
      </c>
      <c r="F194" s="159">
        <v>117728.9</v>
      </c>
      <c r="G194" s="159">
        <v>121928.1</v>
      </c>
      <c r="H194" s="230">
        <f t="shared" si="8"/>
        <v>114887.69999999998</v>
      </c>
      <c r="I194" s="160">
        <f t="shared" si="10"/>
        <v>859.88161764705876</v>
      </c>
      <c r="J194" s="160">
        <f t="shared" si="10"/>
        <v>714.92986111111111</v>
      </c>
      <c r="K194" s="160">
        <f t="shared" si="10"/>
        <v>668.91420454545448</v>
      </c>
      <c r="L194" s="160">
        <f t="shared" si="10"/>
        <v>762.05062500000008</v>
      </c>
      <c r="P194" s="161">
        <f t="shared" si="9"/>
        <v>978.3801883528298</v>
      </c>
    </row>
    <row r="195" spans="1:16" ht="12.75" customHeight="1" x14ac:dyDescent="0.25">
      <c r="C195" s="156" t="s">
        <v>772</v>
      </c>
      <c r="D195" s="159">
        <v>77564.800000000003</v>
      </c>
      <c r="E195" s="159">
        <v>77826.100000000006</v>
      </c>
      <c r="F195" s="159">
        <v>87986.1</v>
      </c>
      <c r="G195" s="159">
        <v>98205.4</v>
      </c>
      <c r="H195" s="230">
        <f t="shared" si="8"/>
        <v>85395.6</v>
      </c>
      <c r="I195" s="160">
        <f t="shared" si="10"/>
        <v>570.32941176470592</v>
      </c>
      <c r="J195" s="160">
        <f t="shared" si="10"/>
        <v>540.45902777777781</v>
      </c>
      <c r="K195" s="160">
        <f t="shared" si="10"/>
        <v>499.92102272727277</v>
      </c>
      <c r="L195" s="160">
        <f t="shared" si="10"/>
        <v>613.78374999999994</v>
      </c>
      <c r="P195" s="161">
        <f t="shared" si="9"/>
        <v>724.0725405938058</v>
      </c>
    </row>
    <row r="196" spans="1:16" ht="12.75" customHeight="1" x14ac:dyDescent="0.25">
      <c r="A196" s="156" t="s">
        <v>773</v>
      </c>
      <c r="B196" s="156" t="s">
        <v>774</v>
      </c>
      <c r="C196" s="156" t="s">
        <v>775</v>
      </c>
      <c r="D196" s="159">
        <v>120496.7</v>
      </c>
      <c r="E196" s="159">
        <v>159185.29999999999</v>
      </c>
      <c r="F196" s="159">
        <v>172542.7</v>
      </c>
      <c r="G196" s="162">
        <v>178533</v>
      </c>
      <c r="H196" s="230">
        <f t="shared" si="8"/>
        <v>157689.42499999999</v>
      </c>
      <c r="I196" s="160">
        <f t="shared" ref="I196:L239" si="11">D196/I$5/8</f>
        <v>886.00514705882347</v>
      </c>
      <c r="J196" s="160">
        <f t="shared" si="11"/>
        <v>1105.4534722222222</v>
      </c>
      <c r="K196" s="160">
        <f t="shared" si="11"/>
        <v>980.35625000000005</v>
      </c>
      <c r="L196" s="160">
        <f t="shared" si="11"/>
        <v>1115.83125</v>
      </c>
      <c r="P196" s="161">
        <f t="shared" si="9"/>
        <v>1330.5288118259805</v>
      </c>
    </row>
    <row r="197" spans="1:16" ht="12.75" customHeight="1" x14ac:dyDescent="0.25">
      <c r="C197" s="156" t="s">
        <v>776</v>
      </c>
      <c r="D197" s="159">
        <v>413292.6</v>
      </c>
      <c r="E197" s="159">
        <v>340802.7</v>
      </c>
      <c r="F197" s="159">
        <v>516225.2</v>
      </c>
      <c r="G197" s="159">
        <v>408805.7</v>
      </c>
      <c r="H197" s="230">
        <f t="shared" si="8"/>
        <v>419781.55</v>
      </c>
      <c r="I197" s="160">
        <f t="shared" si="11"/>
        <v>3038.9161764705882</v>
      </c>
      <c r="J197" s="160">
        <f t="shared" si="11"/>
        <v>2366.6854166666667</v>
      </c>
      <c r="K197" s="160">
        <f t="shared" si="11"/>
        <v>2933.0977272727273</v>
      </c>
      <c r="L197" s="160">
        <f t="shared" si="11"/>
        <v>2555.035625</v>
      </c>
      <c r="P197" s="161">
        <f t="shared" si="9"/>
        <v>3545.9107247309494</v>
      </c>
    </row>
    <row r="198" spans="1:16" ht="12.75" customHeight="1" x14ac:dyDescent="0.25">
      <c r="C198" s="156" t="s">
        <v>777</v>
      </c>
      <c r="D198" s="159">
        <v>125353.4</v>
      </c>
      <c r="E198" s="159">
        <v>155986.29999999999</v>
      </c>
      <c r="F198" s="159">
        <v>152479.79999999999</v>
      </c>
      <c r="G198" s="159">
        <v>528598.19999999995</v>
      </c>
      <c r="H198" s="230">
        <f t="shared" si="8"/>
        <v>240604.42499999999</v>
      </c>
      <c r="I198" s="160">
        <f t="shared" si="11"/>
        <v>921.71617647058815</v>
      </c>
      <c r="J198" s="160">
        <f t="shared" si="11"/>
        <v>1083.2381944444444</v>
      </c>
      <c r="K198" s="160">
        <f t="shared" si="11"/>
        <v>866.36249999999995</v>
      </c>
      <c r="L198" s="160">
        <f t="shared" si="11"/>
        <v>3303.7387499999995</v>
      </c>
      <c r="P198" s="161">
        <f t="shared" si="9"/>
        <v>2009.9806046078429</v>
      </c>
    </row>
    <row r="199" spans="1:16" ht="12.75" customHeight="1" x14ac:dyDescent="0.25">
      <c r="C199" s="156" t="s">
        <v>778</v>
      </c>
      <c r="D199" s="159">
        <v>111034.9</v>
      </c>
      <c r="E199" s="159">
        <v>139125.9</v>
      </c>
      <c r="F199" s="159">
        <v>141020.5</v>
      </c>
      <c r="G199" s="159">
        <v>144569.20000000001</v>
      </c>
      <c r="H199" s="230">
        <f t="shared" ref="H199:H262" si="12">AVERAGE(D199:G199)</f>
        <v>133937.625</v>
      </c>
      <c r="I199" s="160">
        <f t="shared" si="11"/>
        <v>816.43308823529412</v>
      </c>
      <c r="J199" s="160">
        <f t="shared" si="11"/>
        <v>966.15208333333328</v>
      </c>
      <c r="K199" s="160">
        <f t="shared" si="11"/>
        <v>801.25284090909088</v>
      </c>
      <c r="L199" s="160">
        <f t="shared" si="11"/>
        <v>903.55750000000012</v>
      </c>
      <c r="P199" s="161">
        <f t="shared" ref="P199:P262" si="13">AVERAGE(I199:L199)*1.302</f>
        <v>1135.1472393114975</v>
      </c>
    </row>
    <row r="200" spans="1:16" ht="12.75" customHeight="1" x14ac:dyDescent="0.25">
      <c r="B200" s="156" t="s">
        <v>779</v>
      </c>
      <c r="C200" s="156" t="s">
        <v>780</v>
      </c>
      <c r="D200" s="159">
        <v>96942.2</v>
      </c>
      <c r="E200" s="159">
        <v>115966.6</v>
      </c>
      <c r="F200" s="159">
        <v>163571.5</v>
      </c>
      <c r="G200" s="159">
        <v>152436.9</v>
      </c>
      <c r="H200" s="230">
        <f t="shared" si="12"/>
        <v>132229.29999999999</v>
      </c>
      <c r="I200" s="160">
        <f t="shared" si="11"/>
        <v>712.810294117647</v>
      </c>
      <c r="J200" s="160">
        <f t="shared" si="11"/>
        <v>805.32361111111118</v>
      </c>
      <c r="K200" s="160">
        <f t="shared" si="11"/>
        <v>929.38352272727275</v>
      </c>
      <c r="L200" s="160">
        <f t="shared" si="11"/>
        <v>952.73062499999992</v>
      </c>
      <c r="P200" s="161">
        <f t="shared" si="13"/>
        <v>1106.7807412371881</v>
      </c>
    </row>
    <row r="201" spans="1:16" ht="12.75" customHeight="1" x14ac:dyDescent="0.25">
      <c r="C201" s="156" t="s">
        <v>781</v>
      </c>
      <c r="D201" s="159">
        <v>521854.3</v>
      </c>
      <c r="E201" s="159">
        <v>253824.2</v>
      </c>
      <c r="F201" s="159">
        <v>955773.1</v>
      </c>
      <c r="G201" s="159">
        <v>354496.6</v>
      </c>
      <c r="H201" s="230">
        <f t="shared" si="12"/>
        <v>521487.05000000005</v>
      </c>
      <c r="I201" s="160">
        <f t="shared" si="11"/>
        <v>3837.1639705882353</v>
      </c>
      <c r="J201" s="160">
        <f t="shared" si="11"/>
        <v>1762.6680555555556</v>
      </c>
      <c r="K201" s="160">
        <f t="shared" si="11"/>
        <v>5430.5289772727274</v>
      </c>
      <c r="L201" s="160">
        <f t="shared" si="11"/>
        <v>2215.6037499999998</v>
      </c>
      <c r="P201" s="161">
        <f t="shared" si="13"/>
        <v>4311.5615272370769</v>
      </c>
    </row>
    <row r="202" spans="1:16" ht="12.75" customHeight="1" x14ac:dyDescent="0.25">
      <c r="C202" s="156" t="s">
        <v>782</v>
      </c>
      <c r="D202" s="159">
        <v>149956.20000000001</v>
      </c>
      <c r="E202" s="159">
        <v>168847.7</v>
      </c>
      <c r="F202" s="159">
        <v>305421.09999999998</v>
      </c>
      <c r="G202" s="159">
        <v>179457.8</v>
      </c>
      <c r="H202" s="230">
        <f t="shared" si="12"/>
        <v>200920.7</v>
      </c>
      <c r="I202" s="160">
        <f t="shared" si="11"/>
        <v>1102.6191176470588</v>
      </c>
      <c r="J202" s="160">
        <f t="shared" si="11"/>
        <v>1172.5534722222224</v>
      </c>
      <c r="K202" s="160">
        <f t="shared" si="11"/>
        <v>1735.3471590909089</v>
      </c>
      <c r="L202" s="160">
        <f t="shared" si="11"/>
        <v>1121.6112499999999</v>
      </c>
      <c r="P202" s="161">
        <f t="shared" si="13"/>
        <v>1670.508640161542</v>
      </c>
    </row>
    <row r="203" spans="1:16" ht="12.75" customHeight="1" x14ac:dyDescent="0.25">
      <c r="B203" s="156" t="s">
        <v>783</v>
      </c>
      <c r="C203" s="156" t="s">
        <v>784</v>
      </c>
      <c r="D203" s="159">
        <v>138771.29999999999</v>
      </c>
      <c r="E203" s="159">
        <v>148809.60000000001</v>
      </c>
      <c r="F203" s="159">
        <v>397632.3</v>
      </c>
      <c r="G203" s="159">
        <v>199230.7</v>
      </c>
      <c r="H203" s="230">
        <f t="shared" si="12"/>
        <v>221110.97499999998</v>
      </c>
      <c r="I203" s="160">
        <f t="shared" si="11"/>
        <v>1020.3772058823529</v>
      </c>
      <c r="J203" s="160">
        <f t="shared" si="11"/>
        <v>1033.4000000000001</v>
      </c>
      <c r="K203" s="160">
        <f t="shared" si="11"/>
        <v>2259.2744318181817</v>
      </c>
      <c r="L203" s="160">
        <f t="shared" si="11"/>
        <v>1245.191875</v>
      </c>
      <c r="P203" s="161">
        <f t="shared" si="13"/>
        <v>1809.2082633840243</v>
      </c>
    </row>
    <row r="204" spans="1:16" ht="12.75" customHeight="1" x14ac:dyDescent="0.25">
      <c r="C204" s="156" t="s">
        <v>785</v>
      </c>
      <c r="D204" s="159">
        <v>74479.8</v>
      </c>
      <c r="E204" s="159">
        <v>122446.8</v>
      </c>
      <c r="F204" s="159">
        <v>110616.9</v>
      </c>
      <c r="G204" s="159">
        <v>89833.2</v>
      </c>
      <c r="H204" s="230">
        <f t="shared" si="12"/>
        <v>99344.175000000003</v>
      </c>
      <c r="I204" s="160">
        <f t="shared" si="11"/>
        <v>547.6455882352941</v>
      </c>
      <c r="J204" s="160">
        <f t="shared" si="11"/>
        <v>850.32500000000005</v>
      </c>
      <c r="K204" s="160">
        <f t="shared" si="11"/>
        <v>628.5051136363636</v>
      </c>
      <c r="L204" s="160">
        <f t="shared" si="11"/>
        <v>561.45749999999998</v>
      </c>
      <c r="P204" s="161">
        <f t="shared" si="13"/>
        <v>842.37225720922459</v>
      </c>
    </row>
    <row r="205" spans="1:16" ht="12.75" customHeight="1" x14ac:dyDescent="0.25">
      <c r="C205" s="156" t="s">
        <v>786</v>
      </c>
      <c r="D205" s="159">
        <v>216149.3</v>
      </c>
      <c r="E205" s="159">
        <v>528653.9</v>
      </c>
      <c r="F205" s="159">
        <v>386761.9</v>
      </c>
      <c r="G205" s="159">
        <v>295589.5</v>
      </c>
      <c r="H205" s="230">
        <f t="shared" si="12"/>
        <v>356788.65</v>
      </c>
      <c r="I205" s="160">
        <f t="shared" si="11"/>
        <v>1589.3330882352941</v>
      </c>
      <c r="J205" s="160">
        <f t="shared" si="11"/>
        <v>3671.2076388888891</v>
      </c>
      <c r="K205" s="160">
        <f t="shared" si="11"/>
        <v>2197.5107954545456</v>
      </c>
      <c r="L205" s="160">
        <f t="shared" si="11"/>
        <v>1847.434375</v>
      </c>
      <c r="P205" s="161">
        <f t="shared" si="13"/>
        <v>3028.9356596618763</v>
      </c>
    </row>
    <row r="206" spans="1:16" ht="12.75" customHeight="1" x14ac:dyDescent="0.25">
      <c r="A206" s="156" t="s">
        <v>787</v>
      </c>
      <c r="B206" s="156" t="s">
        <v>788</v>
      </c>
      <c r="C206" s="156" t="s">
        <v>789</v>
      </c>
      <c r="D206" s="159">
        <v>59105.8</v>
      </c>
      <c r="E206" s="159">
        <v>61408.1</v>
      </c>
      <c r="F206" s="159">
        <v>69102.3</v>
      </c>
      <c r="G206" s="159">
        <v>70410.8</v>
      </c>
      <c r="H206" s="230">
        <f t="shared" si="12"/>
        <v>65006.75</v>
      </c>
      <c r="I206" s="160">
        <f t="shared" si="11"/>
        <v>434.60147058823532</v>
      </c>
      <c r="J206" s="160">
        <f t="shared" si="11"/>
        <v>426.44513888888889</v>
      </c>
      <c r="K206" s="160">
        <f t="shared" si="11"/>
        <v>392.62670454545457</v>
      </c>
      <c r="L206" s="160">
        <f t="shared" si="11"/>
        <v>440.0675</v>
      </c>
      <c r="P206" s="161">
        <f t="shared" si="13"/>
        <v>551.3126349643494</v>
      </c>
    </row>
    <row r="207" spans="1:16" ht="12.75" customHeight="1" x14ac:dyDescent="0.25">
      <c r="C207" s="156" t="s">
        <v>790</v>
      </c>
      <c r="D207" s="159">
        <v>53242.400000000001</v>
      </c>
      <c r="E207" s="159">
        <v>53338.7</v>
      </c>
      <c r="F207" s="159">
        <v>53608.4</v>
      </c>
      <c r="G207" s="159">
        <v>62423.3</v>
      </c>
      <c r="H207" s="230">
        <f t="shared" si="12"/>
        <v>55653.2</v>
      </c>
      <c r="I207" s="160">
        <f t="shared" si="11"/>
        <v>391.48823529411766</v>
      </c>
      <c r="J207" s="160">
        <f t="shared" si="11"/>
        <v>370.40763888888887</v>
      </c>
      <c r="K207" s="160">
        <f t="shared" si="11"/>
        <v>304.59318181818185</v>
      </c>
      <c r="L207" s="160">
        <f t="shared" si="11"/>
        <v>390.145625</v>
      </c>
      <c r="P207" s="161">
        <f t="shared" si="13"/>
        <v>474.13458866588678</v>
      </c>
    </row>
    <row r="208" spans="1:16" ht="12.75" customHeight="1" x14ac:dyDescent="0.25">
      <c r="C208" s="156" t="s">
        <v>791</v>
      </c>
      <c r="D208" s="159">
        <v>45571.3</v>
      </c>
      <c r="E208" s="159">
        <v>45970.7</v>
      </c>
      <c r="F208" s="159">
        <v>49558.400000000001</v>
      </c>
      <c r="G208" s="159">
        <v>49840.3</v>
      </c>
      <c r="H208" s="230">
        <f t="shared" si="12"/>
        <v>47735.175000000003</v>
      </c>
      <c r="I208" s="160">
        <f t="shared" si="11"/>
        <v>335.08308823529416</v>
      </c>
      <c r="J208" s="160">
        <f t="shared" si="11"/>
        <v>319.24097222222218</v>
      </c>
      <c r="K208" s="160">
        <f t="shared" si="11"/>
        <v>281.58181818181816</v>
      </c>
      <c r="L208" s="160">
        <f t="shared" si="11"/>
        <v>311.50187500000004</v>
      </c>
      <c r="P208" s="161">
        <f t="shared" si="13"/>
        <v>406.03122380960349</v>
      </c>
    </row>
    <row r="209" spans="1:16" ht="12.75" customHeight="1" x14ac:dyDescent="0.25">
      <c r="A209" s="156" t="s">
        <v>792</v>
      </c>
      <c r="B209" s="156" t="s">
        <v>793</v>
      </c>
      <c r="C209" s="156" t="s">
        <v>794</v>
      </c>
      <c r="D209" s="159">
        <v>51612.9</v>
      </c>
      <c r="E209" s="159">
        <v>56720.9</v>
      </c>
      <c r="F209" s="159">
        <v>63855.4</v>
      </c>
      <c r="G209" s="159">
        <v>62253.1</v>
      </c>
      <c r="H209" s="230">
        <f t="shared" si="12"/>
        <v>58610.575000000004</v>
      </c>
      <c r="I209" s="160">
        <f t="shared" si="11"/>
        <v>379.50661764705882</v>
      </c>
      <c r="J209" s="160">
        <f t="shared" si="11"/>
        <v>393.89513888888888</v>
      </c>
      <c r="K209" s="160">
        <f t="shared" si="11"/>
        <v>362.81477272727273</v>
      </c>
      <c r="L209" s="160">
        <f t="shared" si="11"/>
        <v>389.08187499999997</v>
      </c>
      <c r="P209" s="161">
        <f t="shared" si="13"/>
        <v>496.48463058767817</v>
      </c>
    </row>
    <row r="210" spans="1:16" ht="12.75" customHeight="1" x14ac:dyDescent="0.25">
      <c r="C210" s="156" t="s">
        <v>795</v>
      </c>
      <c r="D210" s="159">
        <v>61953.1</v>
      </c>
      <c r="E210" s="159">
        <v>62578.2</v>
      </c>
      <c r="F210" s="159">
        <v>62073.2</v>
      </c>
      <c r="G210" s="159">
        <v>63844.4</v>
      </c>
      <c r="H210" s="230">
        <f t="shared" si="12"/>
        <v>62612.224999999999</v>
      </c>
      <c r="I210" s="160">
        <f t="shared" si="11"/>
        <v>455.53749999999997</v>
      </c>
      <c r="J210" s="160">
        <f t="shared" si="11"/>
        <v>434.57083333333333</v>
      </c>
      <c r="K210" s="160">
        <f t="shared" si="11"/>
        <v>352.68863636363636</v>
      </c>
      <c r="L210" s="160">
        <f t="shared" si="11"/>
        <v>399.02750000000003</v>
      </c>
      <c r="P210" s="161">
        <f t="shared" si="13"/>
        <v>534.41386488636363</v>
      </c>
    </row>
    <row r="211" spans="1:16" ht="12.75" customHeight="1" x14ac:dyDescent="0.25">
      <c r="B211" s="156" t="s">
        <v>796</v>
      </c>
      <c r="C211" s="156" t="s">
        <v>797</v>
      </c>
      <c r="D211" s="159">
        <v>220155.2</v>
      </c>
      <c r="E211" s="159">
        <v>268007.59999999998</v>
      </c>
      <c r="F211" s="159">
        <v>380372.7</v>
      </c>
      <c r="G211" s="159">
        <v>273545.7</v>
      </c>
      <c r="H211" s="230">
        <f t="shared" si="12"/>
        <v>285520.3</v>
      </c>
      <c r="I211" s="160">
        <f t="shared" si="11"/>
        <v>1618.7882352941178</v>
      </c>
      <c r="J211" s="160">
        <f t="shared" si="11"/>
        <v>1861.1638888888888</v>
      </c>
      <c r="K211" s="160">
        <f t="shared" si="11"/>
        <v>2161.2085227272728</v>
      </c>
      <c r="L211" s="160">
        <f t="shared" si="11"/>
        <v>1709.660625</v>
      </c>
      <c r="P211" s="161">
        <f t="shared" si="13"/>
        <v>2392.6923240067958</v>
      </c>
    </row>
    <row r="212" spans="1:16" ht="12.75" customHeight="1" x14ac:dyDescent="0.25">
      <c r="C212" s="156" t="s">
        <v>798</v>
      </c>
      <c r="D212" s="159">
        <v>117286.1</v>
      </c>
      <c r="E212" s="159">
        <v>143222.20000000001</v>
      </c>
      <c r="F212" s="162">
        <v>164967</v>
      </c>
      <c r="G212" s="159">
        <v>136097.79999999999</v>
      </c>
      <c r="H212" s="230">
        <f t="shared" si="12"/>
        <v>140393.27500000002</v>
      </c>
      <c r="I212" s="160">
        <f t="shared" si="11"/>
        <v>862.39779411764709</v>
      </c>
      <c r="J212" s="160">
        <f t="shared" si="11"/>
        <v>994.59861111111115</v>
      </c>
      <c r="K212" s="160">
        <f t="shared" si="11"/>
        <v>937.3125</v>
      </c>
      <c r="L212" s="160">
        <f t="shared" si="11"/>
        <v>850.61124999999993</v>
      </c>
      <c r="P212" s="161">
        <f t="shared" si="13"/>
        <v>1186.4215105269609</v>
      </c>
    </row>
    <row r="213" spans="1:16" ht="12.75" customHeight="1" x14ac:dyDescent="0.25">
      <c r="B213" s="156" t="s">
        <v>799</v>
      </c>
      <c r="C213" s="156" t="s">
        <v>800</v>
      </c>
      <c r="D213" s="159">
        <v>84322.8</v>
      </c>
      <c r="E213" s="159">
        <v>93616.9</v>
      </c>
      <c r="F213" s="159">
        <v>94786.6</v>
      </c>
      <c r="G213" s="162">
        <v>113446</v>
      </c>
      <c r="H213" s="230">
        <f t="shared" si="12"/>
        <v>96543.075000000012</v>
      </c>
      <c r="I213" s="160">
        <f t="shared" si="11"/>
        <v>620.0205882352941</v>
      </c>
      <c r="J213" s="160">
        <f t="shared" si="11"/>
        <v>650.11736111111111</v>
      </c>
      <c r="K213" s="160">
        <f t="shared" si="11"/>
        <v>538.56022727272727</v>
      </c>
      <c r="L213" s="160">
        <f t="shared" si="11"/>
        <v>709.03750000000002</v>
      </c>
      <c r="P213" s="161">
        <f t="shared" si="13"/>
        <v>819.52296273952766</v>
      </c>
    </row>
    <row r="214" spans="1:16" ht="12.75" customHeight="1" x14ac:dyDescent="0.25">
      <c r="C214" s="156" t="s">
        <v>801</v>
      </c>
      <c r="D214" s="159">
        <v>72638.5</v>
      </c>
      <c r="E214" s="162">
        <v>75996</v>
      </c>
      <c r="F214" s="159">
        <v>86151.5</v>
      </c>
      <c r="G214" s="159">
        <v>92037.4</v>
      </c>
      <c r="H214" s="230">
        <f t="shared" si="12"/>
        <v>81705.850000000006</v>
      </c>
      <c r="I214" s="160">
        <f t="shared" si="11"/>
        <v>534.10661764705878</v>
      </c>
      <c r="J214" s="160">
        <f t="shared" si="11"/>
        <v>527.75</v>
      </c>
      <c r="K214" s="160">
        <f t="shared" si="11"/>
        <v>489.49715909090907</v>
      </c>
      <c r="L214" s="160">
        <f t="shared" si="11"/>
        <v>575.23374999999999</v>
      </c>
      <c r="P214" s="161">
        <f t="shared" si="13"/>
        <v>692.20423995320857</v>
      </c>
    </row>
    <row r="215" spans="1:16" ht="12.75" customHeight="1" x14ac:dyDescent="0.25">
      <c r="B215" s="156" t="s">
        <v>802</v>
      </c>
      <c r="C215" s="156" t="s">
        <v>803</v>
      </c>
      <c r="D215" s="159">
        <v>98005.2</v>
      </c>
      <c r="E215" s="159">
        <v>100266.1</v>
      </c>
      <c r="F215" s="159">
        <v>111268.7</v>
      </c>
      <c r="G215" s="159">
        <v>115849.9</v>
      </c>
      <c r="H215" s="230">
        <f t="shared" si="12"/>
        <v>106347.47500000001</v>
      </c>
      <c r="I215" s="160">
        <f t="shared" si="11"/>
        <v>720.62647058823529</v>
      </c>
      <c r="J215" s="160">
        <f t="shared" si="11"/>
        <v>696.29236111111118</v>
      </c>
      <c r="K215" s="160">
        <f t="shared" si="11"/>
        <v>632.20852272727268</v>
      </c>
      <c r="L215" s="160">
        <f t="shared" si="11"/>
        <v>724.06187499999999</v>
      </c>
      <c r="P215" s="161">
        <f t="shared" si="13"/>
        <v>902.67309417836452</v>
      </c>
    </row>
    <row r="216" spans="1:16" ht="12.75" customHeight="1" x14ac:dyDescent="0.25">
      <c r="C216" s="156" t="s">
        <v>804</v>
      </c>
      <c r="D216" s="159">
        <v>80673.899999999994</v>
      </c>
      <c r="E216" s="159">
        <v>85281.5</v>
      </c>
      <c r="F216" s="159">
        <v>117999.8</v>
      </c>
      <c r="G216" s="159">
        <v>99692.6</v>
      </c>
      <c r="H216" s="230">
        <f t="shared" si="12"/>
        <v>95911.950000000012</v>
      </c>
      <c r="I216" s="160">
        <f t="shared" si="11"/>
        <v>593.19044117647059</v>
      </c>
      <c r="J216" s="160">
        <f t="shared" si="11"/>
        <v>592.23263888888891</v>
      </c>
      <c r="K216" s="160">
        <f t="shared" si="11"/>
        <v>670.45340909090908</v>
      </c>
      <c r="L216" s="160">
        <f t="shared" si="11"/>
        <v>623.07875000000001</v>
      </c>
      <c r="P216" s="161">
        <f t="shared" si="13"/>
        <v>806.89993034536553</v>
      </c>
    </row>
    <row r="217" spans="1:16" ht="12.75" customHeight="1" x14ac:dyDescent="0.25">
      <c r="B217" s="156" t="s">
        <v>805</v>
      </c>
      <c r="C217" s="156" t="s">
        <v>806</v>
      </c>
      <c r="D217" s="159">
        <v>75300.2</v>
      </c>
      <c r="E217" s="159">
        <v>80063.3</v>
      </c>
      <c r="F217" s="162">
        <v>95614</v>
      </c>
      <c r="G217" s="159">
        <v>96445.5</v>
      </c>
      <c r="H217" s="230">
        <f t="shared" si="12"/>
        <v>86855.75</v>
      </c>
      <c r="I217" s="160">
        <f t="shared" si="11"/>
        <v>553.67794117647054</v>
      </c>
      <c r="J217" s="160">
        <f t="shared" si="11"/>
        <v>555.99513888888896</v>
      </c>
      <c r="K217" s="160">
        <f t="shared" si="11"/>
        <v>543.26136363636363</v>
      </c>
      <c r="L217" s="160">
        <f t="shared" si="11"/>
        <v>602.78437499999995</v>
      </c>
      <c r="P217" s="161">
        <f t="shared" si="13"/>
        <v>734.23647548741076</v>
      </c>
    </row>
    <row r="218" spans="1:16" ht="12.75" customHeight="1" x14ac:dyDescent="0.25">
      <c r="C218" s="156" t="s">
        <v>807</v>
      </c>
      <c r="D218" s="159">
        <v>122404.2</v>
      </c>
      <c r="E218" s="162">
        <v>180625</v>
      </c>
      <c r="F218" s="159">
        <v>187056.3</v>
      </c>
      <c r="G218" s="159">
        <v>130571.8</v>
      </c>
      <c r="H218" s="230">
        <f t="shared" si="12"/>
        <v>155164.32500000001</v>
      </c>
      <c r="I218" s="160">
        <f t="shared" si="11"/>
        <v>900.03088235294115</v>
      </c>
      <c r="J218" s="160">
        <f t="shared" si="11"/>
        <v>1254.3402777777778</v>
      </c>
      <c r="K218" s="160">
        <f t="shared" si="11"/>
        <v>1062.8198863636362</v>
      </c>
      <c r="L218" s="160">
        <f t="shared" si="11"/>
        <v>816.07375000000002</v>
      </c>
      <c r="P218" s="161">
        <f t="shared" si="13"/>
        <v>1312.8276912589126</v>
      </c>
    </row>
    <row r="219" spans="1:16" ht="12.75" customHeight="1" x14ac:dyDescent="0.25">
      <c r="B219" s="156" t="s">
        <v>808</v>
      </c>
      <c r="C219" s="156" t="s">
        <v>809</v>
      </c>
      <c r="D219" s="159">
        <v>49073.1</v>
      </c>
      <c r="E219" s="159">
        <v>105052.1</v>
      </c>
      <c r="F219" s="159">
        <v>79317.3</v>
      </c>
      <c r="G219" s="159">
        <v>86844.6</v>
      </c>
      <c r="H219" s="230">
        <f t="shared" si="12"/>
        <v>80071.774999999994</v>
      </c>
      <c r="I219" s="160">
        <f t="shared" si="11"/>
        <v>360.83161764705881</v>
      </c>
      <c r="J219" s="160">
        <f t="shared" si="11"/>
        <v>729.52847222222226</v>
      </c>
      <c r="K219" s="160">
        <f t="shared" si="11"/>
        <v>450.66647727272726</v>
      </c>
      <c r="L219" s="160">
        <f t="shared" si="11"/>
        <v>542.77875000000006</v>
      </c>
      <c r="P219" s="161">
        <f t="shared" si="13"/>
        <v>678.27863072972377</v>
      </c>
    </row>
    <row r="220" spans="1:16" ht="12.75" customHeight="1" x14ac:dyDescent="0.25">
      <c r="C220" s="156" t="s">
        <v>810</v>
      </c>
      <c r="D220" s="159">
        <v>24754.6</v>
      </c>
      <c r="E220" s="159">
        <v>27479.5</v>
      </c>
      <c r="F220" s="159">
        <v>25233.5</v>
      </c>
      <c r="G220" s="159">
        <v>28037.7</v>
      </c>
      <c r="H220" s="230">
        <f t="shared" si="12"/>
        <v>26376.325000000001</v>
      </c>
      <c r="I220" s="160">
        <f t="shared" si="11"/>
        <v>182.01911764705881</v>
      </c>
      <c r="J220" s="160">
        <f t="shared" si="11"/>
        <v>190.82986111111111</v>
      </c>
      <c r="K220" s="160">
        <f t="shared" si="11"/>
        <v>143.37215909090909</v>
      </c>
      <c r="L220" s="160">
        <f t="shared" si="11"/>
        <v>175.235625</v>
      </c>
      <c r="P220" s="161">
        <f t="shared" si="13"/>
        <v>225.06917630737524</v>
      </c>
    </row>
    <row r="221" spans="1:16" ht="12.75" customHeight="1" x14ac:dyDescent="0.25">
      <c r="C221" s="156" t="s">
        <v>811</v>
      </c>
      <c r="D221" s="159">
        <v>34557.699999999997</v>
      </c>
      <c r="E221" s="159">
        <v>37454.5</v>
      </c>
      <c r="F221" s="159">
        <v>33922.6</v>
      </c>
      <c r="G221" s="159">
        <v>36329.199999999997</v>
      </c>
      <c r="H221" s="230">
        <f t="shared" si="12"/>
        <v>35566</v>
      </c>
      <c r="I221" s="160">
        <f t="shared" si="11"/>
        <v>254.10073529411761</v>
      </c>
      <c r="J221" s="160">
        <f t="shared" si="11"/>
        <v>260.10069444444446</v>
      </c>
      <c r="K221" s="160">
        <f t="shared" si="11"/>
        <v>192.74204545454543</v>
      </c>
      <c r="L221" s="160">
        <f t="shared" si="11"/>
        <v>227.05749999999998</v>
      </c>
      <c r="P221" s="161">
        <f t="shared" si="13"/>
        <v>304.01731742535651</v>
      </c>
    </row>
    <row r="222" spans="1:16" ht="12.75" customHeight="1" x14ac:dyDescent="0.25">
      <c r="C222" s="156" t="s">
        <v>812</v>
      </c>
      <c r="D222" s="159">
        <v>86395.199999999997</v>
      </c>
      <c r="E222" s="159">
        <v>71460.600000000006</v>
      </c>
      <c r="F222" s="162">
        <v>92724</v>
      </c>
      <c r="G222" s="162">
        <v>87767</v>
      </c>
      <c r="H222" s="230">
        <f t="shared" si="12"/>
        <v>84586.7</v>
      </c>
      <c r="I222" s="160">
        <f t="shared" si="11"/>
        <v>635.25882352941176</v>
      </c>
      <c r="J222" s="160">
        <f t="shared" si="11"/>
        <v>496.25416666666672</v>
      </c>
      <c r="K222" s="160">
        <f t="shared" si="11"/>
        <v>526.84090909090912</v>
      </c>
      <c r="L222" s="160">
        <f t="shared" si="11"/>
        <v>548.54375000000005</v>
      </c>
      <c r="P222" s="161">
        <f t="shared" si="13"/>
        <v>718.34518484291459</v>
      </c>
    </row>
    <row r="223" spans="1:16" ht="12.75" customHeight="1" x14ac:dyDescent="0.25">
      <c r="B223" s="156" t="s">
        <v>813</v>
      </c>
      <c r="C223" s="156" t="s">
        <v>814</v>
      </c>
      <c r="D223" s="159">
        <v>39739.599999999999</v>
      </c>
      <c r="E223" s="159">
        <v>39074.300000000003</v>
      </c>
      <c r="F223" s="159">
        <v>41852.9</v>
      </c>
      <c r="G223" s="159">
        <v>41898.9</v>
      </c>
      <c r="H223" s="230">
        <f t="shared" si="12"/>
        <v>40641.424999999996</v>
      </c>
      <c r="I223" s="160">
        <f t="shared" si="11"/>
        <v>292.20294117647057</v>
      </c>
      <c r="J223" s="160">
        <f t="shared" si="11"/>
        <v>271.34930555555559</v>
      </c>
      <c r="K223" s="160">
        <f t="shared" si="11"/>
        <v>237.80056818181819</v>
      </c>
      <c r="L223" s="160">
        <f t="shared" si="11"/>
        <v>261.86812500000002</v>
      </c>
      <c r="P223" s="161">
        <f t="shared" si="13"/>
        <v>346.07841594195639</v>
      </c>
    </row>
    <row r="224" spans="1:16" ht="12.75" customHeight="1" x14ac:dyDescent="0.25">
      <c r="A224" s="156" t="s">
        <v>815</v>
      </c>
      <c r="B224" s="156" t="s">
        <v>816</v>
      </c>
      <c r="C224" s="156" t="s">
        <v>817</v>
      </c>
      <c r="D224" s="159">
        <v>66065.7</v>
      </c>
      <c r="E224" s="159">
        <v>68756.600000000006</v>
      </c>
      <c r="F224" s="159">
        <v>76632.899999999994</v>
      </c>
      <c r="G224" s="162">
        <v>68152</v>
      </c>
      <c r="H224" s="230">
        <f t="shared" si="12"/>
        <v>69901.799999999988</v>
      </c>
      <c r="I224" s="160">
        <f t="shared" si="11"/>
        <v>485.77720588235292</v>
      </c>
      <c r="J224" s="160">
        <f t="shared" si="11"/>
        <v>477.47638888888895</v>
      </c>
      <c r="K224" s="160">
        <f t="shared" si="11"/>
        <v>435.41420454545454</v>
      </c>
      <c r="L224" s="160">
        <f t="shared" si="11"/>
        <v>425.95</v>
      </c>
      <c r="P224" s="161">
        <f t="shared" si="13"/>
        <v>593.9130936775847</v>
      </c>
    </row>
    <row r="225" spans="2:16" ht="12.75" customHeight="1" x14ac:dyDescent="0.25">
      <c r="C225" s="156" t="s">
        <v>818</v>
      </c>
      <c r="D225" s="162">
        <v>62249</v>
      </c>
      <c r="E225" s="159">
        <v>74411.7</v>
      </c>
      <c r="F225" s="159">
        <v>84190.399999999994</v>
      </c>
      <c r="G225" s="159">
        <v>61815.199999999997</v>
      </c>
      <c r="H225" s="230">
        <f t="shared" si="12"/>
        <v>70666.574999999997</v>
      </c>
      <c r="I225" s="160">
        <f t="shared" si="11"/>
        <v>457.71323529411762</v>
      </c>
      <c r="J225" s="160">
        <f t="shared" si="11"/>
        <v>516.7479166666667</v>
      </c>
      <c r="K225" s="160">
        <f t="shared" si="11"/>
        <v>478.35454545454542</v>
      </c>
      <c r="L225" s="160">
        <f t="shared" si="11"/>
        <v>386.34499999999997</v>
      </c>
      <c r="P225" s="161">
        <f t="shared" si="13"/>
        <v>598.64680700868985</v>
      </c>
    </row>
    <row r="226" spans="2:16" ht="12.75" customHeight="1" x14ac:dyDescent="0.25">
      <c r="C226" s="156" t="s">
        <v>819</v>
      </c>
      <c r="D226" s="159">
        <v>73895.5</v>
      </c>
      <c r="E226" s="159">
        <v>69136.2</v>
      </c>
      <c r="F226" s="162">
        <v>71239</v>
      </c>
      <c r="G226" s="162">
        <v>76703</v>
      </c>
      <c r="H226" s="230">
        <f t="shared" si="12"/>
        <v>72743.425000000003</v>
      </c>
      <c r="I226" s="160">
        <f t="shared" si="11"/>
        <v>543.34926470588232</v>
      </c>
      <c r="J226" s="160">
        <f t="shared" si="11"/>
        <v>480.11249999999995</v>
      </c>
      <c r="K226" s="160">
        <f t="shared" si="11"/>
        <v>404.76704545454544</v>
      </c>
      <c r="L226" s="160">
        <f t="shared" si="11"/>
        <v>479.39375000000001</v>
      </c>
      <c r="P226" s="161">
        <f t="shared" si="13"/>
        <v>620.93114333221922</v>
      </c>
    </row>
    <row r="227" spans="2:16" ht="12.75" customHeight="1" x14ac:dyDescent="0.25">
      <c r="C227" s="156" t="s">
        <v>820</v>
      </c>
      <c r="D227" s="159">
        <v>63263.1</v>
      </c>
      <c r="E227" s="159">
        <v>59731.8</v>
      </c>
      <c r="F227" s="159">
        <v>68565.399999999994</v>
      </c>
      <c r="G227" s="159">
        <v>62430.9</v>
      </c>
      <c r="H227" s="230">
        <f t="shared" si="12"/>
        <v>63497.799999999996</v>
      </c>
      <c r="I227" s="160">
        <f t="shared" si="11"/>
        <v>465.16985294117649</v>
      </c>
      <c r="J227" s="160">
        <f t="shared" si="11"/>
        <v>414.80416666666667</v>
      </c>
      <c r="K227" s="160">
        <f t="shared" si="11"/>
        <v>389.57613636363635</v>
      </c>
      <c r="L227" s="160">
        <f t="shared" si="11"/>
        <v>390.19312500000001</v>
      </c>
      <c r="P227" s="161">
        <f t="shared" si="13"/>
        <v>540.2464379562166</v>
      </c>
    </row>
    <row r="228" spans="2:16" ht="12.75" customHeight="1" x14ac:dyDescent="0.25">
      <c r="B228" s="156" t="s">
        <v>821</v>
      </c>
      <c r="C228" s="156" t="s">
        <v>822</v>
      </c>
      <c r="D228" s="159">
        <v>33323.800000000003</v>
      </c>
      <c r="E228" s="159">
        <v>41447.800000000003</v>
      </c>
      <c r="F228" s="159">
        <v>44423.5</v>
      </c>
      <c r="G228" s="159">
        <v>48424.3</v>
      </c>
      <c r="H228" s="230">
        <f t="shared" si="12"/>
        <v>41904.850000000006</v>
      </c>
      <c r="I228" s="160">
        <f t="shared" si="11"/>
        <v>245.02794117647062</v>
      </c>
      <c r="J228" s="160">
        <f t="shared" si="11"/>
        <v>287.83194444444445</v>
      </c>
      <c r="K228" s="160">
        <f t="shared" si="11"/>
        <v>252.40625</v>
      </c>
      <c r="L228" s="160">
        <f t="shared" si="11"/>
        <v>302.65187500000002</v>
      </c>
      <c r="P228" s="161">
        <f t="shared" si="13"/>
        <v>354.11731245710786</v>
      </c>
    </row>
    <row r="229" spans="2:16" ht="12.75" customHeight="1" x14ac:dyDescent="0.25">
      <c r="C229" s="156" t="s">
        <v>823</v>
      </c>
      <c r="D229" s="159">
        <v>38106.300000000003</v>
      </c>
      <c r="E229" s="162">
        <v>40845</v>
      </c>
      <c r="F229" s="159">
        <v>42547.5</v>
      </c>
      <c r="G229" s="159">
        <v>43210.9</v>
      </c>
      <c r="H229" s="230">
        <f t="shared" si="12"/>
        <v>41177.425000000003</v>
      </c>
      <c r="I229" s="160">
        <f t="shared" si="11"/>
        <v>280.19338235294117</v>
      </c>
      <c r="J229" s="160">
        <f t="shared" si="11"/>
        <v>283.64583333333331</v>
      </c>
      <c r="K229" s="160">
        <f t="shared" si="11"/>
        <v>241.74715909090909</v>
      </c>
      <c r="L229" s="160">
        <f t="shared" si="11"/>
        <v>270.06812500000001</v>
      </c>
      <c r="P229" s="161">
        <f t="shared" si="13"/>
        <v>350.12553967747323</v>
      </c>
    </row>
    <row r="230" spans="2:16" ht="12.75" customHeight="1" x14ac:dyDescent="0.25">
      <c r="C230" s="156" t="s">
        <v>824</v>
      </c>
      <c r="D230" s="159">
        <v>62360.3</v>
      </c>
      <c r="E230" s="159">
        <v>93981.5</v>
      </c>
      <c r="F230" s="159">
        <v>61625.5</v>
      </c>
      <c r="G230" s="159">
        <v>64881.9</v>
      </c>
      <c r="H230" s="230">
        <f t="shared" si="12"/>
        <v>70712.3</v>
      </c>
      <c r="I230" s="160">
        <f t="shared" si="11"/>
        <v>458.53161764705885</v>
      </c>
      <c r="J230" s="160">
        <f t="shared" si="11"/>
        <v>652.64930555555554</v>
      </c>
      <c r="K230" s="160">
        <f t="shared" si="11"/>
        <v>350.14488636363637</v>
      </c>
      <c r="L230" s="160">
        <f t="shared" si="11"/>
        <v>405.51187500000003</v>
      </c>
      <c r="P230" s="161">
        <f t="shared" si="13"/>
        <v>607.65566632631476</v>
      </c>
    </row>
    <row r="231" spans="2:16" ht="12.75" customHeight="1" x14ac:dyDescent="0.25">
      <c r="B231" s="156" t="s">
        <v>825</v>
      </c>
      <c r="C231" s="156" t="s">
        <v>826</v>
      </c>
      <c r="D231" s="162">
        <v>37988</v>
      </c>
      <c r="E231" s="159">
        <v>46572.6</v>
      </c>
      <c r="F231" s="159">
        <v>50940.4</v>
      </c>
      <c r="G231" s="159">
        <v>42104.5</v>
      </c>
      <c r="H231" s="230">
        <f t="shared" si="12"/>
        <v>44401.375</v>
      </c>
      <c r="I231" s="160">
        <f t="shared" si="11"/>
        <v>279.3235294117647</v>
      </c>
      <c r="J231" s="160">
        <f t="shared" si="11"/>
        <v>323.42083333333335</v>
      </c>
      <c r="K231" s="160">
        <f t="shared" si="11"/>
        <v>289.43409090909091</v>
      </c>
      <c r="L231" s="160">
        <f t="shared" si="11"/>
        <v>263.15312499999999</v>
      </c>
      <c r="P231" s="161">
        <f t="shared" si="13"/>
        <v>376.06042885193847</v>
      </c>
    </row>
    <row r="232" spans="2:16" ht="12.75" customHeight="1" x14ac:dyDescent="0.25">
      <c r="C232" s="156" t="s">
        <v>827</v>
      </c>
      <c r="D232" s="159">
        <v>63454.400000000001</v>
      </c>
      <c r="E232" s="159">
        <v>70946.600000000006</v>
      </c>
      <c r="F232" s="159">
        <v>70320.800000000003</v>
      </c>
      <c r="G232" s="159">
        <v>79709.399999999994</v>
      </c>
      <c r="H232" s="230">
        <f t="shared" si="12"/>
        <v>71107.799999999988</v>
      </c>
      <c r="I232" s="160">
        <f t="shared" si="11"/>
        <v>466.57647058823528</v>
      </c>
      <c r="J232" s="160">
        <f t="shared" si="11"/>
        <v>492.68472222222226</v>
      </c>
      <c r="K232" s="160">
        <f t="shared" si="11"/>
        <v>399.55</v>
      </c>
      <c r="L232" s="160">
        <f t="shared" si="11"/>
        <v>498.18374999999997</v>
      </c>
      <c r="P232" s="161">
        <f t="shared" si="13"/>
        <v>604.45185388480388</v>
      </c>
    </row>
    <row r="233" spans="2:16" ht="12.75" customHeight="1" x14ac:dyDescent="0.25">
      <c r="B233" s="156" t="s">
        <v>828</v>
      </c>
      <c r="C233" s="156" t="s">
        <v>829</v>
      </c>
      <c r="D233" s="159">
        <v>39637.800000000003</v>
      </c>
      <c r="E233" s="159">
        <v>43725.2</v>
      </c>
      <c r="F233" s="159">
        <v>39845.300000000003</v>
      </c>
      <c r="G233" s="159">
        <v>39402.6</v>
      </c>
      <c r="H233" s="230">
        <f t="shared" si="12"/>
        <v>40652.724999999999</v>
      </c>
      <c r="I233" s="160">
        <f t="shared" si="11"/>
        <v>291.45441176470592</v>
      </c>
      <c r="J233" s="160">
        <f t="shared" si="11"/>
        <v>303.64722222222218</v>
      </c>
      <c r="K233" s="160">
        <f t="shared" si="11"/>
        <v>226.39375000000001</v>
      </c>
      <c r="L233" s="160">
        <f t="shared" si="11"/>
        <v>246.26624999999999</v>
      </c>
      <c r="P233" s="161">
        <f t="shared" si="13"/>
        <v>347.55641186274511</v>
      </c>
    </row>
    <row r="234" spans="2:16" ht="12.75" customHeight="1" x14ac:dyDescent="0.25">
      <c r="C234" s="156" t="s">
        <v>830</v>
      </c>
      <c r="D234" s="159">
        <v>56536.3</v>
      </c>
      <c r="E234" s="159">
        <v>49239.5</v>
      </c>
      <c r="F234" s="159">
        <v>59409.5</v>
      </c>
      <c r="G234" s="162">
        <v>51545</v>
      </c>
      <c r="H234" s="230">
        <f t="shared" si="12"/>
        <v>54182.574999999997</v>
      </c>
      <c r="I234" s="160">
        <f t="shared" si="11"/>
        <v>415.70808823529416</v>
      </c>
      <c r="J234" s="160">
        <f t="shared" si="11"/>
        <v>341.94097222222223</v>
      </c>
      <c r="K234" s="160">
        <f t="shared" si="11"/>
        <v>337.55397727272725</v>
      </c>
      <c r="L234" s="160">
        <f t="shared" si="11"/>
        <v>322.15625</v>
      </c>
      <c r="P234" s="161">
        <f t="shared" si="13"/>
        <v>461.35044815619426</v>
      </c>
    </row>
    <row r="235" spans="2:16" ht="12.75" customHeight="1" x14ac:dyDescent="0.25">
      <c r="C235" s="156" t="s">
        <v>831</v>
      </c>
      <c r="D235" s="159">
        <v>45491.7</v>
      </c>
      <c r="E235" s="159">
        <v>44074.5</v>
      </c>
      <c r="F235" s="159">
        <v>41978.1</v>
      </c>
      <c r="G235" s="159">
        <v>63939.199999999997</v>
      </c>
      <c r="H235" s="230">
        <f t="shared" si="12"/>
        <v>48870.875</v>
      </c>
      <c r="I235" s="160">
        <f t="shared" si="11"/>
        <v>334.49779411764706</v>
      </c>
      <c r="J235" s="160">
        <f t="shared" si="11"/>
        <v>306.07291666666669</v>
      </c>
      <c r="K235" s="160">
        <f t="shared" si="11"/>
        <v>238.51193181818181</v>
      </c>
      <c r="L235" s="160">
        <f t="shared" si="11"/>
        <v>399.62</v>
      </c>
      <c r="P235" s="161">
        <f t="shared" si="13"/>
        <v>416.21771016711227</v>
      </c>
    </row>
    <row r="236" spans="2:16" ht="12.75" customHeight="1" x14ac:dyDescent="0.25">
      <c r="B236" s="156" t="s">
        <v>832</v>
      </c>
      <c r="C236" s="156" t="s">
        <v>833</v>
      </c>
      <c r="D236" s="159">
        <v>34254.400000000001</v>
      </c>
      <c r="E236" s="159">
        <v>35232.199999999997</v>
      </c>
      <c r="F236" s="159">
        <v>37086.400000000001</v>
      </c>
      <c r="G236" s="159">
        <v>38121.9</v>
      </c>
      <c r="H236" s="230">
        <f t="shared" si="12"/>
        <v>36173.724999999999</v>
      </c>
      <c r="I236" s="160">
        <f t="shared" si="11"/>
        <v>251.87058823529412</v>
      </c>
      <c r="J236" s="160">
        <f t="shared" si="11"/>
        <v>244.66805555555553</v>
      </c>
      <c r="K236" s="160">
        <f t="shared" si="11"/>
        <v>210.71818181818182</v>
      </c>
      <c r="L236" s="160">
        <f t="shared" si="11"/>
        <v>238.261875</v>
      </c>
      <c r="P236" s="161">
        <f t="shared" si="13"/>
        <v>307.76633704823979</v>
      </c>
    </row>
    <row r="237" spans="2:16" ht="12.75" customHeight="1" x14ac:dyDescent="0.25">
      <c r="C237" s="156" t="s">
        <v>834</v>
      </c>
      <c r="D237" s="159">
        <v>43778.8</v>
      </c>
      <c r="E237" s="159">
        <v>40606.9</v>
      </c>
      <c r="F237" s="159">
        <v>43814.3</v>
      </c>
      <c r="G237" s="159">
        <v>42395.8</v>
      </c>
      <c r="H237" s="230">
        <f t="shared" si="12"/>
        <v>42648.950000000004</v>
      </c>
      <c r="I237" s="160">
        <f t="shared" si="11"/>
        <v>321.90294117647062</v>
      </c>
      <c r="J237" s="160">
        <f t="shared" si="11"/>
        <v>281.99236111111111</v>
      </c>
      <c r="K237" s="160">
        <f t="shared" si="11"/>
        <v>248.94488636363639</v>
      </c>
      <c r="L237" s="160">
        <f t="shared" si="11"/>
        <v>264.97375</v>
      </c>
      <c r="P237" s="161">
        <f t="shared" si="13"/>
        <v>363.84843703097147</v>
      </c>
    </row>
    <row r="238" spans="2:16" ht="12.75" customHeight="1" x14ac:dyDescent="0.25">
      <c r="C238" s="156" t="s">
        <v>835</v>
      </c>
      <c r="D238" s="159">
        <v>42742.2</v>
      </c>
      <c r="E238" s="159">
        <v>40240.199999999997</v>
      </c>
      <c r="F238" s="159">
        <v>41902.300000000003</v>
      </c>
      <c r="G238" s="159">
        <v>42549.7</v>
      </c>
      <c r="H238" s="230">
        <f t="shared" si="12"/>
        <v>41858.6</v>
      </c>
      <c r="I238" s="160">
        <f t="shared" si="11"/>
        <v>314.28088235294115</v>
      </c>
      <c r="J238" s="160">
        <f t="shared" si="11"/>
        <v>279.44583333333333</v>
      </c>
      <c r="K238" s="160">
        <f t="shared" si="11"/>
        <v>238.08125000000001</v>
      </c>
      <c r="L238" s="160">
        <f t="shared" si="11"/>
        <v>265.93562499999996</v>
      </c>
      <c r="P238" s="161">
        <f t="shared" si="13"/>
        <v>357.31553876838228</v>
      </c>
    </row>
    <row r="239" spans="2:16" ht="12.75" customHeight="1" x14ac:dyDescent="0.25">
      <c r="B239" s="156" t="s">
        <v>836</v>
      </c>
      <c r="C239" s="156" t="s">
        <v>837</v>
      </c>
      <c r="D239" s="159">
        <v>70093.899999999994</v>
      </c>
      <c r="E239" s="162">
        <v>64787</v>
      </c>
      <c r="F239" s="159">
        <v>80515.3</v>
      </c>
      <c r="G239" s="159">
        <v>74378.399999999994</v>
      </c>
      <c r="H239" s="230">
        <f t="shared" si="12"/>
        <v>72443.649999999994</v>
      </c>
      <c r="I239" s="160">
        <f t="shared" si="11"/>
        <v>515.39632352941169</v>
      </c>
      <c r="J239" s="160">
        <f t="shared" si="11"/>
        <v>449.90972222222223</v>
      </c>
      <c r="K239" s="160">
        <f t="shared" si="11"/>
        <v>457.47329545454545</v>
      </c>
      <c r="L239" s="160">
        <f t="shared" si="11"/>
        <v>464.86499999999995</v>
      </c>
      <c r="P239" s="161">
        <f t="shared" si="13"/>
        <v>614.42823306261141</v>
      </c>
    </row>
    <row r="240" spans="2:16" ht="12.75" customHeight="1" x14ac:dyDescent="0.25">
      <c r="C240" s="156" t="s">
        <v>838</v>
      </c>
      <c r="D240" s="159">
        <v>34710.699999999997</v>
      </c>
      <c r="E240" s="159">
        <v>36226.699999999997</v>
      </c>
      <c r="F240" s="159">
        <v>37995.199999999997</v>
      </c>
      <c r="G240" s="159">
        <v>37112.5</v>
      </c>
      <c r="H240" s="230">
        <f t="shared" si="12"/>
        <v>36511.274999999994</v>
      </c>
      <c r="I240" s="160">
        <f t="shared" ref="I240:L270" si="14">D240/I$5/8</f>
        <v>255.22573529411761</v>
      </c>
      <c r="J240" s="160">
        <f t="shared" si="14"/>
        <v>251.57430555555553</v>
      </c>
      <c r="K240" s="160">
        <f t="shared" si="14"/>
        <v>215.88181818181818</v>
      </c>
      <c r="L240" s="160">
        <f t="shared" si="14"/>
        <v>231.953125</v>
      </c>
      <c r="P240" s="161">
        <f t="shared" si="13"/>
        <v>310.73368730225042</v>
      </c>
    </row>
    <row r="241" spans="1:16" ht="12.75" customHeight="1" x14ac:dyDescent="0.25">
      <c r="C241" s="156" t="s">
        <v>839</v>
      </c>
      <c r="D241" s="162">
        <v>77953</v>
      </c>
      <c r="E241" s="159">
        <v>117786.4</v>
      </c>
      <c r="F241" s="159">
        <v>90340.6</v>
      </c>
      <c r="G241" s="159">
        <v>97897.8</v>
      </c>
      <c r="H241" s="230">
        <f t="shared" si="12"/>
        <v>95994.45</v>
      </c>
      <c r="I241" s="160">
        <f t="shared" si="14"/>
        <v>573.18382352941171</v>
      </c>
      <c r="J241" s="160">
        <f t="shared" si="14"/>
        <v>817.96111111111111</v>
      </c>
      <c r="K241" s="160">
        <f t="shared" si="14"/>
        <v>513.29886363636365</v>
      </c>
      <c r="L241" s="160">
        <f t="shared" si="14"/>
        <v>611.86125000000004</v>
      </c>
      <c r="P241" s="161">
        <f t="shared" si="13"/>
        <v>819.05729321412662</v>
      </c>
    </row>
    <row r="242" spans="1:16" ht="12.75" customHeight="1" x14ac:dyDescent="0.25">
      <c r="C242" s="156" t="s">
        <v>840</v>
      </c>
      <c r="D242" s="159">
        <v>65621.399999999994</v>
      </c>
      <c r="E242" s="159">
        <v>73257.3</v>
      </c>
      <c r="F242" s="159">
        <v>68498.600000000006</v>
      </c>
      <c r="G242" s="159">
        <v>71170.8</v>
      </c>
      <c r="H242" s="230">
        <f t="shared" si="12"/>
        <v>69637.025000000009</v>
      </c>
      <c r="I242" s="160">
        <f t="shared" si="14"/>
        <v>482.51029411764699</v>
      </c>
      <c r="J242" s="160">
        <f t="shared" si="14"/>
        <v>508.73125000000005</v>
      </c>
      <c r="K242" s="160">
        <f t="shared" si="14"/>
        <v>389.19659090909096</v>
      </c>
      <c r="L242" s="160">
        <f t="shared" si="14"/>
        <v>444.8175</v>
      </c>
      <c r="P242" s="161">
        <f t="shared" si="13"/>
        <v>594.12070920120311</v>
      </c>
    </row>
    <row r="243" spans="1:16" ht="12.75" customHeight="1" x14ac:dyDescent="0.25">
      <c r="A243" s="156" t="s">
        <v>841</v>
      </c>
      <c r="B243" s="156" t="s">
        <v>842</v>
      </c>
      <c r="C243" s="156" t="s">
        <v>843</v>
      </c>
      <c r="D243" s="162">
        <v>60902</v>
      </c>
      <c r="E243" s="159">
        <v>65965.2</v>
      </c>
      <c r="F243" s="159">
        <v>72793.600000000006</v>
      </c>
      <c r="G243" s="159">
        <v>78041.7</v>
      </c>
      <c r="H243" s="230">
        <f t="shared" si="12"/>
        <v>69425.625</v>
      </c>
      <c r="I243" s="160">
        <f t="shared" si="14"/>
        <v>447.80882352941177</v>
      </c>
      <c r="J243" s="160">
        <f t="shared" si="14"/>
        <v>458.09166666666664</v>
      </c>
      <c r="K243" s="160">
        <f t="shared" si="14"/>
        <v>413.6</v>
      </c>
      <c r="L243" s="160">
        <f t="shared" si="14"/>
        <v>487.760625</v>
      </c>
      <c r="P243" s="161">
        <f t="shared" si="13"/>
        <v>588.26349299632352</v>
      </c>
    </row>
    <row r="244" spans="1:16" ht="12.75" customHeight="1" x14ac:dyDescent="0.25">
      <c r="C244" s="156" t="s">
        <v>844</v>
      </c>
      <c r="D244" s="159">
        <v>56685.7</v>
      </c>
      <c r="E244" s="159">
        <v>57124.5</v>
      </c>
      <c r="F244" s="159">
        <v>60517.3</v>
      </c>
      <c r="G244" s="159">
        <v>61777.1</v>
      </c>
      <c r="H244" s="230">
        <f t="shared" si="12"/>
        <v>59026.15</v>
      </c>
      <c r="I244" s="160">
        <f t="shared" si="14"/>
        <v>416.80661764705883</v>
      </c>
      <c r="J244" s="160">
        <f t="shared" si="14"/>
        <v>396.69791666666669</v>
      </c>
      <c r="K244" s="160">
        <f t="shared" si="14"/>
        <v>343.84829545454545</v>
      </c>
      <c r="L244" s="160">
        <f t="shared" si="14"/>
        <v>386.106875</v>
      </c>
      <c r="P244" s="161">
        <f t="shared" si="13"/>
        <v>502.39613390207222</v>
      </c>
    </row>
    <row r="245" spans="1:16" ht="12.75" customHeight="1" x14ac:dyDescent="0.25">
      <c r="C245" s="156" t="s">
        <v>845</v>
      </c>
      <c r="D245" s="159">
        <v>41526.800000000003</v>
      </c>
      <c r="E245" s="159">
        <v>43054.3</v>
      </c>
      <c r="F245" s="159">
        <v>74088.3</v>
      </c>
      <c r="G245" s="159">
        <v>51988.9</v>
      </c>
      <c r="H245" s="230">
        <f t="shared" si="12"/>
        <v>52664.575000000004</v>
      </c>
      <c r="I245" s="160">
        <f t="shared" si="14"/>
        <v>305.34411764705885</v>
      </c>
      <c r="J245" s="160">
        <f t="shared" si="14"/>
        <v>298.98819444444445</v>
      </c>
      <c r="K245" s="160">
        <f t="shared" si="14"/>
        <v>420.95625000000001</v>
      </c>
      <c r="L245" s="160">
        <f t="shared" si="14"/>
        <v>324.93062500000002</v>
      </c>
      <c r="P245" s="161">
        <f t="shared" si="13"/>
        <v>439.49634539828435</v>
      </c>
    </row>
    <row r="246" spans="1:16" ht="12.75" customHeight="1" x14ac:dyDescent="0.25">
      <c r="A246" s="156" t="s">
        <v>846</v>
      </c>
      <c r="B246" s="156" t="s">
        <v>847</v>
      </c>
      <c r="C246" s="156" t="s">
        <v>848</v>
      </c>
      <c r="D246" s="159">
        <v>43041.2</v>
      </c>
      <c r="E246" s="159">
        <v>44097.8</v>
      </c>
      <c r="F246" s="159">
        <v>45680.3</v>
      </c>
      <c r="G246" s="159">
        <v>45019.1</v>
      </c>
      <c r="H246" s="230">
        <f t="shared" si="12"/>
        <v>44459.6</v>
      </c>
      <c r="I246" s="160">
        <f t="shared" si="14"/>
        <v>316.47941176470584</v>
      </c>
      <c r="J246" s="160">
        <f t="shared" si="14"/>
        <v>306.23472222222222</v>
      </c>
      <c r="K246" s="160">
        <f t="shared" si="14"/>
        <v>259.54715909090913</v>
      </c>
      <c r="L246" s="160">
        <f t="shared" si="14"/>
        <v>281.36937499999999</v>
      </c>
      <c r="P246" s="161">
        <f t="shared" si="13"/>
        <v>378.76178245933608</v>
      </c>
    </row>
    <row r="247" spans="1:16" ht="12.75" customHeight="1" x14ac:dyDescent="0.25">
      <c r="C247" s="156" t="s">
        <v>849</v>
      </c>
      <c r="D247" s="159">
        <v>64176.9</v>
      </c>
      <c r="E247" s="159">
        <v>65936.5</v>
      </c>
      <c r="F247" s="159">
        <v>74876.399999999994</v>
      </c>
      <c r="G247" s="159">
        <v>70721.600000000006</v>
      </c>
      <c r="H247" s="230">
        <f t="shared" si="12"/>
        <v>68927.850000000006</v>
      </c>
      <c r="I247" s="160">
        <f t="shared" si="14"/>
        <v>471.88897058823528</v>
      </c>
      <c r="J247" s="160">
        <f t="shared" si="14"/>
        <v>457.89236111111109</v>
      </c>
      <c r="K247" s="160">
        <f t="shared" si="14"/>
        <v>425.43409090909086</v>
      </c>
      <c r="L247" s="160">
        <f t="shared" si="14"/>
        <v>442.01000000000005</v>
      </c>
      <c r="P247" s="161">
        <f t="shared" si="13"/>
        <v>584.99687505904626</v>
      </c>
    </row>
    <row r="248" spans="1:16" ht="12.75" customHeight="1" x14ac:dyDescent="0.25">
      <c r="C248" s="156" t="s">
        <v>850</v>
      </c>
      <c r="D248" s="159">
        <v>48879.9</v>
      </c>
      <c r="E248" s="159">
        <v>49088.7</v>
      </c>
      <c r="F248" s="159">
        <v>56636.800000000003</v>
      </c>
      <c r="G248" s="159">
        <v>56687.4</v>
      </c>
      <c r="H248" s="230">
        <f t="shared" si="12"/>
        <v>52823.200000000004</v>
      </c>
      <c r="I248" s="160">
        <f t="shared" si="14"/>
        <v>359.41102941176473</v>
      </c>
      <c r="J248" s="160">
        <f t="shared" si="14"/>
        <v>340.89374999999995</v>
      </c>
      <c r="K248" s="160">
        <f t="shared" si="14"/>
        <v>321.8</v>
      </c>
      <c r="L248" s="160">
        <f t="shared" si="14"/>
        <v>354.29624999999999</v>
      </c>
      <c r="P248" s="161">
        <f t="shared" si="13"/>
        <v>448.01853507352945</v>
      </c>
    </row>
    <row r="249" spans="1:16" ht="12.75" customHeight="1" x14ac:dyDescent="0.25">
      <c r="C249" s="156" t="s">
        <v>851</v>
      </c>
      <c r="D249" s="159">
        <v>47959.5</v>
      </c>
      <c r="E249" s="159">
        <v>49954.400000000001</v>
      </c>
      <c r="F249" s="159">
        <v>53743.199999999997</v>
      </c>
      <c r="G249" s="159">
        <v>51810.7</v>
      </c>
      <c r="H249" s="230">
        <f t="shared" si="12"/>
        <v>50866.95</v>
      </c>
      <c r="I249" s="160">
        <f t="shared" si="14"/>
        <v>352.64338235294116</v>
      </c>
      <c r="J249" s="160">
        <f t="shared" si="14"/>
        <v>346.90555555555557</v>
      </c>
      <c r="K249" s="160">
        <f t="shared" si="14"/>
        <v>305.35909090909087</v>
      </c>
      <c r="L249" s="160">
        <f t="shared" si="14"/>
        <v>323.81687499999998</v>
      </c>
      <c r="P249" s="161">
        <f t="shared" si="13"/>
        <v>432.49995619262478</v>
      </c>
    </row>
    <row r="250" spans="1:16" ht="12.75" customHeight="1" x14ac:dyDescent="0.25">
      <c r="A250" s="156" t="s">
        <v>852</v>
      </c>
      <c r="B250" s="156" t="s">
        <v>853</v>
      </c>
      <c r="C250" s="156" t="s">
        <v>854</v>
      </c>
      <c r="D250" s="159">
        <v>59134.1</v>
      </c>
      <c r="E250" s="159">
        <v>57112.800000000003</v>
      </c>
      <c r="F250" s="159">
        <v>59203.6</v>
      </c>
      <c r="G250" s="162">
        <v>59351</v>
      </c>
      <c r="H250" s="230">
        <f t="shared" si="12"/>
        <v>58700.375</v>
      </c>
      <c r="I250" s="160">
        <f t="shared" si="14"/>
        <v>434.80955882352941</v>
      </c>
      <c r="J250" s="160">
        <f t="shared" si="14"/>
        <v>396.61666666666667</v>
      </c>
      <c r="K250" s="160">
        <f t="shared" si="14"/>
        <v>336.3840909090909</v>
      </c>
      <c r="L250" s="160">
        <f t="shared" si="14"/>
        <v>370.94375000000002</v>
      </c>
      <c r="P250" s="161">
        <f t="shared" si="13"/>
        <v>500.86444861296786</v>
      </c>
    </row>
    <row r="251" spans="1:16" ht="12.75" customHeight="1" x14ac:dyDescent="0.25">
      <c r="C251" s="156" t="s">
        <v>855</v>
      </c>
      <c r="D251" s="162">
        <v>59131</v>
      </c>
      <c r="E251" s="159">
        <v>58889.3</v>
      </c>
      <c r="F251" s="159">
        <v>63916.5</v>
      </c>
      <c r="G251" s="159">
        <v>64346.400000000001</v>
      </c>
      <c r="H251" s="230">
        <f t="shared" si="12"/>
        <v>61570.799999999996</v>
      </c>
      <c r="I251" s="160">
        <f t="shared" si="14"/>
        <v>434.78676470588238</v>
      </c>
      <c r="J251" s="160">
        <f t="shared" si="14"/>
        <v>408.95347222222222</v>
      </c>
      <c r="K251" s="160">
        <f t="shared" si="14"/>
        <v>363.16193181818181</v>
      </c>
      <c r="L251" s="160">
        <f t="shared" si="14"/>
        <v>402.16500000000002</v>
      </c>
      <c r="P251" s="161">
        <f t="shared" si="13"/>
        <v>523.75136342691621</v>
      </c>
    </row>
    <row r="252" spans="1:16" ht="12.75" customHeight="1" x14ac:dyDescent="0.25">
      <c r="C252" s="156" t="s">
        <v>856</v>
      </c>
      <c r="D252" s="159">
        <v>56907.7</v>
      </c>
      <c r="E252" s="159">
        <v>54276.4</v>
      </c>
      <c r="F252" s="159">
        <v>58570.1</v>
      </c>
      <c r="G252" s="159">
        <v>57024.1</v>
      </c>
      <c r="H252" s="230">
        <f t="shared" si="12"/>
        <v>56694.575000000004</v>
      </c>
      <c r="I252" s="160">
        <f t="shared" si="14"/>
        <v>418.43897058823529</v>
      </c>
      <c r="J252" s="160">
        <f t="shared" si="14"/>
        <v>376.91944444444448</v>
      </c>
      <c r="K252" s="160">
        <f t="shared" si="14"/>
        <v>332.78465909090909</v>
      </c>
      <c r="L252" s="160">
        <f t="shared" si="14"/>
        <v>356.40062499999999</v>
      </c>
      <c r="P252" s="161">
        <f t="shared" si="13"/>
        <v>483.21897406472817</v>
      </c>
    </row>
    <row r="253" spans="1:16" ht="12.75" customHeight="1" x14ac:dyDescent="0.25">
      <c r="B253" s="156" t="s">
        <v>857</v>
      </c>
      <c r="C253" s="156" t="s">
        <v>858</v>
      </c>
      <c r="D253" s="159">
        <v>32540.799999999999</v>
      </c>
      <c r="E253" s="159">
        <v>33917.699999999997</v>
      </c>
      <c r="F253" s="159">
        <v>35839.699999999997</v>
      </c>
      <c r="G253" s="159">
        <v>45219.6</v>
      </c>
      <c r="H253" s="230">
        <f t="shared" si="12"/>
        <v>36879.449999999997</v>
      </c>
      <c r="I253" s="160">
        <f t="shared" si="14"/>
        <v>239.2705882352941</v>
      </c>
      <c r="J253" s="160">
        <f t="shared" si="14"/>
        <v>235.53958333333333</v>
      </c>
      <c r="K253" s="160">
        <f t="shared" si="14"/>
        <v>203.63465909090908</v>
      </c>
      <c r="L253" s="160">
        <f t="shared" si="14"/>
        <v>282.6225</v>
      </c>
      <c r="P253" s="161">
        <f t="shared" si="13"/>
        <v>312.82741612967914</v>
      </c>
    </row>
    <row r="254" spans="1:16" ht="12.75" customHeight="1" x14ac:dyDescent="0.25">
      <c r="C254" s="156" t="s">
        <v>859</v>
      </c>
      <c r="D254" s="159">
        <v>32505.200000000001</v>
      </c>
      <c r="E254" s="159">
        <v>31653.9</v>
      </c>
      <c r="F254" s="159">
        <v>31708.400000000001</v>
      </c>
      <c r="G254" s="162">
        <v>31505</v>
      </c>
      <c r="H254" s="230">
        <f t="shared" si="12"/>
        <v>31843.125</v>
      </c>
      <c r="I254" s="160">
        <f t="shared" si="14"/>
        <v>239.00882352941176</v>
      </c>
      <c r="J254" s="160">
        <f t="shared" si="14"/>
        <v>219.81875000000002</v>
      </c>
      <c r="K254" s="160">
        <f t="shared" si="14"/>
        <v>180.16136363636363</v>
      </c>
      <c r="L254" s="160">
        <f t="shared" si="14"/>
        <v>196.90625</v>
      </c>
      <c r="P254" s="161">
        <f t="shared" si="13"/>
        <v>272.08388342245991</v>
      </c>
    </row>
    <row r="255" spans="1:16" ht="12.75" customHeight="1" x14ac:dyDescent="0.25">
      <c r="C255" s="156" t="s">
        <v>860</v>
      </c>
      <c r="D255" s="159">
        <v>40130.400000000001</v>
      </c>
      <c r="E255" s="159">
        <v>38461.4</v>
      </c>
      <c r="F255" s="159">
        <v>39667.199999999997</v>
      </c>
      <c r="G255" s="162">
        <v>39709</v>
      </c>
      <c r="H255" s="230">
        <f t="shared" si="12"/>
        <v>39492</v>
      </c>
      <c r="I255" s="160">
        <f t="shared" si="14"/>
        <v>295.07647058823528</v>
      </c>
      <c r="J255" s="160">
        <f t="shared" si="14"/>
        <v>267.09305555555557</v>
      </c>
      <c r="K255" s="160">
        <f t="shared" si="14"/>
        <v>225.38181818181818</v>
      </c>
      <c r="L255" s="160">
        <f t="shared" si="14"/>
        <v>248.18125000000001</v>
      </c>
      <c r="P255" s="161">
        <f t="shared" si="13"/>
        <v>337.13095945298573</v>
      </c>
    </row>
    <row r="256" spans="1:16" ht="12.75" customHeight="1" x14ac:dyDescent="0.25">
      <c r="C256" s="156" t="s">
        <v>861</v>
      </c>
      <c r="D256" s="159">
        <v>44924.5</v>
      </c>
      <c r="E256" s="159">
        <v>43193.7</v>
      </c>
      <c r="F256" s="159">
        <v>44839.8</v>
      </c>
      <c r="G256" s="162">
        <v>44990</v>
      </c>
      <c r="H256" s="230">
        <f t="shared" si="12"/>
        <v>44487</v>
      </c>
      <c r="I256" s="160">
        <f t="shared" si="14"/>
        <v>330.32720588235293</v>
      </c>
      <c r="J256" s="160">
        <f t="shared" si="14"/>
        <v>299.95624999999995</v>
      </c>
      <c r="K256" s="160">
        <f t="shared" si="14"/>
        <v>254.77159090909092</v>
      </c>
      <c r="L256" s="160">
        <f t="shared" si="14"/>
        <v>281.1875</v>
      </c>
      <c r="P256" s="161">
        <f t="shared" si="13"/>
        <v>379.61194898061495</v>
      </c>
    </row>
    <row r="257" spans="1:16" ht="12.75" customHeight="1" x14ac:dyDescent="0.25">
      <c r="B257" s="156" t="s">
        <v>862</v>
      </c>
      <c r="C257" s="156" t="s">
        <v>863</v>
      </c>
      <c r="D257" s="159">
        <v>42989.9</v>
      </c>
      <c r="E257" s="159">
        <v>43335.8</v>
      </c>
      <c r="F257" s="159">
        <v>45835.4</v>
      </c>
      <c r="G257" s="159">
        <v>45063.3</v>
      </c>
      <c r="H257" s="230">
        <f t="shared" si="12"/>
        <v>44306.100000000006</v>
      </c>
      <c r="I257" s="160">
        <f t="shared" si="14"/>
        <v>316.10220588235296</v>
      </c>
      <c r="J257" s="160">
        <f t="shared" si="14"/>
        <v>300.94305555555559</v>
      </c>
      <c r="K257" s="160">
        <f t="shared" si="14"/>
        <v>260.4284090909091</v>
      </c>
      <c r="L257" s="160">
        <f t="shared" si="14"/>
        <v>281.645625</v>
      </c>
      <c r="P257" s="161">
        <f t="shared" si="13"/>
        <v>377.29333069463013</v>
      </c>
    </row>
    <row r="258" spans="1:16" ht="12.75" customHeight="1" x14ac:dyDescent="0.25">
      <c r="C258" s="156" t="s">
        <v>864</v>
      </c>
      <c r="D258" s="159">
        <v>43274.6</v>
      </c>
      <c r="E258" s="159">
        <v>44434.9</v>
      </c>
      <c r="F258" s="159">
        <v>45994.9</v>
      </c>
      <c r="G258" s="159">
        <v>46508.3</v>
      </c>
      <c r="H258" s="230">
        <f t="shared" si="12"/>
        <v>45053.175000000003</v>
      </c>
      <c r="I258" s="160">
        <f t="shared" si="14"/>
        <v>318.19558823529411</v>
      </c>
      <c r="J258" s="160">
        <f t="shared" si="14"/>
        <v>308.57569444444448</v>
      </c>
      <c r="K258" s="160">
        <f t="shared" si="14"/>
        <v>261.3346590909091</v>
      </c>
      <c r="L258" s="160">
        <f t="shared" si="14"/>
        <v>290.676875</v>
      </c>
      <c r="P258" s="161">
        <f t="shared" si="13"/>
        <v>383.69380685884579</v>
      </c>
    </row>
    <row r="259" spans="1:16" ht="12.75" customHeight="1" x14ac:dyDescent="0.25">
      <c r="A259" s="156" t="s">
        <v>865</v>
      </c>
      <c r="B259" s="156" t="s">
        <v>866</v>
      </c>
      <c r="C259" s="156" t="s">
        <v>867</v>
      </c>
      <c r="D259" s="159">
        <v>54750.8</v>
      </c>
      <c r="E259" s="159">
        <v>53637.4</v>
      </c>
      <c r="F259" s="159">
        <v>58358.1</v>
      </c>
      <c r="G259" s="159">
        <v>55466.8</v>
      </c>
      <c r="H259" s="230">
        <f t="shared" si="12"/>
        <v>55553.275000000009</v>
      </c>
      <c r="I259" s="160">
        <f t="shared" si="14"/>
        <v>402.57941176470592</v>
      </c>
      <c r="J259" s="160">
        <f t="shared" si="14"/>
        <v>372.48194444444448</v>
      </c>
      <c r="K259" s="160">
        <f t="shared" si="14"/>
        <v>331.58011363636365</v>
      </c>
      <c r="L259" s="160">
        <f t="shared" si="14"/>
        <v>346.66750000000002</v>
      </c>
      <c r="P259" s="161">
        <f t="shared" si="13"/>
        <v>473.05206968471487</v>
      </c>
    </row>
    <row r="260" spans="1:16" ht="12.75" customHeight="1" x14ac:dyDescent="0.25">
      <c r="B260" s="156" t="s">
        <v>868</v>
      </c>
      <c r="C260" s="156" t="s">
        <v>869</v>
      </c>
      <c r="D260" s="159">
        <v>49161.4</v>
      </c>
      <c r="E260" s="159">
        <v>48621.4</v>
      </c>
      <c r="F260" s="159">
        <v>56188.800000000003</v>
      </c>
      <c r="G260" s="159">
        <v>50830.8</v>
      </c>
      <c r="H260" s="230">
        <f t="shared" si="12"/>
        <v>51200.600000000006</v>
      </c>
      <c r="I260" s="160">
        <f t="shared" si="14"/>
        <v>361.48088235294119</v>
      </c>
      <c r="J260" s="160">
        <f t="shared" si="14"/>
        <v>337.64861111111111</v>
      </c>
      <c r="K260" s="160">
        <f t="shared" si="14"/>
        <v>319.25454545454545</v>
      </c>
      <c r="L260" s="160">
        <f t="shared" si="14"/>
        <v>317.6925</v>
      </c>
      <c r="P260" s="161">
        <f t="shared" si="13"/>
        <v>434.89291341800356</v>
      </c>
    </row>
    <row r="261" spans="1:16" ht="12.75" customHeight="1" x14ac:dyDescent="0.25">
      <c r="B261" s="156" t="s">
        <v>870</v>
      </c>
      <c r="C261" s="156" t="s">
        <v>871</v>
      </c>
      <c r="D261" s="159">
        <v>57288.6</v>
      </c>
      <c r="E261" s="159">
        <v>61792.800000000003</v>
      </c>
      <c r="F261" s="159">
        <v>58469.2</v>
      </c>
      <c r="G261" s="159">
        <v>55574.400000000001</v>
      </c>
      <c r="H261" s="230">
        <f t="shared" si="12"/>
        <v>58281.249999999993</v>
      </c>
      <c r="I261" s="160">
        <f t="shared" si="14"/>
        <v>421.23970588235295</v>
      </c>
      <c r="J261" s="160">
        <f t="shared" si="14"/>
        <v>429.11666666666667</v>
      </c>
      <c r="K261" s="160">
        <f t="shared" si="14"/>
        <v>332.21136363636361</v>
      </c>
      <c r="L261" s="160">
        <f t="shared" si="14"/>
        <v>347.34000000000003</v>
      </c>
      <c r="P261" s="161">
        <f t="shared" si="13"/>
        <v>497.9849681283423</v>
      </c>
    </row>
    <row r="262" spans="1:16" ht="12.75" customHeight="1" x14ac:dyDescent="0.25">
      <c r="C262" s="156" t="s">
        <v>872</v>
      </c>
      <c r="D262" s="159">
        <v>146984.79999999999</v>
      </c>
      <c r="E262" s="159">
        <v>118540.2</v>
      </c>
      <c r="F262" s="159">
        <v>123511.3</v>
      </c>
      <c r="G262" s="162">
        <v>133826</v>
      </c>
      <c r="H262" s="230">
        <f t="shared" si="12"/>
        <v>130715.575</v>
      </c>
      <c r="I262" s="160">
        <f t="shared" si="14"/>
        <v>1080.7705882352941</v>
      </c>
      <c r="J262" s="160">
        <f t="shared" si="14"/>
        <v>823.19583333333333</v>
      </c>
      <c r="K262" s="160">
        <f t="shared" si="14"/>
        <v>701.76875000000007</v>
      </c>
      <c r="L262" s="160">
        <f t="shared" si="14"/>
        <v>836.41250000000002</v>
      </c>
      <c r="P262" s="161">
        <f t="shared" si="13"/>
        <v>1120.4190670955884</v>
      </c>
    </row>
    <row r="263" spans="1:16" ht="12.75" customHeight="1" x14ac:dyDescent="0.25">
      <c r="B263" s="156" t="s">
        <v>873</v>
      </c>
      <c r="C263" s="156" t="s">
        <v>874</v>
      </c>
      <c r="D263" s="159">
        <v>67299.7</v>
      </c>
      <c r="E263" s="159">
        <v>69152.7</v>
      </c>
      <c r="F263" s="159">
        <v>74108.7</v>
      </c>
      <c r="G263" s="159">
        <v>79079.100000000006</v>
      </c>
      <c r="H263" s="230">
        <f t="shared" ref="H263:H270" si="15">AVERAGE(D263:G263)</f>
        <v>72410.049999999988</v>
      </c>
      <c r="I263" s="160">
        <f t="shared" si="14"/>
        <v>494.85073529411761</v>
      </c>
      <c r="J263" s="160">
        <f t="shared" si="14"/>
        <v>480.22708333333333</v>
      </c>
      <c r="K263" s="160">
        <f t="shared" si="14"/>
        <v>421.07215909090905</v>
      </c>
      <c r="L263" s="160">
        <f t="shared" si="14"/>
        <v>494.24437500000005</v>
      </c>
      <c r="P263" s="161">
        <f t="shared" ref="P263:P270" si="16">AVERAGE(I263:L263)*1.302</f>
        <v>615.32336180982611</v>
      </c>
    </row>
    <row r="264" spans="1:16" ht="12.75" customHeight="1" x14ac:dyDescent="0.25">
      <c r="C264" s="156" t="s">
        <v>875</v>
      </c>
      <c r="D264" s="162">
        <v>41702</v>
      </c>
      <c r="E264" s="162">
        <v>42814</v>
      </c>
      <c r="F264" s="159">
        <v>46269.2</v>
      </c>
      <c r="G264" s="159">
        <v>46327.4</v>
      </c>
      <c r="H264" s="230">
        <f t="shared" si="15"/>
        <v>44278.15</v>
      </c>
      <c r="I264" s="160">
        <f t="shared" si="14"/>
        <v>306.63235294117646</v>
      </c>
      <c r="J264" s="160">
        <f t="shared" si="14"/>
        <v>297.31944444444446</v>
      </c>
      <c r="K264" s="160">
        <f t="shared" si="14"/>
        <v>262.8931818181818</v>
      </c>
      <c r="L264" s="160">
        <f t="shared" si="14"/>
        <v>289.54624999999999</v>
      </c>
      <c r="P264" s="161">
        <f t="shared" si="16"/>
        <v>376.40534510583774</v>
      </c>
    </row>
    <row r="265" spans="1:16" ht="12.75" customHeight="1" x14ac:dyDescent="0.25">
      <c r="A265" s="156" t="s">
        <v>876</v>
      </c>
      <c r="B265" s="156" t="s">
        <v>877</v>
      </c>
      <c r="C265" s="156" t="s">
        <v>878</v>
      </c>
      <c r="D265" s="159">
        <v>100084.2</v>
      </c>
      <c r="E265" s="159">
        <v>99879.8</v>
      </c>
      <c r="F265" s="159">
        <v>112823.7</v>
      </c>
      <c r="G265" s="159">
        <v>104169.8</v>
      </c>
      <c r="H265" s="230">
        <f t="shared" si="15"/>
        <v>104239.375</v>
      </c>
      <c r="I265" s="160">
        <f t="shared" si="14"/>
        <v>735.91323529411761</v>
      </c>
      <c r="J265" s="160">
        <f t="shared" si="14"/>
        <v>693.60972222222222</v>
      </c>
      <c r="K265" s="160">
        <f t="shared" si="14"/>
        <v>641.04374999999993</v>
      </c>
      <c r="L265" s="160">
        <f t="shared" si="14"/>
        <v>651.06124999999997</v>
      </c>
      <c r="P265" s="161">
        <f t="shared" si="16"/>
        <v>885.88990017156868</v>
      </c>
    </row>
    <row r="266" spans="1:16" ht="12.75" customHeight="1" x14ac:dyDescent="0.25">
      <c r="C266" s="156" t="s">
        <v>879</v>
      </c>
      <c r="D266" s="159">
        <v>82586.5</v>
      </c>
      <c r="E266" s="159">
        <v>89761.8</v>
      </c>
      <c r="F266" s="159">
        <v>100122.2</v>
      </c>
      <c r="G266" s="159">
        <v>101856.2</v>
      </c>
      <c r="H266" s="230">
        <f t="shared" si="15"/>
        <v>93581.675000000003</v>
      </c>
      <c r="I266" s="160">
        <f t="shared" si="14"/>
        <v>607.25367647058829</v>
      </c>
      <c r="J266" s="160">
        <f t="shared" si="14"/>
        <v>623.3458333333333</v>
      </c>
      <c r="K266" s="160">
        <f t="shared" si="14"/>
        <v>568.87613636363631</v>
      </c>
      <c r="L266" s="160">
        <f t="shared" si="14"/>
        <v>636.60124999999994</v>
      </c>
      <c r="P266" s="161">
        <f t="shared" si="16"/>
        <v>792.94302970254</v>
      </c>
    </row>
    <row r="267" spans="1:16" ht="12.75" customHeight="1" x14ac:dyDescent="0.25">
      <c r="C267" s="156" t="s">
        <v>880</v>
      </c>
      <c r="D267" s="159">
        <v>51731.7</v>
      </c>
      <c r="E267" s="159">
        <v>51252.1</v>
      </c>
      <c r="F267" s="159">
        <v>53143.7</v>
      </c>
      <c r="G267" s="159">
        <v>59060.800000000003</v>
      </c>
      <c r="H267" s="230">
        <f t="shared" si="15"/>
        <v>53797.074999999997</v>
      </c>
      <c r="I267" s="160">
        <f t="shared" si="14"/>
        <v>380.38014705882352</v>
      </c>
      <c r="J267" s="160">
        <f t="shared" si="14"/>
        <v>355.91736111111112</v>
      </c>
      <c r="K267" s="160">
        <f t="shared" si="14"/>
        <v>301.95284090909087</v>
      </c>
      <c r="L267" s="160">
        <f t="shared" si="14"/>
        <v>369.13</v>
      </c>
      <c r="P267" s="161">
        <f t="shared" si="16"/>
        <v>458.10230362522282</v>
      </c>
    </row>
    <row r="268" spans="1:16" ht="12.75" customHeight="1" x14ac:dyDescent="0.25">
      <c r="B268" s="156" t="s">
        <v>881</v>
      </c>
      <c r="C268" s="156" t="s">
        <v>882</v>
      </c>
      <c r="D268" s="159">
        <v>45594.2</v>
      </c>
      <c r="E268" s="159">
        <v>45205.8</v>
      </c>
      <c r="F268" s="159">
        <v>52446.6</v>
      </c>
      <c r="G268" s="162">
        <v>46942</v>
      </c>
      <c r="H268" s="230">
        <f t="shared" si="15"/>
        <v>47547.15</v>
      </c>
      <c r="I268" s="160">
        <f t="shared" si="14"/>
        <v>335.25147058823529</v>
      </c>
      <c r="J268" s="160">
        <f t="shared" si="14"/>
        <v>313.92916666666667</v>
      </c>
      <c r="K268" s="160">
        <f t="shared" si="14"/>
        <v>297.99204545454546</v>
      </c>
      <c r="L268" s="160">
        <f t="shared" si="14"/>
        <v>293.38749999999999</v>
      </c>
      <c r="P268" s="161">
        <f t="shared" si="16"/>
        <v>403.80233947192517</v>
      </c>
    </row>
    <row r="269" spans="1:16" ht="12.75" customHeight="1" x14ac:dyDescent="0.25">
      <c r="C269" s="156" t="s">
        <v>883</v>
      </c>
      <c r="D269" s="162">
        <v>31908</v>
      </c>
      <c r="E269" s="159">
        <v>30120.2</v>
      </c>
      <c r="F269" s="159">
        <v>25735.3</v>
      </c>
      <c r="G269" s="159">
        <v>35356.400000000001</v>
      </c>
      <c r="H269" s="230">
        <f t="shared" si="15"/>
        <v>30779.974999999999</v>
      </c>
      <c r="I269" s="160">
        <f t="shared" si="14"/>
        <v>234.61764705882354</v>
      </c>
      <c r="J269" s="160">
        <f t="shared" si="14"/>
        <v>209.16805555555555</v>
      </c>
      <c r="K269" s="160">
        <f t="shared" si="14"/>
        <v>146.22329545454545</v>
      </c>
      <c r="L269" s="160">
        <f t="shared" si="14"/>
        <v>220.97750000000002</v>
      </c>
      <c r="P269" s="161">
        <f t="shared" si="16"/>
        <v>263.9761051214349</v>
      </c>
    </row>
    <row r="270" spans="1:16" ht="12.75" customHeight="1" x14ac:dyDescent="0.25">
      <c r="B270" s="156" t="s">
        <v>884</v>
      </c>
      <c r="C270" s="156" t="s">
        <v>885</v>
      </c>
      <c r="D270" s="159">
        <v>45862.400000000001</v>
      </c>
      <c r="E270" s="159">
        <v>45752.4</v>
      </c>
      <c r="F270" s="159">
        <v>71123.899999999994</v>
      </c>
      <c r="G270" s="159">
        <v>42470.6</v>
      </c>
      <c r="H270" s="230">
        <f t="shared" si="15"/>
        <v>51302.325000000004</v>
      </c>
      <c r="I270" s="160">
        <f t="shared" si="14"/>
        <v>337.22352941176473</v>
      </c>
      <c r="J270" s="160">
        <f t="shared" si="14"/>
        <v>317.72500000000002</v>
      </c>
      <c r="K270" s="160">
        <f t="shared" si="14"/>
        <v>404.11306818181816</v>
      </c>
      <c r="L270" s="160">
        <f t="shared" si="14"/>
        <v>265.44124999999997</v>
      </c>
      <c r="P270" s="161">
        <f t="shared" si="16"/>
        <v>431.12567689171124</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Q194" sqref="Q194"/>
    </sheetView>
  </sheetViews>
  <sheetFormatPr defaultRowHeight="15" x14ac:dyDescent="0.25"/>
  <cols>
    <col min="1" max="1" width="4.85546875" customWidth="1"/>
    <col min="2" max="2" width="79.28515625" customWidth="1"/>
  </cols>
  <sheetData>
    <row r="1" spans="1:2" x14ac:dyDescent="0.25">
      <c r="B1" s="1" t="s">
        <v>173</v>
      </c>
    </row>
    <row r="2" spans="1:2" x14ac:dyDescent="0.25">
      <c r="A2" s="10">
        <v>1</v>
      </c>
      <c r="B2" s="130" t="s">
        <v>267</v>
      </c>
    </row>
    <row r="3" spans="1:2" x14ac:dyDescent="0.25">
      <c r="A3" s="10">
        <f t="shared" ref="A3:A17" si="0">A2+1</f>
        <v>2</v>
      </c>
      <c r="B3" s="130" t="s">
        <v>269</v>
      </c>
    </row>
    <row r="4" spans="1:2" x14ac:dyDescent="0.25">
      <c r="A4" s="10">
        <f t="shared" si="0"/>
        <v>3</v>
      </c>
      <c r="B4" s="130" t="s">
        <v>272</v>
      </c>
    </row>
    <row r="5" spans="1:2" x14ac:dyDescent="0.25">
      <c r="A5" s="10">
        <f t="shared" si="0"/>
        <v>4</v>
      </c>
      <c r="B5" s="130" t="s">
        <v>280</v>
      </c>
    </row>
    <row r="6" spans="1:2" ht="30" x14ac:dyDescent="0.25">
      <c r="A6" s="10">
        <f t="shared" si="0"/>
        <v>5</v>
      </c>
      <c r="B6" s="130" t="s">
        <v>275</v>
      </c>
    </row>
    <row r="7" spans="1:2" ht="30" x14ac:dyDescent="0.25">
      <c r="A7" s="10">
        <f t="shared" si="0"/>
        <v>6</v>
      </c>
      <c r="B7" s="130" t="s">
        <v>281</v>
      </c>
    </row>
    <row r="8" spans="1:2" x14ac:dyDescent="0.25">
      <c r="A8" s="10">
        <f t="shared" si="0"/>
        <v>7</v>
      </c>
      <c r="B8" s="130" t="s">
        <v>282</v>
      </c>
    </row>
    <row r="9" spans="1:2" x14ac:dyDescent="0.25">
      <c r="A9" s="10">
        <f t="shared" si="0"/>
        <v>8</v>
      </c>
      <c r="B9" s="130" t="s">
        <v>273</v>
      </c>
    </row>
    <row r="10" spans="1:2" ht="30" x14ac:dyDescent="0.25">
      <c r="A10" s="10">
        <f t="shared" si="0"/>
        <v>9</v>
      </c>
      <c r="B10" s="130" t="s">
        <v>277</v>
      </c>
    </row>
    <row r="11" spans="1:2" x14ac:dyDescent="0.25">
      <c r="A11" s="10">
        <f t="shared" si="0"/>
        <v>10</v>
      </c>
      <c r="B11" s="130" t="s">
        <v>278</v>
      </c>
    </row>
    <row r="12" spans="1:2" x14ac:dyDescent="0.25">
      <c r="A12" s="10">
        <f t="shared" si="0"/>
        <v>11</v>
      </c>
      <c r="B12" s="130" t="s">
        <v>283</v>
      </c>
    </row>
    <row r="13" spans="1:2" x14ac:dyDescent="0.25">
      <c r="A13" s="10">
        <f t="shared" si="0"/>
        <v>12</v>
      </c>
      <c r="B13" s="130" t="s">
        <v>279</v>
      </c>
    </row>
    <row r="14" spans="1:2" x14ac:dyDescent="0.25">
      <c r="A14" s="10">
        <f t="shared" si="0"/>
        <v>13</v>
      </c>
      <c r="B14" s="130" t="s">
        <v>284</v>
      </c>
    </row>
    <row r="15" spans="1:2" x14ac:dyDescent="0.25">
      <c r="A15" s="10">
        <f t="shared" si="0"/>
        <v>14</v>
      </c>
      <c r="B15" s="130" t="s">
        <v>285</v>
      </c>
    </row>
    <row r="16" spans="1:2" x14ac:dyDescent="0.25">
      <c r="A16" s="10">
        <f t="shared" si="0"/>
        <v>15</v>
      </c>
      <c r="B16" s="130" t="s">
        <v>286</v>
      </c>
    </row>
    <row r="17" spans="1:2" x14ac:dyDescent="0.25">
      <c r="A17" s="10">
        <f t="shared" si="0"/>
        <v>16</v>
      </c>
      <c r="B17" s="130" t="s">
        <v>287</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Q194" sqref="Q194"/>
    </sheetView>
  </sheetViews>
  <sheetFormatPr defaultRowHeight="15" x14ac:dyDescent="0.25"/>
  <cols>
    <col min="1" max="1" width="3.85546875" customWidth="1"/>
    <col min="2" max="2" width="77.140625" customWidth="1"/>
  </cols>
  <sheetData>
    <row r="1" spans="1:2" x14ac:dyDescent="0.25">
      <c r="B1" s="1" t="s">
        <v>174</v>
      </c>
    </row>
    <row r="2" spans="1:2" ht="30" x14ac:dyDescent="0.25">
      <c r="A2" s="163">
        <v>1</v>
      </c>
      <c r="B2" s="164" t="s">
        <v>294</v>
      </c>
    </row>
    <row r="3" spans="1:2" x14ac:dyDescent="0.25">
      <c r="A3" s="163">
        <f>A2+1</f>
        <v>2</v>
      </c>
      <c r="B3" s="164" t="s">
        <v>301</v>
      </c>
    </row>
    <row r="4" spans="1:2" x14ac:dyDescent="0.25">
      <c r="A4" s="163">
        <f t="shared" ref="A4:A9" si="0">A3+1</f>
        <v>3</v>
      </c>
      <c r="B4" s="164" t="s">
        <v>303</v>
      </c>
    </row>
    <row r="5" spans="1:2" x14ac:dyDescent="0.25">
      <c r="A5" s="163">
        <f t="shared" si="0"/>
        <v>4</v>
      </c>
      <c r="B5" s="164" t="s">
        <v>306</v>
      </c>
    </row>
    <row r="6" spans="1:2" x14ac:dyDescent="0.25">
      <c r="A6" s="163">
        <f t="shared" si="0"/>
        <v>5</v>
      </c>
      <c r="B6" s="164" t="s">
        <v>309</v>
      </c>
    </row>
    <row r="7" spans="1:2" x14ac:dyDescent="0.25">
      <c r="A7" s="163">
        <f t="shared" si="0"/>
        <v>6</v>
      </c>
      <c r="B7" s="164" t="s">
        <v>326</v>
      </c>
    </row>
    <row r="8" spans="1:2" x14ac:dyDescent="0.25">
      <c r="A8" s="163">
        <f t="shared" si="0"/>
        <v>7</v>
      </c>
      <c r="B8" s="164" t="s">
        <v>328</v>
      </c>
    </row>
    <row r="9" spans="1:2" x14ac:dyDescent="0.25">
      <c r="A9" s="163">
        <f t="shared" si="0"/>
        <v>8</v>
      </c>
      <c r="B9" s="164" t="s">
        <v>372</v>
      </c>
    </row>
    <row r="10" spans="1:2" x14ac:dyDescent="0.25">
      <c r="A10" s="163">
        <v>9</v>
      </c>
      <c r="B10" s="2" t="s">
        <v>886</v>
      </c>
    </row>
    <row r="11" spans="1:2" x14ac:dyDescent="0.25">
      <c r="A11" s="163">
        <v>10</v>
      </c>
      <c r="B11" s="2" t="s">
        <v>466</v>
      </c>
    </row>
    <row r="12" spans="1:2" x14ac:dyDescent="0.25">
      <c r="A12" s="163">
        <v>11</v>
      </c>
      <c r="B12" s="164" t="s">
        <v>287</v>
      </c>
    </row>
    <row r="13" spans="1:2" x14ac:dyDescent="0.25">
      <c r="A13" s="163">
        <v>12</v>
      </c>
      <c r="B13" s="165" t="s">
        <v>464</v>
      </c>
    </row>
    <row r="14" spans="1:2" x14ac:dyDescent="0.25">
      <c r="A14" s="163">
        <v>13</v>
      </c>
      <c r="B14" s="2" t="s">
        <v>466</v>
      </c>
    </row>
    <row r="15" spans="1:2" x14ac:dyDescent="0.25">
      <c r="A15" s="163">
        <v>14</v>
      </c>
      <c r="B15" s="2" t="s">
        <v>1145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I24" sqref="I24"/>
    </sheetView>
  </sheetViews>
  <sheetFormatPr defaultRowHeight="15" x14ac:dyDescent="0.25"/>
  <cols>
    <col min="1" max="1" width="6.28515625" customWidth="1"/>
    <col min="2" max="2" width="80.28515625" customWidth="1"/>
  </cols>
  <sheetData>
    <row r="1" spans="1:4" x14ac:dyDescent="0.25">
      <c r="B1" s="1" t="s">
        <v>175</v>
      </c>
      <c r="D1" t="s">
        <v>887</v>
      </c>
    </row>
    <row r="2" spans="1:4" x14ac:dyDescent="0.25">
      <c r="A2" s="163">
        <v>1</v>
      </c>
      <c r="B2" s="165" t="s">
        <v>888</v>
      </c>
    </row>
    <row r="3" spans="1:4" ht="30" x14ac:dyDescent="0.25">
      <c r="A3" s="163">
        <f>A2+1</f>
        <v>2</v>
      </c>
      <c r="B3" s="165" t="s">
        <v>294</v>
      </c>
    </row>
    <row r="4" spans="1:4" x14ac:dyDescent="0.25">
      <c r="A4" s="163">
        <f t="shared" ref="A4:A26" si="0">A3+1</f>
        <v>3</v>
      </c>
      <c r="B4" s="165" t="s">
        <v>889</v>
      </c>
    </row>
    <row r="5" spans="1:4" x14ac:dyDescent="0.25">
      <c r="A5" s="163">
        <f t="shared" si="0"/>
        <v>4</v>
      </c>
      <c r="B5" s="165" t="s">
        <v>303</v>
      </c>
    </row>
    <row r="6" spans="1:4" x14ac:dyDescent="0.25">
      <c r="A6" s="163">
        <f t="shared" si="0"/>
        <v>5</v>
      </c>
      <c r="B6" s="165" t="s">
        <v>890</v>
      </c>
    </row>
    <row r="7" spans="1:4" x14ac:dyDescent="0.25">
      <c r="A7" s="163">
        <f t="shared" si="0"/>
        <v>6</v>
      </c>
      <c r="B7" s="165" t="s">
        <v>306</v>
      </c>
    </row>
    <row r="8" spans="1:4" x14ac:dyDescent="0.25">
      <c r="A8" s="163">
        <f t="shared" si="0"/>
        <v>7</v>
      </c>
      <c r="B8" s="165" t="s">
        <v>372</v>
      </c>
    </row>
    <row r="9" spans="1:4" x14ac:dyDescent="0.25">
      <c r="A9" s="163">
        <f t="shared" si="0"/>
        <v>8</v>
      </c>
      <c r="B9" s="165" t="s">
        <v>328</v>
      </c>
    </row>
    <row r="10" spans="1:4" x14ac:dyDescent="0.25">
      <c r="A10" s="163">
        <f t="shared" si="0"/>
        <v>9</v>
      </c>
      <c r="B10" s="165" t="s">
        <v>326</v>
      </c>
    </row>
    <row r="11" spans="1:4" x14ac:dyDescent="0.25">
      <c r="A11" s="163">
        <f t="shared" si="0"/>
        <v>10</v>
      </c>
      <c r="B11" s="165" t="s">
        <v>886</v>
      </c>
    </row>
    <row r="12" spans="1:4" x14ac:dyDescent="0.25">
      <c r="A12" s="163">
        <f t="shared" si="0"/>
        <v>11</v>
      </c>
      <c r="B12" s="165" t="s">
        <v>891</v>
      </c>
    </row>
    <row r="13" spans="1:4" x14ac:dyDescent="0.25">
      <c r="A13" s="163">
        <f t="shared" si="0"/>
        <v>12</v>
      </c>
      <c r="B13" s="165" t="s">
        <v>892</v>
      </c>
    </row>
    <row r="14" spans="1:4" x14ac:dyDescent="0.25">
      <c r="A14" s="163">
        <f t="shared" si="0"/>
        <v>13</v>
      </c>
      <c r="B14" s="165" t="s">
        <v>893</v>
      </c>
    </row>
    <row r="15" spans="1:4" x14ac:dyDescent="0.25">
      <c r="A15" s="163">
        <f t="shared" si="0"/>
        <v>14</v>
      </c>
      <c r="B15" s="165" t="s">
        <v>894</v>
      </c>
    </row>
    <row r="16" spans="1:4" x14ac:dyDescent="0.25">
      <c r="A16" s="163">
        <f t="shared" si="0"/>
        <v>15</v>
      </c>
      <c r="B16" s="165" t="s">
        <v>466</v>
      </c>
    </row>
    <row r="17" spans="1:2" x14ac:dyDescent="0.25">
      <c r="A17" s="163">
        <f t="shared" si="0"/>
        <v>16</v>
      </c>
      <c r="B17" s="165" t="s">
        <v>895</v>
      </c>
    </row>
    <row r="18" spans="1:2" x14ac:dyDescent="0.25">
      <c r="A18" s="163">
        <f t="shared" si="0"/>
        <v>17</v>
      </c>
      <c r="B18" s="165" t="s">
        <v>487</v>
      </c>
    </row>
    <row r="19" spans="1:2" x14ac:dyDescent="0.25">
      <c r="A19" s="163">
        <f t="shared" si="0"/>
        <v>18</v>
      </c>
      <c r="B19" s="165" t="s">
        <v>309</v>
      </c>
    </row>
    <row r="20" spans="1:2" x14ac:dyDescent="0.25">
      <c r="A20" s="163">
        <f t="shared" si="0"/>
        <v>19</v>
      </c>
      <c r="B20" s="165" t="s">
        <v>896</v>
      </c>
    </row>
    <row r="21" spans="1:2" x14ac:dyDescent="0.25">
      <c r="A21" s="163">
        <f t="shared" si="0"/>
        <v>20</v>
      </c>
      <c r="B21" s="165" t="s">
        <v>897</v>
      </c>
    </row>
    <row r="22" spans="1:2" x14ac:dyDescent="0.25">
      <c r="A22" s="163">
        <f t="shared" si="0"/>
        <v>21</v>
      </c>
      <c r="B22" s="165" t="s">
        <v>898</v>
      </c>
    </row>
    <row r="23" spans="1:2" x14ac:dyDescent="0.25">
      <c r="A23" s="163">
        <f t="shared" si="0"/>
        <v>22</v>
      </c>
      <c r="B23" s="165" t="s">
        <v>886</v>
      </c>
    </row>
    <row r="24" spans="1:2" x14ac:dyDescent="0.25">
      <c r="A24" s="163">
        <f t="shared" si="0"/>
        <v>23</v>
      </c>
      <c r="B24" s="165" t="s">
        <v>464</v>
      </c>
    </row>
    <row r="25" spans="1:2" x14ac:dyDescent="0.25">
      <c r="A25" s="163">
        <f t="shared" si="0"/>
        <v>24</v>
      </c>
      <c r="B25" s="165" t="s">
        <v>899</v>
      </c>
    </row>
    <row r="26" spans="1:2" x14ac:dyDescent="0.25">
      <c r="A26" s="163">
        <f t="shared" si="0"/>
        <v>25</v>
      </c>
      <c r="B26" s="165" t="s">
        <v>287</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B1:R23"/>
  <sheetViews>
    <sheetView workbookViewId="0">
      <selection activeCell="F15" sqref="F15"/>
    </sheetView>
  </sheetViews>
  <sheetFormatPr defaultRowHeight="15" x14ac:dyDescent="0.25"/>
  <cols>
    <col min="2" max="2" width="4.7109375" customWidth="1"/>
    <col min="3" max="3" width="25.28515625" customWidth="1"/>
    <col min="5" max="5" width="5.7109375" customWidth="1"/>
    <col min="6" max="6" width="25.5703125" customWidth="1"/>
    <col min="9" max="9" width="26.42578125" customWidth="1"/>
    <col min="11" max="11" width="4.7109375" customWidth="1"/>
    <col min="12" max="12" width="27.28515625" customWidth="1"/>
    <col min="13" max="13" width="4.28515625" customWidth="1"/>
    <col min="14" max="14" width="3.5703125" customWidth="1"/>
    <col min="15" max="15" width="25.7109375" customWidth="1"/>
    <col min="16" max="16" width="4.42578125" customWidth="1"/>
    <col min="17" max="17" width="3.5703125" customWidth="1"/>
    <col min="18" max="18" width="28.28515625" customWidth="1"/>
  </cols>
  <sheetData>
    <row r="1" spans="2:18" x14ac:dyDescent="0.25">
      <c r="B1" s="1" t="s">
        <v>33</v>
      </c>
    </row>
    <row r="2" spans="2:18" x14ac:dyDescent="0.25">
      <c r="B2" s="2"/>
      <c r="C2" s="2"/>
      <c r="D2" s="3" t="s">
        <v>25</v>
      </c>
    </row>
    <row r="3" spans="2:18" x14ac:dyDescent="0.25">
      <c r="B3" s="2">
        <v>1</v>
      </c>
      <c r="C3" s="2" t="s">
        <v>3</v>
      </c>
      <c r="D3" s="2"/>
    </row>
    <row r="4" spans="2:18" x14ac:dyDescent="0.25">
      <c r="B4" s="2">
        <v>2</v>
      </c>
      <c r="C4" s="2" t="s">
        <v>4</v>
      </c>
      <c r="D4" s="2"/>
      <c r="I4" s="5" t="s">
        <v>46</v>
      </c>
    </row>
    <row r="5" spans="2:18" x14ac:dyDescent="0.25">
      <c r="B5" s="2">
        <v>3</v>
      </c>
      <c r="C5" s="2" t="s">
        <v>5</v>
      </c>
      <c r="D5" s="2"/>
    </row>
    <row r="6" spans="2:18" x14ac:dyDescent="0.25">
      <c r="B6" s="2">
        <v>4</v>
      </c>
      <c r="C6" s="2" t="s">
        <v>6</v>
      </c>
      <c r="D6" s="2"/>
    </row>
    <row r="9" spans="2:18" x14ac:dyDescent="0.25">
      <c r="B9" s="1" t="s">
        <v>34</v>
      </c>
    </row>
    <row r="10" spans="2:18" x14ac:dyDescent="0.25">
      <c r="B10" s="4">
        <v>1</v>
      </c>
      <c r="C10" s="4" t="s">
        <v>3</v>
      </c>
      <c r="E10" s="7">
        <v>2</v>
      </c>
      <c r="F10" s="7" t="s">
        <v>4</v>
      </c>
      <c r="H10" s="6">
        <v>3</v>
      </c>
      <c r="I10" s="6" t="s">
        <v>5</v>
      </c>
      <c r="K10" s="5"/>
      <c r="L10" s="6" t="s">
        <v>42</v>
      </c>
      <c r="N10" s="5"/>
      <c r="O10" s="6" t="s">
        <v>43</v>
      </c>
      <c r="Q10" s="5"/>
      <c r="R10" s="6" t="s">
        <v>44</v>
      </c>
    </row>
    <row r="11" spans="2:18" x14ac:dyDescent="0.25">
      <c r="C11" t="s">
        <v>7</v>
      </c>
      <c r="F11" t="s">
        <v>7</v>
      </c>
      <c r="I11" t="s">
        <v>41</v>
      </c>
      <c r="L11" s="2">
        <f>I12</f>
        <v>0</v>
      </c>
      <c r="O11" s="2">
        <f>I13</f>
        <v>0</v>
      </c>
      <c r="R11" s="2">
        <f>I14</f>
        <v>0</v>
      </c>
    </row>
    <row r="12" spans="2:18" x14ac:dyDescent="0.25">
      <c r="B12" s="2">
        <v>1</v>
      </c>
      <c r="C12" s="2" t="s">
        <v>16</v>
      </c>
      <c r="E12" s="2">
        <v>1</v>
      </c>
      <c r="F12" s="2"/>
      <c r="H12" s="2">
        <v>1</v>
      </c>
      <c r="I12" s="2"/>
      <c r="L12" t="s">
        <v>47</v>
      </c>
      <c r="O12" t="s">
        <v>47</v>
      </c>
      <c r="R12" t="s">
        <v>47</v>
      </c>
    </row>
    <row r="13" spans="2:18" x14ac:dyDescent="0.25">
      <c r="B13" s="2">
        <v>2</v>
      </c>
      <c r="C13" s="2" t="s">
        <v>17</v>
      </c>
      <c r="E13" s="2">
        <v>2</v>
      </c>
      <c r="F13" s="2"/>
      <c r="H13" s="2">
        <v>2</v>
      </c>
      <c r="I13" s="2"/>
      <c r="K13" s="2">
        <v>1</v>
      </c>
      <c r="L13" s="2"/>
      <c r="N13" s="2">
        <v>1</v>
      </c>
      <c r="O13" s="2"/>
      <c r="Q13" s="2">
        <v>1</v>
      </c>
      <c r="R13" s="2"/>
    </row>
    <row r="14" spans="2:18" x14ac:dyDescent="0.25">
      <c r="B14" s="2">
        <v>3</v>
      </c>
      <c r="C14" s="2" t="s">
        <v>18</v>
      </c>
      <c r="E14" s="2">
        <v>3</v>
      </c>
      <c r="F14" s="2"/>
      <c r="H14" s="2">
        <v>3</v>
      </c>
      <c r="I14" s="2"/>
      <c r="K14" s="2">
        <v>2</v>
      </c>
      <c r="L14" s="2"/>
      <c r="N14" s="2">
        <v>2</v>
      </c>
      <c r="O14" s="2"/>
      <c r="Q14" s="2">
        <v>2</v>
      </c>
      <c r="R14" s="2"/>
    </row>
    <row r="15" spans="2:18" x14ac:dyDescent="0.25">
      <c r="B15" s="2">
        <v>4</v>
      </c>
      <c r="C15" s="2" t="s">
        <v>19</v>
      </c>
      <c r="E15" s="2">
        <v>4</v>
      </c>
      <c r="F15" s="2"/>
      <c r="K15" s="2">
        <v>3</v>
      </c>
      <c r="L15" s="2"/>
      <c r="N15" s="2">
        <v>3</v>
      </c>
      <c r="O15" s="2"/>
      <c r="Q15" s="2">
        <v>3</v>
      </c>
      <c r="R15" s="2"/>
    </row>
    <row r="16" spans="2:18" x14ac:dyDescent="0.25">
      <c r="B16" s="2">
        <v>5</v>
      </c>
      <c r="C16" s="2"/>
      <c r="E16" s="2">
        <v>5</v>
      </c>
      <c r="F16" s="2"/>
      <c r="K16" s="2">
        <v>4</v>
      </c>
      <c r="L16" s="2"/>
      <c r="N16" s="2">
        <v>4</v>
      </c>
      <c r="O16" s="2"/>
      <c r="Q16" s="2">
        <v>4</v>
      </c>
      <c r="R16" s="2"/>
    </row>
    <row r="17" spans="2:18" x14ac:dyDescent="0.25">
      <c r="K17" s="2">
        <v>5</v>
      </c>
      <c r="L17" s="2"/>
      <c r="N17" s="2">
        <v>5</v>
      </c>
      <c r="O17" s="2"/>
      <c r="Q17" s="2">
        <v>5</v>
      </c>
      <c r="R17" s="2"/>
    </row>
    <row r="18" spans="2:18" x14ac:dyDescent="0.25">
      <c r="B18" s="1"/>
      <c r="C18" t="s">
        <v>2</v>
      </c>
      <c r="E18" s="1"/>
      <c r="F18" t="s">
        <v>2</v>
      </c>
    </row>
    <row r="19" spans="2:18" x14ac:dyDescent="0.25">
      <c r="B19" s="2">
        <v>1</v>
      </c>
      <c r="C19" s="2" t="s">
        <v>20</v>
      </c>
      <c r="E19" s="2">
        <v>1</v>
      </c>
      <c r="F19" s="2"/>
      <c r="L19" t="s">
        <v>49</v>
      </c>
      <c r="O19" t="s">
        <v>49</v>
      </c>
      <c r="R19" t="s">
        <v>49</v>
      </c>
    </row>
    <row r="20" spans="2:18" x14ac:dyDescent="0.25">
      <c r="B20" s="2">
        <v>2</v>
      </c>
      <c r="C20" s="2" t="s">
        <v>21</v>
      </c>
      <c r="E20" s="2">
        <v>2</v>
      </c>
      <c r="F20" s="2"/>
      <c r="K20" s="2">
        <v>1</v>
      </c>
      <c r="L20" s="8" t="s">
        <v>48</v>
      </c>
      <c r="N20" s="2">
        <v>1</v>
      </c>
      <c r="O20" s="8" t="s">
        <v>48</v>
      </c>
      <c r="Q20" s="2">
        <v>1</v>
      </c>
      <c r="R20" s="8" t="s">
        <v>48</v>
      </c>
    </row>
    <row r="21" spans="2:18" x14ac:dyDescent="0.25">
      <c r="B21" s="2">
        <v>3</v>
      </c>
      <c r="C21" s="2" t="s">
        <v>22</v>
      </c>
      <c r="E21" s="2">
        <v>3</v>
      </c>
      <c r="F21" s="2"/>
    </row>
    <row r="22" spans="2:18" x14ac:dyDescent="0.25">
      <c r="B22" s="2">
        <v>4</v>
      </c>
      <c r="C22" s="2" t="s">
        <v>23</v>
      </c>
      <c r="E22" s="2">
        <v>4</v>
      </c>
      <c r="F22" s="2"/>
    </row>
    <row r="23" spans="2:18" x14ac:dyDescent="0.25">
      <c r="B23" s="2">
        <v>5</v>
      </c>
      <c r="C23" s="2"/>
      <c r="E23" s="2">
        <v>5</v>
      </c>
      <c r="F23" s="2"/>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C139"/>
  <sheetViews>
    <sheetView zoomScale="70" zoomScaleNormal="70" workbookViewId="0">
      <selection activeCell="N24" sqref="N24"/>
    </sheetView>
  </sheetViews>
  <sheetFormatPr defaultRowHeight="15" x14ac:dyDescent="0.25"/>
  <cols>
    <col min="1" max="2" width="5.7109375" customWidth="1"/>
    <col min="3" max="3" width="5.5703125" customWidth="1"/>
    <col min="4" max="4" width="42.5703125" customWidth="1"/>
    <col min="5" max="5" width="17.28515625" customWidth="1"/>
    <col min="6" max="6" width="17.140625" customWidth="1"/>
    <col min="7" max="7" width="11.7109375" customWidth="1"/>
    <col min="8" max="10" width="8.7109375" customWidth="1"/>
    <col min="11" max="11" width="11.85546875" customWidth="1"/>
    <col min="12" max="12" width="14.5703125" customWidth="1"/>
    <col min="13" max="13" width="14.85546875" customWidth="1"/>
    <col min="14" max="15" width="18.5703125" customWidth="1"/>
    <col min="16" max="16" width="20" customWidth="1"/>
    <col min="17" max="17" width="18.85546875" customWidth="1"/>
    <col min="18" max="18" width="20.140625" customWidth="1"/>
    <col min="19" max="19" width="22.85546875" customWidth="1"/>
    <col min="20" max="20" width="27" customWidth="1"/>
    <col min="21" max="22" width="5.7109375" customWidth="1"/>
    <col min="23" max="23" width="14" customWidth="1"/>
    <col min="24" max="24" width="12.28515625" style="270" hidden="1" customWidth="1"/>
    <col min="25" max="29" width="10.42578125" style="270" hidden="1" customWidth="1"/>
  </cols>
  <sheetData>
    <row r="1" spans="1:29" x14ac:dyDescent="0.25">
      <c r="A1" s="12"/>
      <c r="B1" s="12"/>
      <c r="C1" s="12"/>
      <c r="D1" s="12"/>
      <c r="E1" s="12"/>
      <c r="F1" s="12"/>
      <c r="G1" s="12"/>
      <c r="H1" s="12"/>
      <c r="I1" s="12"/>
      <c r="J1" s="12"/>
      <c r="K1" s="12"/>
      <c r="L1" s="12"/>
      <c r="M1" s="12"/>
      <c r="N1" s="12"/>
      <c r="O1" s="12"/>
      <c r="P1" s="12"/>
      <c r="Q1" s="12"/>
      <c r="R1" s="12"/>
      <c r="S1" s="12"/>
      <c r="T1" s="12"/>
      <c r="U1" s="12"/>
      <c r="V1" s="12"/>
    </row>
    <row r="2" spans="1:29" ht="14.45" customHeight="1" x14ac:dyDescent="0.25">
      <c r="A2" s="12"/>
      <c r="B2" s="12"/>
      <c r="C2" s="33" t="s">
        <v>99</v>
      </c>
      <c r="D2" s="12"/>
      <c r="E2" s="12"/>
      <c r="F2" s="12"/>
      <c r="G2" s="12"/>
      <c r="H2" s="12"/>
      <c r="I2" s="12"/>
      <c r="J2" s="12"/>
      <c r="K2" s="12"/>
      <c r="L2" s="12"/>
      <c r="M2" s="12"/>
      <c r="N2" s="12"/>
      <c r="O2" s="12"/>
      <c r="P2" s="12"/>
      <c r="Q2" s="12"/>
      <c r="R2" s="12"/>
      <c r="S2" s="12"/>
      <c r="T2" s="12"/>
      <c r="U2" s="12"/>
      <c r="V2" s="12"/>
    </row>
    <row r="3" spans="1:29" ht="64.5" customHeight="1" x14ac:dyDescent="0.25">
      <c r="A3" s="12"/>
      <c r="B3" s="12"/>
      <c r="C3" s="329" t="s">
        <v>1233</v>
      </c>
      <c r="D3" s="329"/>
      <c r="E3" s="329"/>
      <c r="F3" s="329"/>
      <c r="G3" s="329"/>
      <c r="H3" s="329"/>
      <c r="I3" s="329"/>
      <c r="J3" s="12"/>
      <c r="K3" s="12"/>
      <c r="L3" s="12"/>
      <c r="M3" s="12"/>
      <c r="N3" s="12"/>
      <c r="O3" s="12"/>
      <c r="P3" s="12"/>
      <c r="Q3" s="12"/>
      <c r="R3" s="12"/>
      <c r="S3" s="12"/>
      <c r="T3" s="12"/>
      <c r="U3" s="12"/>
      <c r="V3" s="12"/>
    </row>
    <row r="4" spans="1:29" s="37" customFormat="1" ht="19.899999999999999" customHeight="1" x14ac:dyDescent="0.25">
      <c r="A4" s="43"/>
      <c r="B4" s="43"/>
      <c r="C4" s="40" t="s">
        <v>135</v>
      </c>
      <c r="D4" s="43"/>
      <c r="E4" s="43"/>
      <c r="F4" s="43"/>
      <c r="G4" s="122"/>
      <c r="H4" s="122" t="s">
        <v>156</v>
      </c>
      <c r="I4" s="43"/>
      <c r="J4" s="43"/>
      <c r="K4" s="43"/>
      <c r="L4" s="43"/>
      <c r="M4" s="43"/>
      <c r="N4" s="43"/>
      <c r="O4" s="43"/>
      <c r="P4" s="43"/>
      <c r="Q4" s="43"/>
      <c r="R4" s="43"/>
      <c r="S4" s="43"/>
      <c r="T4" s="43"/>
      <c r="U4" s="43"/>
      <c r="V4" s="43"/>
      <c r="X4" s="271"/>
      <c r="Y4" s="271"/>
      <c r="Z4" s="271"/>
      <c r="AA4" s="271"/>
      <c r="AB4" s="271"/>
      <c r="AC4" s="271"/>
    </row>
    <row r="5" spans="1:29" s="37" customFormat="1" ht="33.75" customHeight="1" x14ac:dyDescent="0.25">
      <c r="A5" s="43"/>
      <c r="B5" s="43"/>
      <c r="C5" s="330" t="s">
        <v>54</v>
      </c>
      <c r="D5" s="330"/>
      <c r="E5" s="333" t="s">
        <v>1171</v>
      </c>
      <c r="F5" s="333"/>
      <c r="G5" s="43"/>
      <c r="H5" s="331"/>
      <c r="I5" s="331"/>
      <c r="J5" s="331"/>
      <c r="K5" s="331"/>
      <c r="L5" s="331"/>
      <c r="M5" s="331"/>
      <c r="N5" s="331"/>
      <c r="O5" s="331"/>
      <c r="P5" s="331"/>
      <c r="Q5" s="43"/>
      <c r="R5" s="43"/>
      <c r="S5" s="43"/>
      <c r="T5" s="43"/>
      <c r="U5" s="43"/>
      <c r="V5" s="43"/>
      <c r="X5" s="280" t="s">
        <v>95</v>
      </c>
      <c r="Y5" s="271"/>
      <c r="Z5" s="271"/>
      <c r="AA5" s="271"/>
      <c r="AB5" s="271"/>
      <c r="AC5" s="271"/>
    </row>
    <row r="6" spans="1:29" s="37" customFormat="1" ht="19.899999999999999" customHeight="1" x14ac:dyDescent="0.25">
      <c r="A6" s="43"/>
      <c r="B6" s="43"/>
      <c r="C6" s="332" t="s">
        <v>11</v>
      </c>
      <c r="D6" s="332"/>
      <c r="E6" s="334">
        <f>SUM(X9:AC9)</f>
        <v>0</v>
      </c>
      <c r="F6" s="334"/>
      <c r="G6" s="43"/>
      <c r="H6" s="331"/>
      <c r="I6" s="331"/>
      <c r="J6" s="331"/>
      <c r="K6" s="331"/>
      <c r="L6" s="331"/>
      <c r="M6" s="331"/>
      <c r="N6" s="331"/>
      <c r="O6" s="331"/>
      <c r="P6" s="331"/>
      <c r="Q6" s="43"/>
      <c r="R6" s="43"/>
      <c r="S6" s="43"/>
      <c r="T6" s="43"/>
      <c r="U6" s="43"/>
      <c r="V6" s="43"/>
      <c r="X6" s="273"/>
      <c r="Y6" s="273" t="s">
        <v>1234</v>
      </c>
      <c r="Z6" s="273"/>
      <c r="AA6" s="273"/>
      <c r="AB6" s="273"/>
      <c r="AC6" s="273"/>
    </row>
    <row r="7" spans="1:29" s="37" customFormat="1" ht="19.899999999999999" customHeight="1" x14ac:dyDescent="0.25">
      <c r="A7" s="43"/>
      <c r="B7" s="43"/>
      <c r="C7" s="332" t="s">
        <v>12</v>
      </c>
      <c r="D7" s="332"/>
      <c r="E7" s="334">
        <f>SUM(X10:AC10)</f>
        <v>0</v>
      </c>
      <c r="F7" s="334"/>
      <c r="G7" s="43"/>
      <c r="H7" s="331"/>
      <c r="I7" s="331"/>
      <c r="J7" s="331"/>
      <c r="K7" s="331"/>
      <c r="L7" s="331"/>
      <c r="M7" s="331"/>
      <c r="N7" s="331"/>
      <c r="O7" s="331"/>
      <c r="P7" s="331"/>
      <c r="Q7" s="43"/>
      <c r="R7" s="43"/>
      <c r="S7" s="43"/>
      <c r="T7" s="43"/>
      <c r="U7" s="43"/>
      <c r="V7" s="43"/>
      <c r="X7" s="273"/>
      <c r="Y7" s="273" t="s">
        <v>2</v>
      </c>
      <c r="Z7" s="273"/>
      <c r="AA7" s="273"/>
      <c r="AB7" s="273"/>
      <c r="AC7" s="273"/>
    </row>
    <row r="8" spans="1:29" s="37" customFormat="1" ht="19.899999999999999" customHeight="1" x14ac:dyDescent="0.25">
      <c r="A8" s="43"/>
      <c r="B8" s="43"/>
      <c r="C8" s="330" t="s">
        <v>10</v>
      </c>
      <c r="D8" s="330"/>
      <c r="E8" s="335">
        <f>SUM(E6:E7)</f>
        <v>0</v>
      </c>
      <c r="F8" s="335"/>
      <c r="G8" s="43"/>
      <c r="H8" s="331"/>
      <c r="I8" s="331"/>
      <c r="J8" s="331"/>
      <c r="K8" s="331"/>
      <c r="L8" s="331"/>
      <c r="M8" s="331"/>
      <c r="N8" s="331"/>
      <c r="O8" s="331"/>
      <c r="P8" s="331"/>
      <c r="Q8" s="43"/>
      <c r="R8" s="43"/>
      <c r="S8" s="43"/>
      <c r="T8" s="43"/>
      <c r="U8" s="43"/>
      <c r="V8" s="43"/>
      <c r="X8" s="279" t="s">
        <v>1221</v>
      </c>
      <c r="Y8" s="279" t="s">
        <v>1223</v>
      </c>
      <c r="Z8" s="279" t="s">
        <v>1224</v>
      </c>
      <c r="AA8" s="279" t="s">
        <v>1225</v>
      </c>
      <c r="AB8" s="279" t="s">
        <v>1226</v>
      </c>
      <c r="AC8" s="279" t="s">
        <v>1227</v>
      </c>
    </row>
    <row r="9" spans="1:29" s="37" customFormat="1" ht="15.75" x14ac:dyDescent="0.25">
      <c r="A9" s="43"/>
      <c r="B9" s="43"/>
      <c r="C9" s="43"/>
      <c r="D9" s="43"/>
      <c r="E9" s="43"/>
      <c r="F9" s="43"/>
      <c r="G9" s="43"/>
      <c r="H9" s="43"/>
      <c r="I9" s="43"/>
      <c r="J9" s="43"/>
      <c r="K9" s="43"/>
      <c r="L9" s="43"/>
      <c r="M9" s="43"/>
      <c r="N9" s="43"/>
      <c r="O9" s="43"/>
      <c r="P9" s="43"/>
      <c r="Q9" s="43"/>
      <c r="R9" s="43"/>
      <c r="S9" s="43"/>
      <c r="T9" s="43"/>
      <c r="U9" s="43"/>
      <c r="V9" s="43"/>
      <c r="X9" s="277">
        <f t="shared" ref="X9:AC9" si="0">SUM(X31,X55,X79,X103,X127)</f>
        <v>0</v>
      </c>
      <c r="Y9" s="277">
        <f t="shared" si="0"/>
        <v>0</v>
      </c>
      <c r="Z9" s="277">
        <f t="shared" si="0"/>
        <v>0</v>
      </c>
      <c r="AA9" s="277">
        <f t="shared" si="0"/>
        <v>0</v>
      </c>
      <c r="AB9" s="277">
        <f t="shared" si="0"/>
        <v>0</v>
      </c>
      <c r="AC9" s="277">
        <f t="shared" si="0"/>
        <v>0</v>
      </c>
    </row>
    <row r="10" spans="1:29" s="37" customFormat="1" ht="15.75" x14ac:dyDescent="0.25">
      <c r="A10" s="43"/>
      <c r="B10" s="43"/>
      <c r="C10" s="43"/>
      <c r="D10" s="43"/>
      <c r="E10" s="43"/>
      <c r="F10" s="43"/>
      <c r="G10" s="43"/>
      <c r="H10" s="43"/>
      <c r="I10" s="43"/>
      <c r="J10" s="43"/>
      <c r="K10" s="43"/>
      <c r="L10" s="43"/>
      <c r="M10" s="43"/>
      <c r="N10" s="43"/>
      <c r="O10" s="43"/>
      <c r="P10" s="43"/>
      <c r="Q10" s="43"/>
      <c r="R10" s="43"/>
      <c r="S10" s="43"/>
      <c r="T10" s="43"/>
      <c r="U10" s="43"/>
      <c r="V10" s="43"/>
      <c r="X10" s="277">
        <f t="shared" ref="X10:AC10" si="1">SUM(X41,X65,X89,X113,X137)</f>
        <v>0</v>
      </c>
      <c r="Y10" s="277">
        <f t="shared" si="1"/>
        <v>0</v>
      </c>
      <c r="Z10" s="277">
        <f t="shared" si="1"/>
        <v>0</v>
      </c>
      <c r="AA10" s="277">
        <f t="shared" si="1"/>
        <v>0</v>
      </c>
      <c r="AB10" s="277">
        <f t="shared" si="1"/>
        <v>0</v>
      </c>
      <c r="AC10" s="277">
        <f t="shared" si="1"/>
        <v>0</v>
      </c>
    </row>
    <row r="11" spans="1:29" s="37" customFormat="1" ht="15.75" x14ac:dyDescent="0.25">
      <c r="A11" s="43"/>
      <c r="B11" s="36"/>
      <c r="C11" s="38" t="s">
        <v>100</v>
      </c>
      <c r="D11" s="36"/>
      <c r="E11" s="36"/>
      <c r="F11" s="36"/>
      <c r="G11" s="36"/>
      <c r="H11" s="36"/>
      <c r="I11" s="36"/>
      <c r="J11" s="36"/>
      <c r="K11" s="36"/>
      <c r="L11" s="36"/>
      <c r="M11" s="36"/>
      <c r="N11" s="36"/>
      <c r="O11" s="36"/>
      <c r="P11" s="36"/>
      <c r="Q11" s="36"/>
      <c r="R11" s="43"/>
      <c r="S11" s="43"/>
      <c r="T11" s="43"/>
      <c r="U11" s="43"/>
      <c r="V11" s="43"/>
      <c r="X11" s="278">
        <f t="shared" ref="X11:AC11" si="2">SUM(X9:X10)</f>
        <v>0</v>
      </c>
      <c r="Y11" s="278">
        <f t="shared" si="2"/>
        <v>0</v>
      </c>
      <c r="Z11" s="278">
        <f t="shared" si="2"/>
        <v>0</v>
      </c>
      <c r="AA11" s="278">
        <f t="shared" si="2"/>
        <v>0</v>
      </c>
      <c r="AB11" s="278">
        <f t="shared" si="2"/>
        <v>0</v>
      </c>
      <c r="AC11" s="278">
        <f t="shared" si="2"/>
        <v>0</v>
      </c>
    </row>
    <row r="12" spans="1:29" s="37" customFormat="1" ht="15.75" x14ac:dyDescent="0.25">
      <c r="A12" s="43"/>
      <c r="B12" s="43"/>
      <c r="C12" s="43"/>
      <c r="D12" s="43"/>
      <c r="E12" s="43"/>
      <c r="F12" s="43"/>
      <c r="G12" s="43"/>
      <c r="H12" s="43"/>
      <c r="I12" s="43"/>
      <c r="J12" s="43"/>
      <c r="K12" s="43"/>
      <c r="L12" s="43"/>
      <c r="M12" s="43"/>
      <c r="N12" s="43"/>
      <c r="O12" s="43"/>
      <c r="P12" s="43"/>
      <c r="Q12" s="43"/>
      <c r="R12" s="43"/>
      <c r="S12" s="43"/>
      <c r="T12" s="43"/>
      <c r="U12" s="43"/>
      <c r="V12" s="43"/>
      <c r="X12" s="271"/>
      <c r="Y12" s="271"/>
      <c r="Z12" s="271"/>
      <c r="AA12" s="271"/>
      <c r="AB12" s="271"/>
      <c r="AC12" s="271"/>
    </row>
    <row r="13" spans="1:29" s="37" customFormat="1" ht="87" customHeight="1" x14ac:dyDescent="0.25">
      <c r="A13" s="43"/>
      <c r="B13" s="43"/>
      <c r="C13" s="125" t="s">
        <v>62</v>
      </c>
      <c r="D13" s="125" t="s">
        <v>55</v>
      </c>
      <c r="E13" s="125" t="s">
        <v>13</v>
      </c>
      <c r="F13" s="125" t="s">
        <v>8</v>
      </c>
      <c r="G13" s="336" t="s">
        <v>1299</v>
      </c>
      <c r="H13" s="336"/>
      <c r="I13" s="337" t="s">
        <v>15</v>
      </c>
      <c r="J13" s="337"/>
      <c r="K13" s="337"/>
      <c r="L13" s="337"/>
      <c r="M13" s="337"/>
      <c r="N13" s="36"/>
      <c r="O13" s="36"/>
      <c r="P13" s="36"/>
      <c r="Q13" s="43"/>
      <c r="R13" s="43"/>
      <c r="S13" s="43"/>
      <c r="T13" s="43"/>
      <c r="U13" s="43"/>
      <c r="V13" s="43"/>
      <c r="X13" s="280" t="s">
        <v>1228</v>
      </c>
      <c r="Y13" s="271"/>
      <c r="Z13" s="271"/>
      <c r="AA13" s="271"/>
      <c r="AB13" s="271"/>
      <c r="AC13" s="271"/>
    </row>
    <row r="14" spans="1:29" s="226" customFormat="1" ht="15.75" x14ac:dyDescent="0.25">
      <c r="A14" s="224"/>
      <c r="B14" s="224"/>
      <c r="C14" s="225" t="str">
        <f>IF(LEN(D14)&gt;0,1,"")</f>
        <v/>
      </c>
      <c r="D14" s="31"/>
      <c r="E14" s="227"/>
      <c r="F14" s="97" t="s">
        <v>57</v>
      </c>
      <c r="G14" s="338"/>
      <c r="H14" s="338"/>
      <c r="I14" s="339"/>
      <c r="J14" s="340"/>
      <c r="K14" s="340"/>
      <c r="L14" s="340"/>
      <c r="M14" s="341"/>
      <c r="N14" s="36"/>
      <c r="O14" s="36"/>
      <c r="P14" s="36"/>
      <c r="Q14" s="224"/>
      <c r="R14" s="224"/>
      <c r="S14" s="224"/>
      <c r="T14" s="224"/>
      <c r="U14" s="224"/>
      <c r="V14" s="224"/>
      <c r="X14" s="271"/>
      <c r="Y14" s="271" t="s">
        <v>1229</v>
      </c>
      <c r="Z14" s="271"/>
      <c r="AA14" s="271"/>
      <c r="AB14" s="271"/>
      <c r="AC14" s="271"/>
    </row>
    <row r="15" spans="1:29" s="226" customFormat="1" ht="15.75" x14ac:dyDescent="0.25">
      <c r="A15" s="224"/>
      <c r="B15" s="224"/>
      <c r="C15" s="225" t="str">
        <f>IF(LEN(D15)&gt;0,C14+1,"")</f>
        <v/>
      </c>
      <c r="D15" s="31"/>
      <c r="E15" s="227"/>
      <c r="F15" s="97" t="s">
        <v>57</v>
      </c>
      <c r="G15" s="338"/>
      <c r="H15" s="338"/>
      <c r="I15" s="342"/>
      <c r="J15" s="343"/>
      <c r="K15" s="343"/>
      <c r="L15" s="343"/>
      <c r="M15" s="344"/>
      <c r="N15" s="36"/>
      <c r="O15" s="36"/>
      <c r="P15" s="36"/>
      <c r="Q15" s="224"/>
      <c r="R15" s="224"/>
      <c r="S15" s="224"/>
      <c r="T15" s="224"/>
      <c r="U15" s="224"/>
      <c r="V15" s="224"/>
      <c r="X15" s="271"/>
      <c r="Y15" s="271" t="s">
        <v>1230</v>
      </c>
      <c r="Z15" s="271"/>
      <c r="AA15" s="271"/>
      <c r="AB15" s="271"/>
      <c r="AC15" s="271"/>
    </row>
    <row r="16" spans="1:29" s="37" customFormat="1" ht="15.75" x14ac:dyDescent="0.25">
      <c r="A16" s="43"/>
      <c r="B16" s="43"/>
      <c r="C16" s="222" t="str">
        <f>IF(LEN(D16)&gt;0,C15+1,"")</f>
        <v/>
      </c>
      <c r="D16" s="31"/>
      <c r="E16" s="227"/>
      <c r="F16" s="97" t="s">
        <v>57</v>
      </c>
      <c r="G16" s="348"/>
      <c r="H16" s="348"/>
      <c r="I16" s="342"/>
      <c r="J16" s="343"/>
      <c r="K16" s="343"/>
      <c r="L16" s="343"/>
      <c r="M16" s="344"/>
      <c r="N16" s="36"/>
      <c r="O16" s="36"/>
      <c r="P16" s="36"/>
      <c r="Q16" s="43"/>
      <c r="R16" s="43"/>
      <c r="S16" s="43"/>
      <c r="T16" s="43"/>
      <c r="U16" s="43"/>
      <c r="V16" s="43"/>
      <c r="X16" s="279" t="s">
        <v>1221</v>
      </c>
      <c r="Y16" s="279" t="s">
        <v>1223</v>
      </c>
      <c r="Z16" s="279" t="s">
        <v>1224</v>
      </c>
      <c r="AA16" s="279" t="s">
        <v>1225</v>
      </c>
      <c r="AB16" s="279" t="s">
        <v>1226</v>
      </c>
      <c r="AC16" s="279" t="s">
        <v>1227</v>
      </c>
    </row>
    <row r="17" spans="1:29" s="37" customFormat="1" ht="15.75" x14ac:dyDescent="0.25">
      <c r="A17" s="43"/>
      <c r="B17" s="43"/>
      <c r="C17" s="222" t="str">
        <f>IF(LEN(D17)&gt;0,C16+1,"")</f>
        <v/>
      </c>
      <c r="D17" s="31"/>
      <c r="E17" s="229"/>
      <c r="F17" s="97" t="s">
        <v>57</v>
      </c>
      <c r="G17" s="348"/>
      <c r="H17" s="348"/>
      <c r="I17" s="342"/>
      <c r="J17" s="343"/>
      <c r="K17" s="343"/>
      <c r="L17" s="343"/>
      <c r="M17" s="344"/>
      <c r="N17" s="36"/>
      <c r="O17" s="36"/>
      <c r="P17" s="36"/>
      <c r="Q17" s="43"/>
      <c r="R17" s="43"/>
      <c r="S17" s="43"/>
      <c r="T17" s="43"/>
      <c r="U17" s="43"/>
      <c r="V17" s="43"/>
      <c r="X17" s="272">
        <f>IF(1&lt;='Шаг 1. Основные исходные данные'!$E$5,1,0)</f>
        <v>1</v>
      </c>
      <c r="Y17" s="272">
        <f>IF(2&lt;='Шаг 1. Основные исходные данные'!$E$5,2,0)</f>
        <v>2</v>
      </c>
      <c r="Z17" s="272">
        <f>IF(3&lt;='Шаг 1. Основные исходные данные'!$E$5,3,0)</f>
        <v>3</v>
      </c>
      <c r="AA17" s="272">
        <f>IF(4&lt;='Шаг 1. Основные исходные данные'!$E$5,4,0)</f>
        <v>4</v>
      </c>
      <c r="AB17" s="272">
        <f>IF(5&lt;='Шаг 1. Основные исходные данные'!$E$5,5,0)</f>
        <v>5</v>
      </c>
      <c r="AC17" s="272">
        <f>IF(6&lt;='Шаг 1. Основные исходные данные'!$E$5,6,0)</f>
        <v>6</v>
      </c>
    </row>
    <row r="18" spans="1:29" s="37" customFormat="1" ht="15.75" x14ac:dyDescent="0.25">
      <c r="A18" s="43"/>
      <c r="B18" s="43"/>
      <c r="C18" s="222" t="str">
        <f>IF(LEN(D18)&gt;0,C17+1,"")</f>
        <v/>
      </c>
      <c r="D18" s="76"/>
      <c r="E18" s="44"/>
      <c r="F18" s="97" t="s">
        <v>57</v>
      </c>
      <c r="G18" s="348"/>
      <c r="H18" s="348"/>
      <c r="I18" s="345"/>
      <c r="J18" s="346"/>
      <c r="K18" s="346"/>
      <c r="L18" s="346"/>
      <c r="M18" s="347"/>
      <c r="N18" s="36"/>
      <c r="O18" s="36"/>
      <c r="P18" s="36"/>
      <c r="Q18" s="43"/>
      <c r="R18" s="43"/>
      <c r="S18" s="43"/>
      <c r="T18" s="43"/>
      <c r="U18" s="43"/>
      <c r="V18" s="43"/>
      <c r="X18" s="271">
        <v>1</v>
      </c>
      <c r="Y18" s="271">
        <f>IF(Y$17=0,0,(1+'Шаг 1. Основные исходные данные'!$E$12/100))</f>
        <v>1.04457</v>
      </c>
      <c r="Z18" s="271">
        <f>IF(Z$17=0,0,Y18*(1+'Шаг 1. Основные исходные данные'!$E$13/100))</f>
        <v>1.0866243882</v>
      </c>
      <c r="AA18" s="271">
        <f>IF(AA$17=0,0,Z18*(1+'Шаг 1. Основные исходные данные'!$E$14/100))</f>
        <v>1.1305022809955161</v>
      </c>
      <c r="AB18" s="271">
        <f>IF(AB$17=0,0,AA18*(1+'Шаг 1. Основные исходные данные'!$E$15/100))</f>
        <v>1.1761519631021151</v>
      </c>
      <c r="AC18" s="271">
        <f>IF(AC$17=0,0,AB18*(1+'Шаг 1. Основные исходные данные'!$E$16/100))</f>
        <v>1.2236449793721786</v>
      </c>
    </row>
    <row r="19" spans="1:29" s="37" customFormat="1" ht="15.75" x14ac:dyDescent="0.25">
      <c r="A19" s="43"/>
      <c r="B19" s="43"/>
      <c r="C19" s="43"/>
      <c r="D19" s="43"/>
      <c r="E19" s="43"/>
      <c r="F19" s="43"/>
      <c r="G19" s="43"/>
      <c r="H19" s="43"/>
      <c r="I19" s="43"/>
      <c r="J19" s="43"/>
      <c r="K19" s="43"/>
      <c r="L19" s="43"/>
      <c r="M19" s="43"/>
      <c r="N19" s="43"/>
      <c r="O19" s="43"/>
      <c r="P19" s="43"/>
      <c r="Q19" s="43"/>
      <c r="R19" s="43"/>
      <c r="S19" s="43"/>
      <c r="T19" s="43"/>
      <c r="U19" s="43"/>
      <c r="V19" s="43"/>
      <c r="X19" s="271">
        <v>1</v>
      </c>
      <c r="Y19" s="271">
        <f>IF(Y$17=0,0,(1+'Шаг 1. Основные исходные данные'!$E$17/100))</f>
        <v>1.1321600000000001</v>
      </c>
      <c r="Z19" s="271">
        <f>IF(Z$17=0,0,Y19*(1+'Шаг 1. Основные исходные данные'!$E$18/100))</f>
        <v>1.2478780735999999</v>
      </c>
      <c r="AA19" s="271">
        <f>IF(AA$17=0,0,Z19*(1+'Шаг 1. Основные исходные данные'!$E$19/100))</f>
        <v>1.35126477199776</v>
      </c>
      <c r="AB19" s="271">
        <f>IF(AB$17=0,0,AA19*(1+'Шаг 1. Основные исходные данные'!$E$20/100))</f>
        <v>1.4632170583577746</v>
      </c>
      <c r="AC19" s="271">
        <f>IF(AC$17=0,0,AB19*(1+'Шаг 1. Основные исходные данные'!$E$21/100))</f>
        <v>1.5844445916427163</v>
      </c>
    </row>
    <row r="20" spans="1:29" s="37" customFormat="1" ht="15.75" x14ac:dyDescent="0.25">
      <c r="A20" s="43"/>
      <c r="B20" s="45"/>
      <c r="C20" s="46"/>
      <c r="D20" s="46"/>
      <c r="E20" s="46"/>
      <c r="F20" s="46"/>
      <c r="G20" s="46"/>
      <c r="H20" s="46"/>
      <c r="I20" s="46"/>
      <c r="J20" s="46"/>
      <c r="K20" s="46"/>
      <c r="L20" s="46"/>
      <c r="M20" s="46"/>
      <c r="N20" s="46"/>
      <c r="O20" s="46"/>
      <c r="P20" s="46"/>
      <c r="Q20" s="46"/>
      <c r="R20" s="46"/>
      <c r="S20" s="46"/>
      <c r="T20" s="46"/>
      <c r="U20" s="47"/>
      <c r="V20" s="317"/>
      <c r="X20" s="272"/>
      <c r="Y20" s="272"/>
      <c r="Z20" s="272"/>
      <c r="AA20" s="272"/>
      <c r="AB20" s="272"/>
      <c r="AC20" s="272"/>
    </row>
    <row r="21" spans="1:29" s="37" customFormat="1" ht="15.75" x14ac:dyDescent="0.25">
      <c r="A21" s="43"/>
      <c r="B21" s="48"/>
      <c r="C21" s="36" t="str">
        <f>CONCATENATE("2.2.",$C$14,". Информационные издержки группы объектов ",$C$14," - """,$D$14,"""")</f>
        <v>2.2.. Информационные издержки группы объектов  - ""</v>
      </c>
      <c r="D21" s="43"/>
      <c r="E21" s="43"/>
      <c r="F21" s="43"/>
      <c r="G21" s="43"/>
      <c r="H21" s="43"/>
      <c r="I21" s="43"/>
      <c r="J21" s="43"/>
      <c r="K21" s="43"/>
      <c r="L21" s="43"/>
      <c r="M21" s="43"/>
      <c r="N21" s="43"/>
      <c r="O21" s="43"/>
      <c r="P21" s="43"/>
      <c r="Q21" s="43"/>
      <c r="R21" s="43"/>
      <c r="S21" s="317"/>
      <c r="T21" s="317"/>
      <c r="U21" s="49"/>
      <c r="V21" s="317"/>
      <c r="X21" s="272"/>
      <c r="Y21" s="272"/>
      <c r="Z21" s="272"/>
      <c r="AA21" s="272"/>
      <c r="AB21" s="272"/>
      <c r="AC21" s="272"/>
    </row>
    <row r="22" spans="1:29" s="37" customFormat="1" ht="15.75" x14ac:dyDescent="0.25">
      <c r="A22" s="43"/>
      <c r="B22" s="48"/>
      <c r="C22" s="43"/>
      <c r="D22" s="43"/>
      <c r="E22" s="43"/>
      <c r="F22" s="43"/>
      <c r="G22" s="43"/>
      <c r="H22" s="43"/>
      <c r="I22" s="43"/>
      <c r="J22" s="43"/>
      <c r="K22" s="43"/>
      <c r="L22" s="43"/>
      <c r="M22" s="43"/>
      <c r="N22" s="43"/>
      <c r="O22" s="43"/>
      <c r="P22" s="43"/>
      <c r="Q22" s="43"/>
      <c r="R22" s="43"/>
      <c r="S22" s="317"/>
      <c r="T22" s="317"/>
      <c r="U22" s="49"/>
      <c r="V22" s="317"/>
      <c r="X22" s="272"/>
      <c r="Y22" s="272"/>
      <c r="Z22" s="272"/>
      <c r="AA22" s="272"/>
      <c r="AB22" s="272"/>
      <c r="AC22" s="272"/>
    </row>
    <row r="23" spans="1:29" s="37" customFormat="1" ht="15.75" x14ac:dyDescent="0.25">
      <c r="A23" s="43"/>
      <c r="B23" s="48"/>
      <c r="C23" s="39" t="s">
        <v>63</v>
      </c>
      <c r="D23" s="43"/>
      <c r="E23" s="43"/>
      <c r="F23" s="43"/>
      <c r="G23" s="43"/>
      <c r="H23" s="43"/>
      <c r="I23" s="43"/>
      <c r="J23" s="43"/>
      <c r="K23" s="43"/>
      <c r="L23" s="43"/>
      <c r="M23" s="43"/>
      <c r="N23" s="43"/>
      <c r="O23" s="43"/>
      <c r="P23" s="43"/>
      <c r="Q23" s="43"/>
      <c r="R23" s="43"/>
      <c r="S23" s="317"/>
      <c r="T23" s="317"/>
      <c r="U23" s="49"/>
      <c r="V23" s="317"/>
      <c r="X23" s="272"/>
      <c r="Y23" s="272"/>
      <c r="Z23" s="272"/>
      <c r="AA23" s="272"/>
      <c r="AB23" s="272"/>
      <c r="AC23" s="272"/>
    </row>
    <row r="24" spans="1:29" s="52" customFormat="1" ht="134.25" customHeight="1" x14ac:dyDescent="0.25">
      <c r="A24" s="23"/>
      <c r="B24" s="50"/>
      <c r="C24" s="336" t="s">
        <v>62</v>
      </c>
      <c r="D24" s="336" t="s">
        <v>64</v>
      </c>
      <c r="E24" s="336" t="s">
        <v>75</v>
      </c>
      <c r="F24" s="336" t="s">
        <v>1231</v>
      </c>
      <c r="G24" s="336"/>
      <c r="H24" s="336"/>
      <c r="I24" s="336"/>
      <c r="J24" s="336"/>
      <c r="K24" s="336"/>
      <c r="L24" s="336" t="s">
        <v>1300</v>
      </c>
      <c r="M24" s="336" t="s">
        <v>1222</v>
      </c>
      <c r="N24" s="125" t="s">
        <v>1309</v>
      </c>
      <c r="O24" s="125" t="s">
        <v>79</v>
      </c>
      <c r="P24" s="125" t="s">
        <v>1159</v>
      </c>
      <c r="Q24" s="43"/>
      <c r="R24" s="43"/>
      <c r="S24" s="318"/>
      <c r="T24" s="318"/>
      <c r="U24" s="51"/>
      <c r="V24" s="318"/>
      <c r="X24" s="272"/>
      <c r="Y24" s="272"/>
      <c r="Z24" s="272"/>
      <c r="AA24" s="272"/>
      <c r="AB24" s="272"/>
      <c r="AC24" s="272"/>
    </row>
    <row r="25" spans="1:29" s="52" customFormat="1" ht="15.75" x14ac:dyDescent="0.25">
      <c r="A25" s="23"/>
      <c r="B25" s="50"/>
      <c r="C25" s="336"/>
      <c r="D25" s="349"/>
      <c r="E25" s="349"/>
      <c r="F25" s="125" t="str">
        <f>IF(1&lt;='Шаг 1. Основные исходные данные'!$E$5,"1 год","-")</f>
        <v>1 год</v>
      </c>
      <c r="G25" s="125" t="str">
        <f>IF(2&lt;='Шаг 1. Основные исходные данные'!$E$5,"2 год","-")</f>
        <v>2 год</v>
      </c>
      <c r="H25" s="125" t="str">
        <f>IF(3&lt;='Шаг 1. Основные исходные данные'!$E$5,"3 год","-")</f>
        <v>3 год</v>
      </c>
      <c r="I25" s="125" t="str">
        <f>IF(4&lt;='Шаг 1. Основные исходные данные'!$E$5,"4 год","-")</f>
        <v>4 год</v>
      </c>
      <c r="J25" s="125" t="str">
        <f>IF(5&lt;='Шаг 1. Основные исходные данные'!$E$5,"5 год","-")</f>
        <v>5 год</v>
      </c>
      <c r="K25" s="125" t="str">
        <f>IF(6&lt;='Шаг 1. Основные исходные данные'!$E$5,"6 год","-")</f>
        <v>6 год</v>
      </c>
      <c r="L25" s="349"/>
      <c r="M25" s="349"/>
      <c r="N25" s="125"/>
      <c r="O25" s="125"/>
      <c r="P25" s="125"/>
      <c r="Q25" s="43"/>
      <c r="R25" s="43"/>
      <c r="S25" s="318"/>
      <c r="T25" s="318"/>
      <c r="U25" s="51"/>
      <c r="V25" s="318"/>
      <c r="X25" s="279" t="s">
        <v>1221</v>
      </c>
      <c r="Y25" s="279" t="s">
        <v>1223</v>
      </c>
      <c r="Z25" s="279" t="s">
        <v>1224</v>
      </c>
      <c r="AA25" s="279" t="s">
        <v>1225</v>
      </c>
      <c r="AB25" s="279" t="s">
        <v>1226</v>
      </c>
      <c r="AC25" s="279" t="s">
        <v>1227</v>
      </c>
    </row>
    <row r="26" spans="1:29" s="37" customFormat="1" ht="15.75" x14ac:dyDescent="0.25">
      <c r="A26" s="43"/>
      <c r="B26" s="48"/>
      <c r="C26" s="89" t="str">
        <f>IF(LEN(D26)&gt;0,1,"")</f>
        <v/>
      </c>
      <c r="D26" s="31"/>
      <c r="E26" s="96"/>
      <c r="F26" s="96"/>
      <c r="G26" s="96"/>
      <c r="H26" s="96"/>
      <c r="I26" s="96"/>
      <c r="J26" s="96"/>
      <c r="K26" s="96"/>
      <c r="L26" s="96"/>
      <c r="M26" s="96"/>
      <c r="N26" s="96"/>
      <c r="O26" s="97">
        <f>'Шаг 1. Основные исходные данные'!$E$8</f>
        <v>0</v>
      </c>
      <c r="P26" s="97">
        <f>SUM(X26:AC26)</f>
        <v>0</v>
      </c>
      <c r="Q26" s="43"/>
      <c r="R26" s="43"/>
      <c r="S26" s="317"/>
      <c r="T26" s="317"/>
      <c r="U26" s="49"/>
      <c r="V26" s="317"/>
      <c r="W26" s="281"/>
      <c r="X26" s="282">
        <f>$O26*'Шаг 1. Основные исходные данные'!$E$11*(12/'Шаг 1. Основные исходные данные'!$E$10/8)*F26*$M26*$E$14*X$19</f>
        <v>0</v>
      </c>
      <c r="Y26" s="282">
        <f>IF($E26=Dict!$F$2,0,
$O26*'Шаг 1. Основные исходные данные'!$E$11*(12/'Шаг 1. Основные исходные данные'!$E$10/8)*G26*$M26*$E$14*Y$19)</f>
        <v>0</v>
      </c>
      <c r="Z26" s="277">
        <f>IF($E26=Dict!$F$2,0,
$O26*'Шаг 1. Основные исходные данные'!$E$11*(12/'Шаг 1. Основные исходные данные'!$E$10/8)*H26*$M26*$E$14*Z$19)</f>
        <v>0</v>
      </c>
      <c r="AA26" s="277">
        <f>IF($E26=Dict!$F$2,0,
$O26*'Шаг 1. Основные исходные данные'!$E$11*(12/'Шаг 1. Основные исходные данные'!$E$10/8)*I26*$M26*$E$14*AA$19)</f>
        <v>0</v>
      </c>
      <c r="AB26" s="277">
        <f>IF($E26=Dict!$F$2,0,
$O26*'Шаг 1. Основные исходные данные'!$E$11*(12/'Шаг 1. Основные исходные данные'!$E$10/8)*J26*$M26*$E$14*AB$19)</f>
        <v>0</v>
      </c>
      <c r="AC26" s="277">
        <f>IF($E26=Dict!$F$2,0,
$O26*'Шаг 1. Основные исходные данные'!$E$11*(12/'Шаг 1. Основные исходные данные'!$E$10/8)*K26*$M26*$E$14*AC$19)</f>
        <v>0</v>
      </c>
    </row>
    <row r="27" spans="1:29" s="37" customFormat="1" ht="15.75" x14ac:dyDescent="0.25">
      <c r="A27" s="43"/>
      <c r="B27" s="48"/>
      <c r="C27" s="89" t="str">
        <f>IF(LEN(D27)&gt;0,C26+1,"")</f>
        <v/>
      </c>
      <c r="D27" s="31"/>
      <c r="E27" s="96"/>
      <c r="F27" s="96"/>
      <c r="G27" s="96"/>
      <c r="H27" s="96"/>
      <c r="I27" s="96"/>
      <c r="J27" s="96"/>
      <c r="K27" s="96"/>
      <c r="L27" s="96"/>
      <c r="M27" s="96"/>
      <c r="N27" s="96"/>
      <c r="O27" s="97">
        <f>'Шаг 1. Основные исходные данные'!$E$8</f>
        <v>0</v>
      </c>
      <c r="P27" s="97">
        <f>SUM(X27:AC27)</f>
        <v>0</v>
      </c>
      <c r="Q27" s="43"/>
      <c r="R27" s="43"/>
      <c r="S27" s="317"/>
      <c r="T27" s="317"/>
      <c r="U27" s="49"/>
      <c r="V27" s="317"/>
      <c r="W27" s="281"/>
      <c r="X27" s="283">
        <f>$O27*'Шаг 1. Основные исходные данные'!$E$11*(12/'Шаг 1. Основные исходные данные'!$E$10/8)*F27*$M27*$E$14*X$19</f>
        <v>0</v>
      </c>
      <c r="Y27" s="283">
        <f>IF($E27=Dict!$F$2,0,
$O27*'Шаг 1. Основные исходные данные'!$E$11*(12/'Шаг 1. Основные исходные данные'!$E$10/8)*G27*$M27*$E$14*Y$19)</f>
        <v>0</v>
      </c>
      <c r="Z27" s="277">
        <f>IF($E27=Dict!$F$2,0,
$O27*'Шаг 1. Основные исходные данные'!$E$11*(12/'Шаг 1. Основные исходные данные'!$E$10/8)*H27*$M27*$E$14*Z$19)</f>
        <v>0</v>
      </c>
      <c r="AA27" s="277">
        <f>IF($E27=Dict!$F$2,0,
$O27*'Шаг 1. Основные исходные данные'!$E$11*(12/'Шаг 1. Основные исходные данные'!$E$10/8)*I27*$M27*$E$14*AA$19)</f>
        <v>0</v>
      </c>
      <c r="AB27" s="277">
        <f>IF($E27=Dict!$F$2,0,
$O27*'Шаг 1. Основные исходные данные'!$E$11*(12/'Шаг 1. Основные исходные данные'!$E$10/8)*J27*$M27*$E$14*AB$19)</f>
        <v>0</v>
      </c>
      <c r="AC27" s="277">
        <f>IF($E27=Dict!$F$2,0,
$O27*'Шаг 1. Основные исходные данные'!$E$11*(12/'Шаг 1. Основные исходные данные'!$E$10/8)*K27*$M27*$E$14*AC$19)</f>
        <v>0</v>
      </c>
    </row>
    <row r="28" spans="1:29" s="37" customFormat="1" ht="15.75" x14ac:dyDescent="0.25">
      <c r="A28" s="43"/>
      <c r="B28" s="48"/>
      <c r="C28" s="89" t="str">
        <f>IF(LEN(D28)&gt;0,C27+1,"")</f>
        <v/>
      </c>
      <c r="D28" s="31"/>
      <c r="E28" s="96"/>
      <c r="F28" s="96"/>
      <c r="G28" s="96"/>
      <c r="H28" s="96"/>
      <c r="I28" s="96"/>
      <c r="J28" s="96"/>
      <c r="K28" s="96"/>
      <c r="L28" s="96"/>
      <c r="M28" s="96"/>
      <c r="N28" s="96"/>
      <c r="O28" s="97">
        <f>'Шаг 1. Основные исходные данные'!$E$8</f>
        <v>0</v>
      </c>
      <c r="P28" s="97">
        <f>SUM(X28:AC28)</f>
        <v>0</v>
      </c>
      <c r="Q28" s="43"/>
      <c r="R28" s="43"/>
      <c r="S28" s="317"/>
      <c r="T28" s="317"/>
      <c r="U28" s="49"/>
      <c r="V28" s="317"/>
      <c r="X28" s="283">
        <f>$O28*'Шаг 1. Основные исходные данные'!$E$11*(12/'Шаг 1. Основные исходные данные'!$E$10/8)*F28*$M28*$E$14*X$19</f>
        <v>0</v>
      </c>
      <c r="Y28" s="283">
        <f>IF($E28=Dict!$F$2,0,
$O28*'Шаг 1. Основные исходные данные'!$E$11*(12/'Шаг 1. Основные исходные данные'!$E$10/8)*G28*$M28*$E$14*Y$19)</f>
        <v>0</v>
      </c>
      <c r="Z28" s="277">
        <f>IF($E28=Dict!$F$2,0,
$O28*'Шаг 1. Основные исходные данные'!$E$11*(12/'Шаг 1. Основные исходные данные'!$E$10/8)*H28*$M28*$E$14*Z$19)</f>
        <v>0</v>
      </c>
      <c r="AA28" s="277">
        <f>IF($E28=Dict!$F$2,0,
$O28*'Шаг 1. Основные исходные данные'!$E$11*(12/'Шаг 1. Основные исходные данные'!$E$10/8)*I28*$M28*$E$14*AA$19)</f>
        <v>0</v>
      </c>
      <c r="AB28" s="277">
        <f>IF($E28=Dict!$F$2,0,
$O28*'Шаг 1. Основные исходные данные'!$E$11*(12/'Шаг 1. Основные исходные данные'!$E$10/8)*J28*$M28*$E$14*AB$19)</f>
        <v>0</v>
      </c>
      <c r="AC28" s="277">
        <f>IF($E28=Dict!$F$2,0,
$O28*'Шаг 1. Основные исходные данные'!$E$11*(12/'Шаг 1. Основные исходные данные'!$E$10/8)*K28*$M28*$E$14*AC$19)</f>
        <v>0</v>
      </c>
    </row>
    <row r="29" spans="1:29" s="37" customFormat="1" ht="15.75" x14ac:dyDescent="0.25">
      <c r="A29" s="43"/>
      <c r="B29" s="48"/>
      <c r="C29" s="89" t="str">
        <f>IF(LEN(D29)&gt;0,C28+1,"")</f>
        <v/>
      </c>
      <c r="D29" s="31"/>
      <c r="E29" s="96"/>
      <c r="F29" s="96"/>
      <c r="G29" s="96"/>
      <c r="H29" s="96"/>
      <c r="I29" s="96"/>
      <c r="J29" s="96"/>
      <c r="K29" s="96"/>
      <c r="L29" s="96"/>
      <c r="M29" s="96"/>
      <c r="N29" s="96"/>
      <c r="O29" s="97">
        <f>'Шаг 1. Основные исходные данные'!$E$8</f>
        <v>0</v>
      </c>
      <c r="P29" s="97">
        <f>SUM(X29:AC29)</f>
        <v>0</v>
      </c>
      <c r="Q29" s="43"/>
      <c r="R29" s="43"/>
      <c r="S29" s="317"/>
      <c r="T29" s="317"/>
      <c r="U29" s="49"/>
      <c r="V29" s="317"/>
      <c r="X29" s="283">
        <f>$O29*'Шаг 1. Основные исходные данные'!$E$11*(12/'Шаг 1. Основные исходные данные'!$E$10/8)*F29*$M29*$E$14*X$19</f>
        <v>0</v>
      </c>
      <c r="Y29" s="283">
        <f>IF($E29=Dict!$F$2,0,
$O29*'Шаг 1. Основные исходные данные'!$E$11*(12/'Шаг 1. Основные исходные данные'!$E$10/8)*G29*$M29*$E$14*Y$19)</f>
        <v>0</v>
      </c>
      <c r="Z29" s="277">
        <f>IF($E29=Dict!$F$2,0,
$O29*'Шаг 1. Основные исходные данные'!$E$11*(12/'Шаг 1. Основные исходные данные'!$E$10/8)*H29*$M29*$E$14*Z$19)</f>
        <v>0</v>
      </c>
      <c r="AA29" s="277">
        <f>IF($E29=Dict!$F$2,0,
$O29*'Шаг 1. Основные исходные данные'!$E$11*(12/'Шаг 1. Основные исходные данные'!$E$10/8)*I29*$M29*$E$14*AA$19)</f>
        <v>0</v>
      </c>
      <c r="AB29" s="277">
        <f>IF($E29=Dict!$F$2,0,
$O29*'Шаг 1. Основные исходные данные'!$E$11*(12/'Шаг 1. Основные исходные данные'!$E$10/8)*J29*$M29*$E$14*AB$19)</f>
        <v>0</v>
      </c>
      <c r="AC29" s="277">
        <f>IF($E29=Dict!$F$2,0,
$O29*'Шаг 1. Основные исходные данные'!$E$11*(12/'Шаг 1. Основные исходные данные'!$E$10/8)*K29*$M29*$E$14*AC$19)</f>
        <v>0</v>
      </c>
    </row>
    <row r="30" spans="1:29" s="37" customFormat="1" ht="15.75" x14ac:dyDescent="0.25">
      <c r="A30" s="43"/>
      <c r="B30" s="48"/>
      <c r="C30" s="89" t="str">
        <f>IF(LEN(D30)&gt;0,C29+1,"")</f>
        <v/>
      </c>
      <c r="D30" s="31"/>
      <c r="E30" s="96"/>
      <c r="F30" s="96"/>
      <c r="G30" s="96"/>
      <c r="H30" s="96"/>
      <c r="I30" s="96"/>
      <c r="J30" s="96"/>
      <c r="K30" s="96"/>
      <c r="L30" s="96"/>
      <c r="M30" s="96"/>
      <c r="N30" s="96"/>
      <c r="O30" s="97">
        <f>'Шаг 1. Основные исходные данные'!$E$8</f>
        <v>0</v>
      </c>
      <c r="P30" s="97">
        <f>SUM(X30:AC30)</f>
        <v>0</v>
      </c>
      <c r="Q30" s="43"/>
      <c r="R30" s="43"/>
      <c r="S30" s="317"/>
      <c r="T30" s="317"/>
      <c r="U30" s="49"/>
      <c r="V30" s="317"/>
      <c r="X30" s="283">
        <f>$O30*'Шаг 1. Основные исходные данные'!$E$11*(12/'Шаг 1. Основные исходные данные'!$E$10/8)*F30*$M30*$E$14*X$19</f>
        <v>0</v>
      </c>
      <c r="Y30" s="283">
        <f>IF($E30=Dict!$F$2,0,
$O30*'Шаг 1. Основные исходные данные'!$E$11*(12/'Шаг 1. Основные исходные данные'!$E$10/8)*G30*$M30*$E$14*Y$19)</f>
        <v>0</v>
      </c>
      <c r="Z30" s="277">
        <f>IF($E30=Dict!$F$2,0,
$O30*'Шаг 1. Основные исходные данные'!$E$11*(12/'Шаг 1. Основные исходные данные'!$E$10/8)*H30*$M30*$E$14*Z$19)</f>
        <v>0</v>
      </c>
      <c r="AA30" s="277">
        <f>IF($E30=Dict!$F$2,0,
$O30*'Шаг 1. Основные исходные данные'!$E$11*(12/'Шаг 1. Основные исходные данные'!$E$10/8)*I30*$M30*$E$14*AA$19)</f>
        <v>0</v>
      </c>
      <c r="AB30" s="277">
        <f>IF($E30=Dict!$F$2,0,
$O30*'Шаг 1. Основные исходные данные'!$E$11*(12/'Шаг 1. Основные исходные данные'!$E$10/8)*J30*$M30*$E$14*AB$19)</f>
        <v>0</v>
      </c>
      <c r="AC30" s="277">
        <f>IF($E30=Dict!$F$2,0,
$O30*'Шаг 1. Основные исходные данные'!$E$11*(12/'Шаг 1. Основные исходные данные'!$E$10/8)*K30*$M30*$E$14*AC$19)</f>
        <v>0</v>
      </c>
    </row>
    <row r="31" spans="1:29" s="91" customFormat="1" ht="19.899999999999999" customHeight="1" x14ac:dyDescent="0.25">
      <c r="A31" s="90"/>
      <c r="B31" s="92"/>
      <c r="C31" s="94" t="s">
        <v>95</v>
      </c>
      <c r="D31" s="99"/>
      <c r="E31" s="99"/>
      <c r="F31" s="99"/>
      <c r="G31" s="99"/>
      <c r="H31" s="99"/>
      <c r="I31" s="99"/>
      <c r="J31" s="99"/>
      <c r="K31" s="99"/>
      <c r="L31" s="99"/>
      <c r="M31" s="99"/>
      <c r="N31" s="99"/>
      <c r="O31" s="99"/>
      <c r="P31" s="95">
        <f>SUM(P26:P30)</f>
        <v>0</v>
      </c>
      <c r="Q31" s="43"/>
      <c r="R31" s="43"/>
      <c r="S31" s="319"/>
      <c r="T31" s="319"/>
      <c r="U31" s="93"/>
      <c r="V31" s="319"/>
      <c r="X31" s="278">
        <f t="shared" ref="X31:AC31" si="3">SUM(X26:X30)</f>
        <v>0</v>
      </c>
      <c r="Y31" s="278">
        <f t="shared" si="3"/>
        <v>0</v>
      </c>
      <c r="Z31" s="278">
        <f t="shared" si="3"/>
        <v>0</v>
      </c>
      <c r="AA31" s="278">
        <f t="shared" si="3"/>
        <v>0</v>
      </c>
      <c r="AB31" s="278">
        <f t="shared" si="3"/>
        <v>0</v>
      </c>
      <c r="AC31" s="278">
        <f t="shared" si="3"/>
        <v>0</v>
      </c>
    </row>
    <row r="32" spans="1:29" s="37" customFormat="1" ht="15.75" x14ac:dyDescent="0.25">
      <c r="A32" s="43"/>
      <c r="B32" s="48"/>
      <c r="C32" s="43"/>
      <c r="D32" s="43"/>
      <c r="E32" s="43"/>
      <c r="F32" s="43"/>
      <c r="G32" s="43"/>
      <c r="H32" s="43"/>
      <c r="I32" s="43"/>
      <c r="J32" s="43"/>
      <c r="K32" s="43"/>
      <c r="L32" s="43"/>
      <c r="M32" s="43"/>
      <c r="N32" s="43"/>
      <c r="O32" s="43"/>
      <c r="P32" s="43"/>
      <c r="Q32" s="43"/>
      <c r="R32" s="43"/>
      <c r="S32" s="317"/>
      <c r="T32" s="317"/>
      <c r="U32" s="49"/>
      <c r="V32" s="317"/>
      <c r="X32" s="271"/>
      <c r="Y32" s="271"/>
      <c r="Z32" s="271"/>
      <c r="AA32" s="271"/>
      <c r="AB32" s="271"/>
      <c r="AC32" s="271"/>
    </row>
    <row r="33" spans="1:29" s="37" customFormat="1" ht="15.75" x14ac:dyDescent="0.25">
      <c r="A33" s="43"/>
      <c r="B33" s="48"/>
      <c r="C33" s="39" t="s">
        <v>80</v>
      </c>
      <c r="D33" s="43"/>
      <c r="E33" s="43"/>
      <c r="F33" s="43"/>
      <c r="G33" s="43"/>
      <c r="H33" s="43"/>
      <c r="I33" s="43"/>
      <c r="J33" s="43"/>
      <c r="K33" s="43"/>
      <c r="L33" s="43"/>
      <c r="M33" s="43"/>
      <c r="N33" s="43"/>
      <c r="O33" s="43"/>
      <c r="P33" s="43"/>
      <c r="Q33" s="43"/>
      <c r="R33" s="43"/>
      <c r="S33" s="317"/>
      <c r="T33" s="317"/>
      <c r="U33" s="49"/>
      <c r="V33" s="317"/>
      <c r="X33" s="271"/>
      <c r="Y33" s="271"/>
      <c r="Z33" s="271"/>
      <c r="AA33" s="271"/>
      <c r="AB33" s="271"/>
      <c r="AC33" s="271"/>
    </row>
    <row r="34" spans="1:29" s="37" customFormat="1" ht="126" x14ac:dyDescent="0.25">
      <c r="A34" s="43"/>
      <c r="B34" s="48"/>
      <c r="C34" s="125" t="s">
        <v>62</v>
      </c>
      <c r="D34" s="125" t="s">
        <v>74</v>
      </c>
      <c r="E34" s="125" t="s">
        <v>1160</v>
      </c>
      <c r="F34" s="125" t="s">
        <v>1168</v>
      </c>
      <c r="G34" s="125" t="s">
        <v>1167</v>
      </c>
      <c r="H34" s="336" t="s">
        <v>1232</v>
      </c>
      <c r="I34" s="336"/>
      <c r="J34" s="336"/>
      <c r="K34" s="336"/>
      <c r="L34" s="336"/>
      <c r="M34" s="336"/>
      <c r="N34" s="125" t="s">
        <v>1301</v>
      </c>
      <c r="O34" s="125" t="s">
        <v>1169</v>
      </c>
      <c r="P34" s="316" t="s">
        <v>1307</v>
      </c>
      <c r="Q34" s="125" t="s">
        <v>1269</v>
      </c>
      <c r="R34" s="316" t="s">
        <v>1308</v>
      </c>
      <c r="S34" s="125" t="s">
        <v>1166</v>
      </c>
      <c r="T34" s="125" t="s">
        <v>1170</v>
      </c>
      <c r="U34" s="49"/>
      <c r="V34" s="317"/>
      <c r="X34" s="271">
        <v>1</v>
      </c>
      <c r="Y34" s="271">
        <v>2</v>
      </c>
      <c r="Z34" s="271">
        <v>3</v>
      </c>
      <c r="AA34" s="271">
        <v>4</v>
      </c>
      <c r="AB34" s="271">
        <v>5</v>
      </c>
      <c r="AC34" s="271">
        <v>6</v>
      </c>
    </row>
    <row r="35" spans="1:29" s="37" customFormat="1" ht="15.75" x14ac:dyDescent="0.25">
      <c r="A35" s="43"/>
      <c r="B35" s="48"/>
      <c r="C35" s="125"/>
      <c r="D35" s="125"/>
      <c r="E35" s="125"/>
      <c r="F35" s="125"/>
      <c r="G35" s="125"/>
      <c r="H35" s="125" t="str">
        <f>IF(1&lt;='Шаг 1. Основные исходные данные'!$E$5,"1 год","-")</f>
        <v>1 год</v>
      </c>
      <c r="I35" s="125" t="str">
        <f>IF(2&lt;='Шаг 1. Основные исходные данные'!$E$5,"2 год","-")</f>
        <v>2 год</v>
      </c>
      <c r="J35" s="125" t="str">
        <f>IF(3&lt;='Шаг 1. Основные исходные данные'!$E$5,"3 год","-")</f>
        <v>3 год</v>
      </c>
      <c r="K35" s="125" t="str">
        <f>IF(4&lt;='Шаг 1. Основные исходные данные'!$E$5,"4 год","-")</f>
        <v>4 год</v>
      </c>
      <c r="L35" s="125" t="str">
        <f>IF(5&lt;='Шаг 1. Основные исходные данные'!$E$5,"5 год","-")</f>
        <v>5 год</v>
      </c>
      <c r="M35" s="125" t="str">
        <f>IF(6&lt;='Шаг 1. Основные исходные данные'!$E$5,"6 год","-")</f>
        <v>6 год</v>
      </c>
      <c r="N35" s="125"/>
      <c r="O35" s="125"/>
      <c r="P35" s="316"/>
      <c r="Q35" s="125"/>
      <c r="R35" s="316"/>
      <c r="S35" s="125"/>
      <c r="T35" s="125"/>
      <c r="U35" s="49"/>
      <c r="V35" s="317"/>
      <c r="X35" s="279" t="s">
        <v>1221</v>
      </c>
      <c r="Y35" s="279" t="s">
        <v>1223</v>
      </c>
      <c r="Z35" s="279" t="s">
        <v>1224</v>
      </c>
      <c r="AA35" s="279" t="s">
        <v>1225</v>
      </c>
      <c r="AB35" s="279" t="s">
        <v>1226</v>
      </c>
      <c r="AC35" s="279" t="s">
        <v>1227</v>
      </c>
    </row>
    <row r="36" spans="1:29" s="37" customFormat="1" ht="15.75" x14ac:dyDescent="0.25">
      <c r="A36" s="43"/>
      <c r="B36" s="48"/>
      <c r="C36" s="89" t="str">
        <f>IF(LEN(D36)&gt;0,1,"")</f>
        <v/>
      </c>
      <c r="D36" s="31"/>
      <c r="E36" s="31"/>
      <c r="F36" s="96"/>
      <c r="G36" s="96"/>
      <c r="H36" s="96"/>
      <c r="I36" s="96"/>
      <c r="J36" s="96"/>
      <c r="K36" s="96"/>
      <c r="L36" s="96"/>
      <c r="M36" s="96"/>
      <c r="N36" s="96"/>
      <c r="O36" s="98"/>
      <c r="P36" s="96"/>
      <c r="Q36" s="96"/>
      <c r="R36" s="96"/>
      <c r="S36" s="257">
        <f>IF($E36=Dict!$I$2,IF($G36&gt;='Шаг 1. Основные исходные данные'!$E$5,1,ROUNDUP('Шаг 1. Основные исходные данные'!$E$5/$G36,0)),IF($F36=Dict!$J$2,1,SUM($H36:$M36)))</f>
        <v>0</v>
      </c>
      <c r="T36" s="97">
        <f>SUM(X36:AC36)</f>
        <v>0</v>
      </c>
      <c r="U36" s="49"/>
      <c r="V36" s="317"/>
      <c r="X36" s="282">
        <f>IF($E36=Dict!$I$2,1,IF($F36=Dict!$J$2,1,H36))*$O36*$Q36*X$18*$E$14</f>
        <v>0</v>
      </c>
      <c r="Y36" s="282">
        <f>IF($E36=Dict!$I$2,
IF($G36&gt;='Шаг 1. Основные исходные данные'!$E$5,0,
IF(MOD(Y$34-1,$G36)=0,1,0)),IF($F36=Dict!$J$2,0,I36))*$O36*$Q36*Y$18*$E$14</f>
        <v>0</v>
      </c>
      <c r="Z36" s="277">
        <f>IF($E36=Dict!$I$2,
IF($G36&gt;='Шаг 1. Основные исходные данные'!$E$5,0,
IF(MOD(Z$34-1,$G36)=0,1,0)),IF($F36=Dict!$J$2,0,J36))*$O36*$Q36*Z$18*$E$14</f>
        <v>0</v>
      </c>
      <c r="AA36" s="277">
        <f>IF($E36=Dict!$I$2,
IF($G36&gt;='Шаг 1. Основные исходные данные'!$E$5,0,
IF(MOD(AA$34-1,$G36)=0,1,0)),IF($F36=Dict!$J$2,0,K36))*$O36*$Q36*AA$18*$E$14</f>
        <v>0</v>
      </c>
      <c r="AB36" s="277">
        <f>IF($E36=Dict!$I$2,
IF($G36&gt;='Шаг 1. Основные исходные данные'!$E$5,0,
IF(MOD(AB$34-1,$G36)=0,1,0)),IF($F36=Dict!$J$2,0,L36))*$O36*$Q36*AB$18*$E$14</f>
        <v>0</v>
      </c>
      <c r="AC36" s="277">
        <f>IF($E36=Dict!$I$2,
IF($G36&gt;='Шаг 1. Основные исходные данные'!$E$5,0,
IF(MOD(AC$34-1,$G36)=0,1,0)),IF($F36=Dict!$J$2,0,M36))*$O36*$Q36*AC$18*$E$14</f>
        <v>0</v>
      </c>
    </row>
    <row r="37" spans="1:29" s="37" customFormat="1" ht="15.75" x14ac:dyDescent="0.25">
      <c r="A37" s="43"/>
      <c r="B37" s="48"/>
      <c r="C37" s="89" t="str">
        <f>IF(LEN(D37)&gt;0,C36+1,"")</f>
        <v/>
      </c>
      <c r="D37" s="31"/>
      <c r="E37" s="31"/>
      <c r="F37" s="96"/>
      <c r="G37" s="96"/>
      <c r="H37" s="96"/>
      <c r="I37" s="96"/>
      <c r="J37" s="96"/>
      <c r="K37" s="96"/>
      <c r="L37" s="96"/>
      <c r="M37" s="96"/>
      <c r="N37" s="96"/>
      <c r="O37" s="98"/>
      <c r="P37" s="96"/>
      <c r="Q37" s="96"/>
      <c r="R37" s="96"/>
      <c r="S37" s="257">
        <f>IF($E37=Dict!$I$2,IF($G37&gt;='Шаг 1. Основные исходные данные'!$E$5,1,ROUNDUP('Шаг 1. Основные исходные данные'!$E$5/$G37,0)),IF($F37=Dict!$J$2,1,SUM($H37:$M37)))</f>
        <v>0</v>
      </c>
      <c r="T37" s="97">
        <f>SUM(X37:AC37)</f>
        <v>0</v>
      </c>
      <c r="U37" s="49"/>
      <c r="V37" s="317"/>
      <c r="X37" s="283">
        <f>IF($E37=Dict!$I$2,1,IF($F37=Dict!$J$2,1,H37))*$O37*$Q37*X$18*$E$14</f>
        <v>0</v>
      </c>
      <c r="Y37" s="283">
        <f>IF($E37=Dict!$I$2,
IF($G37&gt;='Шаг 1. Основные исходные данные'!$E$5,0,
IF(MOD(Y$34-1,$G37)=0,1,0)),IF($F37=Dict!$J$2,0,I37))*$O37*$Q37*Y$18*$E$14</f>
        <v>0</v>
      </c>
      <c r="Z37" s="277">
        <f>IF($E37=Dict!$I$2,
IF($G37&gt;='Шаг 1. Основные исходные данные'!$E$5,0,
IF(MOD(Z$34-1,$G37)=0,1,0)),IF($F37=Dict!$J$2,0,J37))*$O37*$Q37*Z$18*$E$14</f>
        <v>0</v>
      </c>
      <c r="AA37" s="277">
        <f>IF($E37=Dict!$I$2,
IF($G37&gt;='Шаг 1. Основные исходные данные'!$E$5,0,
IF(MOD(AA$34-1,$G37)=0,1,0)),IF($F37=Dict!$J$2,0,K37))*$O37*$Q37*AA$18*$E$14</f>
        <v>0</v>
      </c>
      <c r="AB37" s="277">
        <f>IF($E37=Dict!$I$2,
IF($G37&gt;='Шаг 1. Основные исходные данные'!$E$5,0,
IF(MOD(AB$34-1,$G37)=0,1,0)),IF($F37=Dict!$J$2,0,L37))*$O37*$Q37*AB$18*$E$14</f>
        <v>0</v>
      </c>
      <c r="AC37" s="277">
        <f>IF($E37=Dict!$I$2,
IF($G37&gt;='Шаг 1. Основные исходные данные'!$E$5,0,
IF(MOD(AC$34-1,$G37)=0,1,0)),IF($F37=Dict!$J$2,0,M37))*$O37*$Q37*AC$18*$E$14</f>
        <v>0</v>
      </c>
    </row>
    <row r="38" spans="1:29" s="37" customFormat="1" ht="15.75" x14ac:dyDescent="0.25">
      <c r="A38" s="43"/>
      <c r="B38" s="48"/>
      <c r="C38" s="89" t="str">
        <f>IF(LEN(D38)&gt;0,C37+1,"")</f>
        <v/>
      </c>
      <c r="D38" s="31"/>
      <c r="E38" s="31"/>
      <c r="F38" s="96"/>
      <c r="G38" s="96"/>
      <c r="H38" s="96"/>
      <c r="I38" s="96"/>
      <c r="J38" s="96"/>
      <c r="K38" s="96"/>
      <c r="L38" s="96"/>
      <c r="M38" s="96"/>
      <c r="N38" s="96"/>
      <c r="O38" s="98"/>
      <c r="P38" s="96"/>
      <c r="Q38" s="96"/>
      <c r="R38" s="96"/>
      <c r="S38" s="257">
        <f>IF($E38=Dict!$I$2,IF($G38&gt;='Шаг 1. Основные исходные данные'!$E$5,1,ROUNDUP('Шаг 1. Основные исходные данные'!$E$5/$G38,0)),IF($F38=Dict!$J$2,1,SUM($H38:$M38)))</f>
        <v>0</v>
      </c>
      <c r="T38" s="97">
        <f>SUM(X38:AC38)</f>
        <v>0</v>
      </c>
      <c r="U38" s="49"/>
      <c r="V38" s="317"/>
      <c r="X38" s="283">
        <f>IF($E38=Dict!$I$2,1,IF($F38=Dict!$J$2,1,H38))*$O38*$Q38*X$18*$E$14</f>
        <v>0</v>
      </c>
      <c r="Y38" s="283">
        <f>IF($E38=Dict!$I$2,
IF($G38&gt;='Шаг 1. Основные исходные данные'!$E$5,0,
IF(MOD(Y$34-1,$G38)=0,1,0)),IF($F38=Dict!$J$2,0,I38))*$O38*$Q38*Y$18*$E$14</f>
        <v>0</v>
      </c>
      <c r="Z38" s="277">
        <f>IF($E38=Dict!$I$2,
IF($G38&gt;='Шаг 1. Основные исходные данные'!$E$5,0,
IF(MOD(Z$34-1,$G38)=0,1,0)),IF($F38=Dict!$J$2,0,J38))*$O38*$Q38*Z$18*$E$14</f>
        <v>0</v>
      </c>
      <c r="AA38" s="277">
        <f>IF($E38=Dict!$I$2,
IF($G38&gt;='Шаг 1. Основные исходные данные'!$E$5,0,
IF(MOD(AA$34-1,$G38)=0,1,0)),IF($F38=Dict!$J$2,0,K38))*$O38*$Q38*AA$18*$E$14</f>
        <v>0</v>
      </c>
      <c r="AB38" s="277">
        <f>IF($E38=Dict!$I$2,
IF($G38&gt;='Шаг 1. Основные исходные данные'!$E$5,0,
IF(MOD(AB$34-1,$G38)=0,1,0)),IF($F38=Dict!$J$2,0,L38))*$O38*$Q38*AB$18*$E$14</f>
        <v>0</v>
      </c>
      <c r="AC38" s="277">
        <f>IF($E38=Dict!$I$2,
IF($G38&gt;='Шаг 1. Основные исходные данные'!$E$5,0,
IF(MOD(AC$34-1,$G38)=0,1,0)),IF($F38=Dict!$J$2,0,M38))*$O38*$Q38*AC$18*$E$14</f>
        <v>0</v>
      </c>
    </row>
    <row r="39" spans="1:29" s="37" customFormat="1" ht="15.75" x14ac:dyDescent="0.25">
      <c r="A39" s="43"/>
      <c r="B39" s="48"/>
      <c r="C39" s="89" t="str">
        <f>IF(LEN(D39)&gt;0,C38+1,"")</f>
        <v/>
      </c>
      <c r="D39" s="31"/>
      <c r="E39" s="31"/>
      <c r="F39" s="96"/>
      <c r="G39" s="96"/>
      <c r="H39" s="96"/>
      <c r="I39" s="96"/>
      <c r="J39" s="96"/>
      <c r="K39" s="96"/>
      <c r="L39" s="96"/>
      <c r="M39" s="96"/>
      <c r="N39" s="96"/>
      <c r="O39" s="98"/>
      <c r="P39" s="96"/>
      <c r="Q39" s="96"/>
      <c r="R39" s="96"/>
      <c r="S39" s="257">
        <f>IF($E39=Dict!$I$2,IF($G39&gt;='Шаг 1. Основные исходные данные'!$E$5,1,ROUNDUP('Шаг 1. Основные исходные данные'!$E$5/$G39,0)),IF($F39=Dict!$J$2,1,SUM($H39:$M39)))</f>
        <v>0</v>
      </c>
      <c r="T39" s="97">
        <f>SUM(X39:AC39)</f>
        <v>0</v>
      </c>
      <c r="U39" s="49"/>
      <c r="V39" s="317"/>
      <c r="X39" s="283">
        <f>IF($E39=Dict!$I$2,1,IF($F39=Dict!$J$2,1,H39))*$O39*$Q39*X$18*$E$14</f>
        <v>0</v>
      </c>
      <c r="Y39" s="283">
        <f>IF($E39=Dict!$I$2,
IF($G39&gt;='Шаг 1. Основные исходные данные'!$E$5,0,
IF(MOD(Y$34-1,$G39)=0,1,0)),IF($F39=Dict!$J$2,0,I39))*$O39*$Q39*Y$18*$E$14</f>
        <v>0</v>
      </c>
      <c r="Z39" s="277">
        <f>IF($E39=Dict!$I$2,
IF($G39&gt;='Шаг 1. Основные исходные данные'!$E$5,0,
IF(MOD(Z$34-1,$G39)=0,1,0)),IF($F39=Dict!$J$2,0,J39))*$O39*$Q39*Z$18*$E$14</f>
        <v>0</v>
      </c>
      <c r="AA39" s="277">
        <f>IF($E39=Dict!$I$2,
IF($G39&gt;='Шаг 1. Основные исходные данные'!$E$5,0,
IF(MOD(AA$34-1,$G39)=0,1,0)),IF($F39=Dict!$J$2,0,K39))*$O39*$Q39*AA$18*$E$14</f>
        <v>0</v>
      </c>
      <c r="AB39" s="277">
        <f>IF($E39=Dict!$I$2,
IF($G39&gt;='Шаг 1. Основные исходные данные'!$E$5,0,
IF(MOD(AB$34-1,$G39)=0,1,0)),IF($F39=Dict!$J$2,0,L39))*$O39*$Q39*AB$18*$E$14</f>
        <v>0</v>
      </c>
      <c r="AC39" s="277">
        <f>IF($E39=Dict!$I$2,
IF($G39&gt;='Шаг 1. Основные исходные данные'!$E$5,0,
IF(MOD(AC$34-1,$G39)=0,1,0)),IF($F39=Dict!$J$2,0,M39))*$O39*$Q39*AC$18*$E$14</f>
        <v>0</v>
      </c>
    </row>
    <row r="40" spans="1:29" s="37" customFormat="1" ht="15.75" x14ac:dyDescent="0.25">
      <c r="A40" s="43"/>
      <c r="B40" s="48"/>
      <c r="C40" s="89" t="str">
        <f>IF(LEN(D40)&gt;0,C39+1,"")</f>
        <v/>
      </c>
      <c r="D40" s="31"/>
      <c r="E40" s="31"/>
      <c r="F40" s="96"/>
      <c r="G40" s="96"/>
      <c r="H40" s="96"/>
      <c r="I40" s="96"/>
      <c r="J40" s="96"/>
      <c r="K40" s="96"/>
      <c r="L40" s="96"/>
      <c r="M40" s="96"/>
      <c r="N40" s="96"/>
      <c r="O40" s="98"/>
      <c r="P40" s="96"/>
      <c r="Q40" s="96"/>
      <c r="R40" s="96"/>
      <c r="S40" s="257">
        <f>IF($E40=Dict!$I$2,IF($G40&gt;='Шаг 1. Основные исходные данные'!$E$5,1,ROUNDUP('Шаг 1. Основные исходные данные'!$E$5/$G40,0)),IF($F40=Dict!$J$2,1,SUM($H40:$M40)))</f>
        <v>0</v>
      </c>
      <c r="T40" s="97">
        <f>SUM(X40:AC40)</f>
        <v>0</v>
      </c>
      <c r="U40" s="49"/>
      <c r="V40" s="317"/>
      <c r="X40" s="283">
        <f>IF($E40=Dict!$I$2,1,IF($F40=Dict!$J$2,1,H40))*$O40*$Q40*X$18*$E$14</f>
        <v>0</v>
      </c>
      <c r="Y40" s="283">
        <f>IF($E40=Dict!$I$2,
IF($G40&gt;='Шаг 1. Основные исходные данные'!$E$5,0,
IF(MOD(Y$34-1,$G40)=0,1,0)),IF($F40=Dict!$J$2,0,I40))*$O40*$Q40*Y$18*$E$14</f>
        <v>0</v>
      </c>
      <c r="Z40" s="277">
        <f>IF($E40=Dict!$I$2,
IF($G40&gt;='Шаг 1. Основные исходные данные'!$E$5,0,
IF(MOD(Z$34-1,$G40)=0,1,0)),IF($F40=Dict!$J$2,0,J40))*$O40*$Q40*Z$18*$E$14</f>
        <v>0</v>
      </c>
      <c r="AA40" s="277">
        <f>IF($E40=Dict!$I$2,
IF($G40&gt;='Шаг 1. Основные исходные данные'!$E$5,0,
IF(MOD(AA$34-1,$G40)=0,1,0)),IF($F40=Dict!$J$2,0,K40))*$O40*$Q40*AA$18*$E$14</f>
        <v>0</v>
      </c>
      <c r="AB40" s="277">
        <f>IF($E40=Dict!$I$2,
IF($G40&gt;='Шаг 1. Основные исходные данные'!$E$5,0,
IF(MOD(AB$34-1,$G40)=0,1,0)),IF($F40=Dict!$J$2,0,L40))*$O40*$Q40*AB$18*$E$14</f>
        <v>0</v>
      </c>
      <c r="AC40" s="277">
        <f>IF($E40=Dict!$I$2,
IF($G40&gt;='Шаг 1. Основные исходные данные'!$E$5,0,
IF(MOD(AC$34-1,$G40)=0,1,0)),IF($F40=Dict!$J$2,0,M40))*$O40*$Q40*AC$18*$E$14</f>
        <v>0</v>
      </c>
    </row>
    <row r="41" spans="1:29" s="91" customFormat="1" ht="19.899999999999999" customHeight="1" x14ac:dyDescent="0.25">
      <c r="A41" s="90"/>
      <c r="B41" s="92"/>
      <c r="C41" s="94" t="s">
        <v>95</v>
      </c>
      <c r="D41" s="94"/>
      <c r="E41" s="94"/>
      <c r="F41" s="94"/>
      <c r="G41" s="94"/>
      <c r="H41" s="94"/>
      <c r="I41" s="94"/>
      <c r="J41" s="94"/>
      <c r="K41" s="94"/>
      <c r="L41" s="94"/>
      <c r="M41" s="94"/>
      <c r="N41" s="94"/>
      <c r="O41" s="94"/>
      <c r="P41" s="94"/>
      <c r="Q41" s="94"/>
      <c r="R41" s="94"/>
      <c r="S41" s="94"/>
      <c r="T41" s="95">
        <f>SUM(T36:T40)</f>
        <v>0</v>
      </c>
      <c r="U41" s="93"/>
      <c r="V41" s="319"/>
      <c r="W41" s="37"/>
      <c r="X41" s="278">
        <f t="shared" ref="X41:AC41" si="4">SUM(X36:X40)</f>
        <v>0</v>
      </c>
      <c r="Y41" s="278">
        <f t="shared" si="4"/>
        <v>0</v>
      </c>
      <c r="Z41" s="278">
        <f t="shared" si="4"/>
        <v>0</v>
      </c>
      <c r="AA41" s="278">
        <f t="shared" si="4"/>
        <v>0</v>
      </c>
      <c r="AB41" s="278">
        <f t="shared" si="4"/>
        <v>0</v>
      </c>
      <c r="AC41" s="278">
        <f t="shared" si="4"/>
        <v>0</v>
      </c>
    </row>
    <row r="42" spans="1:29" s="37" customFormat="1" ht="15.75" x14ac:dyDescent="0.25">
      <c r="A42" s="43"/>
      <c r="B42" s="53"/>
      <c r="C42" s="56"/>
      <c r="D42" s="56"/>
      <c r="E42" s="56"/>
      <c r="F42" s="56"/>
      <c r="G42" s="56"/>
      <c r="H42" s="56"/>
      <c r="I42" s="56"/>
      <c r="J42" s="56"/>
      <c r="K42" s="56"/>
      <c r="L42" s="56"/>
      <c r="M42" s="56"/>
      <c r="N42" s="56"/>
      <c r="O42" s="56"/>
      <c r="P42" s="56"/>
      <c r="Q42" s="56"/>
      <c r="R42" s="56"/>
      <c r="S42" s="56"/>
      <c r="T42" s="56"/>
      <c r="U42" s="54"/>
      <c r="V42" s="317"/>
      <c r="X42" s="271"/>
      <c r="Y42" s="271"/>
      <c r="Z42" s="271"/>
      <c r="AA42" s="271"/>
      <c r="AB42" s="271"/>
      <c r="AC42" s="271"/>
    </row>
    <row r="43" spans="1:29" s="37" customFormat="1" ht="15.75" x14ac:dyDescent="0.25">
      <c r="A43" s="43"/>
      <c r="B43" s="43"/>
      <c r="C43" s="43"/>
      <c r="D43" s="43"/>
      <c r="E43" s="43"/>
      <c r="F43" s="43"/>
      <c r="G43" s="43"/>
      <c r="H43" s="43"/>
      <c r="I43" s="43"/>
      <c r="J43" s="43"/>
      <c r="K43" s="43"/>
      <c r="L43" s="43"/>
      <c r="M43" s="43"/>
      <c r="N43" s="43"/>
      <c r="O43" s="43"/>
      <c r="P43" s="43"/>
      <c r="Q43" s="43"/>
      <c r="R43" s="43"/>
      <c r="S43" s="43"/>
      <c r="T43" s="317"/>
      <c r="U43" s="317"/>
      <c r="V43" s="317"/>
      <c r="X43" s="271"/>
      <c r="Y43" s="271"/>
      <c r="Z43" s="271"/>
      <c r="AA43" s="271"/>
      <c r="AB43" s="271"/>
      <c r="AC43" s="271"/>
    </row>
    <row r="44" spans="1:29" s="37" customFormat="1" ht="15.75" x14ac:dyDescent="0.25">
      <c r="A44" s="43"/>
      <c r="B44" s="45"/>
      <c r="C44" s="46"/>
      <c r="D44" s="46"/>
      <c r="E44" s="46"/>
      <c r="F44" s="46"/>
      <c r="G44" s="46"/>
      <c r="H44" s="46"/>
      <c r="I44" s="46"/>
      <c r="J44" s="46"/>
      <c r="K44" s="46"/>
      <c r="L44" s="46"/>
      <c r="M44" s="46"/>
      <c r="N44" s="46"/>
      <c r="O44" s="46"/>
      <c r="P44" s="46"/>
      <c r="Q44" s="46"/>
      <c r="R44" s="46"/>
      <c r="S44" s="46"/>
      <c r="T44" s="46"/>
      <c r="U44" s="47"/>
      <c r="V44" s="317"/>
      <c r="X44" s="272"/>
      <c r="Y44" s="272"/>
      <c r="Z44" s="272"/>
      <c r="AA44" s="272"/>
      <c r="AB44" s="272"/>
      <c r="AC44" s="272"/>
    </row>
    <row r="45" spans="1:29" s="37" customFormat="1" ht="15.75" x14ac:dyDescent="0.25">
      <c r="A45" s="43"/>
      <c r="B45" s="48"/>
      <c r="C45" s="36" t="str">
        <f>CONCATENATE("2.2.",$C$15,". Информационные издержки группы объектов ",$C$15," - """,$D$15,"""")</f>
        <v>2.2.. Информационные издержки группы объектов  - ""</v>
      </c>
      <c r="D45" s="43"/>
      <c r="E45" s="43"/>
      <c r="F45" s="43"/>
      <c r="G45" s="43"/>
      <c r="H45" s="43"/>
      <c r="I45" s="43"/>
      <c r="J45" s="43"/>
      <c r="K45" s="43"/>
      <c r="L45" s="43"/>
      <c r="M45" s="43"/>
      <c r="N45" s="43"/>
      <c r="O45" s="43"/>
      <c r="P45" s="43"/>
      <c r="Q45" s="43"/>
      <c r="R45" s="43"/>
      <c r="S45" s="317"/>
      <c r="T45" s="317"/>
      <c r="U45" s="49"/>
      <c r="V45" s="317"/>
      <c r="X45" s="272"/>
      <c r="Y45" s="272"/>
      <c r="Z45" s="272"/>
      <c r="AA45" s="272"/>
      <c r="AB45" s="272"/>
      <c r="AC45" s="272"/>
    </row>
    <row r="46" spans="1:29" s="37" customFormat="1" ht="15.75" x14ac:dyDescent="0.25">
      <c r="A46" s="43"/>
      <c r="B46" s="48"/>
      <c r="C46" s="43"/>
      <c r="D46" s="43"/>
      <c r="E46" s="43"/>
      <c r="F46" s="43"/>
      <c r="G46" s="43"/>
      <c r="H46" s="43"/>
      <c r="I46" s="43"/>
      <c r="J46" s="43"/>
      <c r="K46" s="43"/>
      <c r="L46" s="43"/>
      <c r="M46" s="43"/>
      <c r="N46" s="43"/>
      <c r="O46" s="43"/>
      <c r="P46" s="43"/>
      <c r="Q46" s="43"/>
      <c r="R46" s="43"/>
      <c r="S46" s="317"/>
      <c r="T46" s="317"/>
      <c r="U46" s="49"/>
      <c r="V46" s="317"/>
      <c r="X46" s="272"/>
      <c r="Y46" s="272"/>
      <c r="Z46" s="272"/>
      <c r="AA46" s="272"/>
      <c r="AB46" s="272"/>
      <c r="AC46" s="272"/>
    </row>
    <row r="47" spans="1:29" s="37" customFormat="1" ht="15.75" x14ac:dyDescent="0.25">
      <c r="A47" s="43"/>
      <c r="B47" s="48"/>
      <c r="C47" s="39" t="s">
        <v>63</v>
      </c>
      <c r="D47" s="43"/>
      <c r="E47" s="43"/>
      <c r="F47" s="43"/>
      <c r="G47" s="43"/>
      <c r="H47" s="43"/>
      <c r="I47" s="43"/>
      <c r="J47" s="43"/>
      <c r="K47" s="43"/>
      <c r="L47" s="43"/>
      <c r="M47" s="43"/>
      <c r="N47" s="43"/>
      <c r="O47" s="43"/>
      <c r="P47" s="43"/>
      <c r="Q47" s="43"/>
      <c r="R47" s="43"/>
      <c r="S47" s="317"/>
      <c r="T47" s="317"/>
      <c r="U47" s="49"/>
      <c r="V47" s="317"/>
      <c r="X47" s="272"/>
      <c r="Y47" s="272"/>
      <c r="Z47" s="272"/>
      <c r="AA47" s="272"/>
      <c r="AB47" s="272"/>
      <c r="AC47" s="272"/>
    </row>
    <row r="48" spans="1:29" s="52" customFormat="1" ht="132" customHeight="1" x14ac:dyDescent="0.25">
      <c r="A48" s="23"/>
      <c r="B48" s="50"/>
      <c r="C48" s="336" t="s">
        <v>62</v>
      </c>
      <c r="D48" s="336" t="s">
        <v>64</v>
      </c>
      <c r="E48" s="336" t="s">
        <v>75</v>
      </c>
      <c r="F48" s="336" t="s">
        <v>1231</v>
      </c>
      <c r="G48" s="336"/>
      <c r="H48" s="336"/>
      <c r="I48" s="336"/>
      <c r="J48" s="336"/>
      <c r="K48" s="336"/>
      <c r="L48" s="336" t="s">
        <v>1300</v>
      </c>
      <c r="M48" s="336" t="s">
        <v>1222</v>
      </c>
      <c r="N48" s="125" t="s">
        <v>1309</v>
      </c>
      <c r="O48" s="125" t="s">
        <v>79</v>
      </c>
      <c r="P48" s="125" t="s">
        <v>1159</v>
      </c>
      <c r="Q48" s="43"/>
      <c r="R48" s="43"/>
      <c r="S48" s="318"/>
      <c r="T48" s="318"/>
      <c r="U48" s="51"/>
      <c r="V48" s="318"/>
      <c r="X48" s="272"/>
      <c r="Y48" s="272"/>
      <c r="Z48" s="272"/>
      <c r="AA48" s="272"/>
      <c r="AB48" s="272"/>
      <c r="AC48" s="272"/>
    </row>
    <row r="49" spans="1:29" s="52" customFormat="1" ht="15.75" x14ac:dyDescent="0.25">
      <c r="A49" s="23"/>
      <c r="B49" s="50"/>
      <c r="C49" s="336"/>
      <c r="D49" s="349"/>
      <c r="E49" s="349"/>
      <c r="F49" s="125" t="str">
        <f>IF(1&lt;='Шаг 1. Основные исходные данные'!$E$5,"1 год","-")</f>
        <v>1 год</v>
      </c>
      <c r="G49" s="125" t="str">
        <f>IF(2&lt;='Шаг 1. Основные исходные данные'!$E$5,"2 год","-")</f>
        <v>2 год</v>
      </c>
      <c r="H49" s="125" t="str">
        <f>IF(3&lt;='Шаг 1. Основные исходные данные'!$E$5,"3 год","-")</f>
        <v>3 год</v>
      </c>
      <c r="I49" s="125" t="str">
        <f>IF(4&lt;='Шаг 1. Основные исходные данные'!$E$5,"4 год","-")</f>
        <v>4 год</v>
      </c>
      <c r="J49" s="125" t="str">
        <f>IF(5&lt;='Шаг 1. Основные исходные данные'!$E$5,"5 год","-")</f>
        <v>5 год</v>
      </c>
      <c r="K49" s="125" t="str">
        <f>IF(6&lt;='Шаг 1. Основные исходные данные'!$E$5,"6 год","-")</f>
        <v>6 год</v>
      </c>
      <c r="L49" s="349"/>
      <c r="M49" s="349"/>
      <c r="N49" s="125"/>
      <c r="O49" s="125"/>
      <c r="P49" s="125"/>
      <c r="Q49" s="43"/>
      <c r="R49" s="43"/>
      <c r="S49" s="318"/>
      <c r="T49" s="318"/>
      <c r="U49" s="51"/>
      <c r="V49" s="318"/>
      <c r="X49" s="279" t="s">
        <v>1221</v>
      </c>
      <c r="Y49" s="279" t="s">
        <v>1223</v>
      </c>
      <c r="Z49" s="279" t="s">
        <v>1224</v>
      </c>
      <c r="AA49" s="279" t="s">
        <v>1225</v>
      </c>
      <c r="AB49" s="279" t="s">
        <v>1226</v>
      </c>
      <c r="AC49" s="279" t="s">
        <v>1227</v>
      </c>
    </row>
    <row r="50" spans="1:29" s="37" customFormat="1" ht="15.75" x14ac:dyDescent="0.25">
      <c r="A50" s="43"/>
      <c r="B50" s="48"/>
      <c r="C50" s="89" t="str">
        <f>IF(LEN(D50)&gt;0,1,"")</f>
        <v/>
      </c>
      <c r="D50" s="31"/>
      <c r="E50" s="96"/>
      <c r="F50" s="96"/>
      <c r="G50" s="96"/>
      <c r="H50" s="96"/>
      <c r="I50" s="96"/>
      <c r="J50" s="96"/>
      <c r="K50" s="96"/>
      <c r="L50" s="96"/>
      <c r="M50" s="96"/>
      <c r="N50" s="96"/>
      <c r="O50" s="97">
        <f>'Шаг 1. Основные исходные данные'!$E$8</f>
        <v>0</v>
      </c>
      <c r="P50" s="97">
        <f>SUM(X50:AC50)</f>
        <v>0</v>
      </c>
      <c r="Q50" s="43"/>
      <c r="R50" s="43"/>
      <c r="S50" s="317"/>
      <c r="T50" s="317"/>
      <c r="U50" s="49"/>
      <c r="V50" s="317"/>
      <c r="W50" s="281"/>
      <c r="X50" s="283">
        <f>$O50*'Шаг 1. Основные исходные данные'!$E$11*(12/'Шаг 1. Основные исходные данные'!$E$10/8)*F50*$M50*$E$15*X$19</f>
        <v>0</v>
      </c>
      <c r="Y50" s="283">
        <f>IF($E50=Dict!$F$2,0,
$O50*'Шаг 1. Основные исходные данные'!$E$11*(12/'Шаг 1. Основные исходные данные'!$E$10/8)*G50*$M50*$E$15*Y$19)</f>
        <v>0</v>
      </c>
      <c r="Z50" s="283">
        <f>IF($E50=Dict!$F$2,0,
$O50*'Шаг 1. Основные исходные данные'!$E$11*(12/'Шаг 1. Основные исходные данные'!$E$10/8)*H50*$M50*$E$15*Z$19)</f>
        <v>0</v>
      </c>
      <c r="AA50" s="283">
        <f>IF($E50=Dict!$F$2,0,
$O50*'Шаг 1. Основные исходные данные'!$E$11*(12/'Шаг 1. Основные исходные данные'!$E$10/8)*I50*$M50*$E$15*AA$19)</f>
        <v>0</v>
      </c>
      <c r="AB50" s="283">
        <f>IF($E50=Dict!$F$2,0,
$O50*'Шаг 1. Основные исходные данные'!$E$11*(12/'Шаг 1. Основные исходные данные'!$E$10/8)*J50*$M50*$E$15*AB$19)</f>
        <v>0</v>
      </c>
      <c r="AC50" s="283">
        <f>IF($E50=Dict!$F$2,0,
$O50*'Шаг 1. Основные исходные данные'!$E$11*(12/'Шаг 1. Основные исходные данные'!$E$10/8)*K50*$M50*$E$15*AC$19)</f>
        <v>0</v>
      </c>
    </row>
    <row r="51" spans="1:29" s="37" customFormat="1" ht="15.75" x14ac:dyDescent="0.25">
      <c r="A51" s="43"/>
      <c r="B51" s="48"/>
      <c r="C51" s="89" t="str">
        <f>IF(LEN(D51)&gt;0,C50+1,"")</f>
        <v/>
      </c>
      <c r="D51" s="31"/>
      <c r="E51" s="96"/>
      <c r="F51" s="96"/>
      <c r="G51" s="96"/>
      <c r="H51" s="96"/>
      <c r="I51" s="96"/>
      <c r="J51" s="96"/>
      <c r="K51" s="96"/>
      <c r="L51" s="96"/>
      <c r="M51" s="96"/>
      <c r="N51" s="96"/>
      <c r="O51" s="97">
        <f>'Шаг 1. Основные исходные данные'!$E$8</f>
        <v>0</v>
      </c>
      <c r="P51" s="97">
        <f>SUM(X51:AC51)</f>
        <v>0</v>
      </c>
      <c r="Q51" s="43"/>
      <c r="R51" s="43"/>
      <c r="S51" s="317"/>
      <c r="T51" s="317"/>
      <c r="U51" s="49"/>
      <c r="V51" s="317"/>
      <c r="W51" s="281"/>
      <c r="X51" s="283">
        <f>$O51*'Шаг 1. Основные исходные данные'!$E$11*(12/'Шаг 1. Основные исходные данные'!$E$10/8)*F51*$M51*$E$15*X$19</f>
        <v>0</v>
      </c>
      <c r="Y51" s="283">
        <f>IF($E51=Dict!$F$2,0,
$O51*'Шаг 1. Основные исходные данные'!$E$11*(12/'Шаг 1. Основные исходные данные'!$E$10/8)*G51*$M51*$E$15*Y$19)</f>
        <v>0</v>
      </c>
      <c r="Z51" s="283">
        <f>IF($E51=Dict!$F$2,0,
$O51*'Шаг 1. Основные исходные данные'!$E$11*(12/'Шаг 1. Основные исходные данные'!$E$10/8)*H51*$M51*$E$15*Z$19)</f>
        <v>0</v>
      </c>
      <c r="AA51" s="283">
        <f>IF($E51=Dict!$F$2,0,
$O51*'Шаг 1. Основные исходные данные'!$E$11*(12/'Шаг 1. Основные исходные данные'!$E$10/8)*I51*$M51*$E$15*AA$19)</f>
        <v>0</v>
      </c>
      <c r="AB51" s="283">
        <f>IF($E51=Dict!$F$2,0,
$O51*'Шаг 1. Основные исходные данные'!$E$11*(12/'Шаг 1. Основные исходные данные'!$E$10/8)*J51*$M51*$E$15*AB$19)</f>
        <v>0</v>
      </c>
      <c r="AC51" s="283">
        <f>IF($E51=Dict!$F$2,0,
$O51*'Шаг 1. Основные исходные данные'!$E$11*(12/'Шаг 1. Основные исходные данные'!$E$10/8)*K51*$M51*$E$15*AC$19)</f>
        <v>0</v>
      </c>
    </row>
    <row r="52" spans="1:29" s="37" customFormat="1" ht="15.75" x14ac:dyDescent="0.25">
      <c r="A52" s="43"/>
      <c r="B52" s="48"/>
      <c r="C52" s="89" t="str">
        <f>IF(LEN(D52)&gt;0,C51+1,"")</f>
        <v/>
      </c>
      <c r="D52" s="31"/>
      <c r="E52" s="96"/>
      <c r="F52" s="96"/>
      <c r="G52" s="96"/>
      <c r="H52" s="96"/>
      <c r="I52" s="96"/>
      <c r="J52" s="96"/>
      <c r="K52" s="96"/>
      <c r="L52" s="96"/>
      <c r="M52" s="96"/>
      <c r="N52" s="96"/>
      <c r="O52" s="97">
        <f>'Шаг 1. Основные исходные данные'!$E$8</f>
        <v>0</v>
      </c>
      <c r="P52" s="97">
        <f>SUM(X52:AC52)</f>
        <v>0</v>
      </c>
      <c r="Q52" s="43"/>
      <c r="R52" s="43"/>
      <c r="S52" s="317"/>
      <c r="T52" s="317"/>
      <c r="U52" s="49"/>
      <c r="V52" s="317"/>
      <c r="X52" s="283">
        <f>$O52*'Шаг 1. Основные исходные данные'!$E$11*(12/'Шаг 1. Основные исходные данные'!$E$10/8)*F52*$M52*$E$15*X$19</f>
        <v>0</v>
      </c>
      <c r="Y52" s="283">
        <f>IF($E52=Dict!$F$2,0,
$O52*'Шаг 1. Основные исходные данные'!$E$11*(12/'Шаг 1. Основные исходные данные'!$E$10/8)*G52*$M52*$E$15*Y$19)</f>
        <v>0</v>
      </c>
      <c r="Z52" s="283">
        <f>IF($E52=Dict!$F$2,0,
$O52*'Шаг 1. Основные исходные данные'!$E$11*(12/'Шаг 1. Основные исходные данные'!$E$10/8)*H52*$M52*$E$15*Z$19)</f>
        <v>0</v>
      </c>
      <c r="AA52" s="283">
        <f>IF($E52=Dict!$F$2,0,
$O52*'Шаг 1. Основные исходные данные'!$E$11*(12/'Шаг 1. Основные исходные данные'!$E$10/8)*I52*$M52*$E$15*AA$19)</f>
        <v>0</v>
      </c>
      <c r="AB52" s="283">
        <f>IF($E52=Dict!$F$2,0,
$O52*'Шаг 1. Основные исходные данные'!$E$11*(12/'Шаг 1. Основные исходные данные'!$E$10/8)*J52*$M52*$E$15*AB$19)</f>
        <v>0</v>
      </c>
      <c r="AC52" s="283">
        <f>IF($E52=Dict!$F$2,0,
$O52*'Шаг 1. Основные исходные данные'!$E$11*(12/'Шаг 1. Основные исходные данные'!$E$10/8)*K52*$M52*$E$15*AC$19)</f>
        <v>0</v>
      </c>
    </row>
    <row r="53" spans="1:29" s="37" customFormat="1" ht="15.75" x14ac:dyDescent="0.25">
      <c r="A53" s="43"/>
      <c r="B53" s="48"/>
      <c r="C53" s="89" t="str">
        <f>IF(LEN(D53)&gt;0,C52+1,"")</f>
        <v/>
      </c>
      <c r="D53" s="31"/>
      <c r="E53" s="96"/>
      <c r="F53" s="96"/>
      <c r="G53" s="96"/>
      <c r="H53" s="96"/>
      <c r="I53" s="96"/>
      <c r="J53" s="96"/>
      <c r="K53" s="96"/>
      <c r="L53" s="96"/>
      <c r="M53" s="96"/>
      <c r="N53" s="96"/>
      <c r="O53" s="97">
        <f>'Шаг 1. Основные исходные данные'!$E$8</f>
        <v>0</v>
      </c>
      <c r="P53" s="97">
        <f>SUM(X53:AC53)</f>
        <v>0</v>
      </c>
      <c r="Q53" s="43"/>
      <c r="R53" s="43"/>
      <c r="S53" s="317"/>
      <c r="T53" s="317"/>
      <c r="U53" s="49"/>
      <c r="V53" s="317"/>
      <c r="X53" s="283">
        <f>$O53*'Шаг 1. Основные исходные данные'!$E$11*(12/'Шаг 1. Основные исходные данные'!$E$10/8)*F53*$M53*$E$15*X$19</f>
        <v>0</v>
      </c>
      <c r="Y53" s="283">
        <f>IF($E53=Dict!$F$2,0,
$O53*'Шаг 1. Основные исходные данные'!$E$11*(12/'Шаг 1. Основные исходные данные'!$E$10/8)*G53*$M53*$E$15*Y$19)</f>
        <v>0</v>
      </c>
      <c r="Z53" s="283">
        <f>IF($E53=Dict!$F$2,0,
$O53*'Шаг 1. Основные исходные данные'!$E$11*(12/'Шаг 1. Основные исходные данные'!$E$10/8)*H53*$M53*$E$15*Z$19)</f>
        <v>0</v>
      </c>
      <c r="AA53" s="283">
        <f>IF($E53=Dict!$F$2,0,
$O53*'Шаг 1. Основные исходные данные'!$E$11*(12/'Шаг 1. Основные исходные данные'!$E$10/8)*I53*$M53*$E$15*AA$19)</f>
        <v>0</v>
      </c>
      <c r="AB53" s="283">
        <f>IF($E53=Dict!$F$2,0,
$O53*'Шаг 1. Основные исходные данные'!$E$11*(12/'Шаг 1. Основные исходные данные'!$E$10/8)*J53*$M53*$E$15*AB$19)</f>
        <v>0</v>
      </c>
      <c r="AC53" s="283">
        <f>IF($E53=Dict!$F$2,0,
$O53*'Шаг 1. Основные исходные данные'!$E$11*(12/'Шаг 1. Основные исходные данные'!$E$10/8)*K53*$M53*$E$15*AC$19)</f>
        <v>0</v>
      </c>
    </row>
    <row r="54" spans="1:29" s="37" customFormat="1" ht="15.75" x14ac:dyDescent="0.25">
      <c r="A54" s="43"/>
      <c r="B54" s="48"/>
      <c r="C54" s="89" t="str">
        <f>IF(LEN(D54)&gt;0,C53+1,"")</f>
        <v/>
      </c>
      <c r="D54" s="31"/>
      <c r="E54" s="96"/>
      <c r="F54" s="96"/>
      <c r="G54" s="96"/>
      <c r="H54" s="96"/>
      <c r="I54" s="96"/>
      <c r="J54" s="96"/>
      <c r="K54" s="96"/>
      <c r="L54" s="96"/>
      <c r="M54" s="96"/>
      <c r="N54" s="96"/>
      <c r="O54" s="97">
        <f>'Шаг 1. Основные исходные данные'!$E$8</f>
        <v>0</v>
      </c>
      <c r="P54" s="97">
        <f>SUM(X54:AC54)</f>
        <v>0</v>
      </c>
      <c r="Q54" s="43"/>
      <c r="R54" s="43"/>
      <c r="S54" s="317"/>
      <c r="T54" s="317"/>
      <c r="U54" s="49"/>
      <c r="V54" s="317"/>
      <c r="X54" s="283">
        <f>$O54*'Шаг 1. Основные исходные данные'!$E$11*(12/'Шаг 1. Основные исходные данные'!$E$10/8)*F54*$M54*$E$15*X$19</f>
        <v>0</v>
      </c>
      <c r="Y54" s="283">
        <f>IF($E54=Dict!$F$2,0,
$O54*'Шаг 1. Основные исходные данные'!$E$11*(12/'Шаг 1. Основные исходные данные'!$E$10/8)*G54*$M54*$E$15*Y$19)</f>
        <v>0</v>
      </c>
      <c r="Z54" s="283">
        <f>IF($E54=Dict!$F$2,0,
$O54*'Шаг 1. Основные исходные данные'!$E$11*(12/'Шаг 1. Основные исходные данные'!$E$10/8)*H54*$M54*$E$15*Z$19)</f>
        <v>0</v>
      </c>
      <c r="AA54" s="283">
        <f>IF($E54=Dict!$F$2,0,
$O54*'Шаг 1. Основные исходные данные'!$E$11*(12/'Шаг 1. Основные исходные данные'!$E$10/8)*I54*$M54*$E$15*AA$19)</f>
        <v>0</v>
      </c>
      <c r="AB54" s="283">
        <f>IF($E54=Dict!$F$2,0,
$O54*'Шаг 1. Основные исходные данные'!$E$11*(12/'Шаг 1. Основные исходные данные'!$E$10/8)*J54*$M54*$E$15*AB$19)</f>
        <v>0</v>
      </c>
      <c r="AC54" s="283">
        <f>IF($E54=Dict!$F$2,0,
$O54*'Шаг 1. Основные исходные данные'!$E$11*(12/'Шаг 1. Основные исходные данные'!$E$10/8)*K54*$M54*$E$15*AC$19)</f>
        <v>0</v>
      </c>
    </row>
    <row r="55" spans="1:29" s="91" customFormat="1" ht="19.899999999999999" customHeight="1" x14ac:dyDescent="0.25">
      <c r="A55" s="90"/>
      <c r="B55" s="92"/>
      <c r="C55" s="94" t="s">
        <v>95</v>
      </c>
      <c r="D55" s="99"/>
      <c r="E55" s="99"/>
      <c r="F55" s="99"/>
      <c r="G55" s="99"/>
      <c r="H55" s="99"/>
      <c r="I55" s="99"/>
      <c r="J55" s="99"/>
      <c r="K55" s="99"/>
      <c r="L55" s="99"/>
      <c r="M55" s="99"/>
      <c r="N55" s="99"/>
      <c r="O55" s="99"/>
      <c r="P55" s="95">
        <f>SUM(P50:P54)</f>
        <v>0</v>
      </c>
      <c r="Q55" s="43"/>
      <c r="R55" s="43"/>
      <c r="S55" s="319"/>
      <c r="T55" s="319"/>
      <c r="U55" s="93"/>
      <c r="V55" s="319"/>
      <c r="X55" s="278">
        <f t="shared" ref="X55:AC55" si="5">SUM(X50:X54)</f>
        <v>0</v>
      </c>
      <c r="Y55" s="278">
        <f t="shared" si="5"/>
        <v>0</v>
      </c>
      <c r="Z55" s="278">
        <f t="shared" si="5"/>
        <v>0</v>
      </c>
      <c r="AA55" s="278">
        <f t="shared" si="5"/>
        <v>0</v>
      </c>
      <c r="AB55" s="278">
        <f t="shared" si="5"/>
        <v>0</v>
      </c>
      <c r="AC55" s="278">
        <f t="shared" si="5"/>
        <v>0</v>
      </c>
    </row>
    <row r="56" spans="1:29" s="37" customFormat="1" ht="15.75" x14ac:dyDescent="0.25">
      <c r="A56" s="43"/>
      <c r="B56" s="48"/>
      <c r="C56" s="43"/>
      <c r="D56" s="43"/>
      <c r="E56" s="43"/>
      <c r="F56" s="43"/>
      <c r="G56" s="43"/>
      <c r="H56" s="43"/>
      <c r="I56" s="43"/>
      <c r="J56" s="43"/>
      <c r="K56" s="43"/>
      <c r="L56" s="43"/>
      <c r="M56" s="43"/>
      <c r="N56" s="43"/>
      <c r="O56" s="43"/>
      <c r="P56" s="43"/>
      <c r="Q56" s="43"/>
      <c r="R56" s="43"/>
      <c r="S56" s="317"/>
      <c r="T56" s="317"/>
      <c r="U56" s="49"/>
      <c r="V56" s="317"/>
      <c r="X56" s="271"/>
      <c r="Y56" s="271"/>
      <c r="Z56" s="271"/>
      <c r="AA56" s="271"/>
      <c r="AB56" s="271"/>
      <c r="AC56" s="271"/>
    </row>
    <row r="57" spans="1:29" s="37" customFormat="1" ht="15.75" x14ac:dyDescent="0.25">
      <c r="A57" s="43"/>
      <c r="B57" s="48"/>
      <c r="C57" s="39" t="s">
        <v>80</v>
      </c>
      <c r="D57" s="43"/>
      <c r="E57" s="43"/>
      <c r="F57" s="43"/>
      <c r="G57" s="43"/>
      <c r="H57" s="43"/>
      <c r="I57" s="43"/>
      <c r="J57" s="43"/>
      <c r="K57" s="43"/>
      <c r="L57" s="43"/>
      <c r="M57" s="43"/>
      <c r="N57" s="43"/>
      <c r="O57" s="43"/>
      <c r="P57" s="43"/>
      <c r="Q57" s="43"/>
      <c r="R57" s="43"/>
      <c r="S57" s="317"/>
      <c r="T57" s="317"/>
      <c r="U57" s="49"/>
      <c r="V57" s="317"/>
      <c r="X57" s="271"/>
      <c r="Y57" s="271"/>
      <c r="Z57" s="271"/>
      <c r="AA57" s="271"/>
      <c r="AB57" s="271"/>
      <c r="AC57" s="271"/>
    </row>
    <row r="58" spans="1:29" s="37" customFormat="1" ht="126" x14ac:dyDescent="0.25">
      <c r="A58" s="43"/>
      <c r="B58" s="48"/>
      <c r="C58" s="125" t="s">
        <v>62</v>
      </c>
      <c r="D58" s="125" t="s">
        <v>74</v>
      </c>
      <c r="E58" s="125" t="s">
        <v>1160</v>
      </c>
      <c r="F58" s="125" t="s">
        <v>1168</v>
      </c>
      <c r="G58" s="125" t="s">
        <v>1167</v>
      </c>
      <c r="H58" s="336" t="s">
        <v>1232</v>
      </c>
      <c r="I58" s="336"/>
      <c r="J58" s="336"/>
      <c r="K58" s="336"/>
      <c r="L58" s="336"/>
      <c r="M58" s="336"/>
      <c r="N58" s="125" t="s">
        <v>1301</v>
      </c>
      <c r="O58" s="125" t="s">
        <v>1169</v>
      </c>
      <c r="P58" s="316" t="s">
        <v>1307</v>
      </c>
      <c r="Q58" s="125" t="s">
        <v>1269</v>
      </c>
      <c r="R58" s="316" t="s">
        <v>1308</v>
      </c>
      <c r="S58" s="125" t="s">
        <v>1166</v>
      </c>
      <c r="T58" s="125" t="s">
        <v>1170</v>
      </c>
      <c r="U58" s="49"/>
      <c r="V58" s="317"/>
      <c r="X58" s="271">
        <v>1</v>
      </c>
      <c r="Y58" s="271">
        <v>2</v>
      </c>
      <c r="Z58" s="271">
        <v>3</v>
      </c>
      <c r="AA58" s="271">
        <v>4</v>
      </c>
      <c r="AB58" s="271">
        <v>5</v>
      </c>
      <c r="AC58" s="271">
        <v>6</v>
      </c>
    </row>
    <row r="59" spans="1:29" s="37" customFormat="1" ht="15.75" x14ac:dyDescent="0.25">
      <c r="A59" s="43"/>
      <c r="B59" s="48"/>
      <c r="C59" s="125"/>
      <c r="D59" s="125"/>
      <c r="E59" s="125"/>
      <c r="F59" s="125"/>
      <c r="G59" s="125"/>
      <c r="H59" s="125" t="str">
        <f>IF(1&lt;='Шаг 1. Основные исходные данные'!$E$5,"1 год","-")</f>
        <v>1 год</v>
      </c>
      <c r="I59" s="125" t="str">
        <f>IF(2&lt;='Шаг 1. Основные исходные данные'!$E$5,"2 год","-")</f>
        <v>2 год</v>
      </c>
      <c r="J59" s="125" t="str">
        <f>IF(3&lt;='Шаг 1. Основные исходные данные'!$E$5,"3 год","-")</f>
        <v>3 год</v>
      </c>
      <c r="K59" s="125" t="str">
        <f>IF(4&lt;='Шаг 1. Основные исходные данные'!$E$5,"4 год","-")</f>
        <v>4 год</v>
      </c>
      <c r="L59" s="125" t="str">
        <f>IF(5&lt;='Шаг 1. Основные исходные данные'!$E$5,"5 год","-")</f>
        <v>5 год</v>
      </c>
      <c r="M59" s="125" t="str">
        <f>IF(6&lt;='Шаг 1. Основные исходные данные'!$E$5,"6 год","-")</f>
        <v>6 год</v>
      </c>
      <c r="N59" s="125"/>
      <c r="O59" s="125"/>
      <c r="P59" s="316"/>
      <c r="Q59" s="125"/>
      <c r="R59" s="316"/>
      <c r="S59" s="125"/>
      <c r="T59" s="125"/>
      <c r="U59" s="49"/>
      <c r="V59" s="317"/>
      <c r="X59" s="279" t="s">
        <v>1221</v>
      </c>
      <c r="Y59" s="279" t="s">
        <v>1223</v>
      </c>
      <c r="Z59" s="279" t="s">
        <v>1224</v>
      </c>
      <c r="AA59" s="279" t="s">
        <v>1225</v>
      </c>
      <c r="AB59" s="279" t="s">
        <v>1226</v>
      </c>
      <c r="AC59" s="279" t="s">
        <v>1227</v>
      </c>
    </row>
    <row r="60" spans="1:29" s="37" customFormat="1" ht="15.75" x14ac:dyDescent="0.25">
      <c r="A60" s="43"/>
      <c r="B60" s="48"/>
      <c r="C60" s="89" t="str">
        <f>IF(LEN(D60)&gt;0,1,"")</f>
        <v/>
      </c>
      <c r="D60" s="31"/>
      <c r="E60" s="31"/>
      <c r="F60" s="96"/>
      <c r="G60" s="96"/>
      <c r="H60" s="96"/>
      <c r="I60" s="96"/>
      <c r="J60" s="96"/>
      <c r="K60" s="96"/>
      <c r="L60" s="96"/>
      <c r="M60" s="96"/>
      <c r="N60" s="96"/>
      <c r="O60" s="98"/>
      <c r="P60" s="96"/>
      <c r="Q60" s="96"/>
      <c r="R60" s="96"/>
      <c r="S60" s="257">
        <f>IF($E60=Dict!$I$2,IF($G60&gt;='Шаг 1. Основные исходные данные'!$E$5,1,ROUNDUP('Шаг 1. Основные исходные данные'!$E$5/$G60,0)),IF($F60=Dict!$J$2,1,SUM($H60:$M60)))</f>
        <v>0</v>
      </c>
      <c r="T60" s="97">
        <f>SUM(X60:AC60)</f>
        <v>0</v>
      </c>
      <c r="U60" s="49"/>
      <c r="V60" s="317"/>
      <c r="X60" s="282">
        <f>IF($E60=Dict!$I$2,1,IF($F60=Dict!$J$2,1,H60))*$O60*$Q60*X$18*$E$15</f>
        <v>0</v>
      </c>
      <c r="Y60" s="282">
        <f>IF($E60=Dict!$I$2,
IF($G60&gt;='Шаг 1. Основные исходные данные'!$E$5,0,
IF(MOD(Y$34-1,$G60)=0,1,0)),IF($F60=Dict!$J$2,0,I60))*$O60*$Q60*Y$18*$E$15</f>
        <v>0</v>
      </c>
      <c r="Z60" s="277">
        <f>IF($E60=Dict!$I$2,
IF($G60&gt;='Шаг 1. Основные исходные данные'!$E$5,0,
IF(MOD(Z$34-1,$G60)=0,1,0)),IF($F60=Dict!$J$2,0,J60))*$O60*$Q60*Z$18*$E$15</f>
        <v>0</v>
      </c>
      <c r="AA60" s="277">
        <f>IF($E60=Dict!$I$2,
IF($G60&gt;='Шаг 1. Основные исходные данные'!$E$5,0,
IF(MOD(AA$34-1,$G60)=0,1,0)),IF($F60=Dict!$J$2,0,K60))*$O60*$Q60*AA$18*$E$15</f>
        <v>0</v>
      </c>
      <c r="AB60" s="277">
        <f>IF($E60=Dict!$I$2,
IF($G60&gt;='Шаг 1. Основные исходные данные'!$E$5,0,
IF(MOD(AB$34-1,$G60)=0,1,0)),IF($F60=Dict!$J$2,0,L60))*$O60*$Q60*AB$18*$E$15</f>
        <v>0</v>
      </c>
      <c r="AC60" s="277">
        <f>IF($E60=Dict!$I$2,
IF($G60&gt;='Шаг 1. Основные исходные данные'!$E$5,0,
IF(MOD(AC$34-1,$G60)=0,1,0)),IF($F60=Dict!$J$2,0,M60))*$O60*$Q60*AC$18*$E$15</f>
        <v>0</v>
      </c>
    </row>
    <row r="61" spans="1:29" s="37" customFormat="1" ht="15.75" x14ac:dyDescent="0.25">
      <c r="A61" s="43"/>
      <c r="B61" s="48"/>
      <c r="C61" s="89" t="str">
        <f>IF(LEN(D61)&gt;0,C60+1,"")</f>
        <v/>
      </c>
      <c r="D61" s="31"/>
      <c r="E61" s="31"/>
      <c r="F61" s="96"/>
      <c r="G61" s="96"/>
      <c r="H61" s="96"/>
      <c r="I61" s="96"/>
      <c r="J61" s="96"/>
      <c r="K61" s="96"/>
      <c r="L61" s="96"/>
      <c r="M61" s="96"/>
      <c r="N61" s="96"/>
      <c r="O61" s="98"/>
      <c r="P61" s="96"/>
      <c r="Q61" s="96"/>
      <c r="R61" s="96"/>
      <c r="S61" s="257">
        <f>IF($E61=Dict!$I$2,IF($G61&gt;='Шаг 1. Основные исходные данные'!$E$5,1,ROUNDUP('Шаг 1. Основные исходные данные'!$E$5/$G61,0)),IF($F61=Dict!$J$2,1,SUM($H61:$M61)))</f>
        <v>0</v>
      </c>
      <c r="T61" s="97">
        <f>SUM(X61:AC61)</f>
        <v>0</v>
      </c>
      <c r="U61" s="49"/>
      <c r="V61" s="317"/>
      <c r="X61" s="283">
        <f>IF($E61=Dict!$I$2,1,IF($F61=Dict!$J$2,1,H61))*$O61*$Q61*X$18*$E$15</f>
        <v>0</v>
      </c>
      <c r="Y61" s="283">
        <f>IF($E61=Dict!$I$2,
IF($G61&gt;='Шаг 1. Основные исходные данные'!$E$5,0,
IF(MOD(Y$34-1,$G61)=0,1,0)),IF($F61=Dict!$J$2,0,I61))*$O61*$Q61*Y$18*$E$15</f>
        <v>0</v>
      </c>
      <c r="Z61" s="277">
        <f>IF($E61=Dict!$I$2,
IF($G61&gt;='Шаг 1. Основные исходные данные'!$E$5,0,
IF(MOD(Z$34-1,$G61)=0,1,0)),IF($F61=Dict!$J$2,0,J61))*$O61*$Q61*Z$18*$E$15</f>
        <v>0</v>
      </c>
      <c r="AA61" s="277">
        <f>IF($E61=Dict!$I$2,
IF($G61&gt;='Шаг 1. Основные исходные данные'!$E$5,0,
IF(MOD(AA$34-1,$G61)=0,1,0)),IF($F61=Dict!$J$2,0,K61))*$O61*$Q61*AA$18*$E$15</f>
        <v>0</v>
      </c>
      <c r="AB61" s="277">
        <f>IF($E61=Dict!$I$2,
IF($G61&gt;='Шаг 1. Основные исходные данные'!$E$5,0,
IF(MOD(AB$34-1,$G61)=0,1,0)),IF($F61=Dict!$J$2,0,L61))*$O61*$Q61*AB$18*$E$15</f>
        <v>0</v>
      </c>
      <c r="AC61" s="277">
        <f>IF($E61=Dict!$I$2,
IF($G61&gt;='Шаг 1. Основные исходные данные'!$E$5,0,
IF(MOD(AC$34-1,$G61)=0,1,0)),IF($F61=Dict!$J$2,0,M61))*$O61*$Q61*AC$18*$E$15</f>
        <v>0</v>
      </c>
    </row>
    <row r="62" spans="1:29" s="37" customFormat="1" ht="15.75" x14ac:dyDescent="0.25">
      <c r="A62" s="43"/>
      <c r="B62" s="48"/>
      <c r="C62" s="89" t="str">
        <f>IF(LEN(D62)&gt;0,C61+1,"")</f>
        <v/>
      </c>
      <c r="D62" s="31"/>
      <c r="E62" s="31"/>
      <c r="F62" s="96"/>
      <c r="G62" s="96"/>
      <c r="H62" s="96"/>
      <c r="I62" s="96"/>
      <c r="J62" s="96"/>
      <c r="K62" s="96"/>
      <c r="L62" s="96"/>
      <c r="M62" s="96"/>
      <c r="N62" s="96"/>
      <c r="O62" s="98"/>
      <c r="P62" s="96"/>
      <c r="Q62" s="96"/>
      <c r="R62" s="96"/>
      <c r="S62" s="257">
        <f>IF($E62=Dict!$I$2,IF($G62&gt;='Шаг 1. Основные исходные данные'!$E$5,1,ROUNDUP('Шаг 1. Основные исходные данные'!$E$5/$G62,0)),IF($F62=Dict!$J$2,1,SUM($H62:$M62)))</f>
        <v>0</v>
      </c>
      <c r="T62" s="97">
        <f>SUM(X62:AC62)</f>
        <v>0</v>
      </c>
      <c r="U62" s="49"/>
      <c r="V62" s="317"/>
      <c r="X62" s="283">
        <f>IF($E62=Dict!$I$2,1,IF($F62=Dict!$J$2,1,H62))*$O62*$Q62*X$18*$E$15</f>
        <v>0</v>
      </c>
      <c r="Y62" s="283">
        <f>IF($E62=Dict!$I$2,
IF($G62&gt;='Шаг 1. Основные исходные данные'!$E$5,0,
IF(MOD(Y$34-1,$G62)=0,1,0)),IF($F62=Dict!$J$2,0,I62))*$O62*$Q62*Y$18*$E$15</f>
        <v>0</v>
      </c>
      <c r="Z62" s="277">
        <f>IF($E62=Dict!$I$2,
IF($G62&gt;='Шаг 1. Основные исходные данные'!$E$5,0,
IF(MOD(Z$34-1,$G62)=0,1,0)),IF($F62=Dict!$J$2,0,J62))*$O62*$Q62*Z$18*$E$15</f>
        <v>0</v>
      </c>
      <c r="AA62" s="277">
        <f>IF($E62=Dict!$I$2,
IF($G62&gt;='Шаг 1. Основные исходные данные'!$E$5,0,
IF(MOD(AA$34-1,$G62)=0,1,0)),IF($F62=Dict!$J$2,0,K62))*$O62*$Q62*AA$18*$E$15</f>
        <v>0</v>
      </c>
      <c r="AB62" s="277">
        <f>IF($E62=Dict!$I$2,
IF($G62&gt;='Шаг 1. Основные исходные данные'!$E$5,0,
IF(MOD(AB$34-1,$G62)=0,1,0)),IF($F62=Dict!$J$2,0,L62))*$O62*$Q62*AB$18*$E$15</f>
        <v>0</v>
      </c>
      <c r="AC62" s="277">
        <f>IF($E62=Dict!$I$2,
IF($G62&gt;='Шаг 1. Основные исходные данные'!$E$5,0,
IF(MOD(AC$34-1,$G62)=0,1,0)),IF($F62=Dict!$J$2,0,M62))*$O62*$Q62*AC$18*$E$15</f>
        <v>0</v>
      </c>
    </row>
    <row r="63" spans="1:29" s="37" customFormat="1" ht="15.75" x14ac:dyDescent="0.25">
      <c r="A63" s="43"/>
      <c r="B63" s="48"/>
      <c r="C63" s="89" t="str">
        <f>IF(LEN(D63)&gt;0,C62+1,"")</f>
        <v/>
      </c>
      <c r="D63" s="31"/>
      <c r="E63" s="31"/>
      <c r="F63" s="96"/>
      <c r="G63" s="96"/>
      <c r="H63" s="96"/>
      <c r="I63" s="96"/>
      <c r="J63" s="96"/>
      <c r="K63" s="96"/>
      <c r="L63" s="96"/>
      <c r="M63" s="96"/>
      <c r="N63" s="96"/>
      <c r="O63" s="98"/>
      <c r="P63" s="96"/>
      <c r="Q63" s="96"/>
      <c r="R63" s="96"/>
      <c r="S63" s="257">
        <f>IF($E63=Dict!$I$2,IF($G63&gt;='Шаг 1. Основные исходные данные'!$E$5,1,ROUNDUP('Шаг 1. Основные исходные данные'!$E$5/$G63,0)),IF($F63=Dict!$J$2,1,SUM($H63:$M63)))</f>
        <v>0</v>
      </c>
      <c r="T63" s="97">
        <f>SUM(X63:AC63)</f>
        <v>0</v>
      </c>
      <c r="U63" s="49"/>
      <c r="V63" s="317"/>
      <c r="X63" s="283">
        <f>IF($E63=Dict!$I$2,1,IF($F63=Dict!$J$2,1,H63))*$O63*$Q63*X$18*$E$15</f>
        <v>0</v>
      </c>
      <c r="Y63" s="283">
        <f>IF($E63=Dict!$I$2,
IF($G63&gt;='Шаг 1. Основные исходные данные'!$E$5,0,
IF(MOD(Y$34-1,$G63)=0,1,0)),IF($F63=Dict!$J$2,0,I63))*$O63*$Q63*Y$18*$E$15</f>
        <v>0</v>
      </c>
      <c r="Z63" s="277">
        <f>IF($E63=Dict!$I$2,
IF($G63&gt;='Шаг 1. Основные исходные данные'!$E$5,0,
IF(MOD(Z$34-1,$G63)=0,1,0)),IF($F63=Dict!$J$2,0,J63))*$O63*$Q63*Z$18*$E$15</f>
        <v>0</v>
      </c>
      <c r="AA63" s="277">
        <f>IF($E63=Dict!$I$2,
IF($G63&gt;='Шаг 1. Основные исходные данные'!$E$5,0,
IF(MOD(AA$34-1,$G63)=0,1,0)),IF($F63=Dict!$J$2,0,K63))*$O63*$Q63*AA$18*$E$15</f>
        <v>0</v>
      </c>
      <c r="AB63" s="277">
        <f>IF($E63=Dict!$I$2,
IF($G63&gt;='Шаг 1. Основные исходные данные'!$E$5,0,
IF(MOD(AB$34-1,$G63)=0,1,0)),IF($F63=Dict!$J$2,0,L63))*$O63*$Q63*AB$18*$E$15</f>
        <v>0</v>
      </c>
      <c r="AC63" s="277">
        <f>IF($E63=Dict!$I$2,
IF($G63&gt;='Шаг 1. Основные исходные данные'!$E$5,0,
IF(MOD(AC$34-1,$G63)=0,1,0)),IF($F63=Dict!$J$2,0,M63))*$O63*$Q63*AC$18*$E$15</f>
        <v>0</v>
      </c>
    </row>
    <row r="64" spans="1:29" s="37" customFormat="1" ht="15.75" x14ac:dyDescent="0.25">
      <c r="A64" s="43"/>
      <c r="B64" s="48"/>
      <c r="C64" s="89" t="str">
        <f>IF(LEN(D64)&gt;0,C63+1,"")</f>
        <v/>
      </c>
      <c r="D64" s="31"/>
      <c r="E64" s="31"/>
      <c r="F64" s="96"/>
      <c r="G64" s="96"/>
      <c r="H64" s="96"/>
      <c r="I64" s="96"/>
      <c r="J64" s="96"/>
      <c r="K64" s="96"/>
      <c r="L64" s="96"/>
      <c r="M64" s="96"/>
      <c r="N64" s="96"/>
      <c r="O64" s="98"/>
      <c r="P64" s="96"/>
      <c r="Q64" s="96"/>
      <c r="R64" s="96"/>
      <c r="S64" s="257">
        <f>IF($E64=Dict!$I$2,IF($G64&gt;='Шаг 1. Основные исходные данные'!$E$5,1,ROUNDUP('Шаг 1. Основные исходные данные'!$E$5/$G64,0)),IF($F64=Dict!$J$2,1,SUM($H64:$M64)))</f>
        <v>0</v>
      </c>
      <c r="T64" s="97">
        <f>SUM(X64:AC64)</f>
        <v>0</v>
      </c>
      <c r="U64" s="49"/>
      <c r="V64" s="317"/>
      <c r="X64" s="283">
        <f>IF($E64=Dict!$I$2,1,IF($F64=Dict!$J$2,1,H64))*$O64*$Q64*X$18*$E$15</f>
        <v>0</v>
      </c>
      <c r="Y64" s="283">
        <f>IF($E64=Dict!$I$2,
IF($G64&gt;='Шаг 1. Основные исходные данные'!$E$5,0,
IF(MOD(Y$34-1,$G64)=0,1,0)),IF($F64=Dict!$J$2,0,I64))*$O64*$Q64*Y$18*$E$15</f>
        <v>0</v>
      </c>
      <c r="Z64" s="277">
        <f>IF($E64=Dict!$I$2,
IF($G64&gt;='Шаг 1. Основные исходные данные'!$E$5,0,
IF(MOD(Z$34-1,$G64)=0,1,0)),IF($F64=Dict!$J$2,0,J64))*$O64*$Q64*Z$18*$E$15</f>
        <v>0</v>
      </c>
      <c r="AA64" s="277">
        <f>IF($E64=Dict!$I$2,
IF($G64&gt;='Шаг 1. Основные исходные данные'!$E$5,0,
IF(MOD(AA$34-1,$G64)=0,1,0)),IF($F64=Dict!$J$2,0,K64))*$O64*$Q64*AA$18*$E$15</f>
        <v>0</v>
      </c>
      <c r="AB64" s="277">
        <f>IF($E64=Dict!$I$2,
IF($G64&gt;='Шаг 1. Основные исходные данные'!$E$5,0,
IF(MOD(AB$34-1,$G64)=0,1,0)),IF($F64=Dict!$J$2,0,L64))*$O64*$Q64*AB$18*$E$15</f>
        <v>0</v>
      </c>
      <c r="AC64" s="277">
        <f>IF($E64=Dict!$I$2,
IF($G64&gt;='Шаг 1. Основные исходные данные'!$E$5,0,
IF(MOD(AC$34-1,$G64)=0,1,0)),IF($F64=Dict!$J$2,0,M64))*$O64*$Q64*AC$18*$E$15</f>
        <v>0</v>
      </c>
    </row>
    <row r="65" spans="1:29" s="91" customFormat="1" ht="19.899999999999999" customHeight="1" x14ac:dyDescent="0.25">
      <c r="A65" s="90"/>
      <c r="B65" s="92"/>
      <c r="C65" s="94" t="s">
        <v>95</v>
      </c>
      <c r="D65" s="94"/>
      <c r="E65" s="94"/>
      <c r="F65" s="94"/>
      <c r="G65" s="94"/>
      <c r="H65" s="94"/>
      <c r="I65" s="94"/>
      <c r="J65" s="94"/>
      <c r="K65" s="94"/>
      <c r="L65" s="94"/>
      <c r="M65" s="94"/>
      <c r="N65" s="94"/>
      <c r="O65" s="94"/>
      <c r="P65" s="94"/>
      <c r="Q65" s="94"/>
      <c r="R65" s="94"/>
      <c r="S65" s="94"/>
      <c r="T65" s="95">
        <f>SUM(T60:T64)</f>
        <v>0</v>
      </c>
      <c r="U65" s="93"/>
      <c r="V65" s="319"/>
      <c r="W65" s="37"/>
      <c r="X65" s="278">
        <f t="shared" ref="X65:AC65" si="6">SUM(X60:X64)</f>
        <v>0</v>
      </c>
      <c r="Y65" s="278">
        <f t="shared" si="6"/>
        <v>0</v>
      </c>
      <c r="Z65" s="278">
        <f t="shared" si="6"/>
        <v>0</v>
      </c>
      <c r="AA65" s="278">
        <f t="shared" si="6"/>
        <v>0</v>
      </c>
      <c r="AB65" s="278">
        <f t="shared" si="6"/>
        <v>0</v>
      </c>
      <c r="AC65" s="278">
        <f t="shared" si="6"/>
        <v>0</v>
      </c>
    </row>
    <row r="66" spans="1:29" s="37" customFormat="1" ht="15.75" x14ac:dyDescent="0.25">
      <c r="A66" s="43"/>
      <c r="B66" s="53"/>
      <c r="C66" s="56"/>
      <c r="D66" s="56"/>
      <c r="E66" s="56"/>
      <c r="F66" s="56"/>
      <c r="G66" s="56"/>
      <c r="H66" s="56"/>
      <c r="I66" s="56"/>
      <c r="J66" s="56"/>
      <c r="K66" s="56"/>
      <c r="L66" s="56"/>
      <c r="M66" s="56"/>
      <c r="N66" s="56"/>
      <c r="O66" s="56"/>
      <c r="P66" s="56"/>
      <c r="Q66" s="56"/>
      <c r="R66" s="56"/>
      <c r="S66" s="56"/>
      <c r="T66" s="56"/>
      <c r="U66" s="54"/>
      <c r="V66" s="317"/>
      <c r="X66" s="271"/>
      <c r="Y66" s="271"/>
      <c r="Z66" s="271"/>
      <c r="AA66" s="271"/>
      <c r="AB66" s="271"/>
      <c r="AC66" s="271"/>
    </row>
    <row r="67" spans="1:29" s="37" customFormat="1" ht="15.75" x14ac:dyDescent="0.25">
      <c r="A67" s="43"/>
      <c r="B67" s="43"/>
      <c r="C67" s="43"/>
      <c r="D67" s="43"/>
      <c r="E67" s="43"/>
      <c r="F67" s="43"/>
      <c r="G67" s="43"/>
      <c r="H67" s="43"/>
      <c r="I67" s="43"/>
      <c r="J67" s="43"/>
      <c r="K67" s="43"/>
      <c r="L67" s="43"/>
      <c r="M67" s="43"/>
      <c r="N67" s="43"/>
      <c r="O67" s="43"/>
      <c r="P67" s="43"/>
      <c r="Q67" s="43"/>
      <c r="R67" s="43"/>
      <c r="S67" s="43"/>
      <c r="T67" s="317"/>
      <c r="U67" s="317"/>
      <c r="V67" s="317"/>
      <c r="X67" s="271"/>
      <c r="Y67" s="271"/>
      <c r="Z67" s="271"/>
      <c r="AA67" s="271"/>
      <c r="AB67" s="271"/>
      <c r="AC67" s="271"/>
    </row>
    <row r="68" spans="1:29" s="37" customFormat="1" ht="15.75" x14ac:dyDescent="0.25">
      <c r="A68" s="43"/>
      <c r="B68" s="45"/>
      <c r="C68" s="46"/>
      <c r="D68" s="46"/>
      <c r="E68" s="46"/>
      <c r="F68" s="46"/>
      <c r="G68" s="46"/>
      <c r="H68" s="46"/>
      <c r="I68" s="46"/>
      <c r="J68" s="46"/>
      <c r="K68" s="46"/>
      <c r="L68" s="46"/>
      <c r="M68" s="46"/>
      <c r="N68" s="46"/>
      <c r="O68" s="46"/>
      <c r="P68" s="46"/>
      <c r="Q68" s="46"/>
      <c r="R68" s="46"/>
      <c r="S68" s="46"/>
      <c r="T68" s="46"/>
      <c r="U68" s="47"/>
      <c r="V68" s="317"/>
      <c r="X68" s="272"/>
      <c r="Y68" s="272"/>
      <c r="Z68" s="272"/>
      <c r="AA68" s="272"/>
      <c r="AB68" s="272"/>
      <c r="AC68" s="272"/>
    </row>
    <row r="69" spans="1:29" s="37" customFormat="1" ht="15.75" x14ac:dyDescent="0.25">
      <c r="A69" s="43"/>
      <c r="B69" s="48"/>
      <c r="C69" s="36" t="str">
        <f>CONCATENATE("2.2.",$C$16,". Информационные издержки группы объектов ",$C$16," - """,$D$16,"""")</f>
        <v>2.2.. Информационные издержки группы объектов  - ""</v>
      </c>
      <c r="D69" s="43"/>
      <c r="E69" s="43"/>
      <c r="F69" s="43"/>
      <c r="G69" s="43"/>
      <c r="H69" s="43"/>
      <c r="I69" s="43"/>
      <c r="J69" s="43"/>
      <c r="K69" s="43"/>
      <c r="L69" s="43"/>
      <c r="M69" s="43"/>
      <c r="N69" s="43"/>
      <c r="O69" s="43"/>
      <c r="P69" s="43"/>
      <c r="Q69" s="43"/>
      <c r="R69" s="43"/>
      <c r="S69" s="317"/>
      <c r="T69" s="317"/>
      <c r="U69" s="49"/>
      <c r="V69" s="317"/>
      <c r="X69" s="272"/>
      <c r="Y69" s="272"/>
      <c r="Z69" s="272"/>
      <c r="AA69" s="272"/>
      <c r="AB69" s="272"/>
      <c r="AC69" s="272"/>
    </row>
    <row r="70" spans="1:29" s="37" customFormat="1" ht="15.75" x14ac:dyDescent="0.25">
      <c r="A70" s="43"/>
      <c r="B70" s="48"/>
      <c r="C70" s="43"/>
      <c r="D70" s="43"/>
      <c r="E70" s="43"/>
      <c r="F70" s="43"/>
      <c r="G70" s="43"/>
      <c r="H70" s="43"/>
      <c r="I70" s="43"/>
      <c r="J70" s="43"/>
      <c r="K70" s="43"/>
      <c r="L70" s="43"/>
      <c r="M70" s="43"/>
      <c r="N70" s="43"/>
      <c r="O70" s="43"/>
      <c r="P70" s="43"/>
      <c r="Q70" s="43"/>
      <c r="R70" s="43"/>
      <c r="S70" s="317"/>
      <c r="T70" s="317"/>
      <c r="U70" s="49"/>
      <c r="V70" s="317"/>
      <c r="X70" s="272"/>
      <c r="Y70" s="272"/>
      <c r="Z70" s="272"/>
      <c r="AA70" s="272"/>
      <c r="AB70" s="272"/>
      <c r="AC70" s="272"/>
    </row>
    <row r="71" spans="1:29" s="37" customFormat="1" ht="15.75" x14ac:dyDescent="0.25">
      <c r="A71" s="43"/>
      <c r="B71" s="48"/>
      <c r="C71" s="39" t="s">
        <v>63</v>
      </c>
      <c r="D71" s="43"/>
      <c r="E71" s="43"/>
      <c r="F71" s="43"/>
      <c r="G71" s="43"/>
      <c r="H71" s="43"/>
      <c r="I71" s="43"/>
      <c r="J71" s="43"/>
      <c r="K71" s="43"/>
      <c r="L71" s="43"/>
      <c r="M71" s="43"/>
      <c r="N71" s="43"/>
      <c r="O71" s="43"/>
      <c r="P71" s="43"/>
      <c r="Q71" s="43"/>
      <c r="R71" s="43"/>
      <c r="S71" s="317"/>
      <c r="T71" s="317"/>
      <c r="U71" s="49"/>
      <c r="V71" s="317"/>
      <c r="X71" s="272"/>
      <c r="Y71" s="272"/>
      <c r="Z71" s="272"/>
      <c r="AA71" s="272"/>
      <c r="AB71" s="272"/>
      <c r="AC71" s="272"/>
    </row>
    <row r="72" spans="1:29" s="52" customFormat="1" ht="129.75" customHeight="1" x14ac:dyDescent="0.25">
      <c r="A72" s="23"/>
      <c r="B72" s="50"/>
      <c r="C72" s="336" t="s">
        <v>62</v>
      </c>
      <c r="D72" s="336" t="s">
        <v>64</v>
      </c>
      <c r="E72" s="336" t="s">
        <v>75</v>
      </c>
      <c r="F72" s="336" t="s">
        <v>1231</v>
      </c>
      <c r="G72" s="336"/>
      <c r="H72" s="336"/>
      <c r="I72" s="336"/>
      <c r="J72" s="336"/>
      <c r="K72" s="336"/>
      <c r="L72" s="336" t="s">
        <v>1300</v>
      </c>
      <c r="M72" s="336" t="s">
        <v>1222</v>
      </c>
      <c r="N72" s="125" t="s">
        <v>1309</v>
      </c>
      <c r="O72" s="125" t="s">
        <v>79</v>
      </c>
      <c r="P72" s="125" t="s">
        <v>1159</v>
      </c>
      <c r="Q72" s="43"/>
      <c r="R72" s="43"/>
      <c r="S72" s="318"/>
      <c r="T72" s="318"/>
      <c r="U72" s="51"/>
      <c r="V72" s="318"/>
      <c r="X72" s="272"/>
      <c r="Y72" s="272"/>
      <c r="Z72" s="272"/>
      <c r="AA72" s="272"/>
      <c r="AB72" s="272"/>
      <c r="AC72" s="272"/>
    </row>
    <row r="73" spans="1:29" s="52" customFormat="1" ht="15.75" x14ac:dyDescent="0.25">
      <c r="A73" s="23"/>
      <c r="B73" s="50"/>
      <c r="C73" s="336"/>
      <c r="D73" s="349"/>
      <c r="E73" s="349"/>
      <c r="F73" s="125" t="str">
        <f>IF(1&lt;='Шаг 1. Основные исходные данные'!$E$5,"1 год","-")</f>
        <v>1 год</v>
      </c>
      <c r="G73" s="125" t="str">
        <f>IF(2&lt;='Шаг 1. Основные исходные данные'!$E$5,"2 год","-")</f>
        <v>2 год</v>
      </c>
      <c r="H73" s="125" t="str">
        <f>IF(3&lt;='Шаг 1. Основные исходные данные'!$E$5,"3 год","-")</f>
        <v>3 год</v>
      </c>
      <c r="I73" s="125" t="str">
        <f>IF(4&lt;='Шаг 1. Основные исходные данные'!$E$5,"4 год","-")</f>
        <v>4 год</v>
      </c>
      <c r="J73" s="125" t="str">
        <f>IF(5&lt;='Шаг 1. Основные исходные данные'!$E$5,"5 год","-")</f>
        <v>5 год</v>
      </c>
      <c r="K73" s="125" t="str">
        <f>IF(6&lt;='Шаг 1. Основные исходные данные'!$E$5,"6 год","-")</f>
        <v>6 год</v>
      </c>
      <c r="L73" s="349"/>
      <c r="M73" s="349"/>
      <c r="N73" s="125"/>
      <c r="O73" s="125"/>
      <c r="P73" s="125"/>
      <c r="Q73" s="43"/>
      <c r="R73" s="43"/>
      <c r="S73" s="318"/>
      <c r="T73" s="318"/>
      <c r="U73" s="51"/>
      <c r="V73" s="318"/>
      <c r="X73" s="279" t="s">
        <v>1221</v>
      </c>
      <c r="Y73" s="279" t="s">
        <v>1223</v>
      </c>
      <c r="Z73" s="279" t="s">
        <v>1224</v>
      </c>
      <c r="AA73" s="279" t="s">
        <v>1225</v>
      </c>
      <c r="AB73" s="279" t="s">
        <v>1226</v>
      </c>
      <c r="AC73" s="279" t="s">
        <v>1227</v>
      </c>
    </row>
    <row r="74" spans="1:29" s="37" customFormat="1" ht="15.75" x14ac:dyDescent="0.25">
      <c r="A74" s="43"/>
      <c r="B74" s="48"/>
      <c r="C74" s="89" t="str">
        <f>IF(LEN(D74)&gt;0,1,"")</f>
        <v/>
      </c>
      <c r="D74" s="31"/>
      <c r="E74" s="96"/>
      <c r="F74" s="96"/>
      <c r="G74" s="96"/>
      <c r="H74" s="96"/>
      <c r="I74" s="96"/>
      <c r="J74" s="96"/>
      <c r="K74" s="96"/>
      <c r="L74" s="96"/>
      <c r="M74" s="96"/>
      <c r="N74" s="96"/>
      <c r="O74" s="97">
        <f>'Шаг 1. Основные исходные данные'!$E$8</f>
        <v>0</v>
      </c>
      <c r="P74" s="97">
        <f>SUM(X74:AC74)</f>
        <v>0</v>
      </c>
      <c r="Q74" s="43"/>
      <c r="R74" s="43"/>
      <c r="S74" s="317"/>
      <c r="T74" s="317"/>
      <c r="U74" s="49"/>
      <c r="V74" s="317"/>
      <c r="W74" s="281"/>
      <c r="X74" s="283">
        <f>$O74*'Шаг 1. Основные исходные данные'!$E$11*(12/'Шаг 1. Основные исходные данные'!$E$10/8)*F74*$M74*$E$16*X$19</f>
        <v>0</v>
      </c>
      <c r="Y74" s="283">
        <f>IF($E74=Dict!$F$2,0,
$O74*'Шаг 1. Основные исходные данные'!$E$11*(12/'Шаг 1. Основные исходные данные'!$E$10/8)*G74*$M74*$E$16*Y$19)</f>
        <v>0</v>
      </c>
      <c r="Z74" s="283">
        <f>IF($E74=Dict!$F$2,0,
$O74*'Шаг 1. Основные исходные данные'!$E$11*(12/'Шаг 1. Основные исходные данные'!$E$10/8)*H74*$M74*$E$16*Z$19)</f>
        <v>0</v>
      </c>
      <c r="AA74" s="283">
        <f>IF($E74=Dict!$F$2,0,
$O74*'Шаг 1. Основные исходные данные'!$E$11*(12/'Шаг 1. Основные исходные данные'!$E$10/8)*I74*$M74*$E$16*AA$19)</f>
        <v>0</v>
      </c>
      <c r="AB74" s="283">
        <f>IF($E74=Dict!$F$2,0,
$O74*'Шаг 1. Основные исходные данные'!$E$11*(12/'Шаг 1. Основные исходные данные'!$E$10/8)*J74*$M74*$E$16*AB$19)</f>
        <v>0</v>
      </c>
      <c r="AC74" s="283">
        <f>IF($E74=Dict!$F$2,0,
$O74*'Шаг 1. Основные исходные данные'!$E$11*(12/'Шаг 1. Основные исходные данные'!$E$10/8)*K74*$M74*$E$16*AC$19)</f>
        <v>0</v>
      </c>
    </row>
    <row r="75" spans="1:29" s="37" customFormat="1" ht="15.75" x14ac:dyDescent="0.25">
      <c r="A75" s="43"/>
      <c r="B75" s="48"/>
      <c r="C75" s="89" t="str">
        <f>IF(LEN(D75)&gt;0,C74+1,"")</f>
        <v/>
      </c>
      <c r="D75" s="31"/>
      <c r="E75" s="96"/>
      <c r="F75" s="96"/>
      <c r="G75" s="96"/>
      <c r="H75" s="96"/>
      <c r="I75" s="96"/>
      <c r="J75" s="96"/>
      <c r="K75" s="96"/>
      <c r="L75" s="96"/>
      <c r="M75" s="96"/>
      <c r="N75" s="96"/>
      <c r="O75" s="97">
        <f>'Шаг 1. Основные исходные данные'!$E$8</f>
        <v>0</v>
      </c>
      <c r="P75" s="97">
        <f>SUM(X75:AC75)</f>
        <v>0</v>
      </c>
      <c r="Q75" s="43"/>
      <c r="R75" s="43"/>
      <c r="S75" s="317"/>
      <c r="T75" s="317"/>
      <c r="U75" s="49"/>
      <c r="V75" s="317"/>
      <c r="W75" s="281"/>
      <c r="X75" s="283">
        <f>$O75*'Шаг 1. Основные исходные данные'!$E$11*(12/'Шаг 1. Основные исходные данные'!$E$10/8)*F75*$M75*$E$16*X$19</f>
        <v>0</v>
      </c>
      <c r="Y75" s="283">
        <f>IF($E75=Dict!$F$2,0,
$O75*'Шаг 1. Основные исходные данные'!$E$11*(12/'Шаг 1. Основные исходные данные'!$E$10/8)*G75*$M75*$E$16*Y$19)</f>
        <v>0</v>
      </c>
      <c r="Z75" s="283">
        <f>IF($E75=Dict!$F$2,0,
$O75*'Шаг 1. Основные исходные данные'!$E$11*(12/'Шаг 1. Основные исходные данные'!$E$10/8)*H75*$M75*$E$16*Z$19)</f>
        <v>0</v>
      </c>
      <c r="AA75" s="283">
        <f>IF($E75=Dict!$F$2,0,
$O75*'Шаг 1. Основные исходные данные'!$E$11*(12/'Шаг 1. Основные исходные данные'!$E$10/8)*I75*$M75*$E$16*AA$19)</f>
        <v>0</v>
      </c>
      <c r="AB75" s="283">
        <f>IF($E75=Dict!$F$2,0,
$O75*'Шаг 1. Основные исходные данные'!$E$11*(12/'Шаг 1. Основные исходные данные'!$E$10/8)*J75*$M75*$E$16*AB$19)</f>
        <v>0</v>
      </c>
      <c r="AC75" s="283">
        <f>IF($E75=Dict!$F$2,0,
$O75*'Шаг 1. Основные исходные данные'!$E$11*(12/'Шаг 1. Основные исходные данные'!$E$10/8)*K75*$M75*$E$16*AC$19)</f>
        <v>0</v>
      </c>
    </row>
    <row r="76" spans="1:29" s="37" customFormat="1" ht="15.75" x14ac:dyDescent="0.25">
      <c r="A76" s="43"/>
      <c r="B76" s="48"/>
      <c r="C76" s="89" t="str">
        <f>IF(LEN(D76)&gt;0,C75+1,"")</f>
        <v/>
      </c>
      <c r="D76" s="31"/>
      <c r="E76" s="96"/>
      <c r="F76" s="96"/>
      <c r="G76" s="96"/>
      <c r="H76" s="96"/>
      <c r="I76" s="96"/>
      <c r="J76" s="96"/>
      <c r="K76" s="96"/>
      <c r="L76" s="96"/>
      <c r="M76" s="96"/>
      <c r="N76" s="96"/>
      <c r="O76" s="97">
        <f>'Шаг 1. Основные исходные данные'!$E$8</f>
        <v>0</v>
      </c>
      <c r="P76" s="97">
        <f>SUM(X76:AC76)</f>
        <v>0</v>
      </c>
      <c r="Q76" s="43"/>
      <c r="R76" s="43"/>
      <c r="S76" s="317"/>
      <c r="T76" s="317"/>
      <c r="U76" s="49"/>
      <c r="V76" s="317"/>
      <c r="X76" s="283">
        <f>$O76*'Шаг 1. Основные исходные данные'!$E$11*(12/'Шаг 1. Основные исходные данные'!$E$10/8)*F76*$M76*$E$16*X$19</f>
        <v>0</v>
      </c>
      <c r="Y76" s="283">
        <f>IF($E76=Dict!$F$2,0,
$O76*'Шаг 1. Основные исходные данные'!$E$11*(12/'Шаг 1. Основные исходные данные'!$E$10/8)*G76*$M76*$E$16*Y$19)</f>
        <v>0</v>
      </c>
      <c r="Z76" s="283">
        <f>IF($E76=Dict!$F$2,0,
$O76*'Шаг 1. Основные исходные данные'!$E$11*(12/'Шаг 1. Основные исходные данные'!$E$10/8)*H76*$M76*$E$16*Z$19)</f>
        <v>0</v>
      </c>
      <c r="AA76" s="283">
        <f>IF($E76=Dict!$F$2,0,
$O76*'Шаг 1. Основные исходные данные'!$E$11*(12/'Шаг 1. Основные исходные данные'!$E$10/8)*I76*$M76*$E$16*AA$19)</f>
        <v>0</v>
      </c>
      <c r="AB76" s="283">
        <f>IF($E76=Dict!$F$2,0,
$O76*'Шаг 1. Основные исходные данные'!$E$11*(12/'Шаг 1. Основные исходные данные'!$E$10/8)*J76*$M76*$E$16*AB$19)</f>
        <v>0</v>
      </c>
      <c r="AC76" s="283">
        <f>IF($E76=Dict!$F$2,0,
$O76*'Шаг 1. Основные исходные данные'!$E$11*(12/'Шаг 1. Основные исходные данные'!$E$10/8)*K76*$M76*$E$16*AC$19)</f>
        <v>0</v>
      </c>
    </row>
    <row r="77" spans="1:29" s="37" customFormat="1" ht="15.75" x14ac:dyDescent="0.25">
      <c r="A77" s="43"/>
      <c r="B77" s="48"/>
      <c r="C77" s="89" t="str">
        <f>IF(LEN(D77)&gt;0,C76+1,"")</f>
        <v/>
      </c>
      <c r="D77" s="31"/>
      <c r="E77" s="96"/>
      <c r="F77" s="96"/>
      <c r="G77" s="96"/>
      <c r="H77" s="96"/>
      <c r="I77" s="96"/>
      <c r="J77" s="96"/>
      <c r="K77" s="96"/>
      <c r="L77" s="96"/>
      <c r="M77" s="96"/>
      <c r="N77" s="96"/>
      <c r="O77" s="97">
        <f>'Шаг 1. Основные исходные данные'!$E$8</f>
        <v>0</v>
      </c>
      <c r="P77" s="97">
        <f>SUM(X77:AC77)</f>
        <v>0</v>
      </c>
      <c r="Q77" s="43"/>
      <c r="R77" s="43"/>
      <c r="S77" s="317"/>
      <c r="T77" s="317"/>
      <c r="U77" s="49"/>
      <c r="V77" s="317"/>
      <c r="X77" s="283">
        <f>$O77*'Шаг 1. Основные исходные данные'!$E$11*(12/'Шаг 1. Основные исходные данные'!$E$10/8)*F77*$M77*$E$16*X$19</f>
        <v>0</v>
      </c>
      <c r="Y77" s="283">
        <f>IF($E77=Dict!$F$2,0,
$O77*'Шаг 1. Основные исходные данные'!$E$11*(12/'Шаг 1. Основные исходные данные'!$E$10/8)*G77*$M77*$E$16*Y$19)</f>
        <v>0</v>
      </c>
      <c r="Z77" s="283">
        <f>IF($E77=Dict!$F$2,0,
$O77*'Шаг 1. Основные исходные данные'!$E$11*(12/'Шаг 1. Основные исходные данные'!$E$10/8)*H77*$M77*$E$16*Z$19)</f>
        <v>0</v>
      </c>
      <c r="AA77" s="283">
        <f>IF($E77=Dict!$F$2,0,
$O77*'Шаг 1. Основные исходные данные'!$E$11*(12/'Шаг 1. Основные исходные данные'!$E$10/8)*I77*$M77*$E$16*AA$19)</f>
        <v>0</v>
      </c>
      <c r="AB77" s="283">
        <f>IF($E77=Dict!$F$2,0,
$O77*'Шаг 1. Основные исходные данные'!$E$11*(12/'Шаг 1. Основные исходные данные'!$E$10/8)*J77*$M77*$E$16*AB$19)</f>
        <v>0</v>
      </c>
      <c r="AC77" s="283">
        <f>IF($E77=Dict!$F$2,0,
$O77*'Шаг 1. Основные исходные данные'!$E$11*(12/'Шаг 1. Основные исходные данные'!$E$10/8)*K77*$M77*$E$16*AC$19)</f>
        <v>0</v>
      </c>
    </row>
    <row r="78" spans="1:29" s="37" customFormat="1" ht="15.75" x14ac:dyDescent="0.25">
      <c r="A78" s="43"/>
      <c r="B78" s="48"/>
      <c r="C78" s="89" t="str">
        <f>IF(LEN(D78)&gt;0,C77+1,"")</f>
        <v/>
      </c>
      <c r="D78" s="31"/>
      <c r="E78" s="96"/>
      <c r="F78" s="96"/>
      <c r="G78" s="96"/>
      <c r="H78" s="96"/>
      <c r="I78" s="96"/>
      <c r="J78" s="96"/>
      <c r="K78" s="96"/>
      <c r="L78" s="96"/>
      <c r="M78" s="96"/>
      <c r="N78" s="96"/>
      <c r="O78" s="97">
        <f>'Шаг 1. Основные исходные данные'!$E$8</f>
        <v>0</v>
      </c>
      <c r="P78" s="97">
        <f>SUM(X78:AC78)</f>
        <v>0</v>
      </c>
      <c r="Q78" s="43"/>
      <c r="R78" s="43"/>
      <c r="S78" s="317"/>
      <c r="T78" s="317"/>
      <c r="U78" s="49"/>
      <c r="V78" s="317"/>
      <c r="X78" s="283">
        <f>$O78*'Шаг 1. Основные исходные данные'!$E$11*(12/'Шаг 1. Основные исходные данные'!$E$10/8)*F78*$M78*$E$16*X$19</f>
        <v>0</v>
      </c>
      <c r="Y78" s="283">
        <f>IF($E78=Dict!$F$2,0,
$O78*'Шаг 1. Основные исходные данные'!$E$11*(12/'Шаг 1. Основные исходные данные'!$E$10/8)*G78*$M78*$E$16*Y$19)</f>
        <v>0</v>
      </c>
      <c r="Z78" s="283">
        <f>IF($E78=Dict!$F$2,0,
$O78*'Шаг 1. Основные исходные данные'!$E$11*(12/'Шаг 1. Основные исходные данные'!$E$10/8)*H78*$M78*$E$16*Z$19)</f>
        <v>0</v>
      </c>
      <c r="AA78" s="283">
        <f>IF($E78=Dict!$F$2,0,
$O78*'Шаг 1. Основные исходные данные'!$E$11*(12/'Шаг 1. Основные исходные данные'!$E$10/8)*I78*$M78*$E$16*AA$19)</f>
        <v>0</v>
      </c>
      <c r="AB78" s="283">
        <f>IF($E78=Dict!$F$2,0,
$O78*'Шаг 1. Основные исходные данные'!$E$11*(12/'Шаг 1. Основные исходные данные'!$E$10/8)*J78*$M78*$E$16*AB$19)</f>
        <v>0</v>
      </c>
      <c r="AC78" s="283">
        <f>IF($E78=Dict!$F$2,0,
$O78*'Шаг 1. Основные исходные данные'!$E$11*(12/'Шаг 1. Основные исходные данные'!$E$10/8)*K78*$M78*$E$16*AC$19)</f>
        <v>0</v>
      </c>
    </row>
    <row r="79" spans="1:29" s="91" customFormat="1" ht="19.899999999999999" customHeight="1" x14ac:dyDescent="0.25">
      <c r="A79" s="90"/>
      <c r="B79" s="92"/>
      <c r="C79" s="94" t="s">
        <v>95</v>
      </c>
      <c r="D79" s="99"/>
      <c r="E79" s="99"/>
      <c r="F79" s="99"/>
      <c r="G79" s="99"/>
      <c r="H79" s="99"/>
      <c r="I79" s="99"/>
      <c r="J79" s="99"/>
      <c r="K79" s="99"/>
      <c r="L79" s="99"/>
      <c r="M79" s="99"/>
      <c r="N79" s="99"/>
      <c r="O79" s="99"/>
      <c r="P79" s="95">
        <f>SUM(P74:P78)</f>
        <v>0</v>
      </c>
      <c r="Q79" s="43"/>
      <c r="R79" s="43"/>
      <c r="S79" s="319"/>
      <c r="T79" s="319"/>
      <c r="U79" s="93"/>
      <c r="V79" s="319"/>
      <c r="X79" s="278">
        <f t="shared" ref="X79:AC79" si="7">SUM(X74:X78)</f>
        <v>0</v>
      </c>
      <c r="Y79" s="278">
        <f t="shared" si="7"/>
        <v>0</v>
      </c>
      <c r="Z79" s="278">
        <f t="shared" si="7"/>
        <v>0</v>
      </c>
      <c r="AA79" s="278">
        <f t="shared" si="7"/>
        <v>0</v>
      </c>
      <c r="AB79" s="278">
        <f t="shared" si="7"/>
        <v>0</v>
      </c>
      <c r="AC79" s="278">
        <f t="shared" si="7"/>
        <v>0</v>
      </c>
    </row>
    <row r="80" spans="1:29" s="37" customFormat="1" ht="15.75" x14ac:dyDescent="0.25">
      <c r="A80" s="43"/>
      <c r="B80" s="48"/>
      <c r="C80" s="43"/>
      <c r="D80" s="43"/>
      <c r="E80" s="43"/>
      <c r="F80" s="43"/>
      <c r="G80" s="43"/>
      <c r="H80" s="43"/>
      <c r="I80" s="43"/>
      <c r="J80" s="43"/>
      <c r="K80" s="43"/>
      <c r="L80" s="43"/>
      <c r="M80" s="43"/>
      <c r="N80" s="43"/>
      <c r="O80" s="43"/>
      <c r="P80" s="43"/>
      <c r="Q80" s="43"/>
      <c r="R80" s="43"/>
      <c r="S80" s="317"/>
      <c r="T80" s="317"/>
      <c r="U80" s="49"/>
      <c r="V80" s="317"/>
      <c r="X80" s="271"/>
      <c r="Y80" s="271"/>
      <c r="Z80" s="271"/>
      <c r="AA80" s="271"/>
      <c r="AB80" s="271"/>
      <c r="AC80" s="271"/>
    </row>
    <row r="81" spans="1:29" s="37" customFormat="1" ht="15.75" x14ac:dyDescent="0.25">
      <c r="A81" s="43"/>
      <c r="B81" s="48"/>
      <c r="C81" s="39" t="s">
        <v>80</v>
      </c>
      <c r="D81" s="43"/>
      <c r="E81" s="43"/>
      <c r="F81" s="43"/>
      <c r="G81" s="43"/>
      <c r="H81" s="43"/>
      <c r="I81" s="43"/>
      <c r="J81" s="43"/>
      <c r="K81" s="43"/>
      <c r="L81" s="43"/>
      <c r="M81" s="43"/>
      <c r="N81" s="43"/>
      <c r="O81" s="43"/>
      <c r="P81" s="43"/>
      <c r="Q81" s="43"/>
      <c r="R81" s="43"/>
      <c r="S81" s="317"/>
      <c r="T81" s="317"/>
      <c r="U81" s="49"/>
      <c r="V81" s="317"/>
      <c r="X81" s="271"/>
      <c r="Y81" s="271"/>
      <c r="Z81" s="271"/>
      <c r="AA81" s="271"/>
      <c r="AB81" s="271"/>
      <c r="AC81" s="271"/>
    </row>
    <row r="82" spans="1:29" s="37" customFormat="1" ht="126" x14ac:dyDescent="0.25">
      <c r="A82" s="43"/>
      <c r="B82" s="48"/>
      <c r="C82" s="125" t="s">
        <v>62</v>
      </c>
      <c r="D82" s="125" t="s">
        <v>74</v>
      </c>
      <c r="E82" s="125" t="s">
        <v>1160</v>
      </c>
      <c r="F82" s="125" t="s">
        <v>1168</v>
      </c>
      <c r="G82" s="125" t="s">
        <v>1167</v>
      </c>
      <c r="H82" s="336" t="s">
        <v>1232</v>
      </c>
      <c r="I82" s="336"/>
      <c r="J82" s="336"/>
      <c r="K82" s="336"/>
      <c r="L82" s="336"/>
      <c r="M82" s="336"/>
      <c r="N82" s="125" t="s">
        <v>1301</v>
      </c>
      <c r="O82" s="125" t="s">
        <v>1169</v>
      </c>
      <c r="P82" s="316" t="s">
        <v>1307</v>
      </c>
      <c r="Q82" s="125" t="s">
        <v>1269</v>
      </c>
      <c r="R82" s="316" t="s">
        <v>1308</v>
      </c>
      <c r="S82" s="125" t="s">
        <v>1166</v>
      </c>
      <c r="T82" s="125" t="s">
        <v>1170</v>
      </c>
      <c r="U82" s="49"/>
      <c r="V82" s="317"/>
      <c r="X82" s="271">
        <v>1</v>
      </c>
      <c r="Y82" s="271">
        <v>2</v>
      </c>
      <c r="Z82" s="271">
        <v>3</v>
      </c>
      <c r="AA82" s="271">
        <v>4</v>
      </c>
      <c r="AB82" s="271">
        <v>5</v>
      </c>
      <c r="AC82" s="271">
        <v>6</v>
      </c>
    </row>
    <row r="83" spans="1:29" s="37" customFormat="1" ht="15.75" x14ac:dyDescent="0.25">
      <c r="A83" s="43"/>
      <c r="B83" s="48"/>
      <c r="C83" s="125"/>
      <c r="D83" s="125"/>
      <c r="E83" s="125"/>
      <c r="F83" s="125"/>
      <c r="G83" s="125"/>
      <c r="H83" s="125" t="str">
        <f>IF(1&lt;='Шаг 1. Основные исходные данные'!$E$5,"1 год","-")</f>
        <v>1 год</v>
      </c>
      <c r="I83" s="125" t="str">
        <f>IF(2&lt;='Шаг 1. Основные исходные данные'!$E$5,"2 год","-")</f>
        <v>2 год</v>
      </c>
      <c r="J83" s="125" t="str">
        <f>IF(3&lt;='Шаг 1. Основные исходные данные'!$E$5,"3 год","-")</f>
        <v>3 год</v>
      </c>
      <c r="K83" s="125" t="str">
        <f>IF(4&lt;='Шаг 1. Основные исходные данные'!$E$5,"4 год","-")</f>
        <v>4 год</v>
      </c>
      <c r="L83" s="125" t="str">
        <f>IF(5&lt;='Шаг 1. Основные исходные данные'!$E$5,"5 год","-")</f>
        <v>5 год</v>
      </c>
      <c r="M83" s="125" t="str">
        <f>IF(6&lt;='Шаг 1. Основные исходные данные'!$E$5,"6 год","-")</f>
        <v>6 год</v>
      </c>
      <c r="N83" s="125"/>
      <c r="O83" s="125"/>
      <c r="P83" s="316"/>
      <c r="Q83" s="125"/>
      <c r="R83" s="316"/>
      <c r="S83" s="125"/>
      <c r="T83" s="125"/>
      <c r="U83" s="49"/>
      <c r="V83" s="317"/>
      <c r="X83" s="279" t="s">
        <v>1221</v>
      </c>
      <c r="Y83" s="279" t="s">
        <v>1223</v>
      </c>
      <c r="Z83" s="279" t="s">
        <v>1224</v>
      </c>
      <c r="AA83" s="279" t="s">
        <v>1225</v>
      </c>
      <c r="AB83" s="279" t="s">
        <v>1226</v>
      </c>
      <c r="AC83" s="279" t="s">
        <v>1227</v>
      </c>
    </row>
    <row r="84" spans="1:29" s="37" customFormat="1" ht="15.75" x14ac:dyDescent="0.25">
      <c r="A84" s="43"/>
      <c r="B84" s="48"/>
      <c r="C84" s="89" t="str">
        <f>IF(LEN(D84)&gt;0,1,"")</f>
        <v/>
      </c>
      <c r="D84" s="31"/>
      <c r="E84" s="31"/>
      <c r="F84" s="96"/>
      <c r="G84" s="96"/>
      <c r="H84" s="96"/>
      <c r="I84" s="96"/>
      <c r="J84" s="96"/>
      <c r="K84" s="96"/>
      <c r="L84" s="96"/>
      <c r="M84" s="96"/>
      <c r="N84" s="96"/>
      <c r="O84" s="98"/>
      <c r="P84" s="96"/>
      <c r="Q84" s="96"/>
      <c r="R84" s="96"/>
      <c r="S84" s="257">
        <f>IF($E84=Dict!$I$2,IF($G84&gt;='Шаг 1. Основные исходные данные'!$E$5,1,ROUNDUP('Шаг 1. Основные исходные данные'!$E$5/$G84,0)),IF($F84=Dict!$J$2,1,SUM($H84:$M84)))</f>
        <v>0</v>
      </c>
      <c r="T84" s="97">
        <f>SUM(X84:AC84)</f>
        <v>0</v>
      </c>
      <c r="U84" s="49"/>
      <c r="V84" s="317"/>
      <c r="X84" s="282">
        <f>IF($E84=Dict!$I$2,1,IF($F84=Dict!$J$2,1,H84))*$O84*$Q84*X$18*$E$16</f>
        <v>0</v>
      </c>
      <c r="Y84" s="282">
        <f>IF($E84=Dict!$I$2,
IF($G84&gt;='Шаг 1. Основные исходные данные'!$E$5,0,
IF(MOD(Y$34-1,$G84)=0,1,0)),IF($F84=Dict!$J$2,0,I84))*$O84*$Q84*Y$18*$E$16</f>
        <v>0</v>
      </c>
      <c r="Z84" s="277">
        <f>IF($E84=Dict!$I$2,
IF($G84&gt;='Шаг 1. Основные исходные данные'!$E$5,0,
IF(MOD(Z$34-1,$G84)=0,1,0)),IF($F84=Dict!$J$2,0,J84))*$O84*$Q84*Z$18*$E$16</f>
        <v>0</v>
      </c>
      <c r="AA84" s="277">
        <f>IF($E84=Dict!$I$2,
IF($G84&gt;='Шаг 1. Основные исходные данные'!$E$5,0,
IF(MOD(AA$34-1,$G84)=0,1,0)),IF($F84=Dict!$J$2,0,K84))*$O84*$Q84*AA$18*$E$16</f>
        <v>0</v>
      </c>
      <c r="AB84" s="277">
        <f>IF($E84=Dict!$I$2,
IF($G84&gt;='Шаг 1. Основные исходные данные'!$E$5,0,
IF(MOD(AB$34-1,$G84)=0,1,0)),IF($F84=Dict!$J$2,0,L84))*$O84*$Q84*AB$18*$E$16</f>
        <v>0</v>
      </c>
      <c r="AC84" s="277">
        <f>IF($E84=Dict!$I$2,
IF($G84&gt;='Шаг 1. Основные исходные данные'!$E$5,0,
IF(MOD(AC$34-1,$G84)=0,1,0)),IF($F84=Dict!$J$2,0,M84))*$O84*$Q84*AC$18*$E$16</f>
        <v>0</v>
      </c>
    </row>
    <row r="85" spans="1:29" s="37" customFormat="1" ht="15.75" x14ac:dyDescent="0.25">
      <c r="A85" s="43"/>
      <c r="B85" s="48"/>
      <c r="C85" s="89" t="str">
        <f>IF(LEN(D85)&gt;0,C84+1,"")</f>
        <v/>
      </c>
      <c r="D85" s="31"/>
      <c r="E85" s="31"/>
      <c r="F85" s="96"/>
      <c r="G85" s="96"/>
      <c r="H85" s="96"/>
      <c r="I85" s="96"/>
      <c r="J85" s="96"/>
      <c r="K85" s="96"/>
      <c r="L85" s="96"/>
      <c r="M85" s="96"/>
      <c r="N85" s="96"/>
      <c r="O85" s="98"/>
      <c r="P85" s="96"/>
      <c r="Q85" s="96"/>
      <c r="R85" s="96"/>
      <c r="S85" s="257">
        <f>IF($E85=Dict!$I$2,IF($G85&gt;='Шаг 1. Основные исходные данные'!$E$5,1,ROUNDUP('Шаг 1. Основные исходные данные'!$E$5/$G85,0)),IF($F85=Dict!$J$2,1,SUM($H85:$M85)))</f>
        <v>0</v>
      </c>
      <c r="T85" s="97">
        <f>SUM(X85:AC85)</f>
        <v>0</v>
      </c>
      <c r="U85" s="49"/>
      <c r="V85" s="317"/>
      <c r="X85" s="283">
        <f>IF($E85=Dict!$I$2,1,IF($F85=Dict!$J$2,1,H85))*$O85*$Q85*X$18*$E$16</f>
        <v>0</v>
      </c>
      <c r="Y85" s="283">
        <f>IF($E85=Dict!$I$2,
IF($G85&gt;='Шаг 1. Основные исходные данные'!$E$5,0,
IF(MOD(Y$34-1,$G85)=0,1,0)),IF($F85=Dict!$J$2,0,I85))*$O85*$Q85*Y$18*$E$16</f>
        <v>0</v>
      </c>
      <c r="Z85" s="277">
        <f>IF($E85=Dict!$I$2,
IF($G85&gt;='Шаг 1. Основные исходные данные'!$E$5,0,
IF(MOD(Z$34-1,$G85)=0,1,0)),IF($F85=Dict!$J$2,0,J85))*$O85*$Q85*Z$18*$E$16</f>
        <v>0</v>
      </c>
      <c r="AA85" s="277">
        <f>IF($E85=Dict!$I$2,
IF($G85&gt;='Шаг 1. Основные исходные данные'!$E$5,0,
IF(MOD(AA$34-1,$G85)=0,1,0)),IF($F85=Dict!$J$2,0,K85))*$O85*$Q85*AA$18*$E$16</f>
        <v>0</v>
      </c>
      <c r="AB85" s="277">
        <f>IF($E85=Dict!$I$2,
IF($G85&gt;='Шаг 1. Основные исходные данные'!$E$5,0,
IF(MOD(AB$34-1,$G85)=0,1,0)),IF($F85=Dict!$J$2,0,L85))*$O85*$Q85*AB$18*$E$16</f>
        <v>0</v>
      </c>
      <c r="AC85" s="277">
        <f>IF($E85=Dict!$I$2,
IF($G85&gt;='Шаг 1. Основные исходные данные'!$E$5,0,
IF(MOD(AC$34-1,$G85)=0,1,0)),IF($F85=Dict!$J$2,0,M85))*$O85*$Q85*AC$18*$E$16</f>
        <v>0</v>
      </c>
    </row>
    <row r="86" spans="1:29" s="37" customFormat="1" ht="15.75" x14ac:dyDescent="0.25">
      <c r="A86" s="43"/>
      <c r="B86" s="48"/>
      <c r="C86" s="89" t="str">
        <f>IF(LEN(D86)&gt;0,C85+1,"")</f>
        <v/>
      </c>
      <c r="D86" s="31"/>
      <c r="E86" s="31"/>
      <c r="F86" s="96"/>
      <c r="G86" s="96"/>
      <c r="H86" s="96"/>
      <c r="I86" s="96"/>
      <c r="J86" s="96"/>
      <c r="K86" s="96"/>
      <c r="L86" s="96"/>
      <c r="M86" s="96"/>
      <c r="N86" s="96"/>
      <c r="O86" s="98"/>
      <c r="P86" s="96"/>
      <c r="Q86" s="96"/>
      <c r="R86" s="96"/>
      <c r="S86" s="257">
        <f>IF($E86=Dict!$I$2,IF($G86&gt;='Шаг 1. Основные исходные данные'!$E$5,1,ROUNDUP('Шаг 1. Основные исходные данные'!$E$5/$G86,0)),IF($F86=Dict!$J$2,1,SUM($H86:$M86)))</f>
        <v>0</v>
      </c>
      <c r="T86" s="97">
        <f>SUM(X86:AC86)</f>
        <v>0</v>
      </c>
      <c r="U86" s="49"/>
      <c r="V86" s="317"/>
      <c r="X86" s="283">
        <f>IF($E86=Dict!$I$2,1,IF($F86=Dict!$J$2,1,H86))*$O86*$Q86*X$18*$E$16</f>
        <v>0</v>
      </c>
      <c r="Y86" s="283">
        <f>IF($E86=Dict!$I$2,
IF($G86&gt;='Шаг 1. Основные исходные данные'!$E$5,0,
IF(MOD(Y$34-1,$G86)=0,1,0)),IF($F86=Dict!$J$2,0,I86))*$O86*$Q86*Y$18*$E$16</f>
        <v>0</v>
      </c>
      <c r="Z86" s="277">
        <f>IF($E86=Dict!$I$2,
IF($G86&gt;='Шаг 1. Основные исходные данные'!$E$5,0,
IF(MOD(Z$34-1,$G86)=0,1,0)),IF($F86=Dict!$J$2,0,J86))*$O86*$Q86*Z$18*$E$16</f>
        <v>0</v>
      </c>
      <c r="AA86" s="277">
        <f>IF($E86=Dict!$I$2,
IF($G86&gt;='Шаг 1. Основные исходные данные'!$E$5,0,
IF(MOD(AA$34-1,$G86)=0,1,0)),IF($F86=Dict!$J$2,0,K86))*$O86*$Q86*AA$18*$E$16</f>
        <v>0</v>
      </c>
      <c r="AB86" s="277">
        <f>IF($E86=Dict!$I$2,
IF($G86&gt;='Шаг 1. Основные исходные данные'!$E$5,0,
IF(MOD(AB$34-1,$G86)=0,1,0)),IF($F86=Dict!$J$2,0,L86))*$O86*$Q86*AB$18*$E$16</f>
        <v>0</v>
      </c>
      <c r="AC86" s="277">
        <f>IF($E86=Dict!$I$2,
IF($G86&gt;='Шаг 1. Основные исходные данные'!$E$5,0,
IF(MOD(AC$34-1,$G86)=0,1,0)),IF($F86=Dict!$J$2,0,M86))*$O86*$Q86*AC$18*$E$16</f>
        <v>0</v>
      </c>
    </row>
    <row r="87" spans="1:29" s="37" customFormat="1" ht="15.75" x14ac:dyDescent="0.25">
      <c r="A87" s="43"/>
      <c r="B87" s="48"/>
      <c r="C87" s="89" t="str">
        <f>IF(LEN(D87)&gt;0,C86+1,"")</f>
        <v/>
      </c>
      <c r="D87" s="31"/>
      <c r="E87" s="31"/>
      <c r="F87" s="96"/>
      <c r="G87" s="96"/>
      <c r="H87" s="96"/>
      <c r="I87" s="96"/>
      <c r="J87" s="96"/>
      <c r="K87" s="96"/>
      <c r="L87" s="96"/>
      <c r="M87" s="96"/>
      <c r="N87" s="96"/>
      <c r="O87" s="98"/>
      <c r="P87" s="96"/>
      <c r="Q87" s="96"/>
      <c r="R87" s="96"/>
      <c r="S87" s="257">
        <f>IF($E87=Dict!$I$2,IF($G87&gt;='Шаг 1. Основные исходные данные'!$E$5,1,ROUNDUP('Шаг 1. Основные исходные данные'!$E$5/$G87,0)),IF($F87=Dict!$J$2,1,SUM($H87:$M87)))</f>
        <v>0</v>
      </c>
      <c r="T87" s="97">
        <f>SUM(X87:AC87)</f>
        <v>0</v>
      </c>
      <c r="U87" s="49"/>
      <c r="V87" s="317"/>
      <c r="X87" s="283">
        <f>IF($E87=Dict!$I$2,1,IF($F87=Dict!$J$2,1,H87))*$O87*$Q87*X$18*$E$16</f>
        <v>0</v>
      </c>
      <c r="Y87" s="283">
        <f>IF($E87=Dict!$I$2,
IF($G87&gt;='Шаг 1. Основные исходные данные'!$E$5,0,
IF(MOD(Y$34-1,$G87)=0,1,0)),IF($F87=Dict!$J$2,0,I87))*$O87*$Q87*Y$18*$E$16</f>
        <v>0</v>
      </c>
      <c r="Z87" s="277">
        <f>IF($E87=Dict!$I$2,
IF($G87&gt;='Шаг 1. Основные исходные данные'!$E$5,0,
IF(MOD(Z$34-1,$G87)=0,1,0)),IF($F87=Dict!$J$2,0,J87))*$O87*$Q87*Z$18*$E$16</f>
        <v>0</v>
      </c>
      <c r="AA87" s="277">
        <f>IF($E87=Dict!$I$2,
IF($G87&gt;='Шаг 1. Основные исходные данные'!$E$5,0,
IF(MOD(AA$34-1,$G87)=0,1,0)),IF($F87=Dict!$J$2,0,K87))*$O87*$Q87*AA$18*$E$16</f>
        <v>0</v>
      </c>
      <c r="AB87" s="277">
        <f>IF($E87=Dict!$I$2,
IF($G87&gt;='Шаг 1. Основные исходные данные'!$E$5,0,
IF(MOD(AB$34-1,$G87)=0,1,0)),IF($F87=Dict!$J$2,0,L87))*$O87*$Q87*AB$18*$E$16</f>
        <v>0</v>
      </c>
      <c r="AC87" s="277">
        <f>IF($E87=Dict!$I$2,
IF($G87&gt;='Шаг 1. Основные исходные данные'!$E$5,0,
IF(MOD(AC$34-1,$G87)=0,1,0)),IF($F87=Dict!$J$2,0,M87))*$O87*$Q87*AC$18*$E$16</f>
        <v>0</v>
      </c>
    </row>
    <row r="88" spans="1:29" s="37" customFormat="1" ht="15.75" x14ac:dyDescent="0.25">
      <c r="A88" s="43"/>
      <c r="B88" s="48"/>
      <c r="C88" s="89" t="str">
        <f>IF(LEN(D88)&gt;0,C87+1,"")</f>
        <v/>
      </c>
      <c r="D88" s="31"/>
      <c r="E88" s="31"/>
      <c r="F88" s="96"/>
      <c r="G88" s="96"/>
      <c r="H88" s="96"/>
      <c r="I88" s="96"/>
      <c r="J88" s="96"/>
      <c r="K88" s="96"/>
      <c r="L88" s="96"/>
      <c r="M88" s="96"/>
      <c r="N88" s="96"/>
      <c r="O88" s="98"/>
      <c r="P88" s="96"/>
      <c r="Q88" s="96"/>
      <c r="R88" s="96"/>
      <c r="S88" s="257">
        <f>IF($E88=Dict!$I$2,IF($G88&gt;='Шаг 1. Основные исходные данные'!$E$5,1,ROUNDUP('Шаг 1. Основные исходные данные'!$E$5/$G88,0)),IF($F88=Dict!$J$2,1,SUM($H88:$M88)))</f>
        <v>0</v>
      </c>
      <c r="T88" s="97">
        <f>SUM(X88:AC88)</f>
        <v>0</v>
      </c>
      <c r="U88" s="49"/>
      <c r="V88" s="317"/>
      <c r="X88" s="283">
        <f>IF($E88=Dict!$I$2,1,IF($F88=Dict!$J$2,1,H88))*$O88*$Q88*X$18*$E$16</f>
        <v>0</v>
      </c>
      <c r="Y88" s="283">
        <f>IF($E88=Dict!$I$2,
IF($G88&gt;='Шаг 1. Основные исходные данные'!$E$5,0,
IF(MOD(Y$34-1,$G88)=0,1,0)),IF($F88=Dict!$J$2,0,I88))*$O88*$Q88*Y$18*$E$16</f>
        <v>0</v>
      </c>
      <c r="Z88" s="277">
        <f>IF($E88=Dict!$I$2,
IF($G88&gt;='Шаг 1. Основные исходные данные'!$E$5,0,
IF(MOD(Z$34-1,$G88)=0,1,0)),IF($F88=Dict!$J$2,0,J88))*$O88*$Q88*Z$18*$E$16</f>
        <v>0</v>
      </c>
      <c r="AA88" s="277">
        <f>IF($E88=Dict!$I$2,
IF($G88&gt;='Шаг 1. Основные исходные данные'!$E$5,0,
IF(MOD(AA$34-1,$G88)=0,1,0)),IF($F88=Dict!$J$2,0,K88))*$O88*$Q88*AA$18*$E$16</f>
        <v>0</v>
      </c>
      <c r="AB88" s="277">
        <f>IF($E88=Dict!$I$2,
IF($G88&gt;='Шаг 1. Основные исходные данные'!$E$5,0,
IF(MOD(AB$34-1,$G88)=0,1,0)),IF($F88=Dict!$J$2,0,L88))*$O88*$Q88*AB$18*$E$16</f>
        <v>0</v>
      </c>
      <c r="AC88" s="277">
        <f>IF($E88=Dict!$I$2,
IF($G88&gt;='Шаг 1. Основные исходные данные'!$E$5,0,
IF(MOD(AC$34-1,$G88)=0,1,0)),IF($F88=Dict!$J$2,0,M88))*$O88*$Q88*AC$18*$E$16</f>
        <v>0</v>
      </c>
    </row>
    <row r="89" spans="1:29" s="91" customFormat="1" ht="19.899999999999999" customHeight="1" x14ac:dyDescent="0.25">
      <c r="A89" s="90"/>
      <c r="B89" s="92"/>
      <c r="C89" s="94" t="s">
        <v>95</v>
      </c>
      <c r="D89" s="94"/>
      <c r="E89" s="94"/>
      <c r="F89" s="94"/>
      <c r="G89" s="94"/>
      <c r="H89" s="94"/>
      <c r="I89" s="94"/>
      <c r="J89" s="94"/>
      <c r="K89" s="94"/>
      <c r="L89" s="94"/>
      <c r="M89" s="94"/>
      <c r="N89" s="94"/>
      <c r="O89" s="94"/>
      <c r="P89" s="94"/>
      <c r="Q89" s="94"/>
      <c r="R89" s="94"/>
      <c r="S89" s="94"/>
      <c r="T89" s="95">
        <f>SUM(T84:T88)</f>
        <v>0</v>
      </c>
      <c r="U89" s="93"/>
      <c r="V89" s="319"/>
      <c r="W89" s="37"/>
      <c r="X89" s="278">
        <f t="shared" ref="X89:AC89" si="8">SUM(X84:X88)</f>
        <v>0</v>
      </c>
      <c r="Y89" s="278">
        <f t="shared" si="8"/>
        <v>0</v>
      </c>
      <c r="Z89" s="278">
        <f t="shared" si="8"/>
        <v>0</v>
      </c>
      <c r="AA89" s="278">
        <f t="shared" si="8"/>
        <v>0</v>
      </c>
      <c r="AB89" s="278">
        <f t="shared" si="8"/>
        <v>0</v>
      </c>
      <c r="AC89" s="278">
        <f t="shared" si="8"/>
        <v>0</v>
      </c>
    </row>
    <row r="90" spans="1:29" s="37" customFormat="1" ht="15.75" x14ac:dyDescent="0.25">
      <c r="A90" s="43"/>
      <c r="B90" s="53"/>
      <c r="C90" s="56"/>
      <c r="D90" s="56"/>
      <c r="E90" s="56"/>
      <c r="F90" s="56"/>
      <c r="G90" s="56"/>
      <c r="H90" s="56"/>
      <c r="I90" s="56"/>
      <c r="J90" s="56"/>
      <c r="K90" s="56"/>
      <c r="L90" s="56"/>
      <c r="M90" s="56"/>
      <c r="N90" s="56"/>
      <c r="O90" s="56"/>
      <c r="P90" s="56"/>
      <c r="Q90" s="56"/>
      <c r="R90" s="56"/>
      <c r="S90" s="56"/>
      <c r="T90" s="56"/>
      <c r="U90" s="54"/>
      <c r="V90" s="317"/>
      <c r="X90" s="271"/>
      <c r="Y90" s="271"/>
      <c r="Z90" s="271"/>
      <c r="AA90" s="271"/>
      <c r="AB90" s="271"/>
      <c r="AC90" s="271"/>
    </row>
    <row r="91" spans="1:29" s="37" customFormat="1" ht="15.75" x14ac:dyDescent="0.25">
      <c r="A91" s="43"/>
      <c r="B91" s="43"/>
      <c r="C91" s="43"/>
      <c r="D91" s="43"/>
      <c r="E91" s="43"/>
      <c r="F91" s="43"/>
      <c r="G91" s="43"/>
      <c r="H91" s="43"/>
      <c r="I91" s="43"/>
      <c r="J91" s="43"/>
      <c r="K91" s="43"/>
      <c r="L91" s="43"/>
      <c r="M91" s="43"/>
      <c r="N91" s="43"/>
      <c r="O91" s="43"/>
      <c r="P91" s="43"/>
      <c r="Q91" s="43"/>
      <c r="R91" s="43"/>
      <c r="S91" s="43"/>
      <c r="T91" s="317"/>
      <c r="U91" s="317"/>
      <c r="V91" s="317"/>
      <c r="X91" s="271"/>
      <c r="Y91" s="271"/>
      <c r="Z91" s="271"/>
      <c r="AA91" s="271"/>
      <c r="AB91" s="271"/>
      <c r="AC91" s="271"/>
    </row>
    <row r="92" spans="1:29" s="37" customFormat="1" ht="15.75" x14ac:dyDescent="0.25">
      <c r="A92" s="43"/>
      <c r="B92" s="45"/>
      <c r="C92" s="46"/>
      <c r="D92" s="46"/>
      <c r="E92" s="46"/>
      <c r="F92" s="46"/>
      <c r="G92" s="46"/>
      <c r="H92" s="46"/>
      <c r="I92" s="46"/>
      <c r="J92" s="46"/>
      <c r="K92" s="46"/>
      <c r="L92" s="46"/>
      <c r="M92" s="46"/>
      <c r="N92" s="46"/>
      <c r="O92" s="46"/>
      <c r="P92" s="46"/>
      <c r="Q92" s="46"/>
      <c r="R92" s="46"/>
      <c r="S92" s="46"/>
      <c r="T92" s="46"/>
      <c r="U92" s="47"/>
      <c r="V92" s="317"/>
      <c r="X92" s="272"/>
      <c r="Y92" s="272"/>
      <c r="Z92" s="272"/>
      <c r="AA92" s="272"/>
      <c r="AB92" s="272"/>
      <c r="AC92" s="272"/>
    </row>
    <row r="93" spans="1:29" s="37" customFormat="1" ht="15.75" x14ac:dyDescent="0.25">
      <c r="A93" s="43"/>
      <c r="B93" s="48"/>
      <c r="C93" s="36" t="str">
        <f>CONCATENATE("2.2.",$C$17,". Информационные издержки группы объектов ",$C$17," - """,$D$17,"""")</f>
        <v>2.2.. Информационные издержки группы объектов  - ""</v>
      </c>
      <c r="D93" s="43"/>
      <c r="E93" s="43"/>
      <c r="F93" s="43"/>
      <c r="G93" s="43"/>
      <c r="H93" s="43"/>
      <c r="I93" s="43"/>
      <c r="J93" s="43"/>
      <c r="K93" s="43"/>
      <c r="L93" s="43"/>
      <c r="M93" s="43"/>
      <c r="N93" s="43"/>
      <c r="O93" s="43"/>
      <c r="P93" s="43"/>
      <c r="Q93" s="43"/>
      <c r="R93" s="43"/>
      <c r="S93" s="317"/>
      <c r="T93" s="317"/>
      <c r="U93" s="49"/>
      <c r="V93" s="317"/>
      <c r="X93" s="272"/>
      <c r="Y93" s="272"/>
      <c r="Z93" s="272"/>
      <c r="AA93" s="272"/>
      <c r="AB93" s="272"/>
      <c r="AC93" s="272"/>
    </row>
    <row r="94" spans="1:29" s="37" customFormat="1" ht="15.75" x14ac:dyDescent="0.25">
      <c r="A94" s="43"/>
      <c r="B94" s="48"/>
      <c r="C94" s="43"/>
      <c r="D94" s="43"/>
      <c r="E94" s="43"/>
      <c r="F94" s="43"/>
      <c r="G94" s="43"/>
      <c r="H94" s="43"/>
      <c r="I94" s="43"/>
      <c r="J94" s="43"/>
      <c r="K94" s="43"/>
      <c r="L94" s="43"/>
      <c r="M94" s="43"/>
      <c r="N94" s="43"/>
      <c r="O94" s="43"/>
      <c r="P94" s="43"/>
      <c r="Q94" s="43"/>
      <c r="R94" s="43"/>
      <c r="S94" s="317"/>
      <c r="T94" s="317"/>
      <c r="U94" s="49"/>
      <c r="V94" s="317"/>
      <c r="X94" s="272"/>
      <c r="Y94" s="272"/>
      <c r="Z94" s="272"/>
      <c r="AA94" s="272"/>
      <c r="AB94" s="272"/>
      <c r="AC94" s="272"/>
    </row>
    <row r="95" spans="1:29" s="37" customFormat="1" ht="15.75" x14ac:dyDescent="0.25">
      <c r="A95" s="43"/>
      <c r="B95" s="48"/>
      <c r="C95" s="39" t="s">
        <v>63</v>
      </c>
      <c r="D95" s="43"/>
      <c r="E95" s="43"/>
      <c r="F95" s="43"/>
      <c r="G95" s="43"/>
      <c r="H95" s="43"/>
      <c r="I95" s="43"/>
      <c r="J95" s="43"/>
      <c r="K95" s="43"/>
      <c r="L95" s="43"/>
      <c r="M95" s="43"/>
      <c r="N95" s="43"/>
      <c r="O95" s="43"/>
      <c r="P95" s="43"/>
      <c r="Q95" s="43"/>
      <c r="R95" s="43"/>
      <c r="S95" s="317"/>
      <c r="T95" s="317"/>
      <c r="U95" s="49"/>
      <c r="V95" s="317"/>
      <c r="X95" s="272"/>
      <c r="Y95" s="272"/>
      <c r="Z95" s="272"/>
      <c r="AA95" s="272"/>
      <c r="AB95" s="272"/>
      <c r="AC95" s="272"/>
    </row>
    <row r="96" spans="1:29" s="52" customFormat="1" ht="129.75" customHeight="1" x14ac:dyDescent="0.25">
      <c r="A96" s="23"/>
      <c r="B96" s="50"/>
      <c r="C96" s="336" t="s">
        <v>62</v>
      </c>
      <c r="D96" s="336" t="s">
        <v>64</v>
      </c>
      <c r="E96" s="336" t="s">
        <v>75</v>
      </c>
      <c r="F96" s="336" t="s">
        <v>1231</v>
      </c>
      <c r="G96" s="336"/>
      <c r="H96" s="336"/>
      <c r="I96" s="336"/>
      <c r="J96" s="336"/>
      <c r="K96" s="336"/>
      <c r="L96" s="336" t="s">
        <v>1300</v>
      </c>
      <c r="M96" s="336" t="s">
        <v>1222</v>
      </c>
      <c r="N96" s="125" t="s">
        <v>1309</v>
      </c>
      <c r="O96" s="125" t="s">
        <v>79</v>
      </c>
      <c r="P96" s="125" t="s">
        <v>1159</v>
      </c>
      <c r="Q96" s="43"/>
      <c r="R96" s="43"/>
      <c r="S96" s="318"/>
      <c r="T96" s="318"/>
      <c r="U96" s="51"/>
      <c r="V96" s="318"/>
      <c r="X96" s="272"/>
      <c r="Y96" s="272"/>
      <c r="Z96" s="272"/>
      <c r="AA96" s="272"/>
      <c r="AB96" s="272"/>
      <c r="AC96" s="272"/>
    </row>
    <row r="97" spans="1:29" s="52" customFormat="1" ht="15.75" x14ac:dyDescent="0.25">
      <c r="A97" s="23"/>
      <c r="B97" s="50"/>
      <c r="C97" s="336"/>
      <c r="D97" s="349"/>
      <c r="E97" s="349"/>
      <c r="F97" s="125" t="str">
        <f>IF(1&lt;='Шаг 1. Основные исходные данные'!$E$5,"1 год","-")</f>
        <v>1 год</v>
      </c>
      <c r="G97" s="125" t="str">
        <f>IF(2&lt;='Шаг 1. Основные исходные данные'!$E$5,"2 год","-")</f>
        <v>2 год</v>
      </c>
      <c r="H97" s="125" t="str">
        <f>IF(3&lt;='Шаг 1. Основные исходные данные'!$E$5,"3 год","-")</f>
        <v>3 год</v>
      </c>
      <c r="I97" s="125" t="str">
        <f>IF(4&lt;='Шаг 1. Основные исходные данные'!$E$5,"4 год","-")</f>
        <v>4 год</v>
      </c>
      <c r="J97" s="125" t="str">
        <f>IF(5&lt;='Шаг 1. Основные исходные данные'!$E$5,"5 год","-")</f>
        <v>5 год</v>
      </c>
      <c r="K97" s="125" t="str">
        <f>IF(6&lt;='Шаг 1. Основные исходные данные'!$E$5,"6 год","-")</f>
        <v>6 год</v>
      </c>
      <c r="L97" s="349"/>
      <c r="M97" s="349"/>
      <c r="N97" s="125"/>
      <c r="O97" s="125"/>
      <c r="P97" s="125"/>
      <c r="Q97" s="43"/>
      <c r="R97" s="43"/>
      <c r="S97" s="318"/>
      <c r="T97" s="318"/>
      <c r="U97" s="51"/>
      <c r="V97" s="318"/>
      <c r="X97" s="279" t="s">
        <v>1221</v>
      </c>
      <c r="Y97" s="279" t="s">
        <v>1223</v>
      </c>
      <c r="Z97" s="279" t="s">
        <v>1224</v>
      </c>
      <c r="AA97" s="279" t="s">
        <v>1225</v>
      </c>
      <c r="AB97" s="279" t="s">
        <v>1226</v>
      </c>
      <c r="AC97" s="279" t="s">
        <v>1227</v>
      </c>
    </row>
    <row r="98" spans="1:29" s="37" customFormat="1" ht="15.75" x14ac:dyDescent="0.25">
      <c r="A98" s="43"/>
      <c r="B98" s="48"/>
      <c r="C98" s="89" t="str">
        <f>IF(LEN(D98)&gt;0,1,"")</f>
        <v/>
      </c>
      <c r="D98" s="31"/>
      <c r="E98" s="96"/>
      <c r="F98" s="96"/>
      <c r="G98" s="96"/>
      <c r="H98" s="96"/>
      <c r="I98" s="96"/>
      <c r="J98" s="96"/>
      <c r="K98" s="96"/>
      <c r="L98" s="96"/>
      <c r="M98" s="96"/>
      <c r="N98" s="96"/>
      <c r="O98" s="97">
        <f>'Шаг 1. Основные исходные данные'!$E$8</f>
        <v>0</v>
      </c>
      <c r="P98" s="97">
        <f>SUM(X98:AC98)</f>
        <v>0</v>
      </c>
      <c r="Q98" s="43"/>
      <c r="R98" s="43"/>
      <c r="S98" s="317"/>
      <c r="T98" s="317"/>
      <c r="U98" s="49"/>
      <c r="V98" s="317"/>
      <c r="W98" s="281"/>
      <c r="X98" s="283">
        <f>$O98*'Шаг 1. Основные исходные данные'!$E$11*(12/'Шаг 1. Основные исходные данные'!$E$10/8)*F98*$M98*$E$17*X$19</f>
        <v>0</v>
      </c>
      <c r="Y98" s="283">
        <f>IF($E98=Dict!$F$2,0,
$O98*'Шаг 1. Основные исходные данные'!$E$11*(12/'Шаг 1. Основные исходные данные'!$E$10/8)*G98*$M98*$E$17*Y$19)</f>
        <v>0</v>
      </c>
      <c r="Z98" s="283">
        <f>IF($E98=Dict!$F$2,0,
$O98*'Шаг 1. Основные исходные данные'!$E$11*(12/'Шаг 1. Основные исходные данные'!$E$10/8)*H98*$M98*$E$17*Z$19)</f>
        <v>0</v>
      </c>
      <c r="AA98" s="283">
        <f>IF($E98=Dict!$F$2,0,
$O98*'Шаг 1. Основные исходные данные'!$E$11*(12/'Шаг 1. Основные исходные данные'!$E$10/8)*I98*$M98*$E$17*AA$19)</f>
        <v>0</v>
      </c>
      <c r="AB98" s="283">
        <f>IF($E98=Dict!$F$2,0,
$O98*'Шаг 1. Основные исходные данные'!$E$11*(12/'Шаг 1. Основные исходные данные'!$E$10/8)*J98*$M98*$E$17*AB$19)</f>
        <v>0</v>
      </c>
      <c r="AC98" s="283">
        <f>IF($E98=Dict!$F$2,0,
$O98*'Шаг 1. Основные исходные данные'!$E$11*(12/'Шаг 1. Основные исходные данные'!$E$10/8)*K98*$M98*$E$17*AC$19)</f>
        <v>0</v>
      </c>
    </row>
    <row r="99" spans="1:29" s="37" customFormat="1" ht="15.75" x14ac:dyDescent="0.25">
      <c r="A99" s="43"/>
      <c r="B99" s="48"/>
      <c r="C99" s="89" t="str">
        <f>IF(LEN(D99)&gt;0,C98+1,"")</f>
        <v/>
      </c>
      <c r="D99" s="31"/>
      <c r="E99" s="96"/>
      <c r="F99" s="96"/>
      <c r="G99" s="96"/>
      <c r="H99" s="96"/>
      <c r="I99" s="96"/>
      <c r="J99" s="96"/>
      <c r="K99" s="96"/>
      <c r="L99" s="96"/>
      <c r="M99" s="96"/>
      <c r="N99" s="96"/>
      <c r="O99" s="97">
        <f>'Шаг 1. Основные исходные данные'!$E$8</f>
        <v>0</v>
      </c>
      <c r="P99" s="97">
        <f>SUM(X99:AC99)</f>
        <v>0</v>
      </c>
      <c r="Q99" s="43"/>
      <c r="R99" s="43"/>
      <c r="S99" s="317"/>
      <c r="T99" s="317"/>
      <c r="U99" s="49"/>
      <c r="V99" s="317"/>
      <c r="W99" s="281"/>
      <c r="X99" s="283">
        <f>$O99*'Шаг 1. Основные исходные данные'!$E$11*(12/'Шаг 1. Основные исходные данные'!$E$10/8)*F99*$M99*$E$17*X$19</f>
        <v>0</v>
      </c>
      <c r="Y99" s="283">
        <f>IF($E99=Dict!$F$2,0,
$O99*'Шаг 1. Основные исходные данные'!$E$11*(12/'Шаг 1. Основные исходные данные'!$E$10/8)*G99*$M99*$E$17*Y$19)</f>
        <v>0</v>
      </c>
      <c r="Z99" s="283">
        <f>IF($E99=Dict!$F$2,0,
$O99*'Шаг 1. Основные исходные данные'!$E$11*(12/'Шаг 1. Основные исходные данные'!$E$10/8)*H99*$M99*$E$17*Z$19)</f>
        <v>0</v>
      </c>
      <c r="AA99" s="283">
        <f>IF($E99=Dict!$F$2,0,
$O99*'Шаг 1. Основные исходные данные'!$E$11*(12/'Шаг 1. Основные исходные данные'!$E$10/8)*I99*$M99*$E$17*AA$19)</f>
        <v>0</v>
      </c>
      <c r="AB99" s="283">
        <f>IF($E99=Dict!$F$2,0,
$O99*'Шаг 1. Основные исходные данные'!$E$11*(12/'Шаг 1. Основные исходные данные'!$E$10/8)*J99*$M99*$E$17*AB$19)</f>
        <v>0</v>
      </c>
      <c r="AC99" s="283">
        <f>IF($E99=Dict!$F$2,0,
$O99*'Шаг 1. Основные исходные данные'!$E$11*(12/'Шаг 1. Основные исходные данные'!$E$10/8)*K99*$M99*$E$17*AC$19)</f>
        <v>0</v>
      </c>
    </row>
    <row r="100" spans="1:29" s="37" customFormat="1" ht="15.75" x14ac:dyDescent="0.25">
      <c r="A100" s="43"/>
      <c r="B100" s="48"/>
      <c r="C100" s="89" t="str">
        <f>IF(LEN(D100)&gt;0,C99+1,"")</f>
        <v/>
      </c>
      <c r="D100" s="31"/>
      <c r="E100" s="96"/>
      <c r="F100" s="96"/>
      <c r="G100" s="96"/>
      <c r="H100" s="96"/>
      <c r="I100" s="96"/>
      <c r="J100" s="96"/>
      <c r="K100" s="96"/>
      <c r="L100" s="96"/>
      <c r="M100" s="96"/>
      <c r="N100" s="96"/>
      <c r="O100" s="97">
        <f>'Шаг 1. Основные исходные данные'!$E$8</f>
        <v>0</v>
      </c>
      <c r="P100" s="97">
        <f>SUM(X100:AC100)</f>
        <v>0</v>
      </c>
      <c r="Q100" s="43"/>
      <c r="R100" s="43"/>
      <c r="S100" s="317"/>
      <c r="T100" s="317"/>
      <c r="U100" s="49"/>
      <c r="V100" s="317"/>
      <c r="X100" s="283">
        <f>$O100*'Шаг 1. Основные исходные данные'!$E$11*(12/'Шаг 1. Основные исходные данные'!$E$10/8)*F100*$M100*$E$17*X$19</f>
        <v>0</v>
      </c>
      <c r="Y100" s="283">
        <f>IF($E100=Dict!$F$2,0,
$O100*'Шаг 1. Основные исходные данные'!$E$11*(12/'Шаг 1. Основные исходные данные'!$E$10/8)*G100*$M100*$E$17*Y$19)</f>
        <v>0</v>
      </c>
      <c r="Z100" s="283">
        <f>IF($E100=Dict!$F$2,0,
$O100*'Шаг 1. Основные исходные данные'!$E$11*(12/'Шаг 1. Основные исходные данные'!$E$10/8)*H100*$M100*$E$17*Z$19)</f>
        <v>0</v>
      </c>
      <c r="AA100" s="283">
        <f>IF($E100=Dict!$F$2,0,
$O100*'Шаг 1. Основные исходные данные'!$E$11*(12/'Шаг 1. Основные исходные данные'!$E$10/8)*I100*$M100*$E$17*AA$19)</f>
        <v>0</v>
      </c>
      <c r="AB100" s="283">
        <f>IF($E100=Dict!$F$2,0,
$O100*'Шаг 1. Основные исходные данные'!$E$11*(12/'Шаг 1. Основные исходные данные'!$E$10/8)*J100*$M100*$E$17*AB$19)</f>
        <v>0</v>
      </c>
      <c r="AC100" s="283">
        <f>IF($E100=Dict!$F$2,0,
$O100*'Шаг 1. Основные исходные данные'!$E$11*(12/'Шаг 1. Основные исходные данные'!$E$10/8)*K100*$M100*$E$17*AC$19)</f>
        <v>0</v>
      </c>
    </row>
    <row r="101" spans="1:29" s="37" customFormat="1" ht="15.75" x14ac:dyDescent="0.25">
      <c r="A101" s="43"/>
      <c r="B101" s="48"/>
      <c r="C101" s="89" t="str">
        <f>IF(LEN(D101)&gt;0,C100+1,"")</f>
        <v/>
      </c>
      <c r="D101" s="31"/>
      <c r="E101" s="96"/>
      <c r="F101" s="96"/>
      <c r="G101" s="96"/>
      <c r="H101" s="96"/>
      <c r="I101" s="96"/>
      <c r="J101" s="96"/>
      <c r="K101" s="96"/>
      <c r="L101" s="96"/>
      <c r="M101" s="96"/>
      <c r="N101" s="96"/>
      <c r="O101" s="97">
        <f>'Шаг 1. Основные исходные данные'!$E$8</f>
        <v>0</v>
      </c>
      <c r="P101" s="97">
        <f>SUM(X101:AC101)</f>
        <v>0</v>
      </c>
      <c r="Q101" s="43"/>
      <c r="R101" s="43"/>
      <c r="S101" s="317"/>
      <c r="T101" s="317"/>
      <c r="U101" s="49"/>
      <c r="V101" s="317"/>
      <c r="X101" s="283">
        <f>$O101*'Шаг 1. Основные исходные данные'!$E$11*(12/'Шаг 1. Основные исходные данные'!$E$10/8)*F101*$M101*$E$17*X$19</f>
        <v>0</v>
      </c>
      <c r="Y101" s="283">
        <f>IF($E101=Dict!$F$2,0,
$O101*'Шаг 1. Основные исходные данные'!$E$11*(12/'Шаг 1. Основные исходные данные'!$E$10/8)*G101*$M101*$E$17*Y$19)</f>
        <v>0</v>
      </c>
      <c r="Z101" s="283">
        <f>IF($E101=Dict!$F$2,0,
$O101*'Шаг 1. Основные исходные данные'!$E$11*(12/'Шаг 1. Основные исходные данные'!$E$10/8)*H101*$M101*$E$17*Z$19)</f>
        <v>0</v>
      </c>
      <c r="AA101" s="283">
        <f>IF($E101=Dict!$F$2,0,
$O101*'Шаг 1. Основные исходные данные'!$E$11*(12/'Шаг 1. Основные исходные данные'!$E$10/8)*I101*$M101*$E$17*AA$19)</f>
        <v>0</v>
      </c>
      <c r="AB101" s="283">
        <f>IF($E101=Dict!$F$2,0,
$O101*'Шаг 1. Основные исходные данные'!$E$11*(12/'Шаг 1. Основные исходные данные'!$E$10/8)*J101*$M101*$E$17*AB$19)</f>
        <v>0</v>
      </c>
      <c r="AC101" s="283">
        <f>IF($E101=Dict!$F$2,0,
$O101*'Шаг 1. Основные исходные данные'!$E$11*(12/'Шаг 1. Основные исходные данные'!$E$10/8)*K101*$M101*$E$17*AC$19)</f>
        <v>0</v>
      </c>
    </row>
    <row r="102" spans="1:29" s="37" customFormat="1" ht="15.75" x14ac:dyDescent="0.25">
      <c r="A102" s="43"/>
      <c r="B102" s="48"/>
      <c r="C102" s="89" t="str">
        <f>IF(LEN(D102)&gt;0,C101+1,"")</f>
        <v/>
      </c>
      <c r="D102" s="31"/>
      <c r="E102" s="96"/>
      <c r="F102" s="96"/>
      <c r="G102" s="96"/>
      <c r="H102" s="96"/>
      <c r="I102" s="96"/>
      <c r="J102" s="96"/>
      <c r="K102" s="96"/>
      <c r="L102" s="96"/>
      <c r="M102" s="96"/>
      <c r="N102" s="96"/>
      <c r="O102" s="97">
        <f>'Шаг 1. Основные исходные данные'!$E$8</f>
        <v>0</v>
      </c>
      <c r="P102" s="97">
        <f>SUM(X102:AC102)</f>
        <v>0</v>
      </c>
      <c r="Q102" s="43"/>
      <c r="R102" s="43"/>
      <c r="S102" s="317"/>
      <c r="T102" s="317"/>
      <c r="U102" s="49"/>
      <c r="V102" s="317"/>
      <c r="X102" s="283">
        <f>$O102*'Шаг 1. Основные исходные данные'!$E$11*(12/'Шаг 1. Основные исходные данные'!$E$10/8)*F102*$M102*$E$17*X$19</f>
        <v>0</v>
      </c>
      <c r="Y102" s="283">
        <f>IF($E102=Dict!$F$2,0,
$O102*'Шаг 1. Основные исходные данные'!$E$11*(12/'Шаг 1. Основные исходные данные'!$E$10/8)*G102*$M102*$E$17*Y$19)</f>
        <v>0</v>
      </c>
      <c r="Z102" s="283">
        <f>IF($E102=Dict!$F$2,0,
$O102*'Шаг 1. Основные исходные данные'!$E$11*(12/'Шаг 1. Основные исходные данные'!$E$10/8)*H102*$M102*$E$17*Z$19)</f>
        <v>0</v>
      </c>
      <c r="AA102" s="283">
        <f>IF($E102=Dict!$F$2,0,
$O102*'Шаг 1. Основные исходные данные'!$E$11*(12/'Шаг 1. Основные исходные данные'!$E$10/8)*I102*$M102*$E$17*AA$19)</f>
        <v>0</v>
      </c>
      <c r="AB102" s="283">
        <f>IF($E102=Dict!$F$2,0,
$O102*'Шаг 1. Основные исходные данные'!$E$11*(12/'Шаг 1. Основные исходные данные'!$E$10/8)*J102*$M102*$E$17*AB$19)</f>
        <v>0</v>
      </c>
      <c r="AC102" s="283">
        <f>IF($E102=Dict!$F$2,0,
$O102*'Шаг 1. Основные исходные данные'!$E$11*(12/'Шаг 1. Основные исходные данные'!$E$10/8)*K102*$M102*$E$17*AC$19)</f>
        <v>0</v>
      </c>
    </row>
    <row r="103" spans="1:29" s="91" customFormat="1" ht="19.899999999999999" customHeight="1" x14ac:dyDescent="0.25">
      <c r="A103" s="90"/>
      <c r="B103" s="92"/>
      <c r="C103" s="94" t="s">
        <v>95</v>
      </c>
      <c r="D103" s="99"/>
      <c r="E103" s="99"/>
      <c r="F103" s="99"/>
      <c r="G103" s="99"/>
      <c r="H103" s="99"/>
      <c r="I103" s="99"/>
      <c r="J103" s="99"/>
      <c r="K103" s="99"/>
      <c r="L103" s="99"/>
      <c r="M103" s="99"/>
      <c r="N103" s="99"/>
      <c r="O103" s="99"/>
      <c r="P103" s="95">
        <f>SUM(P98:P102)</f>
        <v>0</v>
      </c>
      <c r="Q103" s="43"/>
      <c r="R103" s="43"/>
      <c r="S103" s="319"/>
      <c r="T103" s="319"/>
      <c r="U103" s="93"/>
      <c r="V103" s="319"/>
      <c r="X103" s="278">
        <f t="shared" ref="X103:AC103" si="9">SUM(X98:X102)</f>
        <v>0</v>
      </c>
      <c r="Y103" s="278">
        <f t="shared" si="9"/>
        <v>0</v>
      </c>
      <c r="Z103" s="278">
        <f t="shared" si="9"/>
        <v>0</v>
      </c>
      <c r="AA103" s="278">
        <f t="shared" si="9"/>
        <v>0</v>
      </c>
      <c r="AB103" s="278">
        <f t="shared" si="9"/>
        <v>0</v>
      </c>
      <c r="AC103" s="278">
        <f t="shared" si="9"/>
        <v>0</v>
      </c>
    </row>
    <row r="104" spans="1:29" s="37" customFormat="1" ht="15.75" x14ac:dyDescent="0.25">
      <c r="A104" s="43"/>
      <c r="B104" s="48"/>
      <c r="C104" s="43"/>
      <c r="D104" s="43"/>
      <c r="E104" s="43"/>
      <c r="F104" s="43"/>
      <c r="G104" s="43"/>
      <c r="H104" s="43"/>
      <c r="I104" s="43"/>
      <c r="J104" s="43"/>
      <c r="K104" s="43"/>
      <c r="L104" s="43"/>
      <c r="M104" s="43"/>
      <c r="N104" s="43"/>
      <c r="O104" s="43"/>
      <c r="P104" s="43"/>
      <c r="Q104" s="43"/>
      <c r="R104" s="43"/>
      <c r="S104" s="317"/>
      <c r="T104" s="317"/>
      <c r="U104" s="49"/>
      <c r="V104" s="317"/>
      <c r="X104" s="271"/>
      <c r="Y104" s="271"/>
      <c r="Z104" s="271"/>
      <c r="AA104" s="271"/>
      <c r="AB104" s="271"/>
      <c r="AC104" s="271"/>
    </row>
    <row r="105" spans="1:29" s="37" customFormat="1" ht="15.75" x14ac:dyDescent="0.25">
      <c r="A105" s="43"/>
      <c r="B105" s="48"/>
      <c r="C105" s="39" t="s">
        <v>80</v>
      </c>
      <c r="D105" s="43"/>
      <c r="E105" s="43"/>
      <c r="F105" s="43"/>
      <c r="G105" s="43"/>
      <c r="H105" s="43"/>
      <c r="I105" s="43"/>
      <c r="J105" s="43"/>
      <c r="K105" s="43"/>
      <c r="L105" s="43"/>
      <c r="M105" s="43"/>
      <c r="N105" s="43"/>
      <c r="O105" s="43"/>
      <c r="P105" s="43"/>
      <c r="Q105" s="43"/>
      <c r="R105" s="43"/>
      <c r="S105" s="317"/>
      <c r="T105" s="317"/>
      <c r="U105" s="49"/>
      <c r="V105" s="317"/>
      <c r="X105" s="271"/>
      <c r="Y105" s="271"/>
      <c r="Z105" s="271"/>
      <c r="AA105" s="271"/>
      <c r="AB105" s="271"/>
      <c r="AC105" s="271"/>
    </row>
    <row r="106" spans="1:29" s="37" customFormat="1" ht="126" x14ac:dyDescent="0.25">
      <c r="A106" s="43"/>
      <c r="B106" s="48"/>
      <c r="C106" s="125" t="s">
        <v>62</v>
      </c>
      <c r="D106" s="125" t="s">
        <v>74</v>
      </c>
      <c r="E106" s="125" t="s">
        <v>1160</v>
      </c>
      <c r="F106" s="125" t="s">
        <v>1168</v>
      </c>
      <c r="G106" s="125" t="s">
        <v>1167</v>
      </c>
      <c r="H106" s="336" t="s">
        <v>1232</v>
      </c>
      <c r="I106" s="336"/>
      <c r="J106" s="336"/>
      <c r="K106" s="336"/>
      <c r="L106" s="336"/>
      <c r="M106" s="336"/>
      <c r="N106" s="125" t="s">
        <v>1301</v>
      </c>
      <c r="O106" s="125" t="s">
        <v>1169</v>
      </c>
      <c r="P106" s="316" t="s">
        <v>1307</v>
      </c>
      <c r="Q106" s="125" t="s">
        <v>1269</v>
      </c>
      <c r="R106" s="316" t="s">
        <v>1308</v>
      </c>
      <c r="S106" s="125" t="s">
        <v>1166</v>
      </c>
      <c r="T106" s="125" t="s">
        <v>1170</v>
      </c>
      <c r="U106" s="49"/>
      <c r="V106" s="317"/>
      <c r="X106" s="271">
        <v>1</v>
      </c>
      <c r="Y106" s="271">
        <v>2</v>
      </c>
      <c r="Z106" s="271">
        <v>3</v>
      </c>
      <c r="AA106" s="271">
        <v>4</v>
      </c>
      <c r="AB106" s="271">
        <v>5</v>
      </c>
      <c r="AC106" s="271">
        <v>6</v>
      </c>
    </row>
    <row r="107" spans="1:29" s="37" customFormat="1" ht="15.75" x14ac:dyDescent="0.25">
      <c r="A107" s="43"/>
      <c r="B107" s="48"/>
      <c r="C107" s="125"/>
      <c r="D107" s="125"/>
      <c r="E107" s="125"/>
      <c r="F107" s="125"/>
      <c r="G107" s="125"/>
      <c r="H107" s="125" t="str">
        <f>IF(1&lt;='Шаг 1. Основные исходные данные'!$E$5,"1 год","-")</f>
        <v>1 год</v>
      </c>
      <c r="I107" s="125" t="str">
        <f>IF(2&lt;='Шаг 1. Основные исходные данные'!$E$5,"2 год","-")</f>
        <v>2 год</v>
      </c>
      <c r="J107" s="125" t="str">
        <f>IF(3&lt;='Шаг 1. Основные исходные данные'!$E$5,"3 год","-")</f>
        <v>3 год</v>
      </c>
      <c r="K107" s="125" t="str">
        <f>IF(4&lt;='Шаг 1. Основные исходные данные'!$E$5,"4 год","-")</f>
        <v>4 год</v>
      </c>
      <c r="L107" s="125" t="str">
        <f>IF(5&lt;='Шаг 1. Основные исходные данные'!$E$5,"5 год","-")</f>
        <v>5 год</v>
      </c>
      <c r="M107" s="125" t="str">
        <f>IF(6&lt;='Шаг 1. Основные исходные данные'!$E$5,"6 год","-")</f>
        <v>6 год</v>
      </c>
      <c r="N107" s="125"/>
      <c r="O107" s="125"/>
      <c r="P107" s="316"/>
      <c r="Q107" s="125"/>
      <c r="R107" s="316"/>
      <c r="S107" s="125"/>
      <c r="T107" s="125"/>
      <c r="U107" s="49"/>
      <c r="V107" s="317"/>
      <c r="X107" s="279" t="s">
        <v>1221</v>
      </c>
      <c r="Y107" s="279" t="s">
        <v>1223</v>
      </c>
      <c r="Z107" s="279" t="s">
        <v>1224</v>
      </c>
      <c r="AA107" s="279" t="s">
        <v>1225</v>
      </c>
      <c r="AB107" s="279" t="s">
        <v>1226</v>
      </c>
      <c r="AC107" s="279" t="s">
        <v>1227</v>
      </c>
    </row>
    <row r="108" spans="1:29" s="37" customFormat="1" ht="15.75" x14ac:dyDescent="0.25">
      <c r="A108" s="43"/>
      <c r="B108" s="48"/>
      <c r="C108" s="89" t="str">
        <f>IF(LEN(D108)&gt;0,1,"")</f>
        <v/>
      </c>
      <c r="D108" s="31"/>
      <c r="E108" s="31"/>
      <c r="F108" s="96"/>
      <c r="G108" s="96"/>
      <c r="H108" s="96"/>
      <c r="I108" s="96"/>
      <c r="J108" s="96"/>
      <c r="K108" s="96"/>
      <c r="L108" s="96"/>
      <c r="M108" s="96"/>
      <c r="N108" s="96"/>
      <c r="O108" s="98"/>
      <c r="P108" s="96"/>
      <c r="Q108" s="96"/>
      <c r="R108" s="96"/>
      <c r="S108" s="257">
        <f>IF($E108=Dict!$I$2,IF($G108&gt;='Шаг 1. Основные исходные данные'!$E$5,1,ROUNDUP('Шаг 1. Основные исходные данные'!$E$5/$G108,0)),IF($F108=Dict!$J$2,1,SUM($H108:$M108)))</f>
        <v>0</v>
      </c>
      <c r="T108" s="97">
        <f>SUM(X108:AC108)</f>
        <v>0</v>
      </c>
      <c r="U108" s="49"/>
      <c r="V108" s="317"/>
      <c r="X108" s="282">
        <f>IF($E108=Dict!$I$2,1,IF($F108=Dict!$J$2,1,H108))*$O108*$Q108*X$18*$E$17</f>
        <v>0</v>
      </c>
      <c r="Y108" s="282">
        <f>IF($E108=Dict!$I$2,
IF($G108&gt;='Шаг 1. Основные исходные данные'!$E$5,0,
IF(MOD(Y$34-1,$G108)=0,1,0)),IF($F108=Dict!$J$2,0,I108))*$O108*$Q108*Y$18*$E$17</f>
        <v>0</v>
      </c>
      <c r="Z108" s="277">
        <f>IF($E108=Dict!$I$2,
IF($G108&gt;='Шаг 1. Основные исходные данные'!$E$5,0,
IF(MOD(Z$34-1,$G108)=0,1,0)),IF($F108=Dict!$J$2,0,J108))*$O108*$Q108*Z$18*$E$17</f>
        <v>0</v>
      </c>
      <c r="AA108" s="277">
        <f>IF($E108=Dict!$I$2,
IF($G108&gt;='Шаг 1. Основные исходные данные'!$E$5,0,
IF(MOD(AA$34-1,$G108)=0,1,0)),IF($F108=Dict!$J$2,0,K108))*$O108*$Q108*AA$18*$E$17</f>
        <v>0</v>
      </c>
      <c r="AB108" s="277">
        <f>IF($E108=Dict!$I$2,
IF($G108&gt;='Шаг 1. Основные исходные данные'!$E$5,0,
IF(MOD(AB$34-1,$G108)=0,1,0)),IF($F108=Dict!$J$2,0,L108))*$O108*$Q108*AB$18*$E$17</f>
        <v>0</v>
      </c>
      <c r="AC108" s="277">
        <f>IF($E108=Dict!$I$2,
IF($G108&gt;='Шаг 1. Основные исходные данные'!$E$5,0,
IF(MOD(AC$34-1,$G108)=0,1,0)),IF($F108=Dict!$J$2,0,M108))*$O108*$Q108*AC$18*$E$17</f>
        <v>0</v>
      </c>
    </row>
    <row r="109" spans="1:29" s="37" customFormat="1" ht="15.75" x14ac:dyDescent="0.25">
      <c r="A109" s="43"/>
      <c r="B109" s="48"/>
      <c r="C109" s="89" t="str">
        <f>IF(LEN(D109)&gt;0,C108+1,"")</f>
        <v/>
      </c>
      <c r="D109" s="31"/>
      <c r="E109" s="31"/>
      <c r="F109" s="96"/>
      <c r="G109" s="96"/>
      <c r="H109" s="96"/>
      <c r="I109" s="96"/>
      <c r="J109" s="96"/>
      <c r="K109" s="96"/>
      <c r="L109" s="96"/>
      <c r="M109" s="96"/>
      <c r="N109" s="96"/>
      <c r="O109" s="98"/>
      <c r="P109" s="96"/>
      <c r="Q109" s="96"/>
      <c r="R109" s="96"/>
      <c r="S109" s="257">
        <f>IF($E109=Dict!$I$2,IF($G109&gt;='Шаг 1. Основные исходные данные'!$E$5,1,ROUNDUP('Шаг 1. Основные исходные данные'!$E$5/$G109,0)),IF($F109=Dict!$J$2,1,SUM($H109:$M109)))</f>
        <v>0</v>
      </c>
      <c r="T109" s="97">
        <f>SUM(X109:AC109)</f>
        <v>0</v>
      </c>
      <c r="U109" s="49"/>
      <c r="V109" s="317"/>
      <c r="X109" s="283">
        <f>IF($E109=Dict!$I$2,1,IF($F109=Dict!$J$2,1,H109))*$O109*$Q109*X$18*$E$17</f>
        <v>0</v>
      </c>
      <c r="Y109" s="283">
        <f>IF($E109=Dict!$I$2,
IF($G109&gt;='Шаг 1. Основные исходные данные'!$E$5,0,
IF(MOD(Y$34-1,$G109)=0,1,0)),IF($F109=Dict!$J$2,0,I109))*$O109*$Q109*Y$18*$E$17</f>
        <v>0</v>
      </c>
      <c r="Z109" s="277">
        <f>IF($E109=Dict!$I$2,
IF($G109&gt;='Шаг 1. Основные исходные данные'!$E$5,0,
IF(MOD(Z$34-1,$G109)=0,1,0)),IF($F109=Dict!$J$2,0,J109))*$O109*$Q109*Z$18*$E$17</f>
        <v>0</v>
      </c>
      <c r="AA109" s="277">
        <f>IF($E109=Dict!$I$2,
IF($G109&gt;='Шаг 1. Основные исходные данные'!$E$5,0,
IF(MOD(AA$34-1,$G109)=0,1,0)),IF($F109=Dict!$J$2,0,K109))*$O109*$Q109*AA$18*$E$17</f>
        <v>0</v>
      </c>
      <c r="AB109" s="277">
        <f>IF($E109=Dict!$I$2,
IF($G109&gt;='Шаг 1. Основные исходные данные'!$E$5,0,
IF(MOD(AB$34-1,$G109)=0,1,0)),IF($F109=Dict!$J$2,0,L109))*$O109*$Q109*AB$18*$E$17</f>
        <v>0</v>
      </c>
      <c r="AC109" s="277">
        <f>IF($E109=Dict!$I$2,
IF($G109&gt;='Шаг 1. Основные исходные данные'!$E$5,0,
IF(MOD(AC$34-1,$G109)=0,1,0)),IF($F109=Dict!$J$2,0,M109))*$O109*$Q109*AC$18*$E$17</f>
        <v>0</v>
      </c>
    </row>
    <row r="110" spans="1:29" s="37" customFormat="1" ht="15.75" x14ac:dyDescent="0.25">
      <c r="A110" s="43"/>
      <c r="B110" s="48"/>
      <c r="C110" s="89" t="str">
        <f>IF(LEN(D110)&gt;0,C109+1,"")</f>
        <v/>
      </c>
      <c r="D110" s="31"/>
      <c r="E110" s="31"/>
      <c r="F110" s="96"/>
      <c r="G110" s="96"/>
      <c r="H110" s="96"/>
      <c r="I110" s="96"/>
      <c r="J110" s="96"/>
      <c r="K110" s="96"/>
      <c r="L110" s="96"/>
      <c r="M110" s="96"/>
      <c r="N110" s="96"/>
      <c r="O110" s="98"/>
      <c r="P110" s="96"/>
      <c r="Q110" s="96"/>
      <c r="R110" s="96"/>
      <c r="S110" s="257">
        <f>IF($E110=Dict!$I$2,IF($G110&gt;='Шаг 1. Основные исходные данные'!$E$5,1,ROUNDUP('Шаг 1. Основные исходные данные'!$E$5/$G110,0)),IF($F110=Dict!$J$2,1,SUM($H110:$M110)))</f>
        <v>0</v>
      </c>
      <c r="T110" s="97">
        <f>SUM(X110:AC110)</f>
        <v>0</v>
      </c>
      <c r="U110" s="49"/>
      <c r="V110" s="317"/>
      <c r="X110" s="283">
        <f>IF($E110=Dict!$I$2,1,IF($F110=Dict!$J$2,1,H110))*$O110*$Q110*X$18*$E$17</f>
        <v>0</v>
      </c>
      <c r="Y110" s="283">
        <f>IF($E110=Dict!$I$2,
IF($G110&gt;='Шаг 1. Основные исходные данные'!$E$5,0,
IF(MOD(Y$34-1,$G110)=0,1,0)),IF($F110=Dict!$J$2,0,I110))*$O110*$Q110*Y$18*$E$17</f>
        <v>0</v>
      </c>
      <c r="Z110" s="277">
        <f>IF($E110=Dict!$I$2,
IF($G110&gt;='Шаг 1. Основные исходные данные'!$E$5,0,
IF(MOD(Z$34-1,$G110)=0,1,0)),IF($F110=Dict!$J$2,0,J110))*$O110*$Q110*Z$18*$E$17</f>
        <v>0</v>
      </c>
      <c r="AA110" s="277">
        <f>IF($E110=Dict!$I$2,
IF($G110&gt;='Шаг 1. Основные исходные данные'!$E$5,0,
IF(MOD(AA$34-1,$G110)=0,1,0)),IF($F110=Dict!$J$2,0,K110))*$O110*$Q110*AA$18*$E$17</f>
        <v>0</v>
      </c>
      <c r="AB110" s="277">
        <f>IF($E110=Dict!$I$2,
IF($G110&gt;='Шаг 1. Основные исходные данные'!$E$5,0,
IF(MOD(AB$34-1,$G110)=0,1,0)),IF($F110=Dict!$J$2,0,L110))*$O110*$Q110*AB$18*$E$17</f>
        <v>0</v>
      </c>
      <c r="AC110" s="277">
        <f>IF($E110=Dict!$I$2,
IF($G110&gt;='Шаг 1. Основные исходные данные'!$E$5,0,
IF(MOD(AC$34-1,$G110)=0,1,0)),IF($F110=Dict!$J$2,0,M110))*$O110*$Q110*AC$18*$E$17</f>
        <v>0</v>
      </c>
    </row>
    <row r="111" spans="1:29" s="37" customFormat="1" ht="15.75" x14ac:dyDescent="0.25">
      <c r="A111" s="43"/>
      <c r="B111" s="48"/>
      <c r="C111" s="89" t="str">
        <f>IF(LEN(D111)&gt;0,C110+1,"")</f>
        <v/>
      </c>
      <c r="D111" s="31"/>
      <c r="E111" s="31"/>
      <c r="F111" s="96"/>
      <c r="G111" s="96"/>
      <c r="H111" s="96"/>
      <c r="I111" s="96"/>
      <c r="J111" s="96"/>
      <c r="K111" s="96"/>
      <c r="L111" s="96"/>
      <c r="M111" s="96"/>
      <c r="N111" s="96"/>
      <c r="O111" s="98"/>
      <c r="P111" s="96"/>
      <c r="Q111" s="96"/>
      <c r="R111" s="96"/>
      <c r="S111" s="257">
        <f>IF($E111=Dict!$I$2,IF($G111&gt;='Шаг 1. Основные исходные данные'!$E$5,1,ROUNDUP('Шаг 1. Основные исходные данные'!$E$5/$G111,0)),IF($F111=Dict!$J$2,1,SUM($H111:$M111)))</f>
        <v>0</v>
      </c>
      <c r="T111" s="97">
        <f>SUM(X111:AC111)</f>
        <v>0</v>
      </c>
      <c r="U111" s="49"/>
      <c r="V111" s="317"/>
      <c r="X111" s="283">
        <f>IF($E111=Dict!$I$2,1,IF($F111=Dict!$J$2,1,H111))*$O111*$Q111*X$18*$E$17</f>
        <v>0</v>
      </c>
      <c r="Y111" s="283">
        <f>IF($E111=Dict!$I$2,
IF($G111&gt;='Шаг 1. Основные исходные данные'!$E$5,0,
IF(MOD(Y$34-1,$G111)=0,1,0)),IF($F111=Dict!$J$2,0,I111))*$O111*$Q111*Y$18*$E$17</f>
        <v>0</v>
      </c>
      <c r="Z111" s="277">
        <f>IF($E111=Dict!$I$2,
IF($G111&gt;='Шаг 1. Основные исходные данные'!$E$5,0,
IF(MOD(Z$34-1,$G111)=0,1,0)),IF($F111=Dict!$J$2,0,J111))*$O111*$Q111*Z$18*$E$17</f>
        <v>0</v>
      </c>
      <c r="AA111" s="277">
        <f>IF($E111=Dict!$I$2,
IF($G111&gt;='Шаг 1. Основные исходные данные'!$E$5,0,
IF(MOD(AA$34-1,$G111)=0,1,0)),IF($F111=Dict!$J$2,0,K111))*$O111*$Q111*AA$18*$E$17</f>
        <v>0</v>
      </c>
      <c r="AB111" s="277">
        <f>IF($E111=Dict!$I$2,
IF($G111&gt;='Шаг 1. Основные исходные данные'!$E$5,0,
IF(MOD(AB$34-1,$G111)=0,1,0)),IF($F111=Dict!$J$2,0,L111))*$O111*$Q111*AB$18*$E$17</f>
        <v>0</v>
      </c>
      <c r="AC111" s="277">
        <f>IF($E111=Dict!$I$2,
IF($G111&gt;='Шаг 1. Основные исходные данные'!$E$5,0,
IF(MOD(AC$34-1,$G111)=0,1,0)),IF($F111=Dict!$J$2,0,M111))*$O111*$Q111*AC$18*$E$17</f>
        <v>0</v>
      </c>
    </row>
    <row r="112" spans="1:29" s="37" customFormat="1" ht="15.75" x14ac:dyDescent="0.25">
      <c r="A112" s="43"/>
      <c r="B112" s="48"/>
      <c r="C112" s="89" t="str">
        <f>IF(LEN(D112)&gt;0,C111+1,"")</f>
        <v/>
      </c>
      <c r="D112" s="31"/>
      <c r="E112" s="31"/>
      <c r="F112" s="96"/>
      <c r="G112" s="96"/>
      <c r="H112" s="96"/>
      <c r="I112" s="96"/>
      <c r="J112" s="96"/>
      <c r="K112" s="96"/>
      <c r="L112" s="96"/>
      <c r="M112" s="96"/>
      <c r="N112" s="96"/>
      <c r="O112" s="98"/>
      <c r="P112" s="96"/>
      <c r="Q112" s="96"/>
      <c r="R112" s="96"/>
      <c r="S112" s="257">
        <f>IF($E112=Dict!$I$2,IF($G112&gt;='Шаг 1. Основные исходные данные'!$E$5,1,ROUNDUP('Шаг 1. Основные исходные данные'!$E$5/$G112,0)),IF($F112=Dict!$J$2,1,SUM($H112:$M112)))</f>
        <v>0</v>
      </c>
      <c r="T112" s="97">
        <f>SUM(X112:AC112)</f>
        <v>0</v>
      </c>
      <c r="U112" s="49"/>
      <c r="V112" s="317"/>
      <c r="X112" s="283">
        <f>IF($E112=Dict!$I$2,1,IF($F112=Dict!$J$2,1,H112))*$O112*$Q112*X$18*$E$17</f>
        <v>0</v>
      </c>
      <c r="Y112" s="283">
        <f>IF($E112=Dict!$I$2,
IF($G112&gt;='Шаг 1. Основные исходные данные'!$E$5,0,
IF(MOD(Y$34-1,$G112)=0,1,0)),IF($F112=Dict!$J$2,0,I112))*$O112*$Q112*Y$18*$E$17</f>
        <v>0</v>
      </c>
      <c r="Z112" s="277">
        <f>IF($E112=Dict!$I$2,
IF($G112&gt;='Шаг 1. Основные исходные данные'!$E$5,0,
IF(MOD(Z$34-1,$G112)=0,1,0)),IF($F112=Dict!$J$2,0,J112))*$O112*$Q112*Z$18*$E$17</f>
        <v>0</v>
      </c>
      <c r="AA112" s="277">
        <f>IF($E112=Dict!$I$2,
IF($G112&gt;='Шаг 1. Основные исходные данные'!$E$5,0,
IF(MOD(AA$34-1,$G112)=0,1,0)),IF($F112=Dict!$J$2,0,K112))*$O112*$Q112*AA$18*$E$17</f>
        <v>0</v>
      </c>
      <c r="AB112" s="277">
        <f>IF($E112=Dict!$I$2,
IF($G112&gt;='Шаг 1. Основные исходные данные'!$E$5,0,
IF(MOD(AB$34-1,$G112)=0,1,0)),IF($F112=Dict!$J$2,0,L112))*$O112*$Q112*AB$18*$E$17</f>
        <v>0</v>
      </c>
      <c r="AC112" s="277">
        <f>IF($E112=Dict!$I$2,
IF($G112&gt;='Шаг 1. Основные исходные данные'!$E$5,0,
IF(MOD(AC$34-1,$G112)=0,1,0)),IF($F112=Dict!$J$2,0,M112))*$O112*$Q112*AC$18*$E$17</f>
        <v>0</v>
      </c>
    </row>
    <row r="113" spans="1:29" s="91" customFormat="1" ht="19.899999999999999" customHeight="1" x14ac:dyDescent="0.25">
      <c r="A113" s="90"/>
      <c r="B113" s="92"/>
      <c r="C113" s="94" t="s">
        <v>95</v>
      </c>
      <c r="D113" s="94"/>
      <c r="E113" s="94"/>
      <c r="F113" s="94"/>
      <c r="G113" s="94"/>
      <c r="H113" s="94"/>
      <c r="I113" s="94"/>
      <c r="J113" s="94"/>
      <c r="K113" s="94"/>
      <c r="L113" s="94"/>
      <c r="M113" s="94"/>
      <c r="N113" s="94"/>
      <c r="O113" s="94"/>
      <c r="P113" s="94"/>
      <c r="Q113" s="94"/>
      <c r="R113" s="94"/>
      <c r="S113" s="94"/>
      <c r="T113" s="95">
        <f>SUM(T108:T112)</f>
        <v>0</v>
      </c>
      <c r="U113" s="93"/>
      <c r="V113" s="319"/>
      <c r="W113" s="37"/>
      <c r="X113" s="278">
        <f t="shared" ref="X113:AC113" si="10">SUM(X108:X112)</f>
        <v>0</v>
      </c>
      <c r="Y113" s="278">
        <f t="shared" si="10"/>
        <v>0</v>
      </c>
      <c r="Z113" s="278">
        <f t="shared" si="10"/>
        <v>0</v>
      </c>
      <c r="AA113" s="278">
        <f t="shared" si="10"/>
        <v>0</v>
      </c>
      <c r="AB113" s="278">
        <f t="shared" si="10"/>
        <v>0</v>
      </c>
      <c r="AC113" s="278">
        <f t="shared" si="10"/>
        <v>0</v>
      </c>
    </row>
    <row r="114" spans="1:29" s="37" customFormat="1" ht="15.75" x14ac:dyDescent="0.25">
      <c r="A114" s="43"/>
      <c r="B114" s="53"/>
      <c r="C114" s="56"/>
      <c r="D114" s="56"/>
      <c r="E114" s="56"/>
      <c r="F114" s="56"/>
      <c r="G114" s="56"/>
      <c r="H114" s="56"/>
      <c r="I114" s="56"/>
      <c r="J114" s="56"/>
      <c r="K114" s="56"/>
      <c r="L114" s="56"/>
      <c r="M114" s="56"/>
      <c r="N114" s="56"/>
      <c r="O114" s="56"/>
      <c r="P114" s="56"/>
      <c r="Q114" s="56"/>
      <c r="R114" s="56"/>
      <c r="S114" s="56"/>
      <c r="T114" s="56"/>
      <c r="U114" s="54"/>
      <c r="V114" s="317"/>
      <c r="X114" s="271"/>
      <c r="Y114" s="271"/>
      <c r="Z114" s="271"/>
      <c r="AA114" s="271"/>
      <c r="AB114" s="271"/>
      <c r="AC114" s="271"/>
    </row>
    <row r="115" spans="1:29" s="37" customFormat="1" ht="15.75" x14ac:dyDescent="0.25">
      <c r="A115" s="43"/>
      <c r="B115" s="43"/>
      <c r="C115" s="43"/>
      <c r="D115" s="43"/>
      <c r="E115" s="43"/>
      <c r="F115" s="43"/>
      <c r="G115" s="43"/>
      <c r="H115" s="43"/>
      <c r="I115" s="43"/>
      <c r="J115" s="43"/>
      <c r="K115" s="43"/>
      <c r="L115" s="43"/>
      <c r="M115" s="43"/>
      <c r="N115" s="43"/>
      <c r="O115" s="43"/>
      <c r="P115" s="43"/>
      <c r="Q115" s="43"/>
      <c r="R115" s="43"/>
      <c r="S115" s="43"/>
      <c r="T115" s="317"/>
      <c r="U115" s="317"/>
      <c r="V115" s="317"/>
      <c r="X115" s="271"/>
      <c r="Y115" s="271"/>
      <c r="Z115" s="271"/>
      <c r="AA115" s="271"/>
      <c r="AB115" s="271"/>
      <c r="AC115" s="271"/>
    </row>
    <row r="116" spans="1:29" s="37" customFormat="1" ht="15.75" x14ac:dyDescent="0.25">
      <c r="A116" s="43"/>
      <c r="B116" s="45"/>
      <c r="C116" s="46"/>
      <c r="D116" s="46"/>
      <c r="E116" s="46"/>
      <c r="F116" s="46"/>
      <c r="G116" s="46"/>
      <c r="H116" s="46"/>
      <c r="I116" s="46"/>
      <c r="J116" s="46"/>
      <c r="K116" s="46"/>
      <c r="L116" s="46"/>
      <c r="M116" s="46"/>
      <c r="N116" s="46"/>
      <c r="O116" s="46"/>
      <c r="P116" s="46"/>
      <c r="Q116" s="46"/>
      <c r="R116" s="46"/>
      <c r="S116" s="46"/>
      <c r="T116" s="46"/>
      <c r="U116" s="47"/>
      <c r="V116" s="317"/>
      <c r="X116" s="272"/>
      <c r="Y116" s="272"/>
      <c r="Z116" s="272"/>
      <c r="AA116" s="272"/>
      <c r="AB116" s="272"/>
      <c r="AC116" s="272"/>
    </row>
    <row r="117" spans="1:29" s="37" customFormat="1" ht="15.75" x14ac:dyDescent="0.25">
      <c r="A117" s="43"/>
      <c r="B117" s="48"/>
      <c r="C117" s="36" t="str">
        <f>CONCATENATE("2.2.",$C$18,". Информационные издержки группы объектов ",$C$18," - """,$D$18,"""")</f>
        <v>2.2.. Информационные издержки группы объектов  - ""</v>
      </c>
      <c r="D117" s="43"/>
      <c r="E117" s="43"/>
      <c r="F117" s="43"/>
      <c r="G117" s="43"/>
      <c r="H117" s="43"/>
      <c r="I117" s="43"/>
      <c r="J117" s="43"/>
      <c r="K117" s="43"/>
      <c r="L117" s="43"/>
      <c r="M117" s="43"/>
      <c r="N117" s="43"/>
      <c r="O117" s="43"/>
      <c r="P117" s="43"/>
      <c r="Q117" s="43"/>
      <c r="R117" s="43"/>
      <c r="S117" s="317"/>
      <c r="T117" s="317"/>
      <c r="U117" s="49"/>
      <c r="V117" s="317"/>
      <c r="X117" s="272"/>
      <c r="Y117" s="272"/>
      <c r="Z117" s="272"/>
      <c r="AA117" s="272"/>
      <c r="AB117" s="272"/>
      <c r="AC117" s="272"/>
    </row>
    <row r="118" spans="1:29" s="37" customFormat="1" ht="15.75" x14ac:dyDescent="0.25">
      <c r="A118" s="43"/>
      <c r="B118" s="48"/>
      <c r="C118" s="43"/>
      <c r="D118" s="43"/>
      <c r="E118" s="43"/>
      <c r="F118" s="43"/>
      <c r="G118" s="43"/>
      <c r="H118" s="43"/>
      <c r="I118" s="43"/>
      <c r="J118" s="43"/>
      <c r="K118" s="43"/>
      <c r="L118" s="43"/>
      <c r="M118" s="43"/>
      <c r="N118" s="43"/>
      <c r="O118" s="43"/>
      <c r="P118" s="43"/>
      <c r="Q118" s="43"/>
      <c r="R118" s="43"/>
      <c r="S118" s="317"/>
      <c r="T118" s="317"/>
      <c r="U118" s="49"/>
      <c r="V118" s="317"/>
      <c r="X118" s="272"/>
      <c r="Y118" s="272"/>
      <c r="Z118" s="272"/>
      <c r="AA118" s="272"/>
      <c r="AB118" s="272"/>
      <c r="AC118" s="272"/>
    </row>
    <row r="119" spans="1:29" s="37" customFormat="1" ht="15.75" x14ac:dyDescent="0.25">
      <c r="A119" s="43"/>
      <c r="B119" s="48"/>
      <c r="C119" s="39" t="s">
        <v>63</v>
      </c>
      <c r="D119" s="43"/>
      <c r="E119" s="43"/>
      <c r="F119" s="43"/>
      <c r="G119" s="43"/>
      <c r="H119" s="43"/>
      <c r="I119" s="43"/>
      <c r="J119" s="43"/>
      <c r="K119" s="43"/>
      <c r="L119" s="43"/>
      <c r="M119" s="43"/>
      <c r="N119" s="43"/>
      <c r="O119" s="43"/>
      <c r="P119" s="43"/>
      <c r="Q119" s="43"/>
      <c r="R119" s="43"/>
      <c r="S119" s="317"/>
      <c r="T119" s="317"/>
      <c r="U119" s="49"/>
      <c r="V119" s="317"/>
      <c r="X119" s="272"/>
      <c r="Y119" s="272"/>
      <c r="Z119" s="272"/>
      <c r="AA119" s="272"/>
      <c r="AB119" s="272"/>
      <c r="AC119" s="272"/>
    </row>
    <row r="120" spans="1:29" s="52" customFormat="1" ht="132.75" customHeight="1" x14ac:dyDescent="0.25">
      <c r="A120" s="23"/>
      <c r="B120" s="50"/>
      <c r="C120" s="336" t="s">
        <v>62</v>
      </c>
      <c r="D120" s="336" t="s">
        <v>64</v>
      </c>
      <c r="E120" s="336" t="s">
        <v>75</v>
      </c>
      <c r="F120" s="336" t="s">
        <v>1231</v>
      </c>
      <c r="G120" s="336"/>
      <c r="H120" s="336"/>
      <c r="I120" s="336"/>
      <c r="J120" s="336"/>
      <c r="K120" s="336"/>
      <c r="L120" s="336" t="s">
        <v>1300</v>
      </c>
      <c r="M120" s="336" t="s">
        <v>1222</v>
      </c>
      <c r="N120" s="125" t="s">
        <v>1309</v>
      </c>
      <c r="O120" s="125" t="s">
        <v>79</v>
      </c>
      <c r="P120" s="125" t="s">
        <v>1159</v>
      </c>
      <c r="Q120" s="43"/>
      <c r="R120" s="43"/>
      <c r="S120" s="318"/>
      <c r="T120" s="318"/>
      <c r="U120" s="51"/>
      <c r="V120" s="318"/>
      <c r="X120" s="272"/>
      <c r="Y120" s="272"/>
      <c r="Z120" s="272"/>
      <c r="AA120" s="272"/>
      <c r="AB120" s="272"/>
      <c r="AC120" s="272"/>
    </row>
    <row r="121" spans="1:29" s="52" customFormat="1" ht="15.75" x14ac:dyDescent="0.25">
      <c r="A121" s="23"/>
      <c r="B121" s="50"/>
      <c r="C121" s="336"/>
      <c r="D121" s="349"/>
      <c r="E121" s="349"/>
      <c r="F121" s="125" t="str">
        <f>IF(1&lt;='Шаг 1. Основные исходные данные'!$E$5,"1 год","-")</f>
        <v>1 год</v>
      </c>
      <c r="G121" s="125" t="str">
        <f>IF(2&lt;='Шаг 1. Основные исходные данные'!$E$5,"2 год","-")</f>
        <v>2 год</v>
      </c>
      <c r="H121" s="125" t="str">
        <f>IF(3&lt;='Шаг 1. Основные исходные данные'!$E$5,"3 год","-")</f>
        <v>3 год</v>
      </c>
      <c r="I121" s="125" t="str">
        <f>IF(4&lt;='Шаг 1. Основные исходные данные'!$E$5,"4 год","-")</f>
        <v>4 год</v>
      </c>
      <c r="J121" s="125" t="str">
        <f>IF(5&lt;='Шаг 1. Основные исходные данные'!$E$5,"5 год","-")</f>
        <v>5 год</v>
      </c>
      <c r="K121" s="125" t="str">
        <f>IF(6&lt;='Шаг 1. Основные исходные данные'!$E$5,"6 год","-")</f>
        <v>6 год</v>
      </c>
      <c r="L121" s="349"/>
      <c r="M121" s="349"/>
      <c r="N121" s="125"/>
      <c r="O121" s="125"/>
      <c r="P121" s="125"/>
      <c r="Q121" s="43"/>
      <c r="R121" s="43"/>
      <c r="S121" s="318"/>
      <c r="T121" s="318"/>
      <c r="U121" s="51"/>
      <c r="V121" s="318"/>
      <c r="X121" s="279" t="s">
        <v>1221</v>
      </c>
      <c r="Y121" s="279" t="s">
        <v>1223</v>
      </c>
      <c r="Z121" s="279" t="s">
        <v>1224</v>
      </c>
      <c r="AA121" s="279" t="s">
        <v>1225</v>
      </c>
      <c r="AB121" s="279" t="s">
        <v>1226</v>
      </c>
      <c r="AC121" s="279" t="s">
        <v>1227</v>
      </c>
    </row>
    <row r="122" spans="1:29" s="37" customFormat="1" ht="15.75" x14ac:dyDescent="0.25">
      <c r="A122" s="43"/>
      <c r="B122" s="48"/>
      <c r="C122" s="89" t="str">
        <f>IF(LEN(D122)&gt;0,1,"")</f>
        <v/>
      </c>
      <c r="D122" s="31"/>
      <c r="E122" s="96"/>
      <c r="F122" s="96"/>
      <c r="G122" s="96"/>
      <c r="H122" s="96"/>
      <c r="I122" s="96"/>
      <c r="J122" s="96"/>
      <c r="K122" s="96"/>
      <c r="L122" s="96"/>
      <c r="M122" s="96"/>
      <c r="N122" s="96"/>
      <c r="O122" s="97">
        <f>'Шаг 1. Основные исходные данные'!$E$8</f>
        <v>0</v>
      </c>
      <c r="P122" s="97">
        <f>SUM(X122:AC122)</f>
        <v>0</v>
      </c>
      <c r="Q122" s="43"/>
      <c r="R122" s="43"/>
      <c r="S122" s="317"/>
      <c r="T122" s="317"/>
      <c r="U122" s="49"/>
      <c r="V122" s="317"/>
      <c r="W122" s="281"/>
      <c r="X122" s="283">
        <f>$O122*'Шаг 1. Основные исходные данные'!$E$11*(12/'Шаг 1. Основные исходные данные'!$E$10/8)*F122*$M122*$E$18*X$19</f>
        <v>0</v>
      </c>
      <c r="Y122" s="283">
        <f>IF($E122=Dict!$F$2,0,
$O122*'Шаг 1. Основные исходные данные'!$E$11*(12/'Шаг 1. Основные исходные данные'!$E$10/8)*G122*$M122*$E$18*Y$19)</f>
        <v>0</v>
      </c>
      <c r="Z122" s="283">
        <f>IF($E122=Dict!$F$2,0,
$O122*'Шаг 1. Основные исходные данные'!$E$11*(12/'Шаг 1. Основные исходные данные'!$E$10/8)*H122*$M122*$E$18*Z$19)</f>
        <v>0</v>
      </c>
      <c r="AA122" s="283">
        <f>IF($E122=Dict!$F$2,0,
$O122*'Шаг 1. Основные исходные данные'!$E$11*(12/'Шаг 1. Основные исходные данные'!$E$10/8)*I122*$M122*$E$18*AA$19)</f>
        <v>0</v>
      </c>
      <c r="AB122" s="283">
        <f>IF($E122=Dict!$F$2,0,
$O122*'Шаг 1. Основные исходные данные'!$E$11*(12/'Шаг 1. Основные исходные данные'!$E$10/8)*J122*$M122*$E$18*AB$19)</f>
        <v>0</v>
      </c>
      <c r="AC122" s="283">
        <f>IF($E122=Dict!$F$2,0,
$O122*'Шаг 1. Основные исходные данные'!$E$11*(12/'Шаг 1. Основные исходные данные'!$E$10/8)*K122*$M122*$E$18*AC$19)</f>
        <v>0</v>
      </c>
    </row>
    <row r="123" spans="1:29" s="37" customFormat="1" ht="15.75" x14ac:dyDescent="0.25">
      <c r="A123" s="43"/>
      <c r="B123" s="48"/>
      <c r="C123" s="89" t="str">
        <f>IF(LEN(D123)&gt;0,C122+1,"")</f>
        <v/>
      </c>
      <c r="D123" s="31"/>
      <c r="E123" s="96"/>
      <c r="F123" s="96"/>
      <c r="G123" s="96"/>
      <c r="H123" s="96"/>
      <c r="I123" s="96"/>
      <c r="J123" s="96"/>
      <c r="K123" s="96"/>
      <c r="L123" s="96"/>
      <c r="M123" s="96"/>
      <c r="N123" s="96"/>
      <c r="O123" s="97">
        <f>'Шаг 1. Основные исходные данные'!$E$8</f>
        <v>0</v>
      </c>
      <c r="P123" s="97">
        <f>SUM(X123:AC123)</f>
        <v>0</v>
      </c>
      <c r="Q123" s="43"/>
      <c r="R123" s="43"/>
      <c r="S123" s="317"/>
      <c r="T123" s="317"/>
      <c r="U123" s="49"/>
      <c r="V123" s="317"/>
      <c r="W123" s="281"/>
      <c r="X123" s="283">
        <f>$O123*'Шаг 1. Основные исходные данные'!$E$11*(12/'Шаг 1. Основные исходные данные'!$E$10/8)*F123*$M123*$E$18*X$19</f>
        <v>0</v>
      </c>
      <c r="Y123" s="283">
        <f>IF($E123=Dict!$F$2,0,
$O123*'Шаг 1. Основные исходные данные'!$E$11*(12/'Шаг 1. Основные исходные данные'!$E$10/8)*G123*$M123*$E$18*Y$19)</f>
        <v>0</v>
      </c>
      <c r="Z123" s="283">
        <f>IF($E123=Dict!$F$2,0,
$O123*'Шаг 1. Основные исходные данные'!$E$11*(12/'Шаг 1. Основные исходные данные'!$E$10/8)*H123*$M123*$E$18*Z$19)</f>
        <v>0</v>
      </c>
      <c r="AA123" s="283">
        <f>IF($E123=Dict!$F$2,0,
$O123*'Шаг 1. Основные исходные данные'!$E$11*(12/'Шаг 1. Основные исходные данные'!$E$10/8)*I123*$M123*$E$18*AA$19)</f>
        <v>0</v>
      </c>
      <c r="AB123" s="283">
        <f>IF($E123=Dict!$F$2,0,
$O123*'Шаг 1. Основные исходные данные'!$E$11*(12/'Шаг 1. Основные исходные данные'!$E$10/8)*J123*$M123*$E$18*AB$19)</f>
        <v>0</v>
      </c>
      <c r="AC123" s="283">
        <f>IF($E123=Dict!$F$2,0,
$O123*'Шаг 1. Основные исходные данные'!$E$11*(12/'Шаг 1. Основные исходные данные'!$E$10/8)*K123*$M123*$E$18*AC$19)</f>
        <v>0</v>
      </c>
    </row>
    <row r="124" spans="1:29" s="37" customFormat="1" ht="15.75" x14ac:dyDescent="0.25">
      <c r="A124" s="43"/>
      <c r="B124" s="48"/>
      <c r="C124" s="89" t="str">
        <f>IF(LEN(D124)&gt;0,C123+1,"")</f>
        <v/>
      </c>
      <c r="D124" s="31"/>
      <c r="E124" s="96"/>
      <c r="F124" s="96"/>
      <c r="G124" s="96"/>
      <c r="H124" s="96"/>
      <c r="I124" s="96"/>
      <c r="J124" s="96"/>
      <c r="K124" s="96"/>
      <c r="L124" s="96"/>
      <c r="M124" s="96"/>
      <c r="N124" s="96"/>
      <c r="O124" s="97">
        <f>'Шаг 1. Основные исходные данные'!$E$8</f>
        <v>0</v>
      </c>
      <c r="P124" s="97">
        <f>SUM(X124:AC124)</f>
        <v>0</v>
      </c>
      <c r="Q124" s="43"/>
      <c r="R124" s="43"/>
      <c r="S124" s="317"/>
      <c r="T124" s="317"/>
      <c r="U124" s="49"/>
      <c r="V124" s="317"/>
      <c r="X124" s="283">
        <f>$O124*'Шаг 1. Основные исходные данные'!$E$11*(12/'Шаг 1. Основные исходные данные'!$E$10/8)*F124*$M124*$E$18*X$19</f>
        <v>0</v>
      </c>
      <c r="Y124" s="283">
        <f>IF($E124=Dict!$F$2,0,
$O124*'Шаг 1. Основные исходные данные'!$E$11*(12/'Шаг 1. Основные исходные данные'!$E$10/8)*G124*$M124*$E$18*Y$19)</f>
        <v>0</v>
      </c>
      <c r="Z124" s="283">
        <f>IF($E124=Dict!$F$2,0,
$O124*'Шаг 1. Основные исходные данные'!$E$11*(12/'Шаг 1. Основные исходные данные'!$E$10/8)*H124*$M124*$E$18*Z$19)</f>
        <v>0</v>
      </c>
      <c r="AA124" s="283">
        <f>IF($E124=Dict!$F$2,0,
$O124*'Шаг 1. Основные исходные данные'!$E$11*(12/'Шаг 1. Основные исходные данные'!$E$10/8)*I124*$M124*$E$18*AA$19)</f>
        <v>0</v>
      </c>
      <c r="AB124" s="283">
        <f>IF($E124=Dict!$F$2,0,
$O124*'Шаг 1. Основные исходные данные'!$E$11*(12/'Шаг 1. Основные исходные данные'!$E$10/8)*J124*$M124*$E$18*AB$19)</f>
        <v>0</v>
      </c>
      <c r="AC124" s="283">
        <f>IF($E124=Dict!$F$2,0,
$O124*'Шаг 1. Основные исходные данные'!$E$11*(12/'Шаг 1. Основные исходные данные'!$E$10/8)*K124*$M124*$E$18*AC$19)</f>
        <v>0</v>
      </c>
    </row>
    <row r="125" spans="1:29" s="37" customFormat="1" ht="15.75" x14ac:dyDescent="0.25">
      <c r="A125" s="43"/>
      <c r="B125" s="48"/>
      <c r="C125" s="89" t="str">
        <f>IF(LEN(D125)&gt;0,C124+1,"")</f>
        <v/>
      </c>
      <c r="D125" s="31"/>
      <c r="E125" s="96"/>
      <c r="F125" s="96"/>
      <c r="G125" s="96"/>
      <c r="H125" s="96"/>
      <c r="I125" s="96"/>
      <c r="J125" s="96"/>
      <c r="K125" s="96"/>
      <c r="L125" s="96"/>
      <c r="M125" s="96"/>
      <c r="N125" s="96"/>
      <c r="O125" s="97">
        <f>'Шаг 1. Основные исходные данные'!$E$8</f>
        <v>0</v>
      </c>
      <c r="P125" s="97">
        <f>SUM(X125:AC125)</f>
        <v>0</v>
      </c>
      <c r="Q125" s="43"/>
      <c r="R125" s="43"/>
      <c r="S125" s="317"/>
      <c r="T125" s="317"/>
      <c r="U125" s="49"/>
      <c r="V125" s="317"/>
      <c r="X125" s="283">
        <f>$O125*'Шаг 1. Основные исходные данные'!$E$11*(12/'Шаг 1. Основные исходные данные'!$E$10/8)*F125*$M125*$E$18*X$19</f>
        <v>0</v>
      </c>
      <c r="Y125" s="283">
        <f>IF($E125=Dict!$F$2,0,
$O125*'Шаг 1. Основные исходные данные'!$E$11*(12/'Шаг 1. Основные исходные данные'!$E$10/8)*G125*$M125*$E$18*Y$19)</f>
        <v>0</v>
      </c>
      <c r="Z125" s="283">
        <f>IF($E125=Dict!$F$2,0,
$O125*'Шаг 1. Основные исходные данные'!$E$11*(12/'Шаг 1. Основные исходные данные'!$E$10/8)*H125*$M125*$E$18*Z$19)</f>
        <v>0</v>
      </c>
      <c r="AA125" s="283">
        <f>IF($E125=Dict!$F$2,0,
$O125*'Шаг 1. Основные исходные данные'!$E$11*(12/'Шаг 1. Основные исходные данные'!$E$10/8)*I125*$M125*$E$18*AA$19)</f>
        <v>0</v>
      </c>
      <c r="AB125" s="283">
        <f>IF($E125=Dict!$F$2,0,
$O125*'Шаг 1. Основные исходные данные'!$E$11*(12/'Шаг 1. Основные исходные данные'!$E$10/8)*J125*$M125*$E$18*AB$19)</f>
        <v>0</v>
      </c>
      <c r="AC125" s="283">
        <f>IF($E125=Dict!$F$2,0,
$O125*'Шаг 1. Основные исходные данные'!$E$11*(12/'Шаг 1. Основные исходные данные'!$E$10/8)*K125*$M125*$E$18*AC$19)</f>
        <v>0</v>
      </c>
    </row>
    <row r="126" spans="1:29" s="37" customFormat="1" ht="15.75" x14ac:dyDescent="0.25">
      <c r="A126" s="43"/>
      <c r="B126" s="48"/>
      <c r="C126" s="89" t="str">
        <f>IF(LEN(D126)&gt;0,C125+1,"")</f>
        <v/>
      </c>
      <c r="D126" s="31"/>
      <c r="E126" s="96"/>
      <c r="F126" s="96"/>
      <c r="G126" s="96"/>
      <c r="H126" s="96"/>
      <c r="I126" s="96"/>
      <c r="J126" s="96"/>
      <c r="K126" s="96"/>
      <c r="L126" s="96"/>
      <c r="M126" s="96"/>
      <c r="N126" s="96"/>
      <c r="O126" s="97">
        <f>'Шаг 1. Основные исходные данные'!$E$8</f>
        <v>0</v>
      </c>
      <c r="P126" s="97">
        <f>SUM(X126:AC126)</f>
        <v>0</v>
      </c>
      <c r="Q126" s="43"/>
      <c r="R126" s="43"/>
      <c r="S126" s="317"/>
      <c r="T126" s="317"/>
      <c r="U126" s="49"/>
      <c r="V126" s="317"/>
      <c r="X126" s="283">
        <f>$O126*'Шаг 1. Основные исходные данные'!$E$11*(12/'Шаг 1. Основные исходные данные'!$E$10/8)*F126*$M126*$E$18*X$19</f>
        <v>0</v>
      </c>
      <c r="Y126" s="283">
        <f>IF($E126=Dict!$F$2,0,
$O126*'Шаг 1. Основные исходные данные'!$E$11*(12/'Шаг 1. Основные исходные данные'!$E$10/8)*G126*$M126*$E$18*Y$19)</f>
        <v>0</v>
      </c>
      <c r="Z126" s="283">
        <f>IF($E126=Dict!$F$2,0,
$O126*'Шаг 1. Основные исходные данные'!$E$11*(12/'Шаг 1. Основные исходные данные'!$E$10/8)*H126*$M126*$E$18*Z$19)</f>
        <v>0</v>
      </c>
      <c r="AA126" s="283">
        <f>IF($E126=Dict!$F$2,0,
$O126*'Шаг 1. Основные исходные данные'!$E$11*(12/'Шаг 1. Основные исходные данные'!$E$10/8)*I126*$M126*$E$18*AA$19)</f>
        <v>0</v>
      </c>
      <c r="AB126" s="283">
        <f>IF($E126=Dict!$F$2,0,
$O126*'Шаг 1. Основные исходные данные'!$E$11*(12/'Шаг 1. Основные исходные данные'!$E$10/8)*J126*$M126*$E$18*AB$19)</f>
        <v>0</v>
      </c>
      <c r="AC126" s="283">
        <f>IF($E126=Dict!$F$2,0,
$O126*'Шаг 1. Основные исходные данные'!$E$11*(12/'Шаг 1. Основные исходные данные'!$E$10/8)*K126*$M126*$E$18*AC$19)</f>
        <v>0</v>
      </c>
    </row>
    <row r="127" spans="1:29" s="91" customFormat="1" ht="19.899999999999999" customHeight="1" x14ac:dyDescent="0.25">
      <c r="A127" s="90"/>
      <c r="B127" s="92"/>
      <c r="C127" s="94" t="s">
        <v>95</v>
      </c>
      <c r="D127" s="99"/>
      <c r="E127" s="99"/>
      <c r="F127" s="99"/>
      <c r="G127" s="99"/>
      <c r="H127" s="99"/>
      <c r="I127" s="99"/>
      <c r="J127" s="99"/>
      <c r="K127" s="99"/>
      <c r="L127" s="99"/>
      <c r="M127" s="99"/>
      <c r="N127" s="99"/>
      <c r="O127" s="99"/>
      <c r="P127" s="95">
        <f>SUM(P122:P126)</f>
        <v>0</v>
      </c>
      <c r="Q127" s="43"/>
      <c r="R127" s="43"/>
      <c r="S127" s="319"/>
      <c r="T127" s="319"/>
      <c r="U127" s="93"/>
      <c r="V127" s="319"/>
      <c r="X127" s="278">
        <f t="shared" ref="X127:AC127" si="11">SUM(X122:X126)</f>
        <v>0</v>
      </c>
      <c r="Y127" s="278">
        <f t="shared" si="11"/>
        <v>0</v>
      </c>
      <c r="Z127" s="278">
        <f t="shared" si="11"/>
        <v>0</v>
      </c>
      <c r="AA127" s="278">
        <f t="shared" si="11"/>
        <v>0</v>
      </c>
      <c r="AB127" s="278">
        <f t="shared" si="11"/>
        <v>0</v>
      </c>
      <c r="AC127" s="278">
        <f t="shared" si="11"/>
        <v>0</v>
      </c>
    </row>
    <row r="128" spans="1:29" s="37" customFormat="1" ht="15.75" x14ac:dyDescent="0.25">
      <c r="A128" s="43"/>
      <c r="B128" s="48"/>
      <c r="C128" s="43"/>
      <c r="D128" s="43"/>
      <c r="E128" s="43"/>
      <c r="F128" s="43"/>
      <c r="G128" s="43"/>
      <c r="H128" s="43"/>
      <c r="I128" s="43"/>
      <c r="J128" s="43"/>
      <c r="K128" s="43"/>
      <c r="L128" s="43"/>
      <c r="M128" s="43"/>
      <c r="N128" s="43"/>
      <c r="O128" s="43"/>
      <c r="P128" s="43"/>
      <c r="Q128" s="43"/>
      <c r="R128" s="43"/>
      <c r="S128" s="317"/>
      <c r="T128" s="317"/>
      <c r="U128" s="49"/>
      <c r="V128" s="317"/>
      <c r="X128" s="271"/>
      <c r="Y128" s="271"/>
      <c r="Z128" s="271"/>
      <c r="AA128" s="271"/>
      <c r="AB128" s="271"/>
      <c r="AC128" s="271"/>
    </row>
    <row r="129" spans="1:29" s="37" customFormat="1" ht="15.75" x14ac:dyDescent="0.25">
      <c r="A129" s="43"/>
      <c r="B129" s="48"/>
      <c r="C129" s="39" t="s">
        <v>80</v>
      </c>
      <c r="D129" s="43"/>
      <c r="E129" s="43"/>
      <c r="F129" s="43"/>
      <c r="G129" s="43"/>
      <c r="H129" s="43"/>
      <c r="I129" s="43"/>
      <c r="J129" s="43"/>
      <c r="K129" s="43"/>
      <c r="L129" s="43"/>
      <c r="M129" s="43"/>
      <c r="N129" s="43"/>
      <c r="O129" s="43"/>
      <c r="P129" s="43"/>
      <c r="Q129" s="43"/>
      <c r="R129" s="43"/>
      <c r="S129" s="317"/>
      <c r="T129" s="317"/>
      <c r="U129" s="49"/>
      <c r="V129" s="317"/>
      <c r="X129" s="271"/>
      <c r="Y129" s="271"/>
      <c r="Z129" s="271"/>
      <c r="AA129" s="271"/>
      <c r="AB129" s="271"/>
      <c r="AC129" s="271"/>
    </row>
    <row r="130" spans="1:29" s="37" customFormat="1" ht="126" x14ac:dyDescent="0.25">
      <c r="A130" s="43"/>
      <c r="B130" s="48"/>
      <c r="C130" s="125" t="s">
        <v>62</v>
      </c>
      <c r="D130" s="125" t="s">
        <v>74</v>
      </c>
      <c r="E130" s="125" t="s">
        <v>1160</v>
      </c>
      <c r="F130" s="125" t="s">
        <v>1168</v>
      </c>
      <c r="G130" s="125" t="s">
        <v>1167</v>
      </c>
      <c r="H130" s="336" t="s">
        <v>1232</v>
      </c>
      <c r="I130" s="336"/>
      <c r="J130" s="336"/>
      <c r="K130" s="336"/>
      <c r="L130" s="336"/>
      <c r="M130" s="336"/>
      <c r="N130" s="125" t="s">
        <v>1301</v>
      </c>
      <c r="O130" s="125" t="s">
        <v>1169</v>
      </c>
      <c r="P130" s="316" t="s">
        <v>1307</v>
      </c>
      <c r="Q130" s="125" t="s">
        <v>1269</v>
      </c>
      <c r="R130" s="316" t="s">
        <v>1308</v>
      </c>
      <c r="S130" s="125" t="s">
        <v>1166</v>
      </c>
      <c r="T130" s="125" t="s">
        <v>1170</v>
      </c>
      <c r="U130" s="49"/>
      <c r="V130" s="317"/>
      <c r="X130" s="271">
        <v>1</v>
      </c>
      <c r="Y130" s="271">
        <v>2</v>
      </c>
      <c r="Z130" s="271">
        <v>3</v>
      </c>
      <c r="AA130" s="271">
        <v>4</v>
      </c>
      <c r="AB130" s="271">
        <v>5</v>
      </c>
      <c r="AC130" s="271">
        <v>6</v>
      </c>
    </row>
    <row r="131" spans="1:29" s="37" customFormat="1" ht="15.75" x14ac:dyDescent="0.25">
      <c r="A131" s="43"/>
      <c r="B131" s="48"/>
      <c r="C131" s="125"/>
      <c r="D131" s="125"/>
      <c r="E131" s="125"/>
      <c r="F131" s="125"/>
      <c r="G131" s="125"/>
      <c r="H131" s="125" t="str">
        <f>IF(1&lt;='Шаг 1. Основные исходные данные'!$E$5,"1 год","-")</f>
        <v>1 год</v>
      </c>
      <c r="I131" s="125" t="str">
        <f>IF(2&lt;='Шаг 1. Основные исходные данные'!$E$5,"2 год","-")</f>
        <v>2 год</v>
      </c>
      <c r="J131" s="125" t="str">
        <f>IF(3&lt;='Шаг 1. Основные исходные данные'!$E$5,"3 год","-")</f>
        <v>3 год</v>
      </c>
      <c r="K131" s="125" t="str">
        <f>IF(4&lt;='Шаг 1. Основные исходные данные'!$E$5,"4 год","-")</f>
        <v>4 год</v>
      </c>
      <c r="L131" s="125" t="str">
        <f>IF(5&lt;='Шаг 1. Основные исходные данные'!$E$5,"5 год","-")</f>
        <v>5 год</v>
      </c>
      <c r="M131" s="125" t="str">
        <f>IF(6&lt;='Шаг 1. Основные исходные данные'!$E$5,"6 год","-")</f>
        <v>6 год</v>
      </c>
      <c r="N131" s="125"/>
      <c r="O131" s="125"/>
      <c r="P131" s="316"/>
      <c r="Q131" s="125"/>
      <c r="R131" s="316"/>
      <c r="S131" s="125"/>
      <c r="T131" s="125"/>
      <c r="U131" s="49"/>
      <c r="V131" s="317"/>
      <c r="X131" s="279" t="s">
        <v>1221</v>
      </c>
      <c r="Y131" s="279" t="s">
        <v>1223</v>
      </c>
      <c r="Z131" s="279" t="s">
        <v>1224</v>
      </c>
      <c r="AA131" s="279" t="s">
        <v>1225</v>
      </c>
      <c r="AB131" s="279" t="s">
        <v>1226</v>
      </c>
      <c r="AC131" s="279" t="s">
        <v>1227</v>
      </c>
    </row>
    <row r="132" spans="1:29" s="37" customFormat="1" ht="15.75" x14ac:dyDescent="0.25">
      <c r="A132" s="43"/>
      <c r="B132" s="48"/>
      <c r="C132" s="89" t="str">
        <f>IF(LEN(D132)&gt;0,1,"")</f>
        <v/>
      </c>
      <c r="D132" s="31"/>
      <c r="E132" s="31"/>
      <c r="F132" s="96"/>
      <c r="G132" s="96"/>
      <c r="H132" s="96"/>
      <c r="I132" s="96"/>
      <c r="J132" s="96"/>
      <c r="K132" s="96"/>
      <c r="L132" s="96"/>
      <c r="M132" s="96"/>
      <c r="N132" s="96"/>
      <c r="O132" s="98"/>
      <c r="P132" s="96"/>
      <c r="Q132" s="96"/>
      <c r="R132" s="96"/>
      <c r="S132" s="257">
        <f>IF($E132=Dict!$I$2,IF($G132&gt;='Шаг 1. Основные исходные данные'!$E$5,1,ROUNDUP('Шаг 1. Основные исходные данные'!$E$5/$G132,0)),IF($F132=Dict!$J$2,1,SUM($H132:$M132)))</f>
        <v>0</v>
      </c>
      <c r="T132" s="97">
        <f>SUM(X132:AC132)</f>
        <v>0</v>
      </c>
      <c r="U132" s="49"/>
      <c r="V132" s="317"/>
      <c r="X132" s="282">
        <f>IF($E132=Dict!$I$2,1,IF($F132=Dict!$J$2,1,H132))*$O132*$Q132*X$18*$E$18</f>
        <v>0</v>
      </c>
      <c r="Y132" s="282">
        <f>IF($E132=Dict!$I$2,
IF($G132&gt;='Шаг 1. Основные исходные данные'!$E$5,0,
IF(MOD(Y$34-1,$G132)=0,1,0)),IF($F132=Dict!$J$2,0,I132))*$O132*$Q132*Y$18*$E$18</f>
        <v>0</v>
      </c>
      <c r="Z132" s="277">
        <f>IF($E132=Dict!$I$2,
IF($G132&gt;='Шаг 1. Основные исходные данные'!$E$5,0,
IF(MOD(Z$34-1,$G132)=0,1,0)),IF($F132=Dict!$J$2,0,J132))*$O132*$Q132*Z$18*$E$18</f>
        <v>0</v>
      </c>
      <c r="AA132" s="277">
        <f>IF($E132=Dict!$I$2,
IF($G132&gt;='Шаг 1. Основные исходные данные'!$E$5,0,
IF(MOD(AA$34-1,$G132)=0,1,0)),IF($F132=Dict!$J$2,0,K132))*$O132*$Q132*AA$18*$E$18</f>
        <v>0</v>
      </c>
      <c r="AB132" s="277">
        <f>IF($E132=Dict!$I$2,
IF($G132&gt;='Шаг 1. Основные исходные данные'!$E$5,0,
IF(MOD(AB$34-1,$G132)=0,1,0)),IF($F132=Dict!$J$2,0,L132))*$O132*$Q132*AB$18*$E$18</f>
        <v>0</v>
      </c>
      <c r="AC132" s="277">
        <f>IF($E132=Dict!$I$2,
IF($G132&gt;='Шаг 1. Основные исходные данные'!$E$5,0,
IF(MOD(AC$34-1,$G132)=0,1,0)),IF($F132=Dict!$J$2,0,M132))*$O132*$Q132*AC$18*$E$18</f>
        <v>0</v>
      </c>
    </row>
    <row r="133" spans="1:29" s="37" customFormat="1" ht="15.75" x14ac:dyDescent="0.25">
      <c r="A133" s="43"/>
      <c r="B133" s="48"/>
      <c r="C133" s="89" t="str">
        <f>IF(LEN(D133)&gt;0,C132+1,"")</f>
        <v/>
      </c>
      <c r="D133" s="31"/>
      <c r="E133" s="31"/>
      <c r="F133" s="96"/>
      <c r="G133" s="96"/>
      <c r="H133" s="96"/>
      <c r="I133" s="96"/>
      <c r="J133" s="96"/>
      <c r="K133" s="96"/>
      <c r="L133" s="96"/>
      <c r="M133" s="96"/>
      <c r="N133" s="96"/>
      <c r="O133" s="98"/>
      <c r="P133" s="96"/>
      <c r="Q133" s="96"/>
      <c r="R133" s="96"/>
      <c r="S133" s="257">
        <f>IF($E133=Dict!$I$2,IF($G133&gt;='Шаг 1. Основные исходные данные'!$E$5,1,ROUNDUP('Шаг 1. Основные исходные данные'!$E$5/$G133,0)),IF($F133=Dict!$J$2,1,SUM($H133:$M133)))</f>
        <v>0</v>
      </c>
      <c r="T133" s="97">
        <f>SUM(X133:AC133)</f>
        <v>0</v>
      </c>
      <c r="U133" s="49"/>
      <c r="V133" s="317"/>
      <c r="X133" s="283">
        <f>IF($E133=Dict!$I$2,1,IF($F133=Dict!$J$2,1,H133))*$O133*$Q133*X$18*$E$18</f>
        <v>0</v>
      </c>
      <c r="Y133" s="283">
        <f>IF($E133=Dict!$I$2,
IF($G133&gt;='Шаг 1. Основные исходные данные'!$E$5,0,
IF(MOD(Y$34-1,$G133)=0,1,0)),IF($F133=Dict!$J$2,0,I133))*$O133*$Q133*Y$18*$E$18</f>
        <v>0</v>
      </c>
      <c r="Z133" s="277">
        <f>IF($E133=Dict!$I$2,
IF($G133&gt;='Шаг 1. Основные исходные данные'!$E$5,0,
IF(MOD(Z$34-1,$G133)=0,1,0)),IF($F133=Dict!$J$2,0,J133))*$O133*$Q133*Z$18*$E$18</f>
        <v>0</v>
      </c>
      <c r="AA133" s="277">
        <f>IF($E133=Dict!$I$2,
IF($G133&gt;='Шаг 1. Основные исходные данные'!$E$5,0,
IF(MOD(AA$34-1,$G133)=0,1,0)),IF($F133=Dict!$J$2,0,K133))*$O133*$Q133*AA$18*$E$18</f>
        <v>0</v>
      </c>
      <c r="AB133" s="277">
        <f>IF($E133=Dict!$I$2,
IF($G133&gt;='Шаг 1. Основные исходные данные'!$E$5,0,
IF(MOD(AB$34-1,$G133)=0,1,0)),IF($F133=Dict!$J$2,0,L133))*$O133*$Q133*AB$18*$E$18</f>
        <v>0</v>
      </c>
      <c r="AC133" s="277">
        <f>IF($E133=Dict!$I$2,
IF($G133&gt;='Шаг 1. Основные исходные данные'!$E$5,0,
IF(MOD(AC$34-1,$G133)=0,1,0)),IF($F133=Dict!$J$2,0,M133))*$O133*$Q133*AC$18*$E$18</f>
        <v>0</v>
      </c>
    </row>
    <row r="134" spans="1:29" s="37" customFormat="1" ht="15.75" x14ac:dyDescent="0.25">
      <c r="A134" s="43"/>
      <c r="B134" s="48"/>
      <c r="C134" s="89" t="str">
        <f>IF(LEN(D134)&gt;0,C133+1,"")</f>
        <v/>
      </c>
      <c r="D134" s="31"/>
      <c r="E134" s="31"/>
      <c r="F134" s="96"/>
      <c r="G134" s="96"/>
      <c r="H134" s="96"/>
      <c r="I134" s="96"/>
      <c r="J134" s="96"/>
      <c r="K134" s="96"/>
      <c r="L134" s="96"/>
      <c r="M134" s="96"/>
      <c r="N134" s="96"/>
      <c r="O134" s="98"/>
      <c r="P134" s="96"/>
      <c r="Q134" s="96"/>
      <c r="R134" s="96"/>
      <c r="S134" s="257">
        <f>IF($E134=Dict!$I$2,IF($G134&gt;='Шаг 1. Основные исходные данные'!$E$5,1,ROUNDUP('Шаг 1. Основные исходные данные'!$E$5/$G134,0)),IF($F134=Dict!$J$2,1,SUM($H134:$M134)))</f>
        <v>0</v>
      </c>
      <c r="T134" s="97">
        <f>SUM(X134:AC134)</f>
        <v>0</v>
      </c>
      <c r="U134" s="49"/>
      <c r="V134" s="317"/>
      <c r="X134" s="283">
        <f>IF($E134=Dict!$I$2,1,IF($F134=Dict!$J$2,1,H134))*$O134*$Q134*X$18*$E$18</f>
        <v>0</v>
      </c>
      <c r="Y134" s="283">
        <f>IF($E134=Dict!$I$2,
IF($G134&gt;='Шаг 1. Основные исходные данные'!$E$5,0,
IF(MOD(Y$34-1,$G134)=0,1,0)),IF($F134=Dict!$J$2,0,I134))*$O134*$Q134*Y$18*$E$18</f>
        <v>0</v>
      </c>
      <c r="Z134" s="277">
        <f>IF($E134=Dict!$I$2,
IF($G134&gt;='Шаг 1. Основные исходные данные'!$E$5,0,
IF(MOD(Z$34-1,$G134)=0,1,0)),IF($F134=Dict!$J$2,0,J134))*$O134*$Q134*Z$18*$E$18</f>
        <v>0</v>
      </c>
      <c r="AA134" s="277">
        <f>IF($E134=Dict!$I$2,
IF($G134&gt;='Шаг 1. Основные исходные данные'!$E$5,0,
IF(MOD(AA$34-1,$G134)=0,1,0)),IF($F134=Dict!$J$2,0,K134))*$O134*$Q134*AA$18*$E$18</f>
        <v>0</v>
      </c>
      <c r="AB134" s="277">
        <f>IF($E134=Dict!$I$2,
IF($G134&gt;='Шаг 1. Основные исходные данные'!$E$5,0,
IF(MOD(AB$34-1,$G134)=0,1,0)),IF($F134=Dict!$J$2,0,L134))*$O134*$Q134*AB$18*$E$18</f>
        <v>0</v>
      </c>
      <c r="AC134" s="277">
        <f>IF($E134=Dict!$I$2,
IF($G134&gt;='Шаг 1. Основные исходные данные'!$E$5,0,
IF(MOD(AC$34-1,$G134)=0,1,0)),IF($F134=Dict!$J$2,0,M134))*$O134*$Q134*AC$18*$E$18</f>
        <v>0</v>
      </c>
    </row>
    <row r="135" spans="1:29" s="37" customFormat="1" ht="15.75" x14ac:dyDescent="0.25">
      <c r="A135" s="43"/>
      <c r="B135" s="48"/>
      <c r="C135" s="89" t="str">
        <f>IF(LEN(D135)&gt;0,C134+1,"")</f>
        <v/>
      </c>
      <c r="D135" s="31"/>
      <c r="E135" s="31"/>
      <c r="F135" s="96"/>
      <c r="G135" s="96"/>
      <c r="H135" s="96"/>
      <c r="I135" s="96"/>
      <c r="J135" s="96"/>
      <c r="K135" s="96"/>
      <c r="L135" s="96"/>
      <c r="M135" s="96"/>
      <c r="N135" s="96"/>
      <c r="O135" s="98"/>
      <c r="P135" s="96"/>
      <c r="Q135" s="96"/>
      <c r="R135" s="96"/>
      <c r="S135" s="257">
        <f>IF($E135=Dict!$I$2,IF($G135&gt;='Шаг 1. Основные исходные данные'!$E$5,1,ROUNDUP('Шаг 1. Основные исходные данные'!$E$5/$G135,0)),IF($F135=Dict!$J$2,1,SUM($H135:$M135)))</f>
        <v>0</v>
      </c>
      <c r="T135" s="97">
        <f>SUM(X135:AC135)</f>
        <v>0</v>
      </c>
      <c r="U135" s="49"/>
      <c r="V135" s="317"/>
      <c r="X135" s="283">
        <f>IF($E135=Dict!$I$2,1,IF($F135=Dict!$J$2,1,H135))*$O135*$Q135*X$18*$E$18</f>
        <v>0</v>
      </c>
      <c r="Y135" s="283">
        <f>IF($E135=Dict!$I$2,
IF($G135&gt;='Шаг 1. Основные исходные данные'!$E$5,0,
IF(MOD(Y$34-1,$G135)=0,1,0)),IF($F135=Dict!$J$2,0,I135))*$O135*$Q135*Y$18*$E$18</f>
        <v>0</v>
      </c>
      <c r="Z135" s="277">
        <f>IF($E135=Dict!$I$2,
IF($G135&gt;='Шаг 1. Основные исходные данные'!$E$5,0,
IF(MOD(Z$34-1,$G135)=0,1,0)),IF($F135=Dict!$J$2,0,J135))*$O135*$Q135*Z$18*$E$18</f>
        <v>0</v>
      </c>
      <c r="AA135" s="277">
        <f>IF($E135=Dict!$I$2,
IF($G135&gt;='Шаг 1. Основные исходные данные'!$E$5,0,
IF(MOD(AA$34-1,$G135)=0,1,0)),IF($F135=Dict!$J$2,0,K135))*$O135*$Q135*AA$18*$E$18</f>
        <v>0</v>
      </c>
      <c r="AB135" s="277">
        <f>IF($E135=Dict!$I$2,
IF($G135&gt;='Шаг 1. Основные исходные данные'!$E$5,0,
IF(MOD(AB$34-1,$G135)=0,1,0)),IF($F135=Dict!$J$2,0,L135))*$O135*$Q135*AB$18*$E$18</f>
        <v>0</v>
      </c>
      <c r="AC135" s="277">
        <f>IF($E135=Dict!$I$2,
IF($G135&gt;='Шаг 1. Основные исходные данные'!$E$5,0,
IF(MOD(AC$34-1,$G135)=0,1,0)),IF($F135=Dict!$J$2,0,M135))*$O135*$Q135*AC$18*$E$18</f>
        <v>0</v>
      </c>
    </row>
    <row r="136" spans="1:29" s="37" customFormat="1" ht="15.75" x14ac:dyDescent="0.25">
      <c r="A136" s="43"/>
      <c r="B136" s="48"/>
      <c r="C136" s="89" t="str">
        <f>IF(LEN(D136)&gt;0,C135+1,"")</f>
        <v/>
      </c>
      <c r="D136" s="31"/>
      <c r="E136" s="31"/>
      <c r="F136" s="96"/>
      <c r="G136" s="96"/>
      <c r="H136" s="96"/>
      <c r="I136" s="96"/>
      <c r="J136" s="96"/>
      <c r="K136" s="96"/>
      <c r="L136" s="96"/>
      <c r="M136" s="96"/>
      <c r="N136" s="96"/>
      <c r="O136" s="98"/>
      <c r="P136" s="96"/>
      <c r="Q136" s="96"/>
      <c r="R136" s="96"/>
      <c r="S136" s="257">
        <f>IF($E136=Dict!$I$2,IF($G136&gt;='Шаг 1. Основные исходные данные'!$E$5,1,ROUNDUP('Шаг 1. Основные исходные данные'!$E$5/$G136,0)),IF($F136=Dict!$J$2,1,SUM($H136:$M136)))</f>
        <v>0</v>
      </c>
      <c r="T136" s="97">
        <f>SUM(X136:AC136)</f>
        <v>0</v>
      </c>
      <c r="U136" s="49"/>
      <c r="V136" s="317"/>
      <c r="X136" s="283">
        <f>IF($E136=Dict!$I$2,1,IF($F136=Dict!$J$2,1,H136))*$O136*$Q136*X$18*$E$18</f>
        <v>0</v>
      </c>
      <c r="Y136" s="283">
        <f>IF($E136=Dict!$I$2,
IF($G136&gt;='Шаг 1. Основные исходные данные'!$E$5,0,
IF(MOD(Y$34-1,$G136)=0,1,0)),IF($F136=Dict!$J$2,0,I136))*$O136*$Q136*Y$18*$E$18</f>
        <v>0</v>
      </c>
      <c r="Z136" s="277">
        <f>IF($E136=Dict!$I$2,
IF($G136&gt;='Шаг 1. Основные исходные данные'!$E$5,0,
IF(MOD(Z$34-1,$G136)=0,1,0)),IF($F136=Dict!$J$2,0,J136))*$O136*$Q136*Z$18*$E$18</f>
        <v>0</v>
      </c>
      <c r="AA136" s="277">
        <f>IF($E136=Dict!$I$2,
IF($G136&gt;='Шаг 1. Основные исходные данные'!$E$5,0,
IF(MOD(AA$34-1,$G136)=0,1,0)),IF($F136=Dict!$J$2,0,K136))*$O136*$Q136*AA$18*$E$18</f>
        <v>0</v>
      </c>
      <c r="AB136" s="277">
        <f>IF($E136=Dict!$I$2,
IF($G136&gt;='Шаг 1. Основные исходные данные'!$E$5,0,
IF(MOD(AB$34-1,$G136)=0,1,0)),IF($F136=Dict!$J$2,0,L136))*$O136*$Q136*AB$18*$E$18</f>
        <v>0</v>
      </c>
      <c r="AC136" s="277">
        <f>IF($E136=Dict!$I$2,
IF($G136&gt;='Шаг 1. Основные исходные данные'!$E$5,0,
IF(MOD(AC$34-1,$G136)=0,1,0)),IF($F136=Dict!$J$2,0,M136))*$O136*$Q136*AC$18*$E$18</f>
        <v>0</v>
      </c>
    </row>
    <row r="137" spans="1:29" s="91" customFormat="1" ht="19.899999999999999" customHeight="1" x14ac:dyDescent="0.25">
      <c r="A137" s="90"/>
      <c r="B137" s="92"/>
      <c r="C137" s="94" t="s">
        <v>95</v>
      </c>
      <c r="D137" s="94"/>
      <c r="E137" s="94"/>
      <c r="F137" s="94"/>
      <c r="G137" s="94"/>
      <c r="H137" s="94"/>
      <c r="I137" s="94"/>
      <c r="J137" s="94"/>
      <c r="K137" s="94"/>
      <c r="L137" s="94"/>
      <c r="M137" s="94"/>
      <c r="N137" s="94"/>
      <c r="O137" s="94"/>
      <c r="P137" s="94"/>
      <c r="Q137" s="94"/>
      <c r="R137" s="94"/>
      <c r="S137" s="94"/>
      <c r="T137" s="95">
        <f>SUM(T132:T136)</f>
        <v>0</v>
      </c>
      <c r="U137" s="93"/>
      <c r="V137" s="319"/>
      <c r="W137" s="37"/>
      <c r="X137" s="284">
        <f t="shared" ref="X137:AC137" si="12">SUM(X132:X136)</f>
        <v>0</v>
      </c>
      <c r="Y137" s="284">
        <f t="shared" si="12"/>
        <v>0</v>
      </c>
      <c r="Z137" s="284">
        <f t="shared" si="12"/>
        <v>0</v>
      </c>
      <c r="AA137" s="284">
        <f t="shared" si="12"/>
        <v>0</v>
      </c>
      <c r="AB137" s="284">
        <f t="shared" si="12"/>
        <v>0</v>
      </c>
      <c r="AC137" s="284">
        <f t="shared" si="12"/>
        <v>0</v>
      </c>
    </row>
    <row r="138" spans="1:29" s="37" customFormat="1" ht="15.75" x14ac:dyDescent="0.25">
      <c r="A138" s="43"/>
      <c r="B138" s="53"/>
      <c r="C138" s="56"/>
      <c r="D138" s="56"/>
      <c r="E138" s="56"/>
      <c r="F138" s="56"/>
      <c r="G138" s="56"/>
      <c r="H138" s="56"/>
      <c r="I138" s="56"/>
      <c r="J138" s="56"/>
      <c r="K138" s="56"/>
      <c r="L138" s="56"/>
      <c r="M138" s="56"/>
      <c r="N138" s="56"/>
      <c r="O138" s="56"/>
      <c r="P138" s="56"/>
      <c r="Q138" s="56"/>
      <c r="R138" s="56"/>
      <c r="S138" s="56"/>
      <c r="T138" s="56"/>
      <c r="U138" s="54"/>
      <c r="V138" s="317"/>
      <c r="X138" s="271"/>
      <c r="Y138" s="271"/>
      <c r="Z138" s="271"/>
      <c r="AA138" s="271"/>
      <c r="AB138" s="271"/>
      <c r="AC138" s="271"/>
    </row>
    <row r="139" spans="1:29" s="37" customFormat="1" ht="15.75" x14ac:dyDescent="0.25">
      <c r="A139" s="43"/>
      <c r="B139" s="43"/>
      <c r="C139" s="43"/>
      <c r="D139" s="43"/>
      <c r="E139" s="43"/>
      <c r="F139" s="43"/>
      <c r="G139" s="43"/>
      <c r="H139" s="43"/>
      <c r="I139" s="43"/>
      <c r="J139" s="43"/>
      <c r="K139" s="43"/>
      <c r="L139" s="43"/>
      <c r="M139" s="43"/>
      <c r="N139" s="43"/>
      <c r="O139" s="43"/>
      <c r="P139" s="43"/>
      <c r="Q139" s="43"/>
      <c r="R139" s="43"/>
      <c r="S139" s="43"/>
      <c r="T139" s="43"/>
      <c r="U139" s="43"/>
      <c r="V139" s="43"/>
      <c r="X139" s="271"/>
      <c r="Y139" s="271"/>
      <c r="Z139" s="271"/>
      <c r="AA139" s="271"/>
      <c r="AB139" s="271"/>
      <c r="AC139" s="271"/>
    </row>
  </sheetData>
  <mergeCells count="53">
    <mergeCell ref="H130:M130"/>
    <mergeCell ref="H106:M106"/>
    <mergeCell ref="C120:C121"/>
    <mergeCell ref="D120:D121"/>
    <mergeCell ref="E120:E121"/>
    <mergeCell ref="F120:K120"/>
    <mergeCell ref="L120:L121"/>
    <mergeCell ref="M120:M121"/>
    <mergeCell ref="H82:M82"/>
    <mergeCell ref="C96:C97"/>
    <mergeCell ref="D96:D97"/>
    <mergeCell ref="E96:E97"/>
    <mergeCell ref="F96:K96"/>
    <mergeCell ref="L96:L97"/>
    <mergeCell ref="M96:M97"/>
    <mergeCell ref="M48:M49"/>
    <mergeCell ref="H58:M58"/>
    <mergeCell ref="C72:C73"/>
    <mergeCell ref="D72:D73"/>
    <mergeCell ref="E72:E73"/>
    <mergeCell ref="F72:K72"/>
    <mergeCell ref="L72:L73"/>
    <mergeCell ref="M72:M73"/>
    <mergeCell ref="C48:C49"/>
    <mergeCell ref="D48:D49"/>
    <mergeCell ref="E48:E49"/>
    <mergeCell ref="F48:K48"/>
    <mergeCell ref="L48:L49"/>
    <mergeCell ref="C24:C25"/>
    <mergeCell ref="D24:D25"/>
    <mergeCell ref="E24:E25"/>
    <mergeCell ref="L24:L25"/>
    <mergeCell ref="H34:M34"/>
    <mergeCell ref="M24:M25"/>
    <mergeCell ref="F24:K24"/>
    <mergeCell ref="G13:H13"/>
    <mergeCell ref="I13:M13"/>
    <mergeCell ref="G14:H14"/>
    <mergeCell ref="I14:M18"/>
    <mergeCell ref="G15:H15"/>
    <mergeCell ref="G16:H16"/>
    <mergeCell ref="G17:H17"/>
    <mergeCell ref="G18:H18"/>
    <mergeCell ref="C3:I3"/>
    <mergeCell ref="C5:D5"/>
    <mergeCell ref="H5:P8"/>
    <mergeCell ref="C6:D6"/>
    <mergeCell ref="C7:D7"/>
    <mergeCell ref="C8:D8"/>
    <mergeCell ref="E5:F5"/>
    <mergeCell ref="E6:F6"/>
    <mergeCell ref="E7:F7"/>
    <mergeCell ref="E8:F8"/>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6" id="{4A665901-D7A6-4BB6-BB15-193C33DB70B4}">
            <xm:f>(E36=Dict!$I$2)</xm:f>
            <x14:dxf>
              <fill>
                <patternFill patternType="lightUp">
                  <bgColor theme="2"/>
                </patternFill>
              </fill>
            </x14:dxf>
          </x14:cfRule>
          <xm:sqref>F36:F40</xm:sqref>
        </x14:conditionalFormatting>
        <x14:conditionalFormatting xmlns:xm="http://schemas.microsoft.com/office/excel/2006/main">
          <x14:cfRule type="expression" priority="19" id="{A26A48C4-3860-4F18-A662-01441F303E44}">
            <xm:f>(E60=Dict!$I$2)</xm:f>
            <x14:dxf>
              <fill>
                <patternFill patternType="lightUp">
                  <bgColor theme="2"/>
                </patternFill>
              </fill>
            </x14:dxf>
          </x14:cfRule>
          <xm:sqref>F60:F64</xm:sqref>
        </x14:conditionalFormatting>
        <x14:conditionalFormatting xmlns:xm="http://schemas.microsoft.com/office/excel/2006/main">
          <x14:cfRule type="expression" priority="15" id="{3CDEDA3F-A7D0-40BB-AB59-BD1998C67D8C}">
            <xm:f>(E84=Dict!$I$2)</xm:f>
            <x14:dxf>
              <fill>
                <patternFill patternType="lightUp">
                  <bgColor theme="2"/>
                </patternFill>
              </fill>
            </x14:dxf>
          </x14:cfRule>
          <xm:sqref>F84:F88</xm:sqref>
        </x14:conditionalFormatting>
        <x14:conditionalFormatting xmlns:xm="http://schemas.microsoft.com/office/excel/2006/main">
          <x14:cfRule type="expression" priority="11" id="{F5652ADE-EE3E-4046-B8FD-704ADF7ED21D}">
            <xm:f>(E108=Dict!$I$2)</xm:f>
            <x14:dxf>
              <fill>
                <patternFill patternType="lightUp">
                  <bgColor theme="2"/>
                </patternFill>
              </fill>
            </x14:dxf>
          </x14:cfRule>
          <xm:sqref>F108:F112</xm:sqref>
        </x14:conditionalFormatting>
        <x14:conditionalFormatting xmlns:xm="http://schemas.microsoft.com/office/excel/2006/main">
          <x14:cfRule type="expression" priority="7" id="{573A9D84-0800-40CA-B215-1B6B4F0A1B40}">
            <xm:f>(E132=Dict!$I$2)</xm:f>
            <x14:dxf>
              <fill>
                <patternFill patternType="lightUp">
                  <bgColor theme="2"/>
                </patternFill>
              </fill>
            </x14:dxf>
          </x14:cfRule>
          <xm:sqref>F132:F136</xm:sqref>
        </x14:conditionalFormatting>
        <x14:conditionalFormatting xmlns:xm="http://schemas.microsoft.com/office/excel/2006/main">
          <x14:cfRule type="expression" priority="37" id="{935E93B4-BE20-48DD-8066-EA2114DFF62A}">
            <xm:f>OR(E36=Dict!$I$3,E36=Dict!$I$4)</xm:f>
            <x14:dxf>
              <fill>
                <patternFill patternType="lightUp">
                  <bgColor theme="2"/>
                </patternFill>
              </fill>
            </x14:dxf>
          </x14:cfRule>
          <xm:sqref>G36:G40</xm:sqref>
        </x14:conditionalFormatting>
        <x14:conditionalFormatting xmlns:xm="http://schemas.microsoft.com/office/excel/2006/main">
          <x14:cfRule type="expression" priority="20" id="{D0E17FCB-77FF-48FF-B646-C20525092C8B}">
            <xm:f>OR(E60=Dict!$I$3,E60=Dict!$I$4)</xm:f>
            <x14:dxf>
              <fill>
                <patternFill patternType="lightUp">
                  <bgColor theme="2"/>
                </patternFill>
              </fill>
            </x14:dxf>
          </x14:cfRule>
          <xm:sqref>G60:G64</xm:sqref>
        </x14:conditionalFormatting>
        <x14:conditionalFormatting xmlns:xm="http://schemas.microsoft.com/office/excel/2006/main">
          <x14:cfRule type="expression" priority="16" id="{088721F8-1614-4E71-8E27-DF78F717CED3}">
            <xm:f>OR(E84=Dict!$I$3,E84=Dict!$I$4)</xm:f>
            <x14:dxf>
              <fill>
                <patternFill patternType="lightUp">
                  <bgColor theme="2"/>
                </patternFill>
              </fill>
            </x14:dxf>
          </x14:cfRule>
          <xm:sqref>G84:G88</xm:sqref>
        </x14:conditionalFormatting>
        <x14:conditionalFormatting xmlns:xm="http://schemas.microsoft.com/office/excel/2006/main">
          <x14:cfRule type="expression" priority="12" id="{56114C8D-0AE9-49F0-B331-B986CC23115F}">
            <xm:f>OR(E108=Dict!$I$3,E108=Dict!$I$4)</xm:f>
            <x14:dxf>
              <fill>
                <patternFill patternType="lightUp">
                  <bgColor theme="2"/>
                </patternFill>
              </fill>
            </x14:dxf>
          </x14:cfRule>
          <xm:sqref>G108:G112</xm:sqref>
        </x14:conditionalFormatting>
        <x14:conditionalFormatting xmlns:xm="http://schemas.microsoft.com/office/excel/2006/main">
          <x14:cfRule type="expression" priority="8" id="{100975E7-2ECD-4A64-A255-F9AB2ED8B886}">
            <xm:f>OR(E132=Dict!$I$3,E132=Dict!$I$4)</xm:f>
            <x14:dxf>
              <fill>
                <patternFill patternType="lightUp">
                  <bgColor theme="2"/>
                </patternFill>
              </fill>
            </x14:dxf>
          </x14:cfRule>
          <xm:sqref>G132:G136</xm:sqref>
        </x14:conditionalFormatting>
        <x14:conditionalFormatting xmlns:xm="http://schemas.microsoft.com/office/excel/2006/main">
          <x14:cfRule type="expression" priority="22" id="{0394292F-DF52-4B15-A8C5-8D6CB7C2D865}">
            <xm:f>OR($E26=Dict!$F$2,G$25="-")</xm:f>
            <x14:dxf>
              <fill>
                <patternFill patternType="lightUp"/>
              </fill>
            </x14:dxf>
          </x14:cfRule>
          <xm:sqref>G26:K30</xm:sqref>
        </x14:conditionalFormatting>
        <x14:conditionalFormatting xmlns:xm="http://schemas.microsoft.com/office/excel/2006/main">
          <x14:cfRule type="expression" priority="18" id="{63369B46-9970-4AA8-8CCF-4E1C50DA72EC}">
            <xm:f>OR($E50=Dict!$F$2,G$25="-")</xm:f>
            <x14:dxf>
              <fill>
                <patternFill patternType="lightUp"/>
              </fill>
            </x14:dxf>
          </x14:cfRule>
          <xm:sqref>G50:K54</xm:sqref>
        </x14:conditionalFormatting>
        <x14:conditionalFormatting xmlns:xm="http://schemas.microsoft.com/office/excel/2006/main">
          <x14:cfRule type="expression" priority="14" id="{E74492A8-CE03-40EC-A92E-C02DC03417B4}">
            <xm:f>OR($E74=Dict!$F$2,G$25="-")</xm:f>
            <x14:dxf>
              <fill>
                <patternFill patternType="lightUp"/>
              </fill>
            </x14:dxf>
          </x14:cfRule>
          <xm:sqref>G74:K78</xm:sqref>
        </x14:conditionalFormatting>
        <x14:conditionalFormatting xmlns:xm="http://schemas.microsoft.com/office/excel/2006/main">
          <x14:cfRule type="expression" priority="10" id="{6283A796-01F4-4C77-BC2A-AAAB919FFAF8}">
            <xm:f>OR($E98=Dict!$F$2,G$25="-")</xm:f>
            <x14:dxf>
              <fill>
                <patternFill patternType="lightUp"/>
              </fill>
            </x14:dxf>
          </x14:cfRule>
          <xm:sqref>G98:K102</xm:sqref>
        </x14:conditionalFormatting>
        <x14:conditionalFormatting xmlns:xm="http://schemas.microsoft.com/office/excel/2006/main">
          <x14:cfRule type="expression" priority="6" id="{F7194BED-14BD-4D2D-9986-A8C61F0A02AF}">
            <xm:f>OR($E122=Dict!$F$2,G$25="-")</xm:f>
            <x14:dxf>
              <fill>
                <patternFill patternType="lightUp"/>
              </fill>
            </x14:dxf>
          </x14:cfRule>
          <xm:sqref>G122:K126</xm:sqref>
        </x14:conditionalFormatting>
        <x14:conditionalFormatting xmlns:xm="http://schemas.microsoft.com/office/excel/2006/main">
          <x14:cfRule type="expression" priority="54" id="{8F78D6B4-AF90-467F-A4E1-E5EE878759B5}">
            <xm:f>OR($E36=Dict!$I$2,$F36=Dict!$J$2,H$35="-")</xm:f>
            <x14:dxf>
              <fill>
                <patternFill patternType="lightUp">
                  <bgColor theme="2"/>
                </patternFill>
              </fill>
            </x14:dxf>
          </x14:cfRule>
          <xm:sqref>H36:M40</xm:sqref>
        </x14:conditionalFormatting>
        <x14:conditionalFormatting xmlns:xm="http://schemas.microsoft.com/office/excel/2006/main">
          <x14:cfRule type="expression" priority="21" id="{418C475A-E43A-457D-9A83-883047B8D926}">
            <xm:f>OR($E60=Dict!$I$2,$F60=Dict!$J$2,H$35="-")</xm:f>
            <x14:dxf>
              <fill>
                <patternFill patternType="lightUp">
                  <bgColor theme="2"/>
                </patternFill>
              </fill>
            </x14:dxf>
          </x14:cfRule>
          <xm:sqref>H60:M64</xm:sqref>
        </x14:conditionalFormatting>
        <x14:conditionalFormatting xmlns:xm="http://schemas.microsoft.com/office/excel/2006/main">
          <x14:cfRule type="expression" priority="17" id="{85A08763-79C1-4611-B0BD-83816F3DAAE8}">
            <xm:f>OR($E84=Dict!$I$2,$F84=Dict!$J$2,H$35="-")</xm:f>
            <x14:dxf>
              <fill>
                <patternFill patternType="lightUp">
                  <bgColor theme="2"/>
                </patternFill>
              </fill>
            </x14:dxf>
          </x14:cfRule>
          <xm:sqref>H84:M88</xm:sqref>
        </x14:conditionalFormatting>
        <x14:conditionalFormatting xmlns:xm="http://schemas.microsoft.com/office/excel/2006/main">
          <x14:cfRule type="expression" priority="13" id="{91EB4C48-D4C8-40BC-BD47-638E2B2B7557}">
            <xm:f>OR($E108=Dict!$I$2,$F108=Dict!$J$2,H$35="-")</xm:f>
            <x14:dxf>
              <fill>
                <patternFill patternType="lightUp">
                  <bgColor theme="2"/>
                </patternFill>
              </fill>
            </x14:dxf>
          </x14:cfRule>
          <xm:sqref>H108:M112</xm:sqref>
        </x14:conditionalFormatting>
        <x14:conditionalFormatting xmlns:xm="http://schemas.microsoft.com/office/excel/2006/main">
          <x14:cfRule type="expression" priority="9" id="{9F50BA37-45E9-4CDD-8DAE-02A07D5B536D}">
            <xm:f>OR($E132=Dict!$I$2,$F132=Dict!$J$2,H$35="-")</xm:f>
            <x14:dxf>
              <fill>
                <patternFill patternType="lightUp">
                  <bgColor theme="2"/>
                </patternFill>
              </fill>
            </x14:dxf>
          </x14:cfRule>
          <xm:sqref>H132:M136</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Dict!$J$2:$J$3</xm:f>
          </x14:formula1>
          <xm:sqref>F36:F40 F60:F64 F84:F88 F108:F112 F132:F136</xm:sqref>
        </x14:dataValidation>
        <x14:dataValidation type="list" allowBlank="1" showInputMessage="1" showErrorMessage="1">
          <x14:formula1>
            <xm:f>Dict!$I$2:$I$4</xm:f>
          </x14:formula1>
          <xm:sqref>E36:E40 E60:E64 E84:E88 E108:E112 E132:E136</xm:sqref>
        </x14:dataValidation>
        <x14:dataValidation type="list" allowBlank="1" showInputMessage="1" showErrorMessage="1">
          <x14:formula1>
            <xm:f>Dict!$F$2:$F$3</xm:f>
          </x14:formula1>
          <xm:sqref>E26:E30 E50:E54 E74:E78 E98:E102 E122:E126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C139"/>
  <sheetViews>
    <sheetView zoomScale="70" zoomScaleNormal="70" workbookViewId="0">
      <selection activeCell="N24" sqref="N24"/>
    </sheetView>
  </sheetViews>
  <sheetFormatPr defaultRowHeight="15" x14ac:dyDescent="0.25"/>
  <cols>
    <col min="1" max="2" width="5.7109375" customWidth="1"/>
    <col min="3" max="3" width="5.5703125" customWidth="1"/>
    <col min="4" max="4" width="42.5703125" customWidth="1"/>
    <col min="5" max="5" width="17.28515625" customWidth="1"/>
    <col min="6" max="6" width="17.140625" customWidth="1"/>
    <col min="7" max="7" width="11.7109375" customWidth="1"/>
    <col min="8" max="10" width="8.7109375" customWidth="1"/>
    <col min="11" max="11" width="11.85546875" customWidth="1"/>
    <col min="12" max="12" width="14.5703125" customWidth="1"/>
    <col min="13" max="13" width="14.85546875" customWidth="1"/>
    <col min="14" max="15" width="18.5703125" customWidth="1"/>
    <col min="16" max="16" width="22.7109375" customWidth="1"/>
    <col min="17" max="17" width="19.5703125" customWidth="1"/>
    <col min="18" max="18" width="22.42578125" customWidth="1"/>
    <col min="19" max="19" width="18.7109375" customWidth="1"/>
    <col min="20" max="20" width="20.7109375" customWidth="1"/>
    <col min="21" max="22" width="5.7109375" customWidth="1"/>
    <col min="23" max="23" width="14" bestFit="1" customWidth="1"/>
    <col min="24" max="24" width="12.28515625" style="270" hidden="1" customWidth="1"/>
    <col min="25" max="29" width="10.42578125" style="270" hidden="1" customWidth="1"/>
  </cols>
  <sheetData>
    <row r="1" spans="1:29" x14ac:dyDescent="0.25">
      <c r="A1" s="12"/>
      <c r="B1" s="12"/>
      <c r="C1" s="12"/>
      <c r="D1" s="12"/>
      <c r="E1" s="12"/>
      <c r="F1" s="12"/>
      <c r="G1" s="12"/>
      <c r="H1" s="12"/>
      <c r="I1" s="12"/>
      <c r="J1" s="12"/>
      <c r="K1" s="12"/>
      <c r="L1" s="12"/>
      <c r="M1" s="12"/>
      <c r="N1" s="12"/>
      <c r="O1" s="12"/>
      <c r="P1" s="12"/>
      <c r="Q1" s="12"/>
      <c r="R1" s="12"/>
      <c r="S1" s="12"/>
      <c r="T1" s="12"/>
      <c r="U1" s="12"/>
      <c r="V1" s="12"/>
    </row>
    <row r="2" spans="1:29" ht="14.45" customHeight="1" x14ac:dyDescent="0.25">
      <c r="A2" s="12"/>
      <c r="B2" s="12"/>
      <c r="C2" s="33" t="s">
        <v>101</v>
      </c>
      <c r="D2" s="12"/>
      <c r="E2" s="12"/>
      <c r="F2" s="12"/>
      <c r="G2" s="12"/>
      <c r="H2" s="12"/>
      <c r="I2" s="12"/>
      <c r="J2" s="12"/>
      <c r="K2" s="12"/>
      <c r="L2" s="12"/>
      <c r="M2" s="12"/>
      <c r="N2" s="12"/>
      <c r="O2" s="12"/>
      <c r="P2" s="12"/>
      <c r="Q2" s="12"/>
      <c r="R2" s="12"/>
      <c r="S2" s="12"/>
      <c r="T2" s="12"/>
      <c r="U2" s="12"/>
      <c r="V2" s="12"/>
    </row>
    <row r="3" spans="1:29" ht="90" customHeight="1" x14ac:dyDescent="0.25">
      <c r="A3" s="12"/>
      <c r="B3" s="12"/>
      <c r="C3" s="329" t="s">
        <v>1235</v>
      </c>
      <c r="D3" s="329"/>
      <c r="E3" s="329"/>
      <c r="F3" s="329"/>
      <c r="G3" s="329"/>
      <c r="H3" s="329"/>
      <c r="I3" s="329"/>
      <c r="J3" s="12"/>
      <c r="K3" s="12"/>
      <c r="L3" s="12"/>
      <c r="M3" s="12"/>
      <c r="N3" s="12"/>
      <c r="O3" s="12"/>
      <c r="P3" s="12"/>
      <c r="Q3" s="12"/>
      <c r="R3" s="12"/>
      <c r="S3" s="12"/>
      <c r="T3" s="12"/>
      <c r="U3" s="12"/>
      <c r="V3" s="12"/>
    </row>
    <row r="4" spans="1:29" s="37" customFormat="1" ht="19.899999999999999" customHeight="1" x14ac:dyDescent="0.25">
      <c r="A4" s="43"/>
      <c r="B4" s="43"/>
      <c r="C4" s="40" t="s">
        <v>135</v>
      </c>
      <c r="D4" s="43"/>
      <c r="E4" s="43"/>
      <c r="F4" s="43"/>
      <c r="G4" s="122"/>
      <c r="H4" s="122" t="s">
        <v>156</v>
      </c>
      <c r="I4" s="43"/>
      <c r="J4" s="43"/>
      <c r="K4" s="43"/>
      <c r="L4" s="43"/>
      <c r="M4" s="43"/>
      <c r="N4" s="43"/>
      <c r="O4" s="43"/>
      <c r="P4" s="43"/>
      <c r="Q4" s="43"/>
      <c r="R4" s="43"/>
      <c r="S4" s="43"/>
      <c r="T4" s="43"/>
      <c r="U4" s="43"/>
      <c r="V4" s="43"/>
      <c r="X4" s="271"/>
      <c r="Y4" s="271"/>
      <c r="Z4" s="271"/>
      <c r="AA4" s="271"/>
      <c r="AB4" s="271"/>
      <c r="AC4" s="271"/>
    </row>
    <row r="5" spans="1:29" s="37" customFormat="1" ht="33.75" customHeight="1" x14ac:dyDescent="0.25">
      <c r="A5" s="43"/>
      <c r="B5" s="43"/>
      <c r="C5" s="330" t="s">
        <v>54</v>
      </c>
      <c r="D5" s="330"/>
      <c r="E5" s="333" t="s">
        <v>1171</v>
      </c>
      <c r="F5" s="333"/>
      <c r="G5" s="43"/>
      <c r="H5" s="331"/>
      <c r="I5" s="331"/>
      <c r="J5" s="331"/>
      <c r="K5" s="331"/>
      <c r="L5" s="331"/>
      <c r="M5" s="331"/>
      <c r="N5" s="331"/>
      <c r="O5" s="331"/>
      <c r="P5" s="331"/>
      <c r="Q5" s="43"/>
      <c r="R5" s="43"/>
      <c r="S5" s="43"/>
      <c r="T5" s="43"/>
      <c r="U5" s="43"/>
      <c r="V5" s="43"/>
      <c r="X5" s="280" t="s">
        <v>95</v>
      </c>
      <c r="Y5" s="271"/>
      <c r="Z5" s="271"/>
      <c r="AA5" s="271"/>
      <c r="AB5" s="271"/>
      <c r="AC5" s="271"/>
    </row>
    <row r="6" spans="1:29" s="37" customFormat="1" ht="19.899999999999999" customHeight="1" x14ac:dyDescent="0.25">
      <c r="A6" s="43"/>
      <c r="B6" s="43"/>
      <c r="C6" s="332" t="s">
        <v>11</v>
      </c>
      <c r="D6" s="332"/>
      <c r="E6" s="334">
        <f>SUM(X9:AC9)</f>
        <v>0</v>
      </c>
      <c r="F6" s="334"/>
      <c r="G6" s="43"/>
      <c r="H6" s="331"/>
      <c r="I6" s="331"/>
      <c r="J6" s="331"/>
      <c r="K6" s="331"/>
      <c r="L6" s="331"/>
      <c r="M6" s="331"/>
      <c r="N6" s="331"/>
      <c r="O6" s="331"/>
      <c r="P6" s="331"/>
      <c r="Q6" s="43"/>
      <c r="R6" s="43"/>
      <c r="S6" s="43"/>
      <c r="T6" s="43"/>
      <c r="U6" s="43"/>
      <c r="V6" s="43"/>
      <c r="X6" s="273"/>
      <c r="Y6" s="273" t="s">
        <v>1234</v>
      </c>
      <c r="Z6" s="273"/>
      <c r="AA6" s="273"/>
      <c r="AB6" s="273"/>
      <c r="AC6" s="273"/>
    </row>
    <row r="7" spans="1:29" s="37" customFormat="1" ht="19.899999999999999" customHeight="1" x14ac:dyDescent="0.25">
      <c r="A7" s="43"/>
      <c r="B7" s="43"/>
      <c r="C7" s="332" t="s">
        <v>12</v>
      </c>
      <c r="D7" s="332"/>
      <c r="E7" s="334">
        <f>SUM(X10:AC10)</f>
        <v>0</v>
      </c>
      <c r="F7" s="334"/>
      <c r="G7" s="43"/>
      <c r="H7" s="331"/>
      <c r="I7" s="331"/>
      <c r="J7" s="331"/>
      <c r="K7" s="331"/>
      <c r="L7" s="331"/>
      <c r="M7" s="331"/>
      <c r="N7" s="331"/>
      <c r="O7" s="331"/>
      <c r="P7" s="331"/>
      <c r="Q7" s="43"/>
      <c r="R7" s="43"/>
      <c r="S7" s="43"/>
      <c r="T7" s="43"/>
      <c r="U7" s="43"/>
      <c r="V7" s="43"/>
      <c r="X7" s="273"/>
      <c r="Y7" s="273" t="s">
        <v>2</v>
      </c>
      <c r="Z7" s="273"/>
      <c r="AA7" s="273"/>
      <c r="AB7" s="273"/>
      <c r="AC7" s="273"/>
    </row>
    <row r="8" spans="1:29" s="37" customFormat="1" ht="19.899999999999999" customHeight="1" x14ac:dyDescent="0.25">
      <c r="A8" s="43"/>
      <c r="B8" s="43"/>
      <c r="C8" s="330" t="s">
        <v>10</v>
      </c>
      <c r="D8" s="330"/>
      <c r="E8" s="335">
        <f>SUM(E6:E7)</f>
        <v>0</v>
      </c>
      <c r="F8" s="335"/>
      <c r="G8" s="43"/>
      <c r="H8" s="331"/>
      <c r="I8" s="331"/>
      <c r="J8" s="331"/>
      <c r="K8" s="331"/>
      <c r="L8" s="331"/>
      <c r="M8" s="331"/>
      <c r="N8" s="331"/>
      <c r="O8" s="331"/>
      <c r="P8" s="331"/>
      <c r="Q8" s="43"/>
      <c r="R8" s="43"/>
      <c r="S8" s="43"/>
      <c r="T8" s="43"/>
      <c r="U8" s="43"/>
      <c r="V8" s="43"/>
      <c r="X8" s="279" t="s">
        <v>1221</v>
      </c>
      <c r="Y8" s="279" t="s">
        <v>1223</v>
      </c>
      <c r="Z8" s="279" t="s">
        <v>1224</v>
      </c>
      <c r="AA8" s="279" t="s">
        <v>1225</v>
      </c>
      <c r="AB8" s="279" t="s">
        <v>1226</v>
      </c>
      <c r="AC8" s="279" t="s">
        <v>1227</v>
      </c>
    </row>
    <row r="9" spans="1:29" s="37" customFormat="1" ht="15.75" x14ac:dyDescent="0.25">
      <c r="A9" s="43"/>
      <c r="B9" s="43"/>
      <c r="C9" s="43"/>
      <c r="D9" s="43"/>
      <c r="E9" s="43"/>
      <c r="F9" s="43"/>
      <c r="G9" s="43"/>
      <c r="H9" s="43"/>
      <c r="I9" s="43"/>
      <c r="J9" s="43"/>
      <c r="K9" s="43"/>
      <c r="L9" s="43"/>
      <c r="M9" s="43"/>
      <c r="N9" s="43"/>
      <c r="O9" s="43"/>
      <c r="P9" s="43"/>
      <c r="Q9" s="43"/>
      <c r="R9" s="43"/>
      <c r="S9" s="43"/>
      <c r="T9" s="43"/>
      <c r="U9" s="43"/>
      <c r="V9" s="43"/>
      <c r="X9" s="277">
        <f t="shared" ref="X9:AC9" si="0">SUM(X31,X55,X79,X103,X127)</f>
        <v>0</v>
      </c>
      <c r="Y9" s="277">
        <f t="shared" si="0"/>
        <v>0</v>
      </c>
      <c r="Z9" s="277">
        <f t="shared" si="0"/>
        <v>0</v>
      </c>
      <c r="AA9" s="277">
        <f t="shared" si="0"/>
        <v>0</v>
      </c>
      <c r="AB9" s="277">
        <f t="shared" si="0"/>
        <v>0</v>
      </c>
      <c r="AC9" s="277">
        <f t="shared" si="0"/>
        <v>0</v>
      </c>
    </row>
    <row r="10" spans="1:29" s="37" customFormat="1" ht="15.75" x14ac:dyDescent="0.25">
      <c r="A10" s="43"/>
      <c r="B10" s="43"/>
      <c r="C10" s="43"/>
      <c r="D10" s="43"/>
      <c r="E10" s="43"/>
      <c r="F10" s="43"/>
      <c r="G10" s="43"/>
      <c r="H10" s="43"/>
      <c r="I10" s="43"/>
      <c r="J10" s="43"/>
      <c r="K10" s="43"/>
      <c r="L10" s="43"/>
      <c r="M10" s="43"/>
      <c r="N10" s="43"/>
      <c r="O10" s="43"/>
      <c r="P10" s="43"/>
      <c r="Q10" s="43"/>
      <c r="R10" s="43"/>
      <c r="S10" s="43"/>
      <c r="T10" s="43"/>
      <c r="U10" s="43"/>
      <c r="V10" s="43"/>
      <c r="X10" s="277">
        <f t="shared" ref="X10:AC10" si="1">SUM(X41,X65,X89,X113,X137)</f>
        <v>0</v>
      </c>
      <c r="Y10" s="277">
        <f t="shared" si="1"/>
        <v>0</v>
      </c>
      <c r="Z10" s="277">
        <f t="shared" si="1"/>
        <v>0</v>
      </c>
      <c r="AA10" s="277">
        <f t="shared" si="1"/>
        <v>0</v>
      </c>
      <c r="AB10" s="277">
        <f t="shared" si="1"/>
        <v>0</v>
      </c>
      <c r="AC10" s="277">
        <f t="shared" si="1"/>
        <v>0</v>
      </c>
    </row>
    <row r="11" spans="1:29" s="37" customFormat="1" ht="15.75" x14ac:dyDescent="0.25">
      <c r="A11" s="43"/>
      <c r="B11" s="36"/>
      <c r="C11" s="38" t="s">
        <v>1182</v>
      </c>
      <c r="D11" s="36"/>
      <c r="E11" s="36"/>
      <c r="F11" s="36"/>
      <c r="G11" s="36"/>
      <c r="H11" s="36"/>
      <c r="I11" s="36"/>
      <c r="J11" s="36"/>
      <c r="K11" s="36"/>
      <c r="L11" s="36"/>
      <c r="M11" s="36"/>
      <c r="N11" s="36"/>
      <c r="O11" s="36"/>
      <c r="P11" s="36"/>
      <c r="Q11" s="36"/>
      <c r="R11" s="43"/>
      <c r="S11" s="43"/>
      <c r="T11" s="43"/>
      <c r="U11" s="43"/>
      <c r="V11" s="43"/>
      <c r="X11" s="278">
        <f t="shared" ref="X11:AC11" si="2">SUM(X9:X10)</f>
        <v>0</v>
      </c>
      <c r="Y11" s="278">
        <f t="shared" si="2"/>
        <v>0</v>
      </c>
      <c r="Z11" s="278">
        <f t="shared" si="2"/>
        <v>0</v>
      </c>
      <c r="AA11" s="278">
        <f t="shared" si="2"/>
        <v>0</v>
      </c>
      <c r="AB11" s="278">
        <f t="shared" si="2"/>
        <v>0</v>
      </c>
      <c r="AC11" s="278">
        <f t="shared" si="2"/>
        <v>0</v>
      </c>
    </row>
    <row r="12" spans="1:29" s="37" customFormat="1" ht="15.75" x14ac:dyDescent="0.25">
      <c r="A12" s="43"/>
      <c r="B12" s="43"/>
      <c r="C12" s="43"/>
      <c r="D12" s="43"/>
      <c r="E12" s="43"/>
      <c r="F12" s="43"/>
      <c r="G12" s="43"/>
      <c r="H12" s="43"/>
      <c r="I12" s="43"/>
      <c r="J12" s="43"/>
      <c r="K12" s="43"/>
      <c r="L12" s="43"/>
      <c r="M12" s="43"/>
      <c r="N12" s="43"/>
      <c r="O12" s="43"/>
      <c r="P12" s="43"/>
      <c r="Q12" s="43"/>
      <c r="R12" s="43"/>
      <c r="S12" s="43"/>
      <c r="T12" s="43"/>
      <c r="U12" s="43"/>
      <c r="V12" s="43"/>
      <c r="X12" s="271"/>
      <c r="Y12" s="271"/>
      <c r="Z12" s="271"/>
      <c r="AA12" s="271"/>
      <c r="AB12" s="271"/>
      <c r="AC12" s="271"/>
    </row>
    <row r="13" spans="1:29" s="37" customFormat="1" ht="99" customHeight="1" x14ac:dyDescent="0.25">
      <c r="A13" s="43"/>
      <c r="B13" s="43"/>
      <c r="C13" s="125" t="s">
        <v>62</v>
      </c>
      <c r="D13" s="125" t="s">
        <v>55</v>
      </c>
      <c r="E13" s="125" t="s">
        <v>13</v>
      </c>
      <c r="F13" s="125" t="s">
        <v>8</v>
      </c>
      <c r="G13" s="336" t="s">
        <v>1299</v>
      </c>
      <c r="H13" s="336"/>
      <c r="I13" s="337" t="s">
        <v>15</v>
      </c>
      <c r="J13" s="337"/>
      <c r="K13" s="337"/>
      <c r="L13" s="337"/>
      <c r="M13" s="337"/>
      <c r="N13" s="36"/>
      <c r="O13" s="36"/>
      <c r="P13" s="36"/>
      <c r="Q13" s="43"/>
      <c r="R13" s="43"/>
      <c r="S13" s="43"/>
      <c r="T13" s="43"/>
      <c r="U13" s="43"/>
      <c r="V13" s="43"/>
      <c r="X13" s="280" t="s">
        <v>1228</v>
      </c>
      <c r="Y13" s="271"/>
      <c r="Z13" s="271"/>
      <c r="AA13" s="271"/>
      <c r="AB13" s="271"/>
      <c r="AC13" s="271"/>
    </row>
    <row r="14" spans="1:29" s="226" customFormat="1" ht="15.75" x14ac:dyDescent="0.25">
      <c r="A14" s="224"/>
      <c r="B14" s="224"/>
      <c r="C14" s="225" t="str">
        <f>IF(LEN(D14)&gt;0,1,"")</f>
        <v/>
      </c>
      <c r="D14" s="31"/>
      <c r="E14" s="227"/>
      <c r="F14" s="97" t="s">
        <v>57</v>
      </c>
      <c r="G14" s="338"/>
      <c r="H14" s="338"/>
      <c r="I14" s="339"/>
      <c r="J14" s="340"/>
      <c r="K14" s="340"/>
      <c r="L14" s="340"/>
      <c r="M14" s="341"/>
      <c r="N14" s="36"/>
      <c r="O14" s="36"/>
      <c r="P14" s="36"/>
      <c r="Q14" s="224"/>
      <c r="R14" s="224"/>
      <c r="S14" s="224"/>
      <c r="T14" s="224"/>
      <c r="U14" s="224"/>
      <c r="V14" s="224"/>
      <c r="X14" s="271"/>
      <c r="Y14" s="271" t="s">
        <v>1229</v>
      </c>
      <c r="Z14" s="271"/>
      <c r="AA14" s="271"/>
      <c r="AB14" s="271"/>
      <c r="AC14" s="271"/>
    </row>
    <row r="15" spans="1:29" s="226" customFormat="1" ht="15.75" x14ac:dyDescent="0.25">
      <c r="A15" s="224"/>
      <c r="B15" s="224"/>
      <c r="C15" s="225" t="str">
        <f>IF(LEN(D15)&gt;0,C14+1,"")</f>
        <v/>
      </c>
      <c r="D15" s="31"/>
      <c r="E15" s="227"/>
      <c r="F15" s="97" t="s">
        <v>57</v>
      </c>
      <c r="G15" s="338"/>
      <c r="H15" s="338"/>
      <c r="I15" s="342"/>
      <c r="J15" s="343"/>
      <c r="K15" s="343"/>
      <c r="L15" s="343"/>
      <c r="M15" s="344"/>
      <c r="N15" s="36"/>
      <c r="O15" s="36"/>
      <c r="P15" s="36"/>
      <c r="Q15" s="224"/>
      <c r="R15" s="224"/>
      <c r="S15" s="224"/>
      <c r="T15" s="224"/>
      <c r="U15" s="224"/>
      <c r="V15" s="224"/>
      <c r="X15" s="271"/>
      <c r="Y15" s="271" t="s">
        <v>1230</v>
      </c>
      <c r="Z15" s="271"/>
      <c r="AA15" s="271"/>
      <c r="AB15" s="271"/>
      <c r="AC15" s="271"/>
    </row>
    <row r="16" spans="1:29" s="37" customFormat="1" ht="15.75" x14ac:dyDescent="0.25">
      <c r="A16" s="43"/>
      <c r="B16" s="43"/>
      <c r="C16" s="222" t="str">
        <f>IF(LEN(D16)&gt;0,C15+1,"")</f>
        <v/>
      </c>
      <c r="D16" s="31"/>
      <c r="E16" s="227"/>
      <c r="F16" s="97" t="s">
        <v>57</v>
      </c>
      <c r="G16" s="348"/>
      <c r="H16" s="348"/>
      <c r="I16" s="342"/>
      <c r="J16" s="343"/>
      <c r="K16" s="343"/>
      <c r="L16" s="343"/>
      <c r="M16" s="344"/>
      <c r="N16" s="36"/>
      <c r="O16" s="36"/>
      <c r="P16" s="36"/>
      <c r="Q16" s="43"/>
      <c r="R16" s="43"/>
      <c r="S16" s="43"/>
      <c r="T16" s="43"/>
      <c r="U16" s="43"/>
      <c r="V16" s="43"/>
      <c r="X16" s="279" t="s">
        <v>1221</v>
      </c>
      <c r="Y16" s="279" t="s">
        <v>1223</v>
      </c>
      <c r="Z16" s="279" t="s">
        <v>1224</v>
      </c>
      <c r="AA16" s="279" t="s">
        <v>1225</v>
      </c>
      <c r="AB16" s="279" t="s">
        <v>1226</v>
      </c>
      <c r="AC16" s="279" t="s">
        <v>1227</v>
      </c>
    </row>
    <row r="17" spans="1:29" s="37" customFormat="1" ht="15.75" x14ac:dyDescent="0.25">
      <c r="A17" s="43"/>
      <c r="B17" s="43"/>
      <c r="C17" s="222" t="str">
        <f>IF(LEN(D17)&gt;0,C16+1,"")</f>
        <v/>
      </c>
      <c r="D17" s="31"/>
      <c r="E17" s="229"/>
      <c r="F17" s="97" t="s">
        <v>57</v>
      </c>
      <c r="G17" s="348"/>
      <c r="H17" s="348"/>
      <c r="I17" s="342"/>
      <c r="J17" s="343"/>
      <c r="K17" s="343"/>
      <c r="L17" s="343"/>
      <c r="M17" s="344"/>
      <c r="N17" s="36"/>
      <c r="O17" s="36"/>
      <c r="P17" s="36"/>
      <c r="Q17" s="43"/>
      <c r="R17" s="43"/>
      <c r="S17" s="43"/>
      <c r="T17" s="43"/>
      <c r="U17" s="43"/>
      <c r="V17" s="43"/>
      <c r="X17" s="272">
        <f>IF(1&lt;='Шаг 1. Основные исходные данные'!$E$5,1,0)</f>
        <v>1</v>
      </c>
      <c r="Y17" s="272">
        <f>IF(2&lt;='Шаг 1. Основные исходные данные'!$E$5,2,0)</f>
        <v>2</v>
      </c>
      <c r="Z17" s="272">
        <f>IF(3&lt;='Шаг 1. Основные исходные данные'!$E$5,3,0)</f>
        <v>3</v>
      </c>
      <c r="AA17" s="272">
        <f>IF(4&lt;='Шаг 1. Основные исходные данные'!$E$5,4,0)</f>
        <v>4</v>
      </c>
      <c r="AB17" s="272">
        <f>IF(5&lt;='Шаг 1. Основные исходные данные'!$E$5,5,0)</f>
        <v>5</v>
      </c>
      <c r="AC17" s="272">
        <f>IF(6&lt;='Шаг 1. Основные исходные данные'!$E$5,6,0)</f>
        <v>6</v>
      </c>
    </row>
    <row r="18" spans="1:29" s="37" customFormat="1" ht="15.75" x14ac:dyDescent="0.25">
      <c r="A18" s="43"/>
      <c r="B18" s="43"/>
      <c r="C18" s="222" t="str">
        <f>IF(LEN(D18)&gt;0,C17+1,"")</f>
        <v/>
      </c>
      <c r="D18" s="76"/>
      <c r="E18" s="44"/>
      <c r="F18" s="97" t="s">
        <v>57</v>
      </c>
      <c r="G18" s="348"/>
      <c r="H18" s="348"/>
      <c r="I18" s="345"/>
      <c r="J18" s="346"/>
      <c r="K18" s="346"/>
      <c r="L18" s="346"/>
      <c r="M18" s="347"/>
      <c r="N18" s="36"/>
      <c r="O18" s="36"/>
      <c r="P18" s="36"/>
      <c r="Q18" s="43"/>
      <c r="R18" s="43"/>
      <c r="S18" s="43"/>
      <c r="T18" s="43"/>
      <c r="U18" s="43"/>
      <c r="V18" s="43"/>
      <c r="X18" s="271">
        <v>1</v>
      </c>
      <c r="Y18" s="271">
        <f>IF(Y$17=0,0,(1+'Шаг 1. Основные исходные данные'!$E$12/100))</f>
        <v>1.04457</v>
      </c>
      <c r="Z18" s="271">
        <f>IF(Z$17=0,0,Y18*(1+'Шаг 1. Основные исходные данные'!$E$13/100))</f>
        <v>1.0866243882</v>
      </c>
      <c r="AA18" s="271">
        <f>IF(AA$17=0,0,Z18*(1+'Шаг 1. Основные исходные данные'!$E$14/100))</f>
        <v>1.1305022809955161</v>
      </c>
      <c r="AB18" s="271">
        <f>IF(AB$17=0,0,AA18*(1+'Шаг 1. Основные исходные данные'!$E$15/100))</f>
        <v>1.1761519631021151</v>
      </c>
      <c r="AC18" s="271">
        <f>IF(AC$17=0,0,AB18*(1+'Шаг 1. Основные исходные данные'!$E$16/100))</f>
        <v>1.2236449793721786</v>
      </c>
    </row>
    <row r="19" spans="1:29" s="37" customFormat="1" ht="15.75" x14ac:dyDescent="0.25">
      <c r="A19" s="43"/>
      <c r="B19" s="43"/>
      <c r="C19" s="43"/>
      <c r="D19" s="43"/>
      <c r="E19" s="43"/>
      <c r="F19" s="43"/>
      <c r="G19" s="43"/>
      <c r="H19" s="43"/>
      <c r="I19" s="43"/>
      <c r="J19" s="43"/>
      <c r="K19" s="43"/>
      <c r="L19" s="43"/>
      <c r="M19" s="43"/>
      <c r="N19" s="43"/>
      <c r="O19" s="43"/>
      <c r="P19" s="43"/>
      <c r="Q19" s="43"/>
      <c r="R19" s="43"/>
      <c r="S19" s="43"/>
      <c r="T19" s="43"/>
      <c r="U19" s="43"/>
      <c r="V19" s="43"/>
      <c r="X19" s="271">
        <v>1</v>
      </c>
      <c r="Y19" s="271">
        <f>IF(Y$17=0,0,(1+'Шаг 1. Основные исходные данные'!$E$17/100))</f>
        <v>1.1321600000000001</v>
      </c>
      <c r="Z19" s="271">
        <f>IF(Z$17=0,0,Y19*(1+'Шаг 1. Основные исходные данные'!$E$18/100))</f>
        <v>1.2478780735999999</v>
      </c>
      <c r="AA19" s="271">
        <f>IF(AA$17=0,0,Z19*(1+'Шаг 1. Основные исходные данные'!$E$19/100))</f>
        <v>1.35126477199776</v>
      </c>
      <c r="AB19" s="271">
        <f>IF(AB$17=0,0,AA19*(1+'Шаг 1. Основные исходные данные'!$E$20/100))</f>
        <v>1.4632170583577746</v>
      </c>
      <c r="AC19" s="271">
        <f>IF(AC$17=0,0,AB19*(1+'Шаг 1. Основные исходные данные'!$E$21/100))</f>
        <v>1.5844445916427163</v>
      </c>
    </row>
    <row r="20" spans="1:29" s="37" customFormat="1" ht="15.75" x14ac:dyDescent="0.25">
      <c r="A20" s="43"/>
      <c r="B20" s="45"/>
      <c r="C20" s="46"/>
      <c r="D20" s="46"/>
      <c r="E20" s="46"/>
      <c r="F20" s="46"/>
      <c r="G20" s="46"/>
      <c r="H20" s="46"/>
      <c r="I20" s="46"/>
      <c r="J20" s="46"/>
      <c r="K20" s="46"/>
      <c r="L20" s="46"/>
      <c r="M20" s="46"/>
      <c r="N20" s="46"/>
      <c r="O20" s="46"/>
      <c r="P20" s="46"/>
      <c r="Q20" s="46"/>
      <c r="R20" s="46"/>
      <c r="S20" s="46"/>
      <c r="T20" s="46"/>
      <c r="U20" s="47"/>
      <c r="V20" s="317"/>
      <c r="X20" s="272"/>
      <c r="Y20" s="272"/>
      <c r="Z20" s="272"/>
      <c r="AA20" s="272"/>
      <c r="AB20" s="272"/>
      <c r="AC20" s="272"/>
    </row>
    <row r="21" spans="1:29" s="37" customFormat="1" ht="15.75" x14ac:dyDescent="0.25">
      <c r="A21" s="43"/>
      <c r="B21" s="48"/>
      <c r="C21" s="36" t="str">
        <f>CONCATENATE("3.2.",$C$14,". Содержательные издержки группы объектов ",$C$14," - """,$D$14,"""")</f>
        <v>3.2.. Содержательные издержки группы объектов  - ""</v>
      </c>
      <c r="D21" s="43"/>
      <c r="E21" s="43"/>
      <c r="F21" s="43"/>
      <c r="G21" s="43"/>
      <c r="H21" s="43"/>
      <c r="I21" s="43"/>
      <c r="J21" s="43"/>
      <c r="K21" s="43"/>
      <c r="L21" s="43"/>
      <c r="M21" s="43"/>
      <c r="N21" s="43"/>
      <c r="O21" s="43"/>
      <c r="P21" s="43"/>
      <c r="Q21" s="43"/>
      <c r="R21" s="43"/>
      <c r="S21" s="317"/>
      <c r="T21" s="317"/>
      <c r="U21" s="49"/>
      <c r="V21" s="317"/>
      <c r="X21" s="272"/>
      <c r="Y21" s="272"/>
      <c r="Z21" s="272"/>
      <c r="AA21" s="272"/>
      <c r="AB21" s="272"/>
      <c r="AC21" s="272"/>
    </row>
    <row r="22" spans="1:29" s="37" customFormat="1" ht="15.75" x14ac:dyDescent="0.25">
      <c r="A22" s="43"/>
      <c r="B22" s="48"/>
      <c r="C22" s="43"/>
      <c r="D22" s="43"/>
      <c r="E22" s="43"/>
      <c r="F22" s="43"/>
      <c r="G22" s="43"/>
      <c r="H22" s="43"/>
      <c r="I22" s="43"/>
      <c r="J22" s="43"/>
      <c r="K22" s="43"/>
      <c r="L22" s="43"/>
      <c r="M22" s="43"/>
      <c r="N22" s="43"/>
      <c r="O22" s="43"/>
      <c r="P22" s="43"/>
      <c r="Q22" s="43"/>
      <c r="R22" s="43"/>
      <c r="S22" s="317"/>
      <c r="T22" s="317"/>
      <c r="U22" s="49"/>
      <c r="V22" s="317"/>
      <c r="X22" s="272"/>
      <c r="Y22" s="272"/>
      <c r="Z22" s="272"/>
      <c r="AA22" s="272"/>
      <c r="AB22" s="272"/>
      <c r="AC22" s="272"/>
    </row>
    <row r="23" spans="1:29" s="37" customFormat="1" ht="15.75" x14ac:dyDescent="0.25">
      <c r="A23" s="43"/>
      <c r="B23" s="48"/>
      <c r="C23" s="39" t="s">
        <v>63</v>
      </c>
      <c r="D23" s="43"/>
      <c r="E23" s="43"/>
      <c r="F23" s="43"/>
      <c r="G23" s="43"/>
      <c r="H23" s="43"/>
      <c r="I23" s="43"/>
      <c r="J23" s="43"/>
      <c r="K23" s="43"/>
      <c r="L23" s="43"/>
      <c r="M23" s="43"/>
      <c r="N23" s="43"/>
      <c r="O23" s="43"/>
      <c r="P23" s="43"/>
      <c r="Q23" s="43"/>
      <c r="R23" s="43"/>
      <c r="S23" s="317"/>
      <c r="T23" s="317"/>
      <c r="U23" s="49"/>
      <c r="V23" s="317"/>
      <c r="X23" s="272"/>
      <c r="Y23" s="272"/>
      <c r="Z23" s="272"/>
      <c r="AA23" s="272"/>
      <c r="AB23" s="272"/>
      <c r="AC23" s="272"/>
    </row>
    <row r="24" spans="1:29" s="52" customFormat="1" ht="127.5" customHeight="1" x14ac:dyDescent="0.25">
      <c r="A24" s="23"/>
      <c r="B24" s="50"/>
      <c r="C24" s="336" t="s">
        <v>62</v>
      </c>
      <c r="D24" s="336" t="s">
        <v>64</v>
      </c>
      <c r="E24" s="336" t="s">
        <v>75</v>
      </c>
      <c r="F24" s="336" t="s">
        <v>1231</v>
      </c>
      <c r="G24" s="336"/>
      <c r="H24" s="336"/>
      <c r="I24" s="336"/>
      <c r="J24" s="336"/>
      <c r="K24" s="336"/>
      <c r="L24" s="336" t="s">
        <v>1300</v>
      </c>
      <c r="M24" s="336" t="s">
        <v>1222</v>
      </c>
      <c r="N24" s="316" t="s">
        <v>1309</v>
      </c>
      <c r="O24" s="316" t="s">
        <v>79</v>
      </c>
      <c r="P24" s="316" t="s">
        <v>1159</v>
      </c>
      <c r="Q24" s="43"/>
      <c r="R24" s="43"/>
      <c r="S24" s="318"/>
      <c r="T24" s="318"/>
      <c r="U24" s="51"/>
      <c r="V24" s="318"/>
      <c r="X24" s="272"/>
      <c r="Y24" s="272"/>
      <c r="Z24" s="272"/>
      <c r="AA24" s="272"/>
      <c r="AB24" s="272"/>
      <c r="AC24" s="272"/>
    </row>
    <row r="25" spans="1:29" s="52" customFormat="1" ht="15.75" x14ac:dyDescent="0.25">
      <c r="A25" s="23"/>
      <c r="B25" s="50"/>
      <c r="C25" s="336"/>
      <c r="D25" s="349"/>
      <c r="E25" s="349"/>
      <c r="F25" s="316" t="str">
        <f>IF(1&lt;='Шаг 1. Основные исходные данные'!$E$5,"1 год","-")</f>
        <v>1 год</v>
      </c>
      <c r="G25" s="316" t="str">
        <f>IF(2&lt;='Шаг 1. Основные исходные данные'!$E$5,"2 год","-")</f>
        <v>2 год</v>
      </c>
      <c r="H25" s="316" t="str">
        <f>IF(3&lt;='Шаг 1. Основные исходные данные'!$E$5,"3 год","-")</f>
        <v>3 год</v>
      </c>
      <c r="I25" s="316" t="str">
        <f>IF(4&lt;='Шаг 1. Основные исходные данные'!$E$5,"4 год","-")</f>
        <v>4 год</v>
      </c>
      <c r="J25" s="316" t="str">
        <f>IF(5&lt;='Шаг 1. Основные исходные данные'!$E$5,"5 год","-")</f>
        <v>5 год</v>
      </c>
      <c r="K25" s="316" t="str">
        <f>IF(6&lt;='Шаг 1. Основные исходные данные'!$E$5,"6 год","-")</f>
        <v>6 год</v>
      </c>
      <c r="L25" s="349"/>
      <c r="M25" s="349"/>
      <c r="N25" s="316"/>
      <c r="O25" s="316"/>
      <c r="P25" s="316"/>
      <c r="Q25" s="43"/>
      <c r="R25" s="43"/>
      <c r="S25" s="318"/>
      <c r="T25" s="318"/>
      <c r="U25" s="51"/>
      <c r="V25" s="318"/>
      <c r="X25" s="279" t="s">
        <v>1221</v>
      </c>
      <c r="Y25" s="279" t="s">
        <v>1223</v>
      </c>
      <c r="Z25" s="279" t="s">
        <v>1224</v>
      </c>
      <c r="AA25" s="279" t="s">
        <v>1225</v>
      </c>
      <c r="AB25" s="279" t="s">
        <v>1226</v>
      </c>
      <c r="AC25" s="279" t="s">
        <v>1227</v>
      </c>
    </row>
    <row r="26" spans="1:29" s="37" customFormat="1" ht="15.75" x14ac:dyDescent="0.25">
      <c r="A26" s="43"/>
      <c r="B26" s="48"/>
      <c r="C26" s="89" t="str">
        <f>IF(LEN(D26)&gt;0,1,"")</f>
        <v/>
      </c>
      <c r="D26" s="31"/>
      <c r="E26" s="96"/>
      <c r="F26" s="96"/>
      <c r="G26" s="96"/>
      <c r="H26" s="96"/>
      <c r="I26" s="96"/>
      <c r="J26" s="96"/>
      <c r="K26" s="96"/>
      <c r="L26" s="96"/>
      <c r="M26" s="96"/>
      <c r="N26" s="96"/>
      <c r="O26" s="97">
        <f>'Шаг 1. Основные исходные данные'!$E$8</f>
        <v>0</v>
      </c>
      <c r="P26" s="97">
        <f>SUM(X26:AC26)</f>
        <v>0</v>
      </c>
      <c r="Q26" s="43"/>
      <c r="R26" s="43"/>
      <c r="S26" s="317"/>
      <c r="T26" s="317"/>
      <c r="U26" s="49"/>
      <c r="V26" s="317"/>
      <c r="W26" s="281"/>
      <c r="X26" s="282">
        <f>$O26*'Шаг 1. Основные исходные данные'!$E$11*(12/'Шаг 1. Основные исходные данные'!$E$10/8)*F26*$M26*$E$14*X$19</f>
        <v>0</v>
      </c>
      <c r="Y26" s="282">
        <f>IF($E26=Dict!$F$2,0,
$O26*'Шаг 1. Основные исходные данные'!$E$11*(12/'Шаг 1. Основные исходные данные'!$E$10/8)*G26*$M26*$E$14*Y$19)</f>
        <v>0</v>
      </c>
      <c r="Z26" s="277">
        <f>IF($E26=Dict!$F$2,0,
$O26*'Шаг 1. Основные исходные данные'!$E$11*(12/'Шаг 1. Основные исходные данные'!$E$10/8)*H26*$M26*$E$14*Z$19)</f>
        <v>0</v>
      </c>
      <c r="AA26" s="277">
        <f>IF($E26=Dict!$F$2,0,
$O26*'Шаг 1. Основные исходные данные'!$E$11*(12/'Шаг 1. Основные исходные данные'!$E$10/8)*I26*$M26*$E$14*AA$19)</f>
        <v>0</v>
      </c>
      <c r="AB26" s="277">
        <f>IF($E26=Dict!$F$2,0,
$O26*'Шаг 1. Основные исходные данные'!$E$11*(12/'Шаг 1. Основные исходные данные'!$E$10/8)*J26*$M26*$E$14*AB$19)</f>
        <v>0</v>
      </c>
      <c r="AC26" s="277">
        <f>IF($E26=Dict!$F$2,0,
$O26*'Шаг 1. Основные исходные данные'!$E$11*(12/'Шаг 1. Основные исходные данные'!$E$10/8)*K26*$M26*$E$14*AC$19)</f>
        <v>0</v>
      </c>
    </row>
    <row r="27" spans="1:29" s="37" customFormat="1" ht="15.75" x14ac:dyDescent="0.25">
      <c r="A27" s="43"/>
      <c r="B27" s="48"/>
      <c r="C27" s="89" t="str">
        <f>IF(LEN(D27)&gt;0,C26+1,"")</f>
        <v/>
      </c>
      <c r="D27" s="31"/>
      <c r="E27" s="96"/>
      <c r="F27" s="96"/>
      <c r="G27" s="96"/>
      <c r="H27" s="96"/>
      <c r="I27" s="96"/>
      <c r="J27" s="96"/>
      <c r="K27" s="96"/>
      <c r="L27" s="96"/>
      <c r="M27" s="96"/>
      <c r="N27" s="96"/>
      <c r="O27" s="97">
        <f>'Шаг 1. Основные исходные данные'!$E$8</f>
        <v>0</v>
      </c>
      <c r="P27" s="97">
        <f>SUM(X27:AC27)</f>
        <v>0</v>
      </c>
      <c r="Q27" s="43"/>
      <c r="R27" s="43"/>
      <c r="S27" s="317"/>
      <c r="T27" s="317"/>
      <c r="U27" s="49"/>
      <c r="V27" s="317"/>
      <c r="W27" s="281"/>
      <c r="X27" s="283">
        <f>$O27*'Шаг 1. Основные исходные данные'!$E$11*(12/'Шаг 1. Основные исходные данные'!$E$10/8)*F27*$M27*$E$14*X$19</f>
        <v>0</v>
      </c>
      <c r="Y27" s="283">
        <f>IF($E27=Dict!$F$2,0,
$O27*'Шаг 1. Основные исходные данные'!$E$11*(12/'Шаг 1. Основные исходные данные'!$E$10/8)*G27*$M27*$E$14*Y$19)</f>
        <v>0</v>
      </c>
      <c r="Z27" s="277">
        <f>IF($E27=Dict!$F$2,0,
$O27*'Шаг 1. Основные исходные данные'!$E$11*(12/'Шаг 1. Основные исходные данные'!$E$10/8)*H27*$M27*$E$14*Z$19)</f>
        <v>0</v>
      </c>
      <c r="AA27" s="277">
        <f>IF($E27=Dict!$F$2,0,
$O27*'Шаг 1. Основные исходные данные'!$E$11*(12/'Шаг 1. Основные исходные данные'!$E$10/8)*I27*$M27*$E$14*AA$19)</f>
        <v>0</v>
      </c>
      <c r="AB27" s="277">
        <f>IF($E27=Dict!$F$2,0,
$O27*'Шаг 1. Основные исходные данные'!$E$11*(12/'Шаг 1. Основные исходные данные'!$E$10/8)*J27*$M27*$E$14*AB$19)</f>
        <v>0</v>
      </c>
      <c r="AC27" s="277">
        <f>IF($E27=Dict!$F$2,0,
$O27*'Шаг 1. Основные исходные данные'!$E$11*(12/'Шаг 1. Основные исходные данные'!$E$10/8)*K27*$M27*$E$14*AC$19)</f>
        <v>0</v>
      </c>
    </row>
    <row r="28" spans="1:29" s="37" customFormat="1" ht="15.75" x14ac:dyDescent="0.25">
      <c r="A28" s="43"/>
      <c r="B28" s="48"/>
      <c r="C28" s="89" t="str">
        <f>IF(LEN(D28)&gt;0,C27+1,"")</f>
        <v/>
      </c>
      <c r="D28" s="31"/>
      <c r="E28" s="96"/>
      <c r="F28" s="96"/>
      <c r="G28" s="96"/>
      <c r="H28" s="96"/>
      <c r="I28" s="96"/>
      <c r="J28" s="96"/>
      <c r="K28" s="96"/>
      <c r="L28" s="96"/>
      <c r="M28" s="96"/>
      <c r="N28" s="96"/>
      <c r="O28" s="97">
        <f>'Шаг 1. Основные исходные данные'!$E$8</f>
        <v>0</v>
      </c>
      <c r="P28" s="97">
        <f>SUM(X28:AC28)</f>
        <v>0</v>
      </c>
      <c r="Q28" s="43"/>
      <c r="R28" s="43"/>
      <c r="S28" s="317"/>
      <c r="T28" s="317"/>
      <c r="U28" s="49"/>
      <c r="V28" s="317"/>
      <c r="X28" s="283">
        <f>$O28*'Шаг 1. Основные исходные данные'!$E$11*(12/'Шаг 1. Основные исходные данные'!$E$10/8)*F28*$M28*$E$14*X$19</f>
        <v>0</v>
      </c>
      <c r="Y28" s="283">
        <f>IF($E28=Dict!$F$2,0,
$O28*'Шаг 1. Основные исходные данные'!$E$11*(12/'Шаг 1. Основные исходные данные'!$E$10/8)*G28*$M28*$E$14*Y$19)</f>
        <v>0</v>
      </c>
      <c r="Z28" s="277">
        <f>IF($E28=Dict!$F$2,0,
$O28*'Шаг 1. Основные исходные данные'!$E$11*(12/'Шаг 1. Основные исходные данные'!$E$10/8)*H28*$M28*$E$14*Z$19)</f>
        <v>0</v>
      </c>
      <c r="AA28" s="277">
        <f>IF($E28=Dict!$F$2,0,
$O28*'Шаг 1. Основные исходные данные'!$E$11*(12/'Шаг 1. Основные исходные данные'!$E$10/8)*I28*$M28*$E$14*AA$19)</f>
        <v>0</v>
      </c>
      <c r="AB28" s="277">
        <f>IF($E28=Dict!$F$2,0,
$O28*'Шаг 1. Основные исходные данные'!$E$11*(12/'Шаг 1. Основные исходные данные'!$E$10/8)*J28*$M28*$E$14*AB$19)</f>
        <v>0</v>
      </c>
      <c r="AC28" s="277">
        <f>IF($E28=Dict!$F$2,0,
$O28*'Шаг 1. Основные исходные данные'!$E$11*(12/'Шаг 1. Основные исходные данные'!$E$10/8)*K28*$M28*$E$14*AC$19)</f>
        <v>0</v>
      </c>
    </row>
    <row r="29" spans="1:29" s="37" customFormat="1" ht="15.75" x14ac:dyDescent="0.25">
      <c r="A29" s="43"/>
      <c r="B29" s="48"/>
      <c r="C29" s="89" t="str">
        <f>IF(LEN(D29)&gt;0,C28+1,"")</f>
        <v/>
      </c>
      <c r="D29" s="31"/>
      <c r="E29" s="96"/>
      <c r="F29" s="96"/>
      <c r="G29" s="96"/>
      <c r="H29" s="96"/>
      <c r="I29" s="96"/>
      <c r="J29" s="96"/>
      <c r="K29" s="96"/>
      <c r="L29" s="96"/>
      <c r="M29" s="96"/>
      <c r="N29" s="96"/>
      <c r="O29" s="97">
        <f>'Шаг 1. Основные исходные данные'!$E$8</f>
        <v>0</v>
      </c>
      <c r="P29" s="97">
        <f>SUM(X29:AC29)</f>
        <v>0</v>
      </c>
      <c r="Q29" s="43"/>
      <c r="R29" s="43"/>
      <c r="S29" s="317"/>
      <c r="T29" s="317"/>
      <c r="U29" s="49"/>
      <c r="V29" s="317"/>
      <c r="X29" s="283">
        <f>$O29*'Шаг 1. Основные исходные данные'!$E$11*(12/'Шаг 1. Основные исходные данные'!$E$10/8)*F29*$M29*$E$14*X$19</f>
        <v>0</v>
      </c>
      <c r="Y29" s="283">
        <f>IF($E29=Dict!$F$2,0,
$O29*'Шаг 1. Основные исходные данные'!$E$11*(12/'Шаг 1. Основные исходные данные'!$E$10/8)*G29*$M29*$E$14*Y$19)</f>
        <v>0</v>
      </c>
      <c r="Z29" s="277">
        <f>IF($E29=Dict!$F$2,0,
$O29*'Шаг 1. Основные исходные данные'!$E$11*(12/'Шаг 1. Основные исходные данные'!$E$10/8)*H29*$M29*$E$14*Z$19)</f>
        <v>0</v>
      </c>
      <c r="AA29" s="277">
        <f>IF($E29=Dict!$F$2,0,
$O29*'Шаг 1. Основные исходные данные'!$E$11*(12/'Шаг 1. Основные исходные данные'!$E$10/8)*I29*$M29*$E$14*AA$19)</f>
        <v>0</v>
      </c>
      <c r="AB29" s="277">
        <f>IF($E29=Dict!$F$2,0,
$O29*'Шаг 1. Основные исходные данные'!$E$11*(12/'Шаг 1. Основные исходные данные'!$E$10/8)*J29*$M29*$E$14*AB$19)</f>
        <v>0</v>
      </c>
      <c r="AC29" s="277">
        <f>IF($E29=Dict!$F$2,0,
$O29*'Шаг 1. Основные исходные данные'!$E$11*(12/'Шаг 1. Основные исходные данные'!$E$10/8)*K29*$M29*$E$14*AC$19)</f>
        <v>0</v>
      </c>
    </row>
    <row r="30" spans="1:29" s="37" customFormat="1" ht="15.75" x14ac:dyDescent="0.25">
      <c r="A30" s="43"/>
      <c r="B30" s="48"/>
      <c r="C30" s="89" t="str">
        <f>IF(LEN(D30)&gt;0,C29+1,"")</f>
        <v/>
      </c>
      <c r="D30" s="31"/>
      <c r="E30" s="96"/>
      <c r="F30" s="96"/>
      <c r="G30" s="96"/>
      <c r="H30" s="96"/>
      <c r="I30" s="96"/>
      <c r="J30" s="96"/>
      <c r="K30" s="96"/>
      <c r="L30" s="96"/>
      <c r="M30" s="96"/>
      <c r="N30" s="96"/>
      <c r="O30" s="97">
        <f>'Шаг 1. Основные исходные данные'!$E$8</f>
        <v>0</v>
      </c>
      <c r="P30" s="97">
        <f>SUM(X30:AC30)</f>
        <v>0</v>
      </c>
      <c r="Q30" s="43"/>
      <c r="R30" s="43"/>
      <c r="S30" s="317"/>
      <c r="T30" s="317"/>
      <c r="U30" s="49"/>
      <c r="V30" s="317"/>
      <c r="X30" s="283">
        <f>$O30*'Шаг 1. Основные исходные данные'!$E$11*(12/'Шаг 1. Основные исходные данные'!$E$10/8)*F30*$M30*$E$14*X$19</f>
        <v>0</v>
      </c>
      <c r="Y30" s="283">
        <f>IF($E30=Dict!$F$2,0,
$O30*'Шаг 1. Основные исходные данные'!$E$11*(12/'Шаг 1. Основные исходные данные'!$E$10/8)*G30*$M30*$E$14*Y$19)</f>
        <v>0</v>
      </c>
      <c r="Z30" s="277">
        <f>IF($E30=Dict!$F$2,0,
$O30*'Шаг 1. Основные исходные данные'!$E$11*(12/'Шаг 1. Основные исходные данные'!$E$10/8)*H30*$M30*$E$14*Z$19)</f>
        <v>0</v>
      </c>
      <c r="AA30" s="277">
        <f>IF($E30=Dict!$F$2,0,
$O30*'Шаг 1. Основные исходные данные'!$E$11*(12/'Шаг 1. Основные исходные данные'!$E$10/8)*I30*$M30*$E$14*AA$19)</f>
        <v>0</v>
      </c>
      <c r="AB30" s="277">
        <f>IF($E30=Dict!$F$2,0,
$O30*'Шаг 1. Основные исходные данные'!$E$11*(12/'Шаг 1. Основные исходные данные'!$E$10/8)*J30*$M30*$E$14*AB$19)</f>
        <v>0</v>
      </c>
      <c r="AC30" s="277">
        <f>IF($E30=Dict!$F$2,0,
$O30*'Шаг 1. Основные исходные данные'!$E$11*(12/'Шаг 1. Основные исходные данные'!$E$10/8)*K30*$M30*$E$14*AC$19)</f>
        <v>0</v>
      </c>
    </row>
    <row r="31" spans="1:29" s="91" customFormat="1" ht="19.899999999999999" customHeight="1" x14ac:dyDescent="0.25">
      <c r="A31" s="90"/>
      <c r="B31" s="92"/>
      <c r="C31" s="94" t="s">
        <v>95</v>
      </c>
      <c r="D31" s="99"/>
      <c r="E31" s="99"/>
      <c r="F31" s="99"/>
      <c r="G31" s="99"/>
      <c r="H31" s="99"/>
      <c r="I31" s="99"/>
      <c r="J31" s="99"/>
      <c r="K31" s="99"/>
      <c r="L31" s="99"/>
      <c r="M31" s="99"/>
      <c r="N31" s="99"/>
      <c r="O31" s="99"/>
      <c r="P31" s="95">
        <f>SUM(P26:P30)</f>
        <v>0</v>
      </c>
      <c r="Q31" s="43"/>
      <c r="R31" s="43"/>
      <c r="S31" s="319"/>
      <c r="T31" s="319"/>
      <c r="U31" s="93"/>
      <c r="V31" s="319"/>
      <c r="X31" s="278">
        <f t="shared" ref="X31:AC31" si="3">SUM(X26:X30)</f>
        <v>0</v>
      </c>
      <c r="Y31" s="278">
        <f t="shared" si="3"/>
        <v>0</v>
      </c>
      <c r="Z31" s="278">
        <f t="shared" si="3"/>
        <v>0</v>
      </c>
      <c r="AA31" s="278">
        <f t="shared" si="3"/>
        <v>0</v>
      </c>
      <c r="AB31" s="278">
        <f t="shared" si="3"/>
        <v>0</v>
      </c>
      <c r="AC31" s="278">
        <f t="shared" si="3"/>
        <v>0</v>
      </c>
    </row>
    <row r="32" spans="1:29" s="37" customFormat="1" ht="15.75" x14ac:dyDescent="0.25">
      <c r="A32" s="43"/>
      <c r="B32" s="48"/>
      <c r="C32" s="43"/>
      <c r="D32" s="43"/>
      <c r="E32" s="43"/>
      <c r="F32" s="43"/>
      <c r="G32" s="43"/>
      <c r="H32" s="43"/>
      <c r="I32" s="43"/>
      <c r="J32" s="43"/>
      <c r="K32" s="43"/>
      <c r="L32" s="43"/>
      <c r="M32" s="43"/>
      <c r="N32" s="43"/>
      <c r="O32" s="43"/>
      <c r="P32" s="43"/>
      <c r="Q32" s="43"/>
      <c r="R32" s="43"/>
      <c r="S32" s="317"/>
      <c r="T32" s="317"/>
      <c r="U32" s="49"/>
      <c r="V32" s="317"/>
      <c r="X32" s="271"/>
      <c r="Y32" s="271"/>
      <c r="Z32" s="271"/>
      <c r="AA32" s="271"/>
      <c r="AB32" s="271"/>
      <c r="AC32" s="271"/>
    </row>
    <row r="33" spans="1:29" s="37" customFormat="1" ht="15.75" x14ac:dyDescent="0.25">
      <c r="A33" s="43"/>
      <c r="B33" s="48"/>
      <c r="C33" s="39" t="s">
        <v>80</v>
      </c>
      <c r="D33" s="43"/>
      <c r="E33" s="43"/>
      <c r="F33" s="43"/>
      <c r="G33" s="43"/>
      <c r="H33" s="43"/>
      <c r="I33" s="43"/>
      <c r="J33" s="43"/>
      <c r="K33" s="43"/>
      <c r="L33" s="43"/>
      <c r="M33" s="43"/>
      <c r="N33" s="43"/>
      <c r="O33" s="43"/>
      <c r="P33" s="43"/>
      <c r="Q33" s="43"/>
      <c r="R33" s="43"/>
      <c r="S33" s="317"/>
      <c r="T33" s="317"/>
      <c r="U33" s="49"/>
      <c r="V33" s="317"/>
      <c r="X33" s="271"/>
      <c r="Y33" s="271"/>
      <c r="Z33" s="271"/>
      <c r="AA33" s="271"/>
      <c r="AB33" s="271"/>
      <c r="AC33" s="271"/>
    </row>
    <row r="34" spans="1:29" s="37" customFormat="1" ht="132" customHeight="1" x14ac:dyDescent="0.25">
      <c r="A34" s="43"/>
      <c r="B34" s="48"/>
      <c r="C34" s="316" t="s">
        <v>62</v>
      </c>
      <c r="D34" s="316" t="s">
        <v>74</v>
      </c>
      <c r="E34" s="316" t="s">
        <v>1160</v>
      </c>
      <c r="F34" s="316" t="s">
        <v>1168</v>
      </c>
      <c r="G34" s="316" t="s">
        <v>1167</v>
      </c>
      <c r="H34" s="336" t="s">
        <v>1232</v>
      </c>
      <c r="I34" s="336"/>
      <c r="J34" s="336"/>
      <c r="K34" s="336"/>
      <c r="L34" s="336"/>
      <c r="M34" s="336"/>
      <c r="N34" s="316" t="s">
        <v>1301</v>
      </c>
      <c r="O34" s="316" t="s">
        <v>1169</v>
      </c>
      <c r="P34" s="316" t="s">
        <v>1307</v>
      </c>
      <c r="Q34" s="316" t="s">
        <v>1269</v>
      </c>
      <c r="R34" s="316" t="s">
        <v>1308</v>
      </c>
      <c r="S34" s="316" t="s">
        <v>1166</v>
      </c>
      <c r="T34" s="316" t="s">
        <v>1170</v>
      </c>
      <c r="U34" s="49"/>
      <c r="V34" s="317"/>
      <c r="X34" s="271">
        <v>1</v>
      </c>
      <c r="Y34" s="271">
        <v>2</v>
      </c>
      <c r="Z34" s="271">
        <v>3</v>
      </c>
      <c r="AA34" s="271">
        <v>4</v>
      </c>
      <c r="AB34" s="271">
        <v>5</v>
      </c>
      <c r="AC34" s="271">
        <v>6</v>
      </c>
    </row>
    <row r="35" spans="1:29" s="37" customFormat="1" ht="15.75" x14ac:dyDescent="0.25">
      <c r="A35" s="43"/>
      <c r="B35" s="48"/>
      <c r="C35" s="316"/>
      <c r="D35" s="316"/>
      <c r="E35" s="316"/>
      <c r="F35" s="316"/>
      <c r="G35" s="316"/>
      <c r="H35" s="316" t="str">
        <f>IF(1&lt;='Шаг 1. Основные исходные данные'!$E$5,"1 год","-")</f>
        <v>1 год</v>
      </c>
      <c r="I35" s="316" t="str">
        <f>IF(2&lt;='Шаг 1. Основные исходные данные'!$E$5,"2 год","-")</f>
        <v>2 год</v>
      </c>
      <c r="J35" s="316" t="str">
        <f>IF(3&lt;='Шаг 1. Основные исходные данные'!$E$5,"3 год","-")</f>
        <v>3 год</v>
      </c>
      <c r="K35" s="316" t="str">
        <f>IF(4&lt;='Шаг 1. Основные исходные данные'!$E$5,"4 год","-")</f>
        <v>4 год</v>
      </c>
      <c r="L35" s="316" t="str">
        <f>IF(5&lt;='Шаг 1. Основные исходные данные'!$E$5,"5 год","-")</f>
        <v>5 год</v>
      </c>
      <c r="M35" s="316" t="str">
        <f>IF(6&lt;='Шаг 1. Основные исходные данные'!$E$5,"6 год","-")</f>
        <v>6 год</v>
      </c>
      <c r="N35" s="316"/>
      <c r="O35" s="316"/>
      <c r="P35" s="316"/>
      <c r="Q35" s="316"/>
      <c r="R35" s="316"/>
      <c r="S35" s="316"/>
      <c r="T35" s="316"/>
      <c r="U35" s="49"/>
      <c r="V35" s="317"/>
      <c r="X35" s="279" t="s">
        <v>1221</v>
      </c>
      <c r="Y35" s="279" t="s">
        <v>1223</v>
      </c>
      <c r="Z35" s="279" t="s">
        <v>1224</v>
      </c>
      <c r="AA35" s="279" t="s">
        <v>1225</v>
      </c>
      <c r="AB35" s="279" t="s">
        <v>1226</v>
      </c>
      <c r="AC35" s="279" t="s">
        <v>1227</v>
      </c>
    </row>
    <row r="36" spans="1:29" s="37" customFormat="1" ht="15.75" x14ac:dyDescent="0.25">
      <c r="A36" s="43"/>
      <c r="B36" s="48"/>
      <c r="C36" s="89" t="str">
        <f>IF(LEN(D36)&gt;0,1,"")</f>
        <v/>
      </c>
      <c r="D36" s="31"/>
      <c r="E36" s="31"/>
      <c r="F36" s="96"/>
      <c r="G36" s="96"/>
      <c r="H36" s="96"/>
      <c r="I36" s="96"/>
      <c r="J36" s="96"/>
      <c r="K36" s="96"/>
      <c r="L36" s="96"/>
      <c r="M36" s="96"/>
      <c r="N36" s="96"/>
      <c r="O36" s="98"/>
      <c r="P36" s="96"/>
      <c r="Q36" s="96"/>
      <c r="R36" s="96"/>
      <c r="S36" s="257">
        <f>IF($E36=Dict!$I$2,IF($G36&gt;='Шаг 1. Основные исходные данные'!$E$5,1,ROUNDUP('Шаг 1. Основные исходные данные'!$E$5/$G36,0)),IF($F36=Dict!$J$2,1,SUM($H36:$M36)))</f>
        <v>0</v>
      </c>
      <c r="T36" s="97">
        <f>SUM(X36:AC36)</f>
        <v>0</v>
      </c>
      <c r="U36" s="49"/>
      <c r="V36" s="317"/>
      <c r="X36" s="282">
        <f>IF($E36=Dict!$I$2,1,IF($F36=Dict!$J$2,1,H36))*$O36*$Q36*X$18*$E$14</f>
        <v>0</v>
      </c>
      <c r="Y36" s="282">
        <f>IF($E36=Dict!$I$2,
IF($G36&gt;='Шаг 1. Основные исходные данные'!$E$5,0,
IF(MOD(Y$34-1,$G36)=0,1,0)),IF($F36=Dict!$J$2,0,I36))*$O36*$Q36*Y$18*$E$14</f>
        <v>0</v>
      </c>
      <c r="Z36" s="277">
        <f>IF($E36=Dict!$I$2,
IF($G36&gt;='Шаг 1. Основные исходные данные'!$E$5,0,
IF(MOD(Z$34-1,$G36)=0,1,0)),IF($F36=Dict!$J$2,0,J36))*$O36*$Q36*Z$18*$E$14</f>
        <v>0</v>
      </c>
      <c r="AA36" s="277">
        <f>IF($E36=Dict!$I$2,
IF($G36&gt;='Шаг 1. Основные исходные данные'!$E$5,0,
IF(MOD(AA$34-1,$G36)=0,1,0)),IF($F36=Dict!$J$2,0,K36))*$O36*$Q36*AA$18*$E$14</f>
        <v>0</v>
      </c>
      <c r="AB36" s="277">
        <f>IF($E36=Dict!$I$2,
IF($G36&gt;='Шаг 1. Основные исходные данные'!$E$5,0,
IF(MOD(AB$34-1,$G36)=0,1,0)),IF($F36=Dict!$J$2,0,L36))*$O36*$Q36*AB$18*$E$14</f>
        <v>0</v>
      </c>
      <c r="AC36" s="277">
        <f>IF($E36=Dict!$I$2,
IF($G36&gt;='Шаг 1. Основные исходные данные'!$E$5,0,
IF(MOD(AC$34-1,$G36)=0,1,0)),IF($F36=Dict!$J$2,0,M36))*$O36*$Q36*AC$18*$E$14</f>
        <v>0</v>
      </c>
    </row>
    <row r="37" spans="1:29" s="37" customFormat="1" ht="15.75" x14ac:dyDescent="0.25">
      <c r="A37" s="43"/>
      <c r="B37" s="48"/>
      <c r="C37" s="89" t="str">
        <f>IF(LEN(D37)&gt;0,C36+1,"")</f>
        <v/>
      </c>
      <c r="D37" s="31"/>
      <c r="E37" s="31"/>
      <c r="F37" s="96"/>
      <c r="G37" s="96"/>
      <c r="H37" s="96"/>
      <c r="I37" s="96"/>
      <c r="J37" s="96"/>
      <c r="K37" s="96"/>
      <c r="L37" s="96"/>
      <c r="M37" s="96"/>
      <c r="N37" s="96"/>
      <c r="O37" s="98"/>
      <c r="P37" s="96"/>
      <c r="Q37" s="96"/>
      <c r="R37" s="96"/>
      <c r="S37" s="257">
        <f>IF($E37=Dict!$I$2,IF($G37&gt;='Шаг 1. Основные исходные данные'!$E$5,1,ROUNDUP('Шаг 1. Основные исходные данные'!$E$5/$G37,0)),IF($F37=Dict!$J$2,1,SUM($H37:$M37)))</f>
        <v>0</v>
      </c>
      <c r="T37" s="97">
        <f>SUM(X37:AC37)</f>
        <v>0</v>
      </c>
      <c r="U37" s="49"/>
      <c r="V37" s="317"/>
      <c r="X37" s="283">
        <f>IF($E37=Dict!$I$2,1,IF($F37=Dict!$J$2,1,H37))*$O37*$Q37*X$18*$E$14</f>
        <v>0</v>
      </c>
      <c r="Y37" s="283">
        <f>IF($E37=Dict!$I$2,
IF($G37&gt;='Шаг 1. Основные исходные данные'!$E$5,0,
IF(MOD(Y$34-1,$G37)=0,1,0)),IF($F37=Dict!$J$2,0,I37))*$O37*$Q37*Y$18*$E$14</f>
        <v>0</v>
      </c>
      <c r="Z37" s="277">
        <f>IF($E37=Dict!$I$2,
IF($G37&gt;='Шаг 1. Основные исходные данные'!$E$5,0,
IF(MOD(Z$34-1,$G37)=0,1,0)),IF($F37=Dict!$J$2,0,J37))*$O37*$Q37*Z$18*$E$14</f>
        <v>0</v>
      </c>
      <c r="AA37" s="277">
        <f>IF($E37=Dict!$I$2,
IF($G37&gt;='Шаг 1. Основные исходные данные'!$E$5,0,
IF(MOD(AA$34-1,$G37)=0,1,0)),IF($F37=Dict!$J$2,0,K37))*$O37*$Q37*AA$18*$E$14</f>
        <v>0</v>
      </c>
      <c r="AB37" s="277">
        <f>IF($E37=Dict!$I$2,
IF($G37&gt;='Шаг 1. Основные исходные данные'!$E$5,0,
IF(MOD(AB$34-1,$G37)=0,1,0)),IF($F37=Dict!$J$2,0,L37))*$O37*$Q37*AB$18*$E$14</f>
        <v>0</v>
      </c>
      <c r="AC37" s="277">
        <f>IF($E37=Dict!$I$2,
IF($G37&gt;='Шаг 1. Основные исходные данные'!$E$5,0,
IF(MOD(AC$34-1,$G37)=0,1,0)),IF($F37=Dict!$J$2,0,M37))*$O37*$Q37*AC$18*$E$14</f>
        <v>0</v>
      </c>
    </row>
    <row r="38" spans="1:29" s="37" customFormat="1" ht="15.75" x14ac:dyDescent="0.25">
      <c r="A38" s="43"/>
      <c r="B38" s="48"/>
      <c r="C38" s="89" t="str">
        <f>IF(LEN(D38)&gt;0,C37+1,"")</f>
        <v/>
      </c>
      <c r="D38" s="31"/>
      <c r="E38" s="31"/>
      <c r="F38" s="96"/>
      <c r="G38" s="96"/>
      <c r="H38" s="96"/>
      <c r="I38" s="96"/>
      <c r="J38" s="96"/>
      <c r="K38" s="96"/>
      <c r="L38" s="96"/>
      <c r="M38" s="96"/>
      <c r="N38" s="96"/>
      <c r="O38" s="98"/>
      <c r="P38" s="96"/>
      <c r="Q38" s="96"/>
      <c r="R38" s="96"/>
      <c r="S38" s="257">
        <f>IF($E38=Dict!$I$2,IF($G38&gt;='Шаг 1. Основные исходные данные'!$E$5,1,ROUNDUP('Шаг 1. Основные исходные данные'!$E$5/$G38,0)),IF($F38=Dict!$J$2,1,SUM($H38:$M38)))</f>
        <v>0</v>
      </c>
      <c r="T38" s="97">
        <f>SUM(X38:AC38)</f>
        <v>0</v>
      </c>
      <c r="U38" s="49"/>
      <c r="V38" s="317"/>
      <c r="X38" s="283">
        <f>IF($E38=Dict!$I$2,1,IF($F38=Dict!$J$2,1,H38))*$O38*$Q38*X$18*$E$14</f>
        <v>0</v>
      </c>
      <c r="Y38" s="283">
        <f>IF($E38=Dict!$I$2,
IF($G38&gt;='Шаг 1. Основные исходные данные'!$E$5,0,
IF(MOD(Y$34-1,$G38)=0,1,0)),IF($F38=Dict!$J$2,0,I38))*$O38*$Q38*Y$18*$E$14</f>
        <v>0</v>
      </c>
      <c r="Z38" s="277">
        <f>IF($E38=Dict!$I$2,
IF($G38&gt;='Шаг 1. Основные исходные данные'!$E$5,0,
IF(MOD(Z$34-1,$G38)=0,1,0)),IF($F38=Dict!$J$2,0,J38))*$O38*$Q38*Z$18*$E$14</f>
        <v>0</v>
      </c>
      <c r="AA38" s="277">
        <f>IF($E38=Dict!$I$2,
IF($G38&gt;='Шаг 1. Основные исходные данные'!$E$5,0,
IF(MOD(AA$34-1,$G38)=0,1,0)),IF($F38=Dict!$J$2,0,K38))*$O38*$Q38*AA$18*$E$14</f>
        <v>0</v>
      </c>
      <c r="AB38" s="277">
        <f>IF($E38=Dict!$I$2,
IF($G38&gt;='Шаг 1. Основные исходные данные'!$E$5,0,
IF(MOD(AB$34-1,$G38)=0,1,0)),IF($F38=Dict!$J$2,0,L38))*$O38*$Q38*AB$18*$E$14</f>
        <v>0</v>
      </c>
      <c r="AC38" s="277">
        <f>IF($E38=Dict!$I$2,
IF($G38&gt;='Шаг 1. Основные исходные данные'!$E$5,0,
IF(MOD(AC$34-1,$G38)=0,1,0)),IF($F38=Dict!$J$2,0,M38))*$O38*$Q38*AC$18*$E$14</f>
        <v>0</v>
      </c>
    </row>
    <row r="39" spans="1:29" s="37" customFormat="1" ht="15.75" x14ac:dyDescent="0.25">
      <c r="A39" s="43"/>
      <c r="B39" s="48"/>
      <c r="C39" s="89" t="str">
        <f>IF(LEN(D39)&gt;0,C38+1,"")</f>
        <v/>
      </c>
      <c r="D39" s="31"/>
      <c r="E39" s="31"/>
      <c r="F39" s="96"/>
      <c r="G39" s="96"/>
      <c r="H39" s="96"/>
      <c r="I39" s="96"/>
      <c r="J39" s="96"/>
      <c r="K39" s="96"/>
      <c r="L39" s="96"/>
      <c r="M39" s="96"/>
      <c r="N39" s="96"/>
      <c r="O39" s="98"/>
      <c r="P39" s="96"/>
      <c r="Q39" s="96"/>
      <c r="R39" s="96"/>
      <c r="S39" s="257">
        <f>IF($E39=Dict!$I$2,IF($G39&gt;='Шаг 1. Основные исходные данные'!$E$5,1,ROUNDUP('Шаг 1. Основные исходные данные'!$E$5/$G39,0)),IF($F39=Dict!$J$2,1,SUM($H39:$M39)))</f>
        <v>0</v>
      </c>
      <c r="T39" s="97">
        <f>SUM(X39:AC39)</f>
        <v>0</v>
      </c>
      <c r="U39" s="49"/>
      <c r="V39" s="317"/>
      <c r="X39" s="283">
        <f>IF($E39=Dict!$I$2,1,IF($F39=Dict!$J$2,1,H39))*$O39*$Q39*X$18*$E$14</f>
        <v>0</v>
      </c>
      <c r="Y39" s="283">
        <f>IF($E39=Dict!$I$2,
IF($G39&gt;='Шаг 1. Основные исходные данные'!$E$5,0,
IF(MOD(Y$34-1,$G39)=0,1,0)),IF($F39=Dict!$J$2,0,I39))*$O39*$Q39*Y$18*$E$14</f>
        <v>0</v>
      </c>
      <c r="Z39" s="277">
        <f>IF($E39=Dict!$I$2,
IF($G39&gt;='Шаг 1. Основные исходные данные'!$E$5,0,
IF(MOD(Z$34-1,$G39)=0,1,0)),IF($F39=Dict!$J$2,0,J39))*$O39*$Q39*Z$18*$E$14</f>
        <v>0</v>
      </c>
      <c r="AA39" s="277">
        <f>IF($E39=Dict!$I$2,
IF($G39&gt;='Шаг 1. Основные исходные данные'!$E$5,0,
IF(MOD(AA$34-1,$G39)=0,1,0)),IF($F39=Dict!$J$2,0,K39))*$O39*$Q39*AA$18*$E$14</f>
        <v>0</v>
      </c>
      <c r="AB39" s="277">
        <f>IF($E39=Dict!$I$2,
IF($G39&gt;='Шаг 1. Основные исходные данные'!$E$5,0,
IF(MOD(AB$34-1,$G39)=0,1,0)),IF($F39=Dict!$J$2,0,L39))*$O39*$Q39*AB$18*$E$14</f>
        <v>0</v>
      </c>
      <c r="AC39" s="277">
        <f>IF($E39=Dict!$I$2,
IF($G39&gt;='Шаг 1. Основные исходные данные'!$E$5,0,
IF(MOD(AC$34-1,$G39)=0,1,0)),IF($F39=Dict!$J$2,0,M39))*$O39*$Q39*AC$18*$E$14</f>
        <v>0</v>
      </c>
    </row>
    <row r="40" spans="1:29" s="37" customFormat="1" ht="15.75" x14ac:dyDescent="0.25">
      <c r="A40" s="43"/>
      <c r="B40" s="48"/>
      <c r="C40" s="89" t="str">
        <f>IF(LEN(D40)&gt;0,C39+1,"")</f>
        <v/>
      </c>
      <c r="D40" s="31"/>
      <c r="E40" s="31"/>
      <c r="F40" s="96"/>
      <c r="G40" s="96"/>
      <c r="H40" s="96"/>
      <c r="I40" s="96"/>
      <c r="J40" s="96"/>
      <c r="K40" s="96"/>
      <c r="L40" s="96"/>
      <c r="M40" s="96"/>
      <c r="N40" s="96"/>
      <c r="O40" s="98"/>
      <c r="P40" s="96"/>
      <c r="Q40" s="96"/>
      <c r="R40" s="96"/>
      <c r="S40" s="257">
        <f>IF($E40=Dict!$I$2,IF($G40&gt;='Шаг 1. Основные исходные данные'!$E$5,1,ROUNDUP('Шаг 1. Основные исходные данные'!$E$5/$G40,0)),IF($F40=Dict!$J$2,1,SUM($H40:$M40)))</f>
        <v>0</v>
      </c>
      <c r="T40" s="97">
        <f>SUM(X40:AC40)</f>
        <v>0</v>
      </c>
      <c r="U40" s="49"/>
      <c r="V40" s="317"/>
      <c r="X40" s="283">
        <f>IF($E40=Dict!$I$2,1,IF($F40=Dict!$J$2,1,H40))*$O40*$Q40*X$18*$E$14</f>
        <v>0</v>
      </c>
      <c r="Y40" s="283">
        <f>IF($E40=Dict!$I$2,
IF($G40&gt;='Шаг 1. Основные исходные данные'!$E$5,0,
IF(MOD(Y$34-1,$G40)=0,1,0)),IF($F40=Dict!$J$2,0,I40))*$O40*$Q40*Y$18*$E$14</f>
        <v>0</v>
      </c>
      <c r="Z40" s="277">
        <f>IF($E40=Dict!$I$2,
IF($G40&gt;='Шаг 1. Основные исходные данные'!$E$5,0,
IF(MOD(Z$34-1,$G40)=0,1,0)),IF($F40=Dict!$J$2,0,J40))*$O40*$Q40*Z$18*$E$14</f>
        <v>0</v>
      </c>
      <c r="AA40" s="277">
        <f>IF($E40=Dict!$I$2,
IF($G40&gt;='Шаг 1. Основные исходные данные'!$E$5,0,
IF(MOD(AA$34-1,$G40)=0,1,0)),IF($F40=Dict!$J$2,0,K40))*$O40*$Q40*AA$18*$E$14</f>
        <v>0</v>
      </c>
      <c r="AB40" s="277">
        <f>IF($E40=Dict!$I$2,
IF($G40&gt;='Шаг 1. Основные исходные данные'!$E$5,0,
IF(MOD(AB$34-1,$G40)=0,1,0)),IF($F40=Dict!$J$2,0,L40))*$O40*$Q40*AB$18*$E$14</f>
        <v>0</v>
      </c>
      <c r="AC40" s="277">
        <f>IF($E40=Dict!$I$2,
IF($G40&gt;='Шаг 1. Основные исходные данные'!$E$5,0,
IF(MOD(AC$34-1,$G40)=0,1,0)),IF($F40=Dict!$J$2,0,M40))*$O40*$Q40*AC$18*$E$14</f>
        <v>0</v>
      </c>
    </row>
    <row r="41" spans="1:29" s="91" customFormat="1" ht="19.899999999999999" customHeight="1" x14ac:dyDescent="0.25">
      <c r="A41" s="90"/>
      <c r="B41" s="92"/>
      <c r="C41" s="94" t="s">
        <v>95</v>
      </c>
      <c r="D41" s="94"/>
      <c r="E41" s="94"/>
      <c r="F41" s="94"/>
      <c r="G41" s="94"/>
      <c r="H41" s="94"/>
      <c r="I41" s="94"/>
      <c r="J41" s="94"/>
      <c r="K41" s="94"/>
      <c r="L41" s="94"/>
      <c r="M41" s="94"/>
      <c r="N41" s="94"/>
      <c r="O41" s="94"/>
      <c r="P41" s="94"/>
      <c r="Q41" s="94"/>
      <c r="R41" s="94"/>
      <c r="S41" s="94"/>
      <c r="T41" s="95">
        <f>SUM(T36:T40)</f>
        <v>0</v>
      </c>
      <c r="U41" s="93"/>
      <c r="V41" s="319"/>
      <c r="W41" s="37"/>
      <c r="X41" s="278">
        <f t="shared" ref="X41:AC41" si="4">SUM(X36:X40)</f>
        <v>0</v>
      </c>
      <c r="Y41" s="278">
        <f t="shared" si="4"/>
        <v>0</v>
      </c>
      <c r="Z41" s="278">
        <f t="shared" si="4"/>
        <v>0</v>
      </c>
      <c r="AA41" s="278">
        <f t="shared" si="4"/>
        <v>0</v>
      </c>
      <c r="AB41" s="278">
        <f t="shared" si="4"/>
        <v>0</v>
      </c>
      <c r="AC41" s="278">
        <f t="shared" si="4"/>
        <v>0</v>
      </c>
    </row>
    <row r="42" spans="1:29" s="37" customFormat="1" ht="15.75" x14ac:dyDescent="0.25">
      <c r="A42" s="43"/>
      <c r="B42" s="53"/>
      <c r="C42" s="56"/>
      <c r="D42" s="56"/>
      <c r="E42" s="56"/>
      <c r="F42" s="56"/>
      <c r="G42" s="56"/>
      <c r="H42" s="56"/>
      <c r="I42" s="56"/>
      <c r="J42" s="56"/>
      <c r="K42" s="56"/>
      <c r="L42" s="56"/>
      <c r="M42" s="56"/>
      <c r="N42" s="56"/>
      <c r="O42" s="56"/>
      <c r="P42" s="56"/>
      <c r="Q42" s="56"/>
      <c r="R42" s="56"/>
      <c r="S42" s="56"/>
      <c r="T42" s="56"/>
      <c r="U42" s="54"/>
      <c r="V42" s="317"/>
      <c r="X42" s="271"/>
      <c r="Y42" s="271"/>
      <c r="Z42" s="271"/>
      <c r="AA42" s="271"/>
      <c r="AB42" s="271"/>
      <c r="AC42" s="271"/>
    </row>
    <row r="43" spans="1:29" s="37" customFormat="1" ht="15.75" x14ac:dyDescent="0.25">
      <c r="A43" s="43"/>
      <c r="B43" s="43"/>
      <c r="C43" s="43"/>
      <c r="D43" s="43"/>
      <c r="E43" s="43"/>
      <c r="F43" s="43"/>
      <c r="G43" s="43"/>
      <c r="H43" s="43"/>
      <c r="I43" s="43"/>
      <c r="J43" s="43"/>
      <c r="K43" s="43"/>
      <c r="L43" s="43"/>
      <c r="M43" s="43"/>
      <c r="N43" s="43"/>
      <c r="O43" s="43"/>
      <c r="P43" s="43"/>
      <c r="Q43" s="43"/>
      <c r="R43" s="43"/>
      <c r="S43" s="43"/>
      <c r="T43" s="317"/>
      <c r="U43" s="317"/>
      <c r="V43" s="317"/>
      <c r="X43" s="271"/>
      <c r="Y43" s="271"/>
      <c r="Z43" s="271"/>
      <c r="AA43" s="271"/>
      <c r="AB43" s="271"/>
      <c r="AC43" s="271"/>
    </row>
    <row r="44" spans="1:29" s="37" customFormat="1" ht="15.75" x14ac:dyDescent="0.25">
      <c r="A44" s="43"/>
      <c r="B44" s="45"/>
      <c r="C44" s="46"/>
      <c r="D44" s="46"/>
      <c r="E44" s="46"/>
      <c r="F44" s="46"/>
      <c r="G44" s="46"/>
      <c r="H44" s="46"/>
      <c r="I44" s="46"/>
      <c r="J44" s="46"/>
      <c r="K44" s="46"/>
      <c r="L44" s="46"/>
      <c r="M44" s="46"/>
      <c r="N44" s="46"/>
      <c r="O44" s="46"/>
      <c r="P44" s="46"/>
      <c r="Q44" s="46"/>
      <c r="R44" s="46"/>
      <c r="S44" s="46"/>
      <c r="T44" s="46"/>
      <c r="U44" s="47"/>
      <c r="V44" s="317"/>
      <c r="X44" s="272"/>
      <c r="Y44" s="272"/>
      <c r="Z44" s="272"/>
      <c r="AA44" s="272"/>
      <c r="AB44" s="272"/>
      <c r="AC44" s="272"/>
    </row>
    <row r="45" spans="1:29" s="37" customFormat="1" ht="15.75" x14ac:dyDescent="0.25">
      <c r="A45" s="43"/>
      <c r="B45" s="48"/>
      <c r="C45" s="36" t="str">
        <f>CONCATENATE("3.2.",$C$15,". Содержательные издержки группы объектов ",$C$15," - """,$D$15,"""")</f>
        <v>3.2.. Содержательные издержки группы объектов  - ""</v>
      </c>
      <c r="D45" s="43"/>
      <c r="E45" s="43"/>
      <c r="F45" s="43"/>
      <c r="G45" s="43"/>
      <c r="H45" s="43"/>
      <c r="I45" s="43"/>
      <c r="J45" s="43"/>
      <c r="K45" s="43"/>
      <c r="L45" s="43"/>
      <c r="M45" s="43"/>
      <c r="N45" s="43"/>
      <c r="O45" s="43"/>
      <c r="P45" s="43"/>
      <c r="Q45" s="43"/>
      <c r="R45" s="43"/>
      <c r="S45" s="317"/>
      <c r="T45" s="317"/>
      <c r="U45" s="49"/>
      <c r="V45" s="317"/>
      <c r="X45" s="272"/>
      <c r="Y45" s="272"/>
      <c r="Z45" s="272"/>
      <c r="AA45" s="272"/>
      <c r="AB45" s="272"/>
      <c r="AC45" s="272"/>
    </row>
    <row r="46" spans="1:29" s="37" customFormat="1" ht="15.75" x14ac:dyDescent="0.25">
      <c r="A46" s="43"/>
      <c r="B46" s="48"/>
      <c r="C46" s="43"/>
      <c r="D46" s="43"/>
      <c r="E46" s="43"/>
      <c r="F46" s="43"/>
      <c r="G46" s="43"/>
      <c r="H46" s="43"/>
      <c r="I46" s="43"/>
      <c r="J46" s="43"/>
      <c r="K46" s="43"/>
      <c r="L46" s="43"/>
      <c r="M46" s="43"/>
      <c r="N46" s="43"/>
      <c r="O46" s="43"/>
      <c r="P46" s="43"/>
      <c r="Q46" s="43"/>
      <c r="R46" s="43"/>
      <c r="S46" s="317"/>
      <c r="T46" s="317"/>
      <c r="U46" s="49"/>
      <c r="V46" s="317"/>
      <c r="X46" s="272"/>
      <c r="Y46" s="272"/>
      <c r="Z46" s="272"/>
      <c r="AA46" s="272"/>
      <c r="AB46" s="272"/>
      <c r="AC46" s="272"/>
    </row>
    <row r="47" spans="1:29" s="37" customFormat="1" ht="15.75" x14ac:dyDescent="0.25">
      <c r="A47" s="43"/>
      <c r="B47" s="48"/>
      <c r="C47" s="39" t="s">
        <v>63</v>
      </c>
      <c r="D47" s="43"/>
      <c r="E47" s="43"/>
      <c r="F47" s="43"/>
      <c r="G47" s="43"/>
      <c r="H47" s="43"/>
      <c r="I47" s="43"/>
      <c r="J47" s="43"/>
      <c r="K47" s="43"/>
      <c r="L47" s="43"/>
      <c r="M47" s="43"/>
      <c r="N47" s="43"/>
      <c r="O47" s="43"/>
      <c r="P47" s="43"/>
      <c r="Q47" s="43"/>
      <c r="R47" s="43"/>
      <c r="S47" s="317"/>
      <c r="T47" s="317"/>
      <c r="U47" s="49"/>
      <c r="V47" s="317"/>
      <c r="X47" s="272"/>
      <c r="Y47" s="272"/>
      <c r="Z47" s="272"/>
      <c r="AA47" s="272"/>
      <c r="AB47" s="272"/>
      <c r="AC47" s="272"/>
    </row>
    <row r="48" spans="1:29" s="52" customFormat="1" ht="127.5" customHeight="1" x14ac:dyDescent="0.25">
      <c r="A48" s="23"/>
      <c r="B48" s="50"/>
      <c r="C48" s="336" t="s">
        <v>62</v>
      </c>
      <c r="D48" s="336" t="s">
        <v>64</v>
      </c>
      <c r="E48" s="336" t="s">
        <v>75</v>
      </c>
      <c r="F48" s="336" t="s">
        <v>1231</v>
      </c>
      <c r="G48" s="336"/>
      <c r="H48" s="336"/>
      <c r="I48" s="336"/>
      <c r="J48" s="336"/>
      <c r="K48" s="336"/>
      <c r="L48" s="336" t="s">
        <v>1300</v>
      </c>
      <c r="M48" s="336" t="s">
        <v>1222</v>
      </c>
      <c r="N48" s="316" t="s">
        <v>1309</v>
      </c>
      <c r="O48" s="316" t="s">
        <v>79</v>
      </c>
      <c r="P48" s="316" t="s">
        <v>1159</v>
      </c>
      <c r="Q48" s="43"/>
      <c r="R48" s="43"/>
      <c r="S48" s="318"/>
      <c r="T48" s="318"/>
      <c r="U48" s="51"/>
      <c r="V48" s="318"/>
      <c r="X48" s="272"/>
      <c r="Y48" s="272"/>
      <c r="Z48" s="272"/>
      <c r="AA48" s="272"/>
      <c r="AB48" s="272"/>
      <c r="AC48" s="272"/>
    </row>
    <row r="49" spans="1:29" s="52" customFormat="1" ht="15.75" x14ac:dyDescent="0.25">
      <c r="A49" s="23"/>
      <c r="B49" s="50"/>
      <c r="C49" s="336"/>
      <c r="D49" s="349"/>
      <c r="E49" s="349"/>
      <c r="F49" s="316" t="str">
        <f>IF(1&lt;='Шаг 1. Основные исходные данные'!$E$5,"1 год","-")</f>
        <v>1 год</v>
      </c>
      <c r="G49" s="316" t="str">
        <f>IF(2&lt;='Шаг 1. Основные исходные данные'!$E$5,"2 год","-")</f>
        <v>2 год</v>
      </c>
      <c r="H49" s="316" t="str">
        <f>IF(3&lt;='Шаг 1. Основные исходные данные'!$E$5,"3 год","-")</f>
        <v>3 год</v>
      </c>
      <c r="I49" s="316" t="str">
        <f>IF(4&lt;='Шаг 1. Основные исходные данные'!$E$5,"4 год","-")</f>
        <v>4 год</v>
      </c>
      <c r="J49" s="316" t="str">
        <f>IF(5&lt;='Шаг 1. Основные исходные данные'!$E$5,"5 год","-")</f>
        <v>5 год</v>
      </c>
      <c r="K49" s="316" t="str">
        <f>IF(6&lt;='Шаг 1. Основные исходные данные'!$E$5,"6 год","-")</f>
        <v>6 год</v>
      </c>
      <c r="L49" s="349"/>
      <c r="M49" s="349"/>
      <c r="N49" s="316"/>
      <c r="O49" s="316"/>
      <c r="P49" s="316"/>
      <c r="Q49" s="43"/>
      <c r="R49" s="43"/>
      <c r="S49" s="318"/>
      <c r="T49" s="318"/>
      <c r="U49" s="51"/>
      <c r="V49" s="318"/>
      <c r="X49" s="279" t="s">
        <v>1221</v>
      </c>
      <c r="Y49" s="279" t="s">
        <v>1223</v>
      </c>
      <c r="Z49" s="279" t="s">
        <v>1224</v>
      </c>
      <c r="AA49" s="279" t="s">
        <v>1225</v>
      </c>
      <c r="AB49" s="279" t="s">
        <v>1226</v>
      </c>
      <c r="AC49" s="279" t="s">
        <v>1227</v>
      </c>
    </row>
    <row r="50" spans="1:29" s="37" customFormat="1" ht="15.75" x14ac:dyDescent="0.25">
      <c r="A50" s="43"/>
      <c r="B50" s="48"/>
      <c r="C50" s="89" t="str">
        <f>IF(LEN(D50)&gt;0,1,"")</f>
        <v/>
      </c>
      <c r="D50" s="31"/>
      <c r="E50" s="96"/>
      <c r="F50" s="96"/>
      <c r="G50" s="96"/>
      <c r="H50" s="96"/>
      <c r="I50" s="96"/>
      <c r="J50" s="96"/>
      <c r="K50" s="96"/>
      <c r="L50" s="96"/>
      <c r="M50" s="96"/>
      <c r="N50" s="96"/>
      <c r="O50" s="97">
        <f>'Шаг 1. Основные исходные данные'!$E$8</f>
        <v>0</v>
      </c>
      <c r="P50" s="97">
        <f>SUM(X50:AC50)</f>
        <v>0</v>
      </c>
      <c r="Q50" s="43"/>
      <c r="R50" s="43"/>
      <c r="S50" s="317"/>
      <c r="T50" s="317"/>
      <c r="U50" s="49"/>
      <c r="V50" s="317"/>
      <c r="W50" s="281"/>
      <c r="X50" s="282">
        <f>$O50*'Шаг 1. Основные исходные данные'!$E$11*(12/'Шаг 1. Основные исходные данные'!$E$10/8)*F50*$M50*$E$15*X$19</f>
        <v>0</v>
      </c>
      <c r="Y50" s="282">
        <f>IF($E50=Dict!$F$2,0,
$O50*'Шаг 1. Основные исходные данные'!$E$11*(12/'Шаг 1. Основные исходные данные'!$E$10/8)*G50*$M50*$E$15*Y$19)</f>
        <v>0</v>
      </c>
      <c r="Z50" s="277">
        <f>IF($E50=Dict!$F$2,0,
$O50*'Шаг 1. Основные исходные данные'!$E$11*(12/'Шаг 1. Основные исходные данные'!$E$10/8)*H50*$M50*$E$15*Z$19)</f>
        <v>0</v>
      </c>
      <c r="AA50" s="277">
        <f>IF($E50=Dict!$F$2,0,
$O50*'Шаг 1. Основные исходные данные'!$E$11*(12/'Шаг 1. Основные исходные данные'!$E$10/8)*I50*$M50*$E$15*AA$19)</f>
        <v>0</v>
      </c>
      <c r="AB50" s="277">
        <f>IF($E50=Dict!$F$2,0,
$O50*'Шаг 1. Основные исходные данные'!$E$11*(12/'Шаг 1. Основные исходные данные'!$E$10/8)*J50*$M50*$E$15*AB$19)</f>
        <v>0</v>
      </c>
      <c r="AC50" s="277">
        <f>IF($E50=Dict!$F$2,0,
$O50*'Шаг 1. Основные исходные данные'!$E$11*(12/'Шаг 1. Основные исходные данные'!$E$10/8)*K50*$M50*$E$15*AC$19)</f>
        <v>0</v>
      </c>
    </row>
    <row r="51" spans="1:29" s="37" customFormat="1" ht="15.75" x14ac:dyDescent="0.25">
      <c r="A51" s="43"/>
      <c r="B51" s="48"/>
      <c r="C51" s="89" t="str">
        <f>IF(LEN(D51)&gt;0,C50+1,"")</f>
        <v/>
      </c>
      <c r="D51" s="31"/>
      <c r="E51" s="96"/>
      <c r="F51" s="96"/>
      <c r="G51" s="96"/>
      <c r="H51" s="96"/>
      <c r="I51" s="96"/>
      <c r="J51" s="96"/>
      <c r="K51" s="96"/>
      <c r="L51" s="96"/>
      <c r="M51" s="96"/>
      <c r="N51" s="96"/>
      <c r="O51" s="97">
        <f>'Шаг 1. Основные исходные данные'!$E$8</f>
        <v>0</v>
      </c>
      <c r="P51" s="97">
        <f>SUM(X51:AC51)</f>
        <v>0</v>
      </c>
      <c r="Q51" s="43"/>
      <c r="R51" s="43"/>
      <c r="S51" s="317"/>
      <c r="T51" s="317"/>
      <c r="U51" s="49"/>
      <c r="V51" s="317"/>
      <c r="W51" s="281"/>
      <c r="X51" s="283">
        <f>$O51*'Шаг 1. Основные исходные данные'!$E$11*(12/'Шаг 1. Основные исходные данные'!$E$10/8)*F51*$M51*$E$15*X$19</f>
        <v>0</v>
      </c>
      <c r="Y51" s="283">
        <f>IF($E51=Dict!$F$2,0,
$O51*'Шаг 1. Основные исходные данные'!$E$11*(12/'Шаг 1. Основные исходные данные'!$E$10/8)*G51*$M51*$E$15*Y$19)</f>
        <v>0</v>
      </c>
      <c r="Z51" s="277">
        <f>IF($E51=Dict!$F$2,0,
$O51*'Шаг 1. Основные исходные данные'!$E$11*(12/'Шаг 1. Основные исходные данные'!$E$10/8)*H51*$M51*$E$15*Z$19)</f>
        <v>0</v>
      </c>
      <c r="AA51" s="277">
        <f>IF($E51=Dict!$F$2,0,
$O51*'Шаг 1. Основные исходные данные'!$E$11*(12/'Шаг 1. Основные исходные данные'!$E$10/8)*I51*$M51*$E$15*AA$19)</f>
        <v>0</v>
      </c>
      <c r="AB51" s="277">
        <f>IF($E51=Dict!$F$2,0,
$O51*'Шаг 1. Основные исходные данные'!$E$11*(12/'Шаг 1. Основные исходные данные'!$E$10/8)*J51*$M51*$E$15*AB$19)</f>
        <v>0</v>
      </c>
      <c r="AC51" s="277">
        <f>IF($E51=Dict!$F$2,0,
$O51*'Шаг 1. Основные исходные данные'!$E$11*(12/'Шаг 1. Основные исходные данные'!$E$10/8)*K51*$M51*$E$15*AC$19)</f>
        <v>0</v>
      </c>
    </row>
    <row r="52" spans="1:29" s="37" customFormat="1" ht="15.75" x14ac:dyDescent="0.25">
      <c r="A52" s="43"/>
      <c r="B52" s="48"/>
      <c r="C52" s="89" t="str">
        <f>IF(LEN(D52)&gt;0,C51+1,"")</f>
        <v/>
      </c>
      <c r="D52" s="31"/>
      <c r="E52" s="96"/>
      <c r="F52" s="96"/>
      <c r="G52" s="96"/>
      <c r="H52" s="96"/>
      <c r="I52" s="96"/>
      <c r="J52" s="96"/>
      <c r="K52" s="96"/>
      <c r="L52" s="96"/>
      <c r="M52" s="96"/>
      <c r="N52" s="96"/>
      <c r="O52" s="97">
        <f>'Шаг 1. Основные исходные данные'!$E$8</f>
        <v>0</v>
      </c>
      <c r="P52" s="97">
        <f>SUM(X52:AC52)</f>
        <v>0</v>
      </c>
      <c r="Q52" s="43"/>
      <c r="R52" s="43"/>
      <c r="S52" s="317"/>
      <c r="T52" s="317"/>
      <c r="U52" s="49"/>
      <c r="V52" s="317"/>
      <c r="X52" s="283">
        <f>$O52*'Шаг 1. Основные исходные данные'!$E$11*(12/'Шаг 1. Основные исходные данные'!$E$10/8)*F52*$M52*$E$15*X$19</f>
        <v>0</v>
      </c>
      <c r="Y52" s="283">
        <f>IF($E52=Dict!$F$2,0,
$O52*'Шаг 1. Основные исходные данные'!$E$11*(12/'Шаг 1. Основные исходные данные'!$E$10/8)*G52*$M52*$E$15*Y$19)</f>
        <v>0</v>
      </c>
      <c r="Z52" s="277">
        <f>IF($E52=Dict!$F$2,0,
$O52*'Шаг 1. Основные исходные данные'!$E$11*(12/'Шаг 1. Основные исходные данные'!$E$10/8)*H52*$M52*$E$15*Z$19)</f>
        <v>0</v>
      </c>
      <c r="AA52" s="277">
        <f>IF($E52=Dict!$F$2,0,
$O52*'Шаг 1. Основные исходные данные'!$E$11*(12/'Шаг 1. Основные исходные данные'!$E$10/8)*I52*$M52*$E$15*AA$19)</f>
        <v>0</v>
      </c>
      <c r="AB52" s="277">
        <f>IF($E52=Dict!$F$2,0,
$O52*'Шаг 1. Основные исходные данные'!$E$11*(12/'Шаг 1. Основные исходные данные'!$E$10/8)*J52*$M52*$E$15*AB$19)</f>
        <v>0</v>
      </c>
      <c r="AC52" s="277">
        <f>IF($E52=Dict!$F$2,0,
$O52*'Шаг 1. Основные исходные данные'!$E$11*(12/'Шаг 1. Основные исходные данные'!$E$10/8)*K52*$M52*$E$15*AC$19)</f>
        <v>0</v>
      </c>
    </row>
    <row r="53" spans="1:29" s="37" customFormat="1" ht="15.75" x14ac:dyDescent="0.25">
      <c r="A53" s="43"/>
      <c r="B53" s="48"/>
      <c r="C53" s="89" t="str">
        <f>IF(LEN(D53)&gt;0,C52+1,"")</f>
        <v/>
      </c>
      <c r="D53" s="31"/>
      <c r="E53" s="96"/>
      <c r="F53" s="96"/>
      <c r="G53" s="96"/>
      <c r="H53" s="96"/>
      <c r="I53" s="96"/>
      <c r="J53" s="96"/>
      <c r="K53" s="96"/>
      <c r="L53" s="96"/>
      <c r="M53" s="96"/>
      <c r="N53" s="96"/>
      <c r="O53" s="97">
        <f>'Шаг 1. Основные исходные данные'!$E$8</f>
        <v>0</v>
      </c>
      <c r="P53" s="97">
        <f>SUM(X53:AC53)</f>
        <v>0</v>
      </c>
      <c r="Q53" s="43"/>
      <c r="R53" s="43"/>
      <c r="S53" s="317"/>
      <c r="T53" s="317"/>
      <c r="U53" s="49"/>
      <c r="V53" s="317"/>
      <c r="X53" s="283">
        <f>$O53*'Шаг 1. Основные исходные данные'!$E$11*(12/'Шаг 1. Основные исходные данные'!$E$10/8)*F53*$M53*$E$15*X$19</f>
        <v>0</v>
      </c>
      <c r="Y53" s="283">
        <f>IF($E53=Dict!$F$2,0,
$O53*'Шаг 1. Основные исходные данные'!$E$11*(12/'Шаг 1. Основные исходные данные'!$E$10/8)*G53*$M53*$E$15*Y$19)</f>
        <v>0</v>
      </c>
      <c r="Z53" s="277">
        <f>IF($E53=Dict!$F$2,0,
$O53*'Шаг 1. Основные исходные данные'!$E$11*(12/'Шаг 1. Основные исходные данные'!$E$10/8)*H53*$M53*$E$15*Z$19)</f>
        <v>0</v>
      </c>
      <c r="AA53" s="277">
        <f>IF($E53=Dict!$F$2,0,
$O53*'Шаг 1. Основные исходные данные'!$E$11*(12/'Шаг 1. Основные исходные данные'!$E$10/8)*I53*$M53*$E$15*AA$19)</f>
        <v>0</v>
      </c>
      <c r="AB53" s="277">
        <f>IF($E53=Dict!$F$2,0,
$O53*'Шаг 1. Основные исходные данные'!$E$11*(12/'Шаг 1. Основные исходные данные'!$E$10/8)*J53*$M53*$E$15*AB$19)</f>
        <v>0</v>
      </c>
      <c r="AC53" s="277">
        <f>IF($E53=Dict!$F$2,0,
$O53*'Шаг 1. Основные исходные данные'!$E$11*(12/'Шаг 1. Основные исходные данные'!$E$10/8)*K53*$M53*$E$15*AC$19)</f>
        <v>0</v>
      </c>
    </row>
    <row r="54" spans="1:29" s="37" customFormat="1" ht="15.75" x14ac:dyDescent="0.25">
      <c r="A54" s="43"/>
      <c r="B54" s="48"/>
      <c r="C54" s="89" t="str">
        <f>IF(LEN(D54)&gt;0,C53+1,"")</f>
        <v/>
      </c>
      <c r="D54" s="31"/>
      <c r="E54" s="96"/>
      <c r="F54" s="96"/>
      <c r="G54" s="96"/>
      <c r="H54" s="96"/>
      <c r="I54" s="96"/>
      <c r="J54" s="96"/>
      <c r="K54" s="96"/>
      <c r="L54" s="96"/>
      <c r="M54" s="96"/>
      <c r="N54" s="96"/>
      <c r="O54" s="97">
        <f>'Шаг 1. Основные исходные данные'!$E$8</f>
        <v>0</v>
      </c>
      <c r="P54" s="97">
        <f>SUM(X54:AC54)</f>
        <v>0</v>
      </c>
      <c r="Q54" s="43"/>
      <c r="R54" s="43"/>
      <c r="S54" s="317"/>
      <c r="T54" s="317"/>
      <c r="U54" s="49"/>
      <c r="V54" s="317"/>
      <c r="X54" s="283">
        <f>$O54*'Шаг 1. Основные исходные данные'!$E$11*(12/'Шаг 1. Основные исходные данные'!$E$10/8)*F54*$M54*$E$15*X$19</f>
        <v>0</v>
      </c>
      <c r="Y54" s="283">
        <f>IF($E54=Dict!$F$2,0,
$O54*'Шаг 1. Основные исходные данные'!$E$11*(12/'Шаг 1. Основные исходные данные'!$E$10/8)*G54*$M54*$E$15*Y$19)</f>
        <v>0</v>
      </c>
      <c r="Z54" s="277">
        <f>IF($E54=Dict!$F$2,0,
$O54*'Шаг 1. Основные исходные данные'!$E$11*(12/'Шаг 1. Основные исходные данные'!$E$10/8)*H54*$M54*$E$15*Z$19)</f>
        <v>0</v>
      </c>
      <c r="AA54" s="277">
        <f>IF($E54=Dict!$F$2,0,
$O54*'Шаг 1. Основные исходные данные'!$E$11*(12/'Шаг 1. Основные исходные данные'!$E$10/8)*I54*$M54*$E$15*AA$19)</f>
        <v>0</v>
      </c>
      <c r="AB54" s="277">
        <f>IF($E54=Dict!$F$2,0,
$O54*'Шаг 1. Основные исходные данные'!$E$11*(12/'Шаг 1. Основные исходные данные'!$E$10/8)*J54*$M54*$E$15*AB$19)</f>
        <v>0</v>
      </c>
      <c r="AC54" s="277">
        <f>IF($E54=Dict!$F$2,0,
$O54*'Шаг 1. Основные исходные данные'!$E$11*(12/'Шаг 1. Основные исходные данные'!$E$10/8)*K54*$M54*$E$15*AC$19)</f>
        <v>0</v>
      </c>
    </row>
    <row r="55" spans="1:29" s="91" customFormat="1" ht="19.899999999999999" customHeight="1" x14ac:dyDescent="0.25">
      <c r="A55" s="90"/>
      <c r="B55" s="92"/>
      <c r="C55" s="94" t="s">
        <v>95</v>
      </c>
      <c r="D55" s="99"/>
      <c r="E55" s="99"/>
      <c r="F55" s="99"/>
      <c r="G55" s="99"/>
      <c r="H55" s="99"/>
      <c r="I55" s="99"/>
      <c r="J55" s="99"/>
      <c r="K55" s="99"/>
      <c r="L55" s="99"/>
      <c r="M55" s="99"/>
      <c r="N55" s="99"/>
      <c r="O55" s="99"/>
      <c r="P55" s="95">
        <f>SUM(P50:P54)</f>
        <v>0</v>
      </c>
      <c r="Q55" s="43"/>
      <c r="R55" s="43"/>
      <c r="S55" s="319"/>
      <c r="T55" s="319"/>
      <c r="U55" s="93"/>
      <c r="V55" s="319"/>
      <c r="X55" s="278">
        <f t="shared" ref="X55:AC55" si="5">SUM(X50:X54)</f>
        <v>0</v>
      </c>
      <c r="Y55" s="278">
        <f t="shared" si="5"/>
        <v>0</v>
      </c>
      <c r="Z55" s="278">
        <f t="shared" si="5"/>
        <v>0</v>
      </c>
      <c r="AA55" s="278">
        <f t="shared" si="5"/>
        <v>0</v>
      </c>
      <c r="AB55" s="278">
        <f t="shared" si="5"/>
        <v>0</v>
      </c>
      <c r="AC55" s="278">
        <f t="shared" si="5"/>
        <v>0</v>
      </c>
    </row>
    <row r="56" spans="1:29" s="37" customFormat="1" ht="15.75" x14ac:dyDescent="0.25">
      <c r="A56" s="43"/>
      <c r="B56" s="48"/>
      <c r="C56" s="43"/>
      <c r="D56" s="43"/>
      <c r="E56" s="43"/>
      <c r="F56" s="43"/>
      <c r="G56" s="43"/>
      <c r="H56" s="43"/>
      <c r="I56" s="43"/>
      <c r="J56" s="43"/>
      <c r="K56" s="43"/>
      <c r="L56" s="43"/>
      <c r="M56" s="43"/>
      <c r="N56" s="43"/>
      <c r="O56" s="43"/>
      <c r="P56" s="43"/>
      <c r="Q56" s="43"/>
      <c r="R56" s="43"/>
      <c r="S56" s="317"/>
      <c r="T56" s="317"/>
      <c r="U56" s="49"/>
      <c r="V56" s="317"/>
      <c r="X56" s="271"/>
      <c r="Y56" s="271"/>
      <c r="Z56" s="271"/>
      <c r="AA56" s="271"/>
      <c r="AB56" s="271"/>
      <c r="AC56" s="271"/>
    </row>
    <row r="57" spans="1:29" s="37" customFormat="1" ht="15.75" x14ac:dyDescent="0.25">
      <c r="A57" s="43"/>
      <c r="B57" s="48"/>
      <c r="C57" s="39" t="s">
        <v>80</v>
      </c>
      <c r="D57" s="43"/>
      <c r="E57" s="43"/>
      <c r="F57" s="43"/>
      <c r="G57" s="43"/>
      <c r="H57" s="43"/>
      <c r="I57" s="43"/>
      <c r="J57" s="43"/>
      <c r="K57" s="43"/>
      <c r="L57" s="43"/>
      <c r="M57" s="43"/>
      <c r="N57" s="43"/>
      <c r="O57" s="43"/>
      <c r="P57" s="43"/>
      <c r="Q57" s="43"/>
      <c r="R57" s="43"/>
      <c r="S57" s="317"/>
      <c r="T57" s="317"/>
      <c r="U57" s="49"/>
      <c r="V57" s="317"/>
      <c r="X57" s="271"/>
      <c r="Y57" s="271"/>
      <c r="Z57" s="271"/>
      <c r="AA57" s="271"/>
      <c r="AB57" s="271"/>
      <c r="AC57" s="271"/>
    </row>
    <row r="58" spans="1:29" s="37" customFormat="1" ht="132" customHeight="1" x14ac:dyDescent="0.25">
      <c r="A58" s="43"/>
      <c r="B58" s="48"/>
      <c r="C58" s="316" t="s">
        <v>62</v>
      </c>
      <c r="D58" s="316" t="s">
        <v>74</v>
      </c>
      <c r="E58" s="316" t="s">
        <v>1160</v>
      </c>
      <c r="F58" s="316" t="s">
        <v>1168</v>
      </c>
      <c r="G58" s="316" t="s">
        <v>1167</v>
      </c>
      <c r="H58" s="336" t="s">
        <v>1232</v>
      </c>
      <c r="I58" s="336"/>
      <c r="J58" s="336"/>
      <c r="K58" s="336"/>
      <c r="L58" s="336"/>
      <c r="M58" s="336"/>
      <c r="N58" s="316" t="s">
        <v>1301</v>
      </c>
      <c r="O58" s="316" t="s">
        <v>1169</v>
      </c>
      <c r="P58" s="316" t="s">
        <v>1307</v>
      </c>
      <c r="Q58" s="316" t="s">
        <v>1269</v>
      </c>
      <c r="R58" s="316" t="s">
        <v>1308</v>
      </c>
      <c r="S58" s="316" t="s">
        <v>1166</v>
      </c>
      <c r="T58" s="316" t="s">
        <v>1170</v>
      </c>
      <c r="U58" s="49"/>
      <c r="V58" s="317"/>
      <c r="X58" s="271">
        <v>1</v>
      </c>
      <c r="Y58" s="271">
        <v>2</v>
      </c>
      <c r="Z58" s="271">
        <v>3</v>
      </c>
      <c r="AA58" s="271">
        <v>4</v>
      </c>
      <c r="AB58" s="271">
        <v>5</v>
      </c>
      <c r="AC58" s="271">
        <v>6</v>
      </c>
    </row>
    <row r="59" spans="1:29" s="37" customFormat="1" ht="15.75" x14ac:dyDescent="0.25">
      <c r="A59" s="43"/>
      <c r="B59" s="48"/>
      <c r="C59" s="316"/>
      <c r="D59" s="316"/>
      <c r="E59" s="316"/>
      <c r="F59" s="316"/>
      <c r="G59" s="316"/>
      <c r="H59" s="316" t="str">
        <f>IF(1&lt;='Шаг 1. Основные исходные данные'!$E$5,"1 год","-")</f>
        <v>1 год</v>
      </c>
      <c r="I59" s="316" t="str">
        <f>IF(2&lt;='Шаг 1. Основные исходные данные'!$E$5,"2 год","-")</f>
        <v>2 год</v>
      </c>
      <c r="J59" s="316" t="str">
        <f>IF(3&lt;='Шаг 1. Основные исходные данные'!$E$5,"3 год","-")</f>
        <v>3 год</v>
      </c>
      <c r="K59" s="316" t="str">
        <f>IF(4&lt;='Шаг 1. Основные исходные данные'!$E$5,"4 год","-")</f>
        <v>4 год</v>
      </c>
      <c r="L59" s="316" t="str">
        <f>IF(5&lt;='Шаг 1. Основные исходные данные'!$E$5,"5 год","-")</f>
        <v>5 год</v>
      </c>
      <c r="M59" s="316" t="str">
        <f>IF(6&lt;='Шаг 1. Основные исходные данные'!$E$5,"6 год","-")</f>
        <v>6 год</v>
      </c>
      <c r="N59" s="316"/>
      <c r="O59" s="316"/>
      <c r="P59" s="316"/>
      <c r="Q59" s="316"/>
      <c r="R59" s="316"/>
      <c r="S59" s="316"/>
      <c r="T59" s="316"/>
      <c r="U59" s="49"/>
      <c r="V59" s="317"/>
      <c r="X59" s="279" t="s">
        <v>1221</v>
      </c>
      <c r="Y59" s="279" t="s">
        <v>1223</v>
      </c>
      <c r="Z59" s="279" t="s">
        <v>1224</v>
      </c>
      <c r="AA59" s="279" t="s">
        <v>1225</v>
      </c>
      <c r="AB59" s="279" t="s">
        <v>1226</v>
      </c>
      <c r="AC59" s="279" t="s">
        <v>1227</v>
      </c>
    </row>
    <row r="60" spans="1:29" s="37" customFormat="1" ht="15.75" x14ac:dyDescent="0.25">
      <c r="A60" s="43"/>
      <c r="B60" s="48"/>
      <c r="C60" s="89" t="str">
        <f>IF(LEN(D60)&gt;0,1,"")</f>
        <v/>
      </c>
      <c r="D60" s="31"/>
      <c r="E60" s="31"/>
      <c r="F60" s="96"/>
      <c r="G60" s="96"/>
      <c r="H60" s="96"/>
      <c r="I60" s="96"/>
      <c r="J60" s="96"/>
      <c r="K60" s="96"/>
      <c r="L60" s="96"/>
      <c r="M60" s="96"/>
      <c r="N60" s="96"/>
      <c r="O60" s="98"/>
      <c r="P60" s="96"/>
      <c r="Q60" s="96"/>
      <c r="R60" s="96"/>
      <c r="S60" s="257">
        <f>IF($E60=Dict!$I$2,IF($G60&gt;='Шаг 1. Основные исходные данные'!$E$5,1,ROUNDUP('Шаг 1. Основные исходные данные'!$E$5/$G60,0)),IF($F60=Dict!$J$2,1,SUM($H60:$M60)))</f>
        <v>0</v>
      </c>
      <c r="T60" s="97">
        <f>SUM(X60:AC60)</f>
        <v>0</v>
      </c>
      <c r="U60" s="49"/>
      <c r="V60" s="317"/>
      <c r="X60" s="282">
        <f>IF($E60=Dict!$I$2,1,IF($F60=Dict!$J$2,1,H60))*$O60*$Q60*X$18*$E$15</f>
        <v>0</v>
      </c>
      <c r="Y60" s="282">
        <f>IF($E60=Dict!$I$2,
IF($G60&gt;='Шаг 1. Основные исходные данные'!$E$5,0,
IF(MOD(Y$34-1,$G60)=0,1,0)),IF($F60=Dict!$J$2,0,I60))*$O60*$Q60*Y$18*$E$15</f>
        <v>0</v>
      </c>
      <c r="Z60" s="277">
        <f>IF($E60=Dict!$I$2,
IF($G60&gt;='Шаг 1. Основные исходные данные'!$E$5,0,
IF(MOD(Z$34-1,$G60)=0,1,0)),IF($F60=Dict!$J$2,0,J60))*$O60*$Q60*Z$18*$E$15</f>
        <v>0</v>
      </c>
      <c r="AA60" s="277">
        <f>IF($E60=Dict!$I$2,
IF($G60&gt;='Шаг 1. Основные исходные данные'!$E$5,0,
IF(MOD(AA$34-1,$G60)=0,1,0)),IF($F60=Dict!$J$2,0,K60))*$O60*$Q60*AA$18*$E$15</f>
        <v>0</v>
      </c>
      <c r="AB60" s="277">
        <f>IF($E60=Dict!$I$2,
IF($G60&gt;='Шаг 1. Основные исходные данные'!$E$5,0,
IF(MOD(AB$34-1,$G60)=0,1,0)),IF($F60=Dict!$J$2,0,L60))*$O60*$Q60*AB$18*$E$15</f>
        <v>0</v>
      </c>
      <c r="AC60" s="277">
        <f>IF($E60=Dict!$I$2,
IF($G60&gt;='Шаг 1. Основные исходные данные'!$E$5,0,
IF(MOD(AC$34-1,$G60)=0,1,0)),IF($F60=Dict!$J$2,0,M60))*$O60*$Q60*AC$18*$E$15</f>
        <v>0</v>
      </c>
    </row>
    <row r="61" spans="1:29" s="37" customFormat="1" ht="15.75" x14ac:dyDescent="0.25">
      <c r="A61" s="43"/>
      <c r="B61" s="48"/>
      <c r="C61" s="89" t="str">
        <f>IF(LEN(D61)&gt;0,C60+1,"")</f>
        <v/>
      </c>
      <c r="D61" s="31"/>
      <c r="E61" s="31"/>
      <c r="F61" s="96"/>
      <c r="G61" s="96"/>
      <c r="H61" s="96"/>
      <c r="I61" s="96"/>
      <c r="J61" s="96"/>
      <c r="K61" s="96"/>
      <c r="L61" s="96"/>
      <c r="M61" s="96"/>
      <c r="N61" s="96"/>
      <c r="O61" s="98"/>
      <c r="P61" s="96"/>
      <c r="Q61" s="96"/>
      <c r="R61" s="96"/>
      <c r="S61" s="257">
        <f>IF($E61=Dict!$I$2,IF($G61&gt;='Шаг 1. Основные исходные данные'!$E$5,1,ROUNDUP('Шаг 1. Основные исходные данные'!$E$5/$G61,0)),IF($F61=Dict!$J$2,1,SUM($H61:$M61)))</f>
        <v>0</v>
      </c>
      <c r="T61" s="97">
        <f>SUM(X61:AC61)</f>
        <v>0</v>
      </c>
      <c r="U61" s="49"/>
      <c r="V61" s="317"/>
      <c r="X61" s="283">
        <f>IF($E61=Dict!$I$2,1,IF($F61=Dict!$J$2,1,H61))*$O61*$Q61*X$18*$E$15</f>
        <v>0</v>
      </c>
      <c r="Y61" s="283">
        <f>IF($E61=Dict!$I$2,
IF($G61&gt;='Шаг 1. Основные исходные данные'!$E$5,0,
IF(MOD(Y$34-1,$G61)=0,1,0)),IF($F61=Dict!$J$2,0,I61))*$O61*$Q61*Y$18*$E$15</f>
        <v>0</v>
      </c>
      <c r="Z61" s="277">
        <f>IF($E61=Dict!$I$2,
IF($G61&gt;='Шаг 1. Основные исходные данные'!$E$5,0,
IF(MOD(Z$34-1,$G61)=0,1,0)),IF($F61=Dict!$J$2,0,J61))*$O61*$Q61*Z$18*$E$15</f>
        <v>0</v>
      </c>
      <c r="AA61" s="277">
        <f>IF($E61=Dict!$I$2,
IF($G61&gt;='Шаг 1. Основные исходные данные'!$E$5,0,
IF(MOD(AA$34-1,$G61)=0,1,0)),IF($F61=Dict!$J$2,0,K61))*$O61*$Q61*AA$18*$E$15</f>
        <v>0</v>
      </c>
      <c r="AB61" s="277">
        <f>IF($E61=Dict!$I$2,
IF($G61&gt;='Шаг 1. Основные исходные данные'!$E$5,0,
IF(MOD(AB$34-1,$G61)=0,1,0)),IF($F61=Dict!$J$2,0,L61))*$O61*$Q61*AB$18*$E$15</f>
        <v>0</v>
      </c>
      <c r="AC61" s="277">
        <f>IF($E61=Dict!$I$2,
IF($G61&gt;='Шаг 1. Основные исходные данные'!$E$5,0,
IF(MOD(AC$34-1,$G61)=0,1,0)),IF($F61=Dict!$J$2,0,M61))*$O61*$Q61*AC$18*$E$15</f>
        <v>0</v>
      </c>
    </row>
    <row r="62" spans="1:29" s="37" customFormat="1" ht="15.75" x14ac:dyDescent="0.25">
      <c r="A62" s="43"/>
      <c r="B62" s="48"/>
      <c r="C62" s="89" t="str">
        <f>IF(LEN(D62)&gt;0,C61+1,"")</f>
        <v/>
      </c>
      <c r="D62" s="31"/>
      <c r="E62" s="31"/>
      <c r="F62" s="96"/>
      <c r="G62" s="96"/>
      <c r="H62" s="96"/>
      <c r="I62" s="96"/>
      <c r="J62" s="96"/>
      <c r="K62" s="96"/>
      <c r="L62" s="96"/>
      <c r="M62" s="96"/>
      <c r="N62" s="96"/>
      <c r="O62" s="98"/>
      <c r="P62" s="96"/>
      <c r="Q62" s="96"/>
      <c r="R62" s="96"/>
      <c r="S62" s="257">
        <f>IF($E62=Dict!$I$2,IF($G62&gt;='Шаг 1. Основные исходные данные'!$E$5,1,ROUNDUP('Шаг 1. Основные исходные данные'!$E$5/$G62,0)),IF($F62=Dict!$J$2,1,SUM($H62:$M62)))</f>
        <v>0</v>
      </c>
      <c r="T62" s="97">
        <f>SUM(X62:AC62)</f>
        <v>0</v>
      </c>
      <c r="U62" s="49"/>
      <c r="V62" s="317"/>
      <c r="X62" s="283">
        <f>IF($E62=Dict!$I$2,1,IF($F62=Dict!$J$2,1,H62))*$O62*$Q62*X$18*$E$15</f>
        <v>0</v>
      </c>
      <c r="Y62" s="283">
        <f>IF($E62=Dict!$I$2,
IF($G62&gt;='Шаг 1. Основные исходные данные'!$E$5,0,
IF(MOD(Y$34-1,$G62)=0,1,0)),IF($F62=Dict!$J$2,0,I62))*$O62*$Q62*Y$18*$E$15</f>
        <v>0</v>
      </c>
      <c r="Z62" s="277">
        <f>IF($E62=Dict!$I$2,
IF($G62&gt;='Шаг 1. Основные исходные данные'!$E$5,0,
IF(MOD(Z$34-1,$G62)=0,1,0)),IF($F62=Dict!$J$2,0,J62))*$O62*$Q62*Z$18*$E$15</f>
        <v>0</v>
      </c>
      <c r="AA62" s="277">
        <f>IF($E62=Dict!$I$2,
IF($G62&gt;='Шаг 1. Основные исходные данные'!$E$5,0,
IF(MOD(AA$34-1,$G62)=0,1,0)),IF($F62=Dict!$J$2,0,K62))*$O62*$Q62*AA$18*$E$15</f>
        <v>0</v>
      </c>
      <c r="AB62" s="277">
        <f>IF($E62=Dict!$I$2,
IF($G62&gt;='Шаг 1. Основные исходные данные'!$E$5,0,
IF(MOD(AB$34-1,$G62)=0,1,0)),IF($F62=Dict!$J$2,0,L62))*$O62*$Q62*AB$18*$E$15</f>
        <v>0</v>
      </c>
      <c r="AC62" s="277">
        <f>IF($E62=Dict!$I$2,
IF($G62&gt;='Шаг 1. Основные исходные данные'!$E$5,0,
IF(MOD(AC$34-1,$G62)=0,1,0)),IF($F62=Dict!$J$2,0,M62))*$O62*$Q62*AC$18*$E$15</f>
        <v>0</v>
      </c>
    </row>
    <row r="63" spans="1:29" s="37" customFormat="1" ht="15.75" x14ac:dyDescent="0.25">
      <c r="A63" s="43"/>
      <c r="B63" s="48"/>
      <c r="C63" s="89" t="str">
        <f>IF(LEN(D63)&gt;0,C62+1,"")</f>
        <v/>
      </c>
      <c r="D63" s="31"/>
      <c r="E63" s="31"/>
      <c r="F63" s="96"/>
      <c r="G63" s="96"/>
      <c r="H63" s="96"/>
      <c r="I63" s="96"/>
      <c r="J63" s="96"/>
      <c r="K63" s="96"/>
      <c r="L63" s="96"/>
      <c r="M63" s="96"/>
      <c r="N63" s="96"/>
      <c r="O63" s="98"/>
      <c r="P63" s="96"/>
      <c r="Q63" s="96"/>
      <c r="R63" s="96"/>
      <c r="S63" s="257">
        <f>IF($E63=Dict!$I$2,IF($G63&gt;='Шаг 1. Основные исходные данные'!$E$5,1,ROUNDUP('Шаг 1. Основные исходные данные'!$E$5/$G63,0)),IF($F63=Dict!$J$2,1,SUM($H63:$M63)))</f>
        <v>0</v>
      </c>
      <c r="T63" s="97">
        <f>SUM(X63:AC63)</f>
        <v>0</v>
      </c>
      <c r="U63" s="49"/>
      <c r="V63" s="317"/>
      <c r="X63" s="283">
        <f>IF($E63=Dict!$I$2,1,IF($F63=Dict!$J$2,1,H63))*$O63*$Q63*X$18*$E$15</f>
        <v>0</v>
      </c>
      <c r="Y63" s="283">
        <f>IF($E63=Dict!$I$2,
IF($G63&gt;='Шаг 1. Основные исходные данные'!$E$5,0,
IF(MOD(Y$34-1,$G63)=0,1,0)),IF($F63=Dict!$J$2,0,I63))*$O63*$Q63*Y$18*$E$15</f>
        <v>0</v>
      </c>
      <c r="Z63" s="277">
        <f>IF($E63=Dict!$I$2,
IF($G63&gt;='Шаг 1. Основные исходные данные'!$E$5,0,
IF(MOD(Z$34-1,$G63)=0,1,0)),IF($F63=Dict!$J$2,0,J63))*$O63*$Q63*Z$18*$E$15</f>
        <v>0</v>
      </c>
      <c r="AA63" s="277">
        <f>IF($E63=Dict!$I$2,
IF($G63&gt;='Шаг 1. Основные исходные данные'!$E$5,0,
IF(MOD(AA$34-1,$G63)=0,1,0)),IF($F63=Dict!$J$2,0,K63))*$O63*$Q63*AA$18*$E$15</f>
        <v>0</v>
      </c>
      <c r="AB63" s="277">
        <f>IF($E63=Dict!$I$2,
IF($G63&gt;='Шаг 1. Основные исходные данные'!$E$5,0,
IF(MOD(AB$34-1,$G63)=0,1,0)),IF($F63=Dict!$J$2,0,L63))*$O63*$Q63*AB$18*$E$15</f>
        <v>0</v>
      </c>
      <c r="AC63" s="277">
        <f>IF($E63=Dict!$I$2,
IF($G63&gt;='Шаг 1. Основные исходные данные'!$E$5,0,
IF(MOD(AC$34-1,$G63)=0,1,0)),IF($F63=Dict!$J$2,0,M63))*$O63*$Q63*AC$18*$E$15</f>
        <v>0</v>
      </c>
    </row>
    <row r="64" spans="1:29" s="37" customFormat="1" ht="15.75" x14ac:dyDescent="0.25">
      <c r="A64" s="43"/>
      <c r="B64" s="48"/>
      <c r="C64" s="89" t="str">
        <f>IF(LEN(D64)&gt;0,C63+1,"")</f>
        <v/>
      </c>
      <c r="D64" s="31"/>
      <c r="E64" s="31"/>
      <c r="F64" s="96"/>
      <c r="G64" s="96"/>
      <c r="H64" s="96"/>
      <c r="I64" s="96"/>
      <c r="J64" s="96"/>
      <c r="K64" s="96"/>
      <c r="L64" s="96"/>
      <c r="M64" s="96"/>
      <c r="N64" s="96"/>
      <c r="O64" s="98"/>
      <c r="P64" s="96"/>
      <c r="Q64" s="96"/>
      <c r="R64" s="96"/>
      <c r="S64" s="257">
        <f>IF($E64=Dict!$I$2,IF($G64&gt;='Шаг 1. Основные исходные данные'!$E$5,1,ROUNDUP('Шаг 1. Основные исходные данные'!$E$5/$G64,0)),IF($F64=Dict!$J$2,1,SUM($H64:$M64)))</f>
        <v>0</v>
      </c>
      <c r="T64" s="97">
        <f>SUM(X64:AC64)</f>
        <v>0</v>
      </c>
      <c r="U64" s="49"/>
      <c r="V64" s="317"/>
      <c r="X64" s="283">
        <f>IF($E64=Dict!$I$2,1,IF($F64=Dict!$J$2,1,H64))*$O64*$Q64*X$18*$E$15</f>
        <v>0</v>
      </c>
      <c r="Y64" s="283">
        <f>IF($E64=Dict!$I$2,
IF($G64&gt;='Шаг 1. Основные исходные данные'!$E$5,0,
IF(MOD(Y$34-1,$G64)=0,1,0)),IF($F64=Dict!$J$2,0,I64))*$O64*$Q64*Y$18*$E$15</f>
        <v>0</v>
      </c>
      <c r="Z64" s="277">
        <f>IF($E64=Dict!$I$2,
IF($G64&gt;='Шаг 1. Основные исходные данные'!$E$5,0,
IF(MOD(Z$34-1,$G64)=0,1,0)),IF($F64=Dict!$J$2,0,J64))*$O64*$Q64*Z$18*$E$15</f>
        <v>0</v>
      </c>
      <c r="AA64" s="277">
        <f>IF($E64=Dict!$I$2,
IF($G64&gt;='Шаг 1. Основные исходные данные'!$E$5,0,
IF(MOD(AA$34-1,$G64)=0,1,0)),IF($F64=Dict!$J$2,0,K64))*$O64*$Q64*AA$18*$E$15</f>
        <v>0</v>
      </c>
      <c r="AB64" s="277">
        <f>IF($E64=Dict!$I$2,
IF($G64&gt;='Шаг 1. Основные исходные данные'!$E$5,0,
IF(MOD(AB$34-1,$G64)=0,1,0)),IF($F64=Dict!$J$2,0,L64))*$O64*$Q64*AB$18*$E$15</f>
        <v>0</v>
      </c>
      <c r="AC64" s="277">
        <f>IF($E64=Dict!$I$2,
IF($G64&gt;='Шаг 1. Основные исходные данные'!$E$5,0,
IF(MOD(AC$34-1,$G64)=0,1,0)),IF($F64=Dict!$J$2,0,M64))*$O64*$Q64*AC$18*$E$15</f>
        <v>0</v>
      </c>
    </row>
    <row r="65" spans="1:29" s="91" customFormat="1" ht="19.899999999999999" customHeight="1" x14ac:dyDescent="0.25">
      <c r="A65" s="90"/>
      <c r="B65" s="92"/>
      <c r="C65" s="94" t="s">
        <v>95</v>
      </c>
      <c r="D65" s="94"/>
      <c r="E65" s="94"/>
      <c r="F65" s="94"/>
      <c r="G65" s="94"/>
      <c r="H65" s="94"/>
      <c r="I65" s="94"/>
      <c r="J65" s="94"/>
      <c r="K65" s="94"/>
      <c r="L65" s="94"/>
      <c r="M65" s="94"/>
      <c r="N65" s="94"/>
      <c r="O65" s="94"/>
      <c r="P65" s="94"/>
      <c r="Q65" s="94"/>
      <c r="R65" s="94"/>
      <c r="S65" s="94"/>
      <c r="T65" s="95">
        <f>SUM(T60:T64)</f>
        <v>0</v>
      </c>
      <c r="U65" s="93"/>
      <c r="V65" s="319"/>
      <c r="W65" s="37"/>
      <c r="X65" s="278">
        <f t="shared" ref="X65:AC65" si="6">SUM(X60:X64)</f>
        <v>0</v>
      </c>
      <c r="Y65" s="278">
        <f t="shared" si="6"/>
        <v>0</v>
      </c>
      <c r="Z65" s="278">
        <f t="shared" si="6"/>
        <v>0</v>
      </c>
      <c r="AA65" s="278">
        <f t="shared" si="6"/>
        <v>0</v>
      </c>
      <c r="AB65" s="278">
        <f t="shared" si="6"/>
        <v>0</v>
      </c>
      <c r="AC65" s="278">
        <f t="shared" si="6"/>
        <v>0</v>
      </c>
    </row>
    <row r="66" spans="1:29" s="37" customFormat="1" ht="15.75" x14ac:dyDescent="0.25">
      <c r="A66" s="43"/>
      <c r="B66" s="53"/>
      <c r="C66" s="56"/>
      <c r="D66" s="56"/>
      <c r="E66" s="56"/>
      <c r="F66" s="56"/>
      <c r="G66" s="56"/>
      <c r="H66" s="56"/>
      <c r="I66" s="56"/>
      <c r="J66" s="56"/>
      <c r="K66" s="56"/>
      <c r="L66" s="56"/>
      <c r="M66" s="56"/>
      <c r="N66" s="56"/>
      <c r="O66" s="56"/>
      <c r="P66" s="56"/>
      <c r="Q66" s="56"/>
      <c r="R66" s="56"/>
      <c r="S66" s="56"/>
      <c r="T66" s="56"/>
      <c r="U66" s="54"/>
      <c r="V66" s="317"/>
      <c r="X66" s="271"/>
      <c r="Y66" s="271"/>
      <c r="Z66" s="271"/>
      <c r="AA66" s="271"/>
      <c r="AB66" s="271"/>
      <c r="AC66" s="271"/>
    </row>
    <row r="67" spans="1:29" s="37" customFormat="1" ht="15.75" x14ac:dyDescent="0.25">
      <c r="A67" s="43"/>
      <c r="B67" s="43"/>
      <c r="C67" s="43"/>
      <c r="D67" s="43"/>
      <c r="E67" s="43"/>
      <c r="F67" s="43"/>
      <c r="G67" s="43"/>
      <c r="H67" s="43"/>
      <c r="I67" s="43"/>
      <c r="J67" s="43"/>
      <c r="K67" s="43"/>
      <c r="L67" s="43"/>
      <c r="M67" s="43"/>
      <c r="N67" s="43"/>
      <c r="O67" s="43"/>
      <c r="P67" s="43"/>
      <c r="Q67" s="43"/>
      <c r="R67" s="43"/>
      <c r="S67" s="43"/>
      <c r="T67" s="317"/>
      <c r="U67" s="317"/>
      <c r="V67" s="317"/>
      <c r="X67" s="271"/>
      <c r="Y67" s="271"/>
      <c r="Z67" s="271"/>
      <c r="AA67" s="271"/>
      <c r="AB67" s="271"/>
      <c r="AC67" s="271"/>
    </row>
    <row r="68" spans="1:29" s="37" customFormat="1" ht="15.75" x14ac:dyDescent="0.25">
      <c r="A68" s="43"/>
      <c r="B68" s="45"/>
      <c r="C68" s="46"/>
      <c r="D68" s="46"/>
      <c r="E68" s="46"/>
      <c r="F68" s="46"/>
      <c r="G68" s="46"/>
      <c r="H68" s="46"/>
      <c r="I68" s="46"/>
      <c r="J68" s="46"/>
      <c r="K68" s="46"/>
      <c r="L68" s="46"/>
      <c r="M68" s="46"/>
      <c r="N68" s="46"/>
      <c r="O68" s="46"/>
      <c r="P68" s="46"/>
      <c r="Q68" s="46"/>
      <c r="R68" s="46"/>
      <c r="S68" s="46"/>
      <c r="T68" s="46"/>
      <c r="U68" s="47"/>
      <c r="V68" s="317"/>
      <c r="X68" s="272"/>
      <c r="Y68" s="272"/>
      <c r="Z68" s="272"/>
      <c r="AA68" s="272"/>
      <c r="AB68" s="272"/>
      <c r="AC68" s="272"/>
    </row>
    <row r="69" spans="1:29" s="37" customFormat="1" ht="15.75" x14ac:dyDescent="0.25">
      <c r="A69" s="43"/>
      <c r="B69" s="48"/>
      <c r="C69" s="36" t="str">
        <f>CONCATENATE("3.2.",$C$16,". Содержательные издержки группы объектов ",$C$16," - """,$D$16,"""")</f>
        <v>3.2.. Содержательные издержки группы объектов  - ""</v>
      </c>
      <c r="D69" s="43"/>
      <c r="E69" s="43"/>
      <c r="F69" s="43"/>
      <c r="G69" s="43"/>
      <c r="H69" s="43"/>
      <c r="I69" s="43"/>
      <c r="J69" s="43"/>
      <c r="K69" s="43"/>
      <c r="L69" s="43"/>
      <c r="M69" s="43"/>
      <c r="N69" s="43"/>
      <c r="O69" s="43"/>
      <c r="P69" s="43"/>
      <c r="Q69" s="43"/>
      <c r="R69" s="43"/>
      <c r="S69" s="317"/>
      <c r="T69" s="317"/>
      <c r="U69" s="49"/>
      <c r="V69" s="317"/>
      <c r="X69" s="272"/>
      <c r="Y69" s="272"/>
      <c r="Z69" s="272"/>
      <c r="AA69" s="272"/>
      <c r="AB69" s="272"/>
      <c r="AC69" s="272"/>
    </row>
    <row r="70" spans="1:29" s="37" customFormat="1" ht="15.75" x14ac:dyDescent="0.25">
      <c r="A70" s="43"/>
      <c r="B70" s="48"/>
      <c r="C70" s="43"/>
      <c r="D70" s="43"/>
      <c r="E70" s="43"/>
      <c r="F70" s="43"/>
      <c r="G70" s="43"/>
      <c r="H70" s="43"/>
      <c r="I70" s="43"/>
      <c r="J70" s="43"/>
      <c r="K70" s="43"/>
      <c r="L70" s="43"/>
      <c r="M70" s="43"/>
      <c r="N70" s="43"/>
      <c r="O70" s="43"/>
      <c r="P70" s="43"/>
      <c r="Q70" s="43"/>
      <c r="R70" s="43"/>
      <c r="S70" s="317"/>
      <c r="T70" s="317"/>
      <c r="U70" s="49"/>
      <c r="V70" s="317"/>
      <c r="X70" s="272"/>
      <c r="Y70" s="272"/>
      <c r="Z70" s="272"/>
      <c r="AA70" s="272"/>
      <c r="AB70" s="272"/>
      <c r="AC70" s="272"/>
    </row>
    <row r="71" spans="1:29" s="37" customFormat="1" ht="15.75" x14ac:dyDescent="0.25">
      <c r="A71" s="43"/>
      <c r="B71" s="48"/>
      <c r="C71" s="39" t="s">
        <v>63</v>
      </c>
      <c r="D71" s="43"/>
      <c r="E71" s="43"/>
      <c r="F71" s="43"/>
      <c r="G71" s="43"/>
      <c r="H71" s="43"/>
      <c r="I71" s="43"/>
      <c r="J71" s="43"/>
      <c r="K71" s="43"/>
      <c r="L71" s="43"/>
      <c r="M71" s="43"/>
      <c r="N71" s="43"/>
      <c r="O71" s="43"/>
      <c r="P71" s="43"/>
      <c r="Q71" s="43"/>
      <c r="R71" s="43"/>
      <c r="S71" s="317"/>
      <c r="T71" s="317"/>
      <c r="U71" s="49"/>
      <c r="V71" s="317"/>
      <c r="X71" s="272"/>
      <c r="Y71" s="272"/>
      <c r="Z71" s="272"/>
      <c r="AA71" s="272"/>
      <c r="AB71" s="272"/>
      <c r="AC71" s="272"/>
    </row>
    <row r="72" spans="1:29" s="52" customFormat="1" ht="127.5" customHeight="1" x14ac:dyDescent="0.25">
      <c r="A72" s="23"/>
      <c r="B72" s="50"/>
      <c r="C72" s="336" t="s">
        <v>62</v>
      </c>
      <c r="D72" s="336" t="s">
        <v>64</v>
      </c>
      <c r="E72" s="336" t="s">
        <v>75</v>
      </c>
      <c r="F72" s="336" t="s">
        <v>1231</v>
      </c>
      <c r="G72" s="336"/>
      <c r="H72" s="336"/>
      <c r="I72" s="336"/>
      <c r="J72" s="336"/>
      <c r="K72" s="336"/>
      <c r="L72" s="336" t="s">
        <v>1300</v>
      </c>
      <c r="M72" s="336" t="s">
        <v>1222</v>
      </c>
      <c r="N72" s="316" t="s">
        <v>1309</v>
      </c>
      <c r="O72" s="316" t="s">
        <v>79</v>
      </c>
      <c r="P72" s="316" t="s">
        <v>1159</v>
      </c>
      <c r="Q72" s="43"/>
      <c r="R72" s="43"/>
      <c r="S72" s="318"/>
      <c r="T72" s="318"/>
      <c r="U72" s="51"/>
      <c r="V72" s="318"/>
      <c r="X72" s="272"/>
      <c r="Y72" s="272"/>
      <c r="Z72" s="272"/>
      <c r="AA72" s="272"/>
      <c r="AB72" s="272"/>
      <c r="AC72" s="272"/>
    </row>
    <row r="73" spans="1:29" s="52" customFormat="1" ht="15.75" x14ac:dyDescent="0.25">
      <c r="A73" s="23"/>
      <c r="B73" s="50"/>
      <c r="C73" s="336"/>
      <c r="D73" s="349"/>
      <c r="E73" s="349"/>
      <c r="F73" s="316" t="str">
        <f>IF(1&lt;='Шаг 1. Основные исходные данные'!$E$5,"1 год","-")</f>
        <v>1 год</v>
      </c>
      <c r="G73" s="316" t="str">
        <f>IF(2&lt;='Шаг 1. Основные исходные данные'!$E$5,"2 год","-")</f>
        <v>2 год</v>
      </c>
      <c r="H73" s="316" t="str">
        <f>IF(3&lt;='Шаг 1. Основные исходные данные'!$E$5,"3 год","-")</f>
        <v>3 год</v>
      </c>
      <c r="I73" s="316" t="str">
        <f>IF(4&lt;='Шаг 1. Основные исходные данные'!$E$5,"4 год","-")</f>
        <v>4 год</v>
      </c>
      <c r="J73" s="316" t="str">
        <f>IF(5&lt;='Шаг 1. Основные исходные данные'!$E$5,"5 год","-")</f>
        <v>5 год</v>
      </c>
      <c r="K73" s="316" t="str">
        <f>IF(6&lt;='Шаг 1. Основные исходные данные'!$E$5,"6 год","-")</f>
        <v>6 год</v>
      </c>
      <c r="L73" s="349"/>
      <c r="M73" s="349"/>
      <c r="N73" s="316"/>
      <c r="O73" s="316"/>
      <c r="P73" s="316"/>
      <c r="Q73" s="43"/>
      <c r="R73" s="43"/>
      <c r="S73" s="318"/>
      <c r="T73" s="318"/>
      <c r="U73" s="51"/>
      <c r="V73" s="318"/>
      <c r="X73" s="279" t="s">
        <v>1221</v>
      </c>
      <c r="Y73" s="279" t="s">
        <v>1223</v>
      </c>
      <c r="Z73" s="279" t="s">
        <v>1224</v>
      </c>
      <c r="AA73" s="279" t="s">
        <v>1225</v>
      </c>
      <c r="AB73" s="279" t="s">
        <v>1226</v>
      </c>
      <c r="AC73" s="279" t="s">
        <v>1227</v>
      </c>
    </row>
    <row r="74" spans="1:29" s="37" customFormat="1" ht="15.75" x14ac:dyDescent="0.25">
      <c r="A74" s="43"/>
      <c r="B74" s="48"/>
      <c r="C74" s="89" t="str">
        <f>IF(LEN(D74)&gt;0,1,"")</f>
        <v/>
      </c>
      <c r="D74" s="31"/>
      <c r="E74" s="96"/>
      <c r="F74" s="96"/>
      <c r="G74" s="96"/>
      <c r="H74" s="96"/>
      <c r="I74" s="96"/>
      <c r="J74" s="96"/>
      <c r="K74" s="96"/>
      <c r="L74" s="96"/>
      <c r="M74" s="96"/>
      <c r="N74" s="96"/>
      <c r="O74" s="97">
        <f>'Шаг 1. Основные исходные данные'!$E$8</f>
        <v>0</v>
      </c>
      <c r="P74" s="97">
        <f>SUM(X74:AC74)</f>
        <v>0</v>
      </c>
      <c r="Q74" s="43"/>
      <c r="R74" s="43"/>
      <c r="S74" s="317"/>
      <c r="T74" s="317"/>
      <c r="U74" s="49"/>
      <c r="V74" s="317"/>
      <c r="W74" s="281"/>
      <c r="X74" s="282">
        <f>$O74*'Шаг 1. Основные исходные данные'!$E$11*(12/'Шаг 1. Основные исходные данные'!$E$10/8)*F74*$M74*$E$16*X$19</f>
        <v>0</v>
      </c>
      <c r="Y74" s="282">
        <f>IF($E74=Dict!$F$2,0,
$O74*'Шаг 1. Основные исходные данные'!$E$11*(12/'Шаг 1. Основные исходные данные'!$E$10/8)*G74*$M74*$E$16*Y$19)</f>
        <v>0</v>
      </c>
      <c r="Z74" s="277">
        <f>IF($E74=Dict!$F$2,0,
$O74*'Шаг 1. Основные исходные данные'!$E$11*(12/'Шаг 1. Основные исходные данные'!$E$10/8)*H74*$M74*$E$16*Z$19)</f>
        <v>0</v>
      </c>
      <c r="AA74" s="277">
        <f>IF($E74=Dict!$F$2,0,
$O74*'Шаг 1. Основные исходные данные'!$E$11*(12/'Шаг 1. Основные исходные данные'!$E$10/8)*I74*$M74*$E$16*AA$19)</f>
        <v>0</v>
      </c>
      <c r="AB74" s="277">
        <f>IF($E74=Dict!$F$2,0,
$O74*'Шаг 1. Основные исходные данные'!$E$11*(12/'Шаг 1. Основные исходные данные'!$E$10/8)*J74*$M74*$E$16*AB$19)</f>
        <v>0</v>
      </c>
      <c r="AC74" s="277">
        <f>IF($E74=Dict!$F$2,0,
$O74*'Шаг 1. Основные исходные данные'!$E$11*(12/'Шаг 1. Основные исходные данные'!$E$10/8)*K74*$M74*$E$16*AC$19)</f>
        <v>0</v>
      </c>
    </row>
    <row r="75" spans="1:29" s="37" customFormat="1" ht="15.75" x14ac:dyDescent="0.25">
      <c r="A75" s="43"/>
      <c r="B75" s="48"/>
      <c r="C75" s="89" t="str">
        <f>IF(LEN(D75)&gt;0,C74+1,"")</f>
        <v/>
      </c>
      <c r="D75" s="31"/>
      <c r="E75" s="96"/>
      <c r="F75" s="96"/>
      <c r="G75" s="96"/>
      <c r="H75" s="96"/>
      <c r="I75" s="96"/>
      <c r="J75" s="96"/>
      <c r="K75" s="96"/>
      <c r="L75" s="96"/>
      <c r="M75" s="96"/>
      <c r="N75" s="96"/>
      <c r="O75" s="97">
        <f>'Шаг 1. Основные исходные данные'!$E$8</f>
        <v>0</v>
      </c>
      <c r="P75" s="97">
        <f>SUM(X75:AC75)</f>
        <v>0</v>
      </c>
      <c r="Q75" s="43"/>
      <c r="R75" s="43"/>
      <c r="S75" s="317"/>
      <c r="T75" s="317"/>
      <c r="U75" s="49"/>
      <c r="V75" s="317"/>
      <c r="W75" s="281"/>
      <c r="X75" s="283">
        <f>$O75*'Шаг 1. Основные исходные данные'!$E$11*(12/'Шаг 1. Основные исходные данные'!$E$10/8)*F75*$M75*$E$16*X$19</f>
        <v>0</v>
      </c>
      <c r="Y75" s="283">
        <f>IF($E75=Dict!$F$2,0,
$O75*'Шаг 1. Основные исходные данные'!$E$11*(12/'Шаг 1. Основные исходные данные'!$E$10/8)*G75*$M75*$E$16*Y$19)</f>
        <v>0</v>
      </c>
      <c r="Z75" s="277">
        <f>IF($E75=Dict!$F$2,0,
$O75*'Шаг 1. Основные исходные данные'!$E$11*(12/'Шаг 1. Основные исходные данные'!$E$10/8)*H75*$M75*$E$16*Z$19)</f>
        <v>0</v>
      </c>
      <c r="AA75" s="277">
        <f>IF($E75=Dict!$F$2,0,
$O75*'Шаг 1. Основные исходные данные'!$E$11*(12/'Шаг 1. Основные исходные данные'!$E$10/8)*I75*$M75*$E$16*AA$19)</f>
        <v>0</v>
      </c>
      <c r="AB75" s="277">
        <f>IF($E75=Dict!$F$2,0,
$O75*'Шаг 1. Основные исходные данные'!$E$11*(12/'Шаг 1. Основные исходные данные'!$E$10/8)*J75*$M75*$E$16*AB$19)</f>
        <v>0</v>
      </c>
      <c r="AC75" s="277">
        <f>IF($E75=Dict!$F$2,0,
$O75*'Шаг 1. Основные исходные данные'!$E$11*(12/'Шаг 1. Основные исходные данные'!$E$10/8)*K75*$M75*$E$16*AC$19)</f>
        <v>0</v>
      </c>
    </row>
    <row r="76" spans="1:29" s="37" customFormat="1" ht="15.75" x14ac:dyDescent="0.25">
      <c r="A76" s="43"/>
      <c r="B76" s="48"/>
      <c r="C76" s="89" t="str">
        <f>IF(LEN(D76)&gt;0,C75+1,"")</f>
        <v/>
      </c>
      <c r="D76" s="31"/>
      <c r="E76" s="96"/>
      <c r="F76" s="96"/>
      <c r="G76" s="96"/>
      <c r="H76" s="96"/>
      <c r="I76" s="96"/>
      <c r="J76" s="96"/>
      <c r="K76" s="96"/>
      <c r="L76" s="96"/>
      <c r="M76" s="96"/>
      <c r="N76" s="96"/>
      <c r="O76" s="97">
        <f>'Шаг 1. Основные исходные данные'!$E$8</f>
        <v>0</v>
      </c>
      <c r="P76" s="97">
        <f>SUM(X76:AC76)</f>
        <v>0</v>
      </c>
      <c r="Q76" s="43"/>
      <c r="R76" s="43"/>
      <c r="S76" s="317"/>
      <c r="T76" s="317"/>
      <c r="U76" s="49"/>
      <c r="V76" s="317"/>
      <c r="X76" s="283">
        <f>$O76*'Шаг 1. Основные исходные данные'!$E$11*(12/'Шаг 1. Основные исходные данные'!$E$10/8)*F76*$M76*$E$16*X$19</f>
        <v>0</v>
      </c>
      <c r="Y76" s="283">
        <f>IF($E76=Dict!$F$2,0,
$O76*'Шаг 1. Основные исходные данные'!$E$11*(12/'Шаг 1. Основные исходные данные'!$E$10/8)*G76*$M76*$E$16*Y$19)</f>
        <v>0</v>
      </c>
      <c r="Z76" s="277">
        <f>IF($E76=Dict!$F$2,0,
$O76*'Шаг 1. Основные исходные данные'!$E$11*(12/'Шаг 1. Основные исходные данные'!$E$10/8)*H76*$M76*$E$16*Z$19)</f>
        <v>0</v>
      </c>
      <c r="AA76" s="277">
        <f>IF($E76=Dict!$F$2,0,
$O76*'Шаг 1. Основные исходные данные'!$E$11*(12/'Шаг 1. Основные исходные данные'!$E$10/8)*I76*$M76*$E$16*AA$19)</f>
        <v>0</v>
      </c>
      <c r="AB76" s="277">
        <f>IF($E76=Dict!$F$2,0,
$O76*'Шаг 1. Основные исходные данные'!$E$11*(12/'Шаг 1. Основные исходные данные'!$E$10/8)*J76*$M76*$E$16*AB$19)</f>
        <v>0</v>
      </c>
      <c r="AC76" s="277">
        <f>IF($E76=Dict!$F$2,0,
$O76*'Шаг 1. Основные исходные данные'!$E$11*(12/'Шаг 1. Основные исходные данные'!$E$10/8)*K76*$M76*$E$16*AC$19)</f>
        <v>0</v>
      </c>
    </row>
    <row r="77" spans="1:29" s="37" customFormat="1" ht="15.75" x14ac:dyDescent="0.25">
      <c r="A77" s="43"/>
      <c r="B77" s="48"/>
      <c r="C77" s="89" t="str">
        <f>IF(LEN(D77)&gt;0,C76+1,"")</f>
        <v/>
      </c>
      <c r="D77" s="31"/>
      <c r="E77" s="96"/>
      <c r="F77" s="96"/>
      <c r="G77" s="96"/>
      <c r="H77" s="96"/>
      <c r="I77" s="96"/>
      <c r="J77" s="96"/>
      <c r="K77" s="96"/>
      <c r="L77" s="96"/>
      <c r="M77" s="96"/>
      <c r="N77" s="96"/>
      <c r="O77" s="97">
        <f>'Шаг 1. Основные исходные данные'!$E$8</f>
        <v>0</v>
      </c>
      <c r="P77" s="97">
        <f>SUM(X77:AC77)</f>
        <v>0</v>
      </c>
      <c r="Q77" s="43"/>
      <c r="R77" s="43"/>
      <c r="S77" s="317"/>
      <c r="T77" s="317"/>
      <c r="U77" s="49"/>
      <c r="V77" s="317"/>
      <c r="X77" s="283">
        <f>$O77*'Шаг 1. Основные исходные данные'!$E$11*(12/'Шаг 1. Основные исходные данные'!$E$10/8)*F77*$M77*$E$16*X$19</f>
        <v>0</v>
      </c>
      <c r="Y77" s="283">
        <f>IF($E77=Dict!$F$2,0,
$O77*'Шаг 1. Основные исходные данные'!$E$11*(12/'Шаг 1. Основные исходные данные'!$E$10/8)*G77*$M77*$E$16*Y$19)</f>
        <v>0</v>
      </c>
      <c r="Z77" s="277">
        <f>IF($E77=Dict!$F$2,0,
$O77*'Шаг 1. Основные исходные данные'!$E$11*(12/'Шаг 1. Основные исходные данные'!$E$10/8)*H77*$M77*$E$16*Z$19)</f>
        <v>0</v>
      </c>
      <c r="AA77" s="277">
        <f>IF($E77=Dict!$F$2,0,
$O77*'Шаг 1. Основные исходные данные'!$E$11*(12/'Шаг 1. Основные исходные данные'!$E$10/8)*I77*$M77*$E$16*AA$19)</f>
        <v>0</v>
      </c>
      <c r="AB77" s="277">
        <f>IF($E77=Dict!$F$2,0,
$O77*'Шаг 1. Основные исходные данные'!$E$11*(12/'Шаг 1. Основные исходные данные'!$E$10/8)*J77*$M77*$E$16*AB$19)</f>
        <v>0</v>
      </c>
      <c r="AC77" s="277">
        <f>IF($E77=Dict!$F$2,0,
$O77*'Шаг 1. Основные исходные данные'!$E$11*(12/'Шаг 1. Основные исходные данные'!$E$10/8)*K77*$M77*$E$16*AC$19)</f>
        <v>0</v>
      </c>
    </row>
    <row r="78" spans="1:29" s="37" customFormat="1" ht="15.75" x14ac:dyDescent="0.25">
      <c r="A78" s="43"/>
      <c r="B78" s="48"/>
      <c r="C78" s="89" t="str">
        <f>IF(LEN(D78)&gt;0,C77+1,"")</f>
        <v/>
      </c>
      <c r="D78" s="31"/>
      <c r="E78" s="96"/>
      <c r="F78" s="96"/>
      <c r="G78" s="96"/>
      <c r="H78" s="96"/>
      <c r="I78" s="96"/>
      <c r="J78" s="96"/>
      <c r="K78" s="96"/>
      <c r="L78" s="96"/>
      <c r="M78" s="96"/>
      <c r="N78" s="96"/>
      <c r="O78" s="97">
        <f>'Шаг 1. Основные исходные данные'!$E$8</f>
        <v>0</v>
      </c>
      <c r="P78" s="97">
        <f>SUM(X78:AC78)</f>
        <v>0</v>
      </c>
      <c r="Q78" s="43"/>
      <c r="R78" s="43"/>
      <c r="S78" s="317"/>
      <c r="T78" s="317"/>
      <c r="U78" s="49"/>
      <c r="V78" s="317"/>
      <c r="X78" s="283">
        <f>$O78*'Шаг 1. Основные исходные данные'!$E$11*(12/'Шаг 1. Основные исходные данные'!$E$10/8)*F78*$M78*$E$16*X$19</f>
        <v>0</v>
      </c>
      <c r="Y78" s="283">
        <f>IF($E78=Dict!$F$2,0,
$O78*'Шаг 1. Основные исходные данные'!$E$11*(12/'Шаг 1. Основные исходные данные'!$E$10/8)*G78*$M78*$E$16*Y$19)</f>
        <v>0</v>
      </c>
      <c r="Z78" s="277">
        <f>IF($E78=Dict!$F$2,0,
$O78*'Шаг 1. Основные исходные данные'!$E$11*(12/'Шаг 1. Основные исходные данные'!$E$10/8)*H78*$M78*$E$16*Z$19)</f>
        <v>0</v>
      </c>
      <c r="AA78" s="277">
        <f>IF($E78=Dict!$F$2,0,
$O78*'Шаг 1. Основные исходные данные'!$E$11*(12/'Шаг 1. Основные исходные данные'!$E$10/8)*I78*$M78*$E$16*AA$19)</f>
        <v>0</v>
      </c>
      <c r="AB78" s="277">
        <f>IF($E78=Dict!$F$2,0,
$O78*'Шаг 1. Основные исходные данные'!$E$11*(12/'Шаг 1. Основные исходные данные'!$E$10/8)*J78*$M78*$E$16*AB$19)</f>
        <v>0</v>
      </c>
      <c r="AC78" s="277">
        <f>IF($E78=Dict!$F$2,0,
$O78*'Шаг 1. Основные исходные данные'!$E$11*(12/'Шаг 1. Основные исходные данные'!$E$10/8)*K78*$M78*$E$16*AC$19)</f>
        <v>0</v>
      </c>
    </row>
    <row r="79" spans="1:29" s="91" customFormat="1" ht="19.899999999999999" customHeight="1" x14ac:dyDescent="0.25">
      <c r="A79" s="90"/>
      <c r="B79" s="92"/>
      <c r="C79" s="94" t="s">
        <v>95</v>
      </c>
      <c r="D79" s="99"/>
      <c r="E79" s="99"/>
      <c r="F79" s="99"/>
      <c r="G79" s="99"/>
      <c r="H79" s="99"/>
      <c r="I79" s="99"/>
      <c r="J79" s="99"/>
      <c r="K79" s="99"/>
      <c r="L79" s="99"/>
      <c r="M79" s="99"/>
      <c r="N79" s="99"/>
      <c r="O79" s="99"/>
      <c r="P79" s="95">
        <f>SUM(P74:P78)</f>
        <v>0</v>
      </c>
      <c r="Q79" s="43"/>
      <c r="R79" s="43"/>
      <c r="S79" s="319"/>
      <c r="T79" s="319"/>
      <c r="U79" s="93"/>
      <c r="V79" s="319"/>
      <c r="X79" s="278">
        <f t="shared" ref="X79:AC79" si="7">SUM(X74:X78)</f>
        <v>0</v>
      </c>
      <c r="Y79" s="278">
        <f t="shared" si="7"/>
        <v>0</v>
      </c>
      <c r="Z79" s="278">
        <f t="shared" si="7"/>
        <v>0</v>
      </c>
      <c r="AA79" s="278">
        <f t="shared" si="7"/>
        <v>0</v>
      </c>
      <c r="AB79" s="278">
        <f t="shared" si="7"/>
        <v>0</v>
      </c>
      <c r="AC79" s="278">
        <f t="shared" si="7"/>
        <v>0</v>
      </c>
    </row>
    <row r="80" spans="1:29" s="37" customFormat="1" ht="15.75" x14ac:dyDescent="0.25">
      <c r="A80" s="43"/>
      <c r="B80" s="48"/>
      <c r="C80" s="43"/>
      <c r="D80" s="43"/>
      <c r="E80" s="43"/>
      <c r="F80" s="43"/>
      <c r="G80" s="43"/>
      <c r="H80" s="43"/>
      <c r="I80" s="43"/>
      <c r="J80" s="43"/>
      <c r="K80" s="43"/>
      <c r="L80" s="43"/>
      <c r="M80" s="43"/>
      <c r="N80" s="43"/>
      <c r="O80" s="43"/>
      <c r="P80" s="43"/>
      <c r="Q80" s="43"/>
      <c r="R80" s="43"/>
      <c r="S80" s="317"/>
      <c r="T80" s="317"/>
      <c r="U80" s="49"/>
      <c r="V80" s="317"/>
      <c r="X80" s="271"/>
      <c r="Y80" s="271"/>
      <c r="Z80" s="271"/>
      <c r="AA80" s="271"/>
      <c r="AB80" s="271"/>
      <c r="AC80" s="271"/>
    </row>
    <row r="81" spans="1:29" s="37" customFormat="1" ht="15.75" x14ac:dyDescent="0.25">
      <c r="A81" s="43"/>
      <c r="B81" s="48"/>
      <c r="C81" s="39" t="s">
        <v>80</v>
      </c>
      <c r="D81" s="43"/>
      <c r="E81" s="43"/>
      <c r="F81" s="43"/>
      <c r="G81" s="43"/>
      <c r="H81" s="43"/>
      <c r="I81" s="43"/>
      <c r="J81" s="43"/>
      <c r="K81" s="43"/>
      <c r="L81" s="43"/>
      <c r="M81" s="43"/>
      <c r="N81" s="43"/>
      <c r="O81" s="43"/>
      <c r="P81" s="43"/>
      <c r="Q81" s="43"/>
      <c r="R81" s="43"/>
      <c r="S81" s="317"/>
      <c r="T81" s="317"/>
      <c r="U81" s="49"/>
      <c r="V81" s="317"/>
      <c r="X81" s="271"/>
      <c r="Y81" s="271"/>
      <c r="Z81" s="271"/>
      <c r="AA81" s="271"/>
      <c r="AB81" s="271"/>
      <c r="AC81" s="271"/>
    </row>
    <row r="82" spans="1:29" s="37" customFormat="1" ht="132" customHeight="1" x14ac:dyDescent="0.25">
      <c r="A82" s="43"/>
      <c r="B82" s="48"/>
      <c r="C82" s="316" t="s">
        <v>62</v>
      </c>
      <c r="D82" s="316" t="s">
        <v>74</v>
      </c>
      <c r="E82" s="316" t="s">
        <v>1160</v>
      </c>
      <c r="F82" s="316" t="s">
        <v>1168</v>
      </c>
      <c r="G82" s="316" t="s">
        <v>1167</v>
      </c>
      <c r="H82" s="336" t="s">
        <v>1232</v>
      </c>
      <c r="I82" s="336"/>
      <c r="J82" s="336"/>
      <c r="K82" s="336"/>
      <c r="L82" s="336"/>
      <c r="M82" s="336"/>
      <c r="N82" s="316" t="s">
        <v>1301</v>
      </c>
      <c r="O82" s="316" t="s">
        <v>1169</v>
      </c>
      <c r="P82" s="316" t="s">
        <v>1307</v>
      </c>
      <c r="Q82" s="316" t="s">
        <v>1269</v>
      </c>
      <c r="R82" s="316" t="s">
        <v>1308</v>
      </c>
      <c r="S82" s="316" t="s">
        <v>1166</v>
      </c>
      <c r="T82" s="316" t="s">
        <v>1170</v>
      </c>
      <c r="U82" s="49"/>
      <c r="V82" s="317"/>
      <c r="X82" s="271">
        <v>1</v>
      </c>
      <c r="Y82" s="271">
        <v>2</v>
      </c>
      <c r="Z82" s="271">
        <v>3</v>
      </c>
      <c r="AA82" s="271">
        <v>4</v>
      </c>
      <c r="AB82" s="271">
        <v>5</v>
      </c>
      <c r="AC82" s="271">
        <v>6</v>
      </c>
    </row>
    <row r="83" spans="1:29" s="37" customFormat="1" ht="15.75" x14ac:dyDescent="0.25">
      <c r="A83" s="43"/>
      <c r="B83" s="48"/>
      <c r="C83" s="316"/>
      <c r="D83" s="316"/>
      <c r="E83" s="316"/>
      <c r="F83" s="316"/>
      <c r="G83" s="316"/>
      <c r="H83" s="316" t="str">
        <f>IF(1&lt;='Шаг 1. Основные исходные данные'!$E$5,"1 год","-")</f>
        <v>1 год</v>
      </c>
      <c r="I83" s="316" t="str">
        <f>IF(2&lt;='Шаг 1. Основные исходные данные'!$E$5,"2 год","-")</f>
        <v>2 год</v>
      </c>
      <c r="J83" s="316" t="str">
        <f>IF(3&lt;='Шаг 1. Основные исходные данные'!$E$5,"3 год","-")</f>
        <v>3 год</v>
      </c>
      <c r="K83" s="316" t="str">
        <f>IF(4&lt;='Шаг 1. Основные исходные данные'!$E$5,"4 год","-")</f>
        <v>4 год</v>
      </c>
      <c r="L83" s="316" t="str">
        <f>IF(5&lt;='Шаг 1. Основные исходные данные'!$E$5,"5 год","-")</f>
        <v>5 год</v>
      </c>
      <c r="M83" s="316" t="str">
        <f>IF(6&lt;='Шаг 1. Основные исходные данные'!$E$5,"6 год","-")</f>
        <v>6 год</v>
      </c>
      <c r="N83" s="316"/>
      <c r="O83" s="316"/>
      <c r="P83" s="316"/>
      <c r="Q83" s="316"/>
      <c r="R83" s="316"/>
      <c r="S83" s="316"/>
      <c r="T83" s="316"/>
      <c r="U83" s="49"/>
      <c r="V83" s="317"/>
      <c r="X83" s="279" t="s">
        <v>1221</v>
      </c>
      <c r="Y83" s="279" t="s">
        <v>1223</v>
      </c>
      <c r="Z83" s="279" t="s">
        <v>1224</v>
      </c>
      <c r="AA83" s="279" t="s">
        <v>1225</v>
      </c>
      <c r="AB83" s="279" t="s">
        <v>1226</v>
      </c>
      <c r="AC83" s="279" t="s">
        <v>1227</v>
      </c>
    </row>
    <row r="84" spans="1:29" s="37" customFormat="1" ht="15.75" x14ac:dyDescent="0.25">
      <c r="A84" s="43"/>
      <c r="B84" s="48"/>
      <c r="C84" s="89" t="str">
        <f>IF(LEN(D84)&gt;0,1,"")</f>
        <v/>
      </c>
      <c r="D84" s="31"/>
      <c r="E84" s="31"/>
      <c r="F84" s="96"/>
      <c r="G84" s="96"/>
      <c r="H84" s="96"/>
      <c r="I84" s="96"/>
      <c r="J84" s="96"/>
      <c r="K84" s="96"/>
      <c r="L84" s="96"/>
      <c r="M84" s="96"/>
      <c r="N84" s="96"/>
      <c r="O84" s="98"/>
      <c r="P84" s="96"/>
      <c r="Q84" s="96"/>
      <c r="R84" s="96"/>
      <c r="S84" s="257">
        <f>IF($E84=Dict!$I$2,IF($G84&gt;='Шаг 1. Основные исходные данные'!$E$5,1,ROUNDUP('Шаг 1. Основные исходные данные'!$E$5/$G84,0)),IF($F84=Dict!$J$2,1,SUM($H84:$M84)))</f>
        <v>0</v>
      </c>
      <c r="T84" s="97">
        <f>SUM(X84:AC84)</f>
        <v>0</v>
      </c>
      <c r="U84" s="49"/>
      <c r="V84" s="317"/>
      <c r="X84" s="282">
        <f>IF($E84=Dict!$I$2,1,IF($F84=Dict!$J$2,1,H84))*$O84*$Q84*X$18*$E$16</f>
        <v>0</v>
      </c>
      <c r="Y84" s="282">
        <f>IF($E84=Dict!$I$2,
IF($G84&gt;='Шаг 1. Основные исходные данные'!$E$5,0,
IF(MOD(Y$34-1,$G84)=0,1,0)),IF($F84=Dict!$J$2,0,I84))*$O84*$Q84*Y$18*$E$16</f>
        <v>0</v>
      </c>
      <c r="Z84" s="277">
        <f>IF($E84=Dict!$I$2,
IF($G84&gt;='Шаг 1. Основные исходные данные'!$E$5,0,
IF(MOD(Z$34-1,$G84)=0,1,0)),IF($F84=Dict!$J$2,0,J84))*$O84*$Q84*Z$18*$E$16</f>
        <v>0</v>
      </c>
      <c r="AA84" s="277">
        <f>IF($E84=Dict!$I$2,
IF($G84&gt;='Шаг 1. Основные исходные данные'!$E$5,0,
IF(MOD(AA$34-1,$G84)=0,1,0)),IF($F84=Dict!$J$2,0,K84))*$O84*$Q84*AA$18*$E$16</f>
        <v>0</v>
      </c>
      <c r="AB84" s="277">
        <f>IF($E84=Dict!$I$2,
IF($G84&gt;='Шаг 1. Основные исходные данные'!$E$5,0,
IF(MOD(AB$34-1,$G84)=0,1,0)),IF($F84=Dict!$J$2,0,L84))*$O84*$Q84*AB$18*$E$16</f>
        <v>0</v>
      </c>
      <c r="AC84" s="277">
        <f>IF($E84=Dict!$I$2,
IF($G84&gt;='Шаг 1. Основные исходные данные'!$E$5,0,
IF(MOD(AC$34-1,$G84)=0,1,0)),IF($F84=Dict!$J$2,0,M84))*$O84*$Q84*AC$18*$E$16</f>
        <v>0</v>
      </c>
    </row>
    <row r="85" spans="1:29" s="37" customFormat="1" ht="15.75" x14ac:dyDescent="0.25">
      <c r="A85" s="43"/>
      <c r="B85" s="48"/>
      <c r="C85" s="89" t="str">
        <f>IF(LEN(D85)&gt;0,C84+1,"")</f>
        <v/>
      </c>
      <c r="D85" s="31"/>
      <c r="E85" s="31"/>
      <c r="F85" s="96"/>
      <c r="G85" s="96"/>
      <c r="H85" s="96"/>
      <c r="I85" s="96"/>
      <c r="J85" s="96"/>
      <c r="K85" s="96"/>
      <c r="L85" s="96"/>
      <c r="M85" s="96"/>
      <c r="N85" s="96"/>
      <c r="O85" s="98"/>
      <c r="P85" s="96"/>
      <c r="Q85" s="96"/>
      <c r="R85" s="96"/>
      <c r="S85" s="257">
        <f>IF($E85=Dict!$I$2,IF($G85&gt;='Шаг 1. Основные исходные данные'!$E$5,1,ROUNDUP('Шаг 1. Основные исходные данные'!$E$5/$G85,0)),IF($F85=Dict!$J$2,1,SUM($H85:$M85)))</f>
        <v>0</v>
      </c>
      <c r="T85" s="97">
        <f>SUM(X85:AC85)</f>
        <v>0</v>
      </c>
      <c r="U85" s="49"/>
      <c r="V85" s="317"/>
      <c r="X85" s="283">
        <f>IF($E85=Dict!$I$2,1,IF($F85=Dict!$J$2,1,H85))*$O85*$Q85*X$18*$E$16</f>
        <v>0</v>
      </c>
      <c r="Y85" s="283">
        <f>IF($E85=Dict!$I$2,
IF($G85&gt;='Шаг 1. Основные исходные данные'!$E$5,0,
IF(MOD(Y$34-1,$G85)=0,1,0)),IF($F85=Dict!$J$2,0,I85))*$O85*$Q85*Y$18*$E$16</f>
        <v>0</v>
      </c>
      <c r="Z85" s="277">
        <f>IF($E85=Dict!$I$2,
IF($G85&gt;='Шаг 1. Основные исходные данные'!$E$5,0,
IF(MOD(Z$34-1,$G85)=0,1,0)),IF($F85=Dict!$J$2,0,J85))*$O85*$Q85*Z$18*$E$16</f>
        <v>0</v>
      </c>
      <c r="AA85" s="277">
        <f>IF($E85=Dict!$I$2,
IF($G85&gt;='Шаг 1. Основные исходные данные'!$E$5,0,
IF(MOD(AA$34-1,$G85)=0,1,0)),IF($F85=Dict!$J$2,0,K85))*$O85*$Q85*AA$18*$E$16</f>
        <v>0</v>
      </c>
      <c r="AB85" s="277">
        <f>IF($E85=Dict!$I$2,
IF($G85&gt;='Шаг 1. Основные исходные данные'!$E$5,0,
IF(MOD(AB$34-1,$G85)=0,1,0)),IF($F85=Dict!$J$2,0,L85))*$O85*$Q85*AB$18*$E$16</f>
        <v>0</v>
      </c>
      <c r="AC85" s="277">
        <f>IF($E85=Dict!$I$2,
IF($G85&gt;='Шаг 1. Основные исходные данные'!$E$5,0,
IF(MOD(AC$34-1,$G85)=0,1,0)),IF($F85=Dict!$J$2,0,M85))*$O85*$Q85*AC$18*$E$16</f>
        <v>0</v>
      </c>
    </row>
    <row r="86" spans="1:29" s="37" customFormat="1" ht="15.75" x14ac:dyDescent="0.25">
      <c r="A86" s="43"/>
      <c r="B86" s="48"/>
      <c r="C86" s="89" t="str">
        <f>IF(LEN(D86)&gt;0,C85+1,"")</f>
        <v/>
      </c>
      <c r="D86" s="31"/>
      <c r="E86" s="31"/>
      <c r="F86" s="96"/>
      <c r="G86" s="96"/>
      <c r="H86" s="96"/>
      <c r="I86" s="96"/>
      <c r="J86" s="96"/>
      <c r="K86" s="96"/>
      <c r="L86" s="96"/>
      <c r="M86" s="96"/>
      <c r="N86" s="96"/>
      <c r="O86" s="98"/>
      <c r="P86" s="96"/>
      <c r="Q86" s="96"/>
      <c r="R86" s="96"/>
      <c r="S86" s="257">
        <f>IF($E86=Dict!$I$2,IF($G86&gt;='Шаг 1. Основные исходные данные'!$E$5,1,ROUNDUP('Шаг 1. Основные исходные данные'!$E$5/$G86,0)),IF($F86=Dict!$J$2,1,SUM($H86:$M86)))</f>
        <v>0</v>
      </c>
      <c r="T86" s="97">
        <f>SUM(X86:AC86)</f>
        <v>0</v>
      </c>
      <c r="U86" s="49"/>
      <c r="V86" s="317"/>
      <c r="X86" s="283">
        <f>IF($E86=Dict!$I$2,1,IF($F86=Dict!$J$2,1,H86))*$O86*$Q86*X$18*$E$16</f>
        <v>0</v>
      </c>
      <c r="Y86" s="283">
        <f>IF($E86=Dict!$I$2,
IF($G86&gt;='Шаг 1. Основные исходные данные'!$E$5,0,
IF(MOD(Y$34-1,$G86)=0,1,0)),IF($F86=Dict!$J$2,0,I86))*$O86*$Q86*Y$18*$E$16</f>
        <v>0</v>
      </c>
      <c r="Z86" s="277">
        <f>IF($E86=Dict!$I$2,
IF($G86&gt;='Шаг 1. Основные исходные данные'!$E$5,0,
IF(MOD(Z$34-1,$G86)=0,1,0)),IF($F86=Dict!$J$2,0,J86))*$O86*$Q86*Z$18*$E$16</f>
        <v>0</v>
      </c>
      <c r="AA86" s="277">
        <f>IF($E86=Dict!$I$2,
IF($G86&gt;='Шаг 1. Основные исходные данные'!$E$5,0,
IF(MOD(AA$34-1,$G86)=0,1,0)),IF($F86=Dict!$J$2,0,K86))*$O86*$Q86*AA$18*$E$16</f>
        <v>0</v>
      </c>
      <c r="AB86" s="277">
        <f>IF($E86=Dict!$I$2,
IF($G86&gt;='Шаг 1. Основные исходные данные'!$E$5,0,
IF(MOD(AB$34-1,$G86)=0,1,0)),IF($F86=Dict!$J$2,0,L86))*$O86*$Q86*AB$18*$E$16</f>
        <v>0</v>
      </c>
      <c r="AC86" s="277">
        <f>IF($E86=Dict!$I$2,
IF($G86&gt;='Шаг 1. Основные исходные данные'!$E$5,0,
IF(MOD(AC$34-1,$G86)=0,1,0)),IF($F86=Dict!$J$2,0,M86))*$O86*$Q86*AC$18*$E$16</f>
        <v>0</v>
      </c>
    </row>
    <row r="87" spans="1:29" s="37" customFormat="1" ht="15.75" x14ac:dyDescent="0.25">
      <c r="A87" s="43"/>
      <c r="B87" s="48"/>
      <c r="C87" s="89" t="str">
        <f>IF(LEN(D87)&gt;0,C86+1,"")</f>
        <v/>
      </c>
      <c r="D87" s="31"/>
      <c r="E87" s="31"/>
      <c r="F87" s="96"/>
      <c r="G87" s="96"/>
      <c r="H87" s="96"/>
      <c r="I87" s="96"/>
      <c r="J87" s="96"/>
      <c r="K87" s="96"/>
      <c r="L87" s="96"/>
      <c r="M87" s="96"/>
      <c r="N87" s="96"/>
      <c r="O87" s="98"/>
      <c r="P87" s="96"/>
      <c r="Q87" s="96"/>
      <c r="R87" s="96"/>
      <c r="S87" s="257">
        <f>IF($E87=Dict!$I$2,IF($G87&gt;='Шаг 1. Основные исходные данные'!$E$5,1,ROUNDUP('Шаг 1. Основные исходные данные'!$E$5/$G87,0)),IF($F87=Dict!$J$2,1,SUM($H87:$M87)))</f>
        <v>0</v>
      </c>
      <c r="T87" s="97">
        <f>SUM(X87:AC87)</f>
        <v>0</v>
      </c>
      <c r="U87" s="49"/>
      <c r="V87" s="317"/>
      <c r="X87" s="283">
        <f>IF($E87=Dict!$I$2,1,IF($F87=Dict!$J$2,1,H87))*$O87*$Q87*X$18*$E$16</f>
        <v>0</v>
      </c>
      <c r="Y87" s="283">
        <f>IF($E87=Dict!$I$2,
IF($G87&gt;='Шаг 1. Основные исходные данные'!$E$5,0,
IF(MOD(Y$34-1,$G87)=0,1,0)),IF($F87=Dict!$J$2,0,I87))*$O87*$Q87*Y$18*$E$16</f>
        <v>0</v>
      </c>
      <c r="Z87" s="277">
        <f>IF($E87=Dict!$I$2,
IF($G87&gt;='Шаг 1. Основные исходные данные'!$E$5,0,
IF(MOD(Z$34-1,$G87)=0,1,0)),IF($F87=Dict!$J$2,0,J87))*$O87*$Q87*Z$18*$E$16</f>
        <v>0</v>
      </c>
      <c r="AA87" s="277">
        <f>IF($E87=Dict!$I$2,
IF($G87&gt;='Шаг 1. Основные исходные данные'!$E$5,0,
IF(MOD(AA$34-1,$G87)=0,1,0)),IF($F87=Dict!$J$2,0,K87))*$O87*$Q87*AA$18*$E$16</f>
        <v>0</v>
      </c>
      <c r="AB87" s="277">
        <f>IF($E87=Dict!$I$2,
IF($G87&gt;='Шаг 1. Основные исходные данные'!$E$5,0,
IF(MOD(AB$34-1,$G87)=0,1,0)),IF($F87=Dict!$J$2,0,L87))*$O87*$Q87*AB$18*$E$16</f>
        <v>0</v>
      </c>
      <c r="AC87" s="277">
        <f>IF($E87=Dict!$I$2,
IF($G87&gt;='Шаг 1. Основные исходные данные'!$E$5,0,
IF(MOD(AC$34-1,$G87)=0,1,0)),IF($F87=Dict!$J$2,0,M87))*$O87*$Q87*AC$18*$E$16</f>
        <v>0</v>
      </c>
    </row>
    <row r="88" spans="1:29" s="37" customFormat="1" ht="15.75" x14ac:dyDescent="0.25">
      <c r="A88" s="43"/>
      <c r="B88" s="48"/>
      <c r="C88" s="89" t="str">
        <f>IF(LEN(D88)&gt;0,C87+1,"")</f>
        <v/>
      </c>
      <c r="D88" s="31"/>
      <c r="E88" s="31"/>
      <c r="F88" s="96"/>
      <c r="G88" s="96"/>
      <c r="H88" s="96"/>
      <c r="I88" s="96"/>
      <c r="J88" s="96"/>
      <c r="K88" s="96"/>
      <c r="L88" s="96"/>
      <c r="M88" s="96"/>
      <c r="N88" s="96"/>
      <c r="O88" s="98"/>
      <c r="P88" s="96"/>
      <c r="Q88" s="96"/>
      <c r="R88" s="96"/>
      <c r="S88" s="257">
        <f>IF($E88=Dict!$I$2,IF($G88&gt;='Шаг 1. Основные исходные данные'!$E$5,1,ROUNDUP('Шаг 1. Основные исходные данные'!$E$5/$G88,0)),IF($F88=Dict!$J$2,1,SUM($H88:$M88)))</f>
        <v>0</v>
      </c>
      <c r="T88" s="97">
        <f>SUM(X88:AC88)</f>
        <v>0</v>
      </c>
      <c r="U88" s="49"/>
      <c r="V88" s="317"/>
      <c r="X88" s="283">
        <f>IF($E88=Dict!$I$2,1,IF($F88=Dict!$J$2,1,H88))*$O88*$Q88*X$18*$E$16</f>
        <v>0</v>
      </c>
      <c r="Y88" s="283">
        <f>IF($E88=Dict!$I$2,
IF($G88&gt;='Шаг 1. Основные исходные данные'!$E$5,0,
IF(MOD(Y$34-1,$G88)=0,1,0)),IF($F88=Dict!$J$2,0,I88))*$O88*$Q88*Y$18*$E$16</f>
        <v>0</v>
      </c>
      <c r="Z88" s="277">
        <f>IF($E88=Dict!$I$2,
IF($G88&gt;='Шаг 1. Основные исходные данные'!$E$5,0,
IF(MOD(Z$34-1,$G88)=0,1,0)),IF($F88=Dict!$J$2,0,J88))*$O88*$Q88*Z$18*$E$16</f>
        <v>0</v>
      </c>
      <c r="AA88" s="277">
        <f>IF($E88=Dict!$I$2,
IF($G88&gt;='Шаг 1. Основные исходные данные'!$E$5,0,
IF(MOD(AA$34-1,$G88)=0,1,0)),IF($F88=Dict!$J$2,0,K88))*$O88*$Q88*AA$18*$E$16</f>
        <v>0</v>
      </c>
      <c r="AB88" s="277">
        <f>IF($E88=Dict!$I$2,
IF($G88&gt;='Шаг 1. Основные исходные данные'!$E$5,0,
IF(MOD(AB$34-1,$G88)=0,1,0)),IF($F88=Dict!$J$2,0,L88))*$O88*$Q88*AB$18*$E$16</f>
        <v>0</v>
      </c>
      <c r="AC88" s="277">
        <f>IF($E88=Dict!$I$2,
IF($G88&gt;='Шаг 1. Основные исходные данные'!$E$5,0,
IF(MOD(AC$34-1,$G88)=0,1,0)),IF($F88=Dict!$J$2,0,M88))*$O88*$Q88*AC$18*$E$16</f>
        <v>0</v>
      </c>
    </row>
    <row r="89" spans="1:29" s="91" customFormat="1" ht="19.899999999999999" customHeight="1" x14ac:dyDescent="0.25">
      <c r="A89" s="90"/>
      <c r="B89" s="92"/>
      <c r="C89" s="94" t="s">
        <v>95</v>
      </c>
      <c r="D89" s="94"/>
      <c r="E89" s="94"/>
      <c r="F89" s="94"/>
      <c r="G89" s="94"/>
      <c r="H89" s="94"/>
      <c r="I89" s="94"/>
      <c r="J89" s="94"/>
      <c r="K89" s="94"/>
      <c r="L89" s="94"/>
      <c r="M89" s="94"/>
      <c r="N89" s="94"/>
      <c r="O89" s="94"/>
      <c r="P89" s="94"/>
      <c r="Q89" s="94"/>
      <c r="R89" s="94"/>
      <c r="S89" s="94"/>
      <c r="T89" s="95">
        <f>SUM(T84:T88)</f>
        <v>0</v>
      </c>
      <c r="U89" s="93"/>
      <c r="V89" s="319"/>
      <c r="W89" s="37"/>
      <c r="X89" s="278">
        <f t="shared" ref="X89:AC89" si="8">SUM(X84:X88)</f>
        <v>0</v>
      </c>
      <c r="Y89" s="278">
        <f t="shared" si="8"/>
        <v>0</v>
      </c>
      <c r="Z89" s="278">
        <f t="shared" si="8"/>
        <v>0</v>
      </c>
      <c r="AA89" s="278">
        <f t="shared" si="8"/>
        <v>0</v>
      </c>
      <c r="AB89" s="278">
        <f t="shared" si="8"/>
        <v>0</v>
      </c>
      <c r="AC89" s="278">
        <f t="shared" si="8"/>
        <v>0</v>
      </c>
    </row>
    <row r="90" spans="1:29" s="37" customFormat="1" ht="15.75" x14ac:dyDescent="0.25">
      <c r="A90" s="43"/>
      <c r="B90" s="53"/>
      <c r="C90" s="56"/>
      <c r="D90" s="56"/>
      <c r="E90" s="56"/>
      <c r="F90" s="56"/>
      <c r="G90" s="56"/>
      <c r="H90" s="56"/>
      <c r="I90" s="56"/>
      <c r="J90" s="56"/>
      <c r="K90" s="56"/>
      <c r="L90" s="56"/>
      <c r="M90" s="56"/>
      <c r="N90" s="56"/>
      <c r="O90" s="56"/>
      <c r="P90" s="56"/>
      <c r="Q90" s="56"/>
      <c r="R90" s="56"/>
      <c r="S90" s="56"/>
      <c r="T90" s="56"/>
      <c r="U90" s="54"/>
      <c r="V90" s="317"/>
      <c r="X90" s="271"/>
      <c r="Y90" s="271"/>
      <c r="Z90" s="271"/>
      <c r="AA90" s="271"/>
      <c r="AB90" s="271"/>
      <c r="AC90" s="271"/>
    </row>
    <row r="91" spans="1:29" s="37" customFormat="1" ht="15.75" x14ac:dyDescent="0.25">
      <c r="A91" s="43"/>
      <c r="B91" s="43"/>
      <c r="C91" s="43"/>
      <c r="D91" s="43"/>
      <c r="E91" s="43"/>
      <c r="F91" s="43"/>
      <c r="G91" s="43"/>
      <c r="H91" s="43"/>
      <c r="I91" s="43"/>
      <c r="J91" s="43"/>
      <c r="K91" s="43"/>
      <c r="L91" s="43"/>
      <c r="M91" s="43"/>
      <c r="N91" s="43"/>
      <c r="O91" s="43"/>
      <c r="P91" s="43"/>
      <c r="Q91" s="43"/>
      <c r="R91" s="43"/>
      <c r="S91" s="43"/>
      <c r="T91" s="317"/>
      <c r="U91" s="317"/>
      <c r="V91" s="317"/>
      <c r="X91" s="271"/>
      <c r="Y91" s="271"/>
      <c r="Z91" s="271"/>
      <c r="AA91" s="271"/>
      <c r="AB91" s="271"/>
      <c r="AC91" s="271"/>
    </row>
    <row r="92" spans="1:29" s="37" customFormat="1" ht="15.75" x14ac:dyDescent="0.25">
      <c r="A92" s="43"/>
      <c r="B92" s="45"/>
      <c r="C92" s="46"/>
      <c r="D92" s="46"/>
      <c r="E92" s="46"/>
      <c r="F92" s="46"/>
      <c r="G92" s="46"/>
      <c r="H92" s="46"/>
      <c r="I92" s="46"/>
      <c r="J92" s="46"/>
      <c r="K92" s="46"/>
      <c r="L92" s="46"/>
      <c r="M92" s="46"/>
      <c r="N92" s="46"/>
      <c r="O92" s="46"/>
      <c r="P92" s="46"/>
      <c r="Q92" s="46"/>
      <c r="R92" s="46"/>
      <c r="S92" s="46"/>
      <c r="T92" s="46"/>
      <c r="U92" s="47"/>
      <c r="V92" s="317"/>
      <c r="X92" s="272"/>
      <c r="Y92" s="272"/>
      <c r="Z92" s="272"/>
      <c r="AA92" s="272"/>
      <c r="AB92" s="272"/>
      <c r="AC92" s="272"/>
    </row>
    <row r="93" spans="1:29" s="37" customFormat="1" ht="15.75" x14ac:dyDescent="0.25">
      <c r="A93" s="43"/>
      <c r="B93" s="48"/>
      <c r="C93" s="36" t="str">
        <f>CONCATENATE("3.2.",$C$17,". Содержательные издержки группы объектов ",$C$17," - """,$D$17,"""")</f>
        <v>3.2.. Содержательные издержки группы объектов  - ""</v>
      </c>
      <c r="D93" s="43"/>
      <c r="E93" s="43"/>
      <c r="F93" s="43"/>
      <c r="G93" s="43"/>
      <c r="H93" s="43"/>
      <c r="I93" s="43"/>
      <c r="J93" s="43"/>
      <c r="K93" s="43"/>
      <c r="L93" s="43"/>
      <c r="M93" s="43"/>
      <c r="N93" s="43"/>
      <c r="O93" s="43"/>
      <c r="P93" s="43"/>
      <c r="Q93" s="43"/>
      <c r="R93" s="43"/>
      <c r="S93" s="317"/>
      <c r="T93" s="317"/>
      <c r="U93" s="49"/>
      <c r="V93" s="317"/>
      <c r="X93" s="272"/>
      <c r="Y93" s="272"/>
      <c r="Z93" s="272"/>
      <c r="AA93" s="272"/>
      <c r="AB93" s="272"/>
      <c r="AC93" s="272"/>
    </row>
    <row r="94" spans="1:29" s="37" customFormat="1" ht="15.75" x14ac:dyDescent="0.25">
      <c r="A94" s="43"/>
      <c r="B94" s="48"/>
      <c r="C94" s="43"/>
      <c r="D94" s="43"/>
      <c r="E94" s="43"/>
      <c r="F94" s="43"/>
      <c r="G94" s="43"/>
      <c r="H94" s="43"/>
      <c r="I94" s="43"/>
      <c r="J94" s="43"/>
      <c r="K94" s="43"/>
      <c r="L94" s="43"/>
      <c r="M94" s="43"/>
      <c r="N94" s="43"/>
      <c r="O94" s="43"/>
      <c r="P94" s="43"/>
      <c r="Q94" s="43"/>
      <c r="R94" s="43"/>
      <c r="S94" s="317"/>
      <c r="T94" s="317"/>
      <c r="U94" s="49"/>
      <c r="V94" s="317"/>
      <c r="X94" s="272"/>
      <c r="Y94" s="272"/>
      <c r="Z94" s="272"/>
      <c r="AA94" s="272"/>
      <c r="AB94" s="272"/>
      <c r="AC94" s="272"/>
    </row>
    <row r="95" spans="1:29" s="37" customFormat="1" ht="15.75" x14ac:dyDescent="0.25">
      <c r="A95" s="43"/>
      <c r="B95" s="48"/>
      <c r="C95" s="39" t="s">
        <v>63</v>
      </c>
      <c r="D95" s="43"/>
      <c r="E95" s="43"/>
      <c r="F95" s="43"/>
      <c r="G95" s="43"/>
      <c r="H95" s="43"/>
      <c r="I95" s="43"/>
      <c r="J95" s="43"/>
      <c r="K95" s="43"/>
      <c r="L95" s="43"/>
      <c r="M95" s="43"/>
      <c r="N95" s="43"/>
      <c r="O95" s="43"/>
      <c r="P95" s="43"/>
      <c r="Q95" s="43"/>
      <c r="R95" s="43"/>
      <c r="S95" s="317"/>
      <c r="T95" s="317"/>
      <c r="U95" s="49"/>
      <c r="V95" s="317"/>
      <c r="X95" s="272"/>
      <c r="Y95" s="272"/>
      <c r="Z95" s="272"/>
      <c r="AA95" s="272"/>
      <c r="AB95" s="272"/>
      <c r="AC95" s="272"/>
    </row>
    <row r="96" spans="1:29" s="52" customFormat="1" ht="127.5" customHeight="1" x14ac:dyDescent="0.25">
      <c r="A96" s="23"/>
      <c r="B96" s="50"/>
      <c r="C96" s="336" t="s">
        <v>62</v>
      </c>
      <c r="D96" s="336" t="s">
        <v>64</v>
      </c>
      <c r="E96" s="336" t="s">
        <v>75</v>
      </c>
      <c r="F96" s="336" t="s">
        <v>1231</v>
      </c>
      <c r="G96" s="336"/>
      <c r="H96" s="336"/>
      <c r="I96" s="336"/>
      <c r="J96" s="336"/>
      <c r="K96" s="336"/>
      <c r="L96" s="336" t="s">
        <v>1300</v>
      </c>
      <c r="M96" s="336" t="s">
        <v>1222</v>
      </c>
      <c r="N96" s="316" t="s">
        <v>1309</v>
      </c>
      <c r="O96" s="316" t="s">
        <v>79</v>
      </c>
      <c r="P96" s="316" t="s">
        <v>1159</v>
      </c>
      <c r="Q96" s="43"/>
      <c r="R96" s="43"/>
      <c r="S96" s="318"/>
      <c r="T96" s="318"/>
      <c r="U96" s="51"/>
      <c r="V96" s="318"/>
      <c r="X96" s="272"/>
      <c r="Y96" s="272"/>
      <c r="Z96" s="272"/>
      <c r="AA96" s="272"/>
      <c r="AB96" s="272"/>
      <c r="AC96" s="272"/>
    </row>
    <row r="97" spans="1:29" s="52" customFormat="1" ht="15.75" x14ac:dyDescent="0.25">
      <c r="A97" s="23"/>
      <c r="B97" s="50"/>
      <c r="C97" s="336"/>
      <c r="D97" s="349"/>
      <c r="E97" s="349"/>
      <c r="F97" s="316" t="str">
        <f>IF(1&lt;='Шаг 1. Основные исходные данные'!$E$5,"1 год","-")</f>
        <v>1 год</v>
      </c>
      <c r="G97" s="316" t="str">
        <f>IF(2&lt;='Шаг 1. Основные исходные данные'!$E$5,"2 год","-")</f>
        <v>2 год</v>
      </c>
      <c r="H97" s="316" t="str">
        <f>IF(3&lt;='Шаг 1. Основные исходные данные'!$E$5,"3 год","-")</f>
        <v>3 год</v>
      </c>
      <c r="I97" s="316" t="str">
        <f>IF(4&lt;='Шаг 1. Основные исходные данные'!$E$5,"4 год","-")</f>
        <v>4 год</v>
      </c>
      <c r="J97" s="316" t="str">
        <f>IF(5&lt;='Шаг 1. Основные исходные данные'!$E$5,"5 год","-")</f>
        <v>5 год</v>
      </c>
      <c r="K97" s="316" t="str">
        <f>IF(6&lt;='Шаг 1. Основные исходные данные'!$E$5,"6 год","-")</f>
        <v>6 год</v>
      </c>
      <c r="L97" s="349"/>
      <c r="M97" s="349"/>
      <c r="N97" s="316"/>
      <c r="O97" s="316"/>
      <c r="P97" s="316"/>
      <c r="Q97" s="43"/>
      <c r="R97" s="43"/>
      <c r="S97" s="318"/>
      <c r="T97" s="318"/>
      <c r="U97" s="51"/>
      <c r="V97" s="318"/>
      <c r="X97" s="279" t="s">
        <v>1221</v>
      </c>
      <c r="Y97" s="279" t="s">
        <v>1223</v>
      </c>
      <c r="Z97" s="279" t="s">
        <v>1224</v>
      </c>
      <c r="AA97" s="279" t="s">
        <v>1225</v>
      </c>
      <c r="AB97" s="279" t="s">
        <v>1226</v>
      </c>
      <c r="AC97" s="279" t="s">
        <v>1227</v>
      </c>
    </row>
    <row r="98" spans="1:29" s="37" customFormat="1" ht="15.75" x14ac:dyDescent="0.25">
      <c r="A98" s="43"/>
      <c r="B98" s="48"/>
      <c r="C98" s="89" t="str">
        <f>IF(LEN(D98)&gt;0,1,"")</f>
        <v/>
      </c>
      <c r="D98" s="31"/>
      <c r="E98" s="96"/>
      <c r="F98" s="96"/>
      <c r="G98" s="96"/>
      <c r="H98" s="96"/>
      <c r="I98" s="96"/>
      <c r="J98" s="96"/>
      <c r="K98" s="96"/>
      <c r="L98" s="96"/>
      <c r="M98" s="96"/>
      <c r="N98" s="96"/>
      <c r="O98" s="97">
        <f>'Шаг 1. Основные исходные данные'!$E$8</f>
        <v>0</v>
      </c>
      <c r="P98" s="97">
        <f>SUM(X98:AC98)</f>
        <v>0</v>
      </c>
      <c r="Q98" s="43"/>
      <c r="R98" s="43"/>
      <c r="S98" s="317"/>
      <c r="T98" s="317"/>
      <c r="U98" s="49"/>
      <c r="V98" s="317"/>
      <c r="W98" s="281"/>
      <c r="X98" s="282">
        <f>$O98*'Шаг 1. Основные исходные данные'!$E$11*(12/'Шаг 1. Основные исходные данные'!$E$10/8)*F98*$M98*$E$17*X$19</f>
        <v>0</v>
      </c>
      <c r="Y98" s="282">
        <f>IF($E98=Dict!$F$2,0,
$O98*'Шаг 1. Основные исходные данные'!$E$11*(12/'Шаг 1. Основные исходные данные'!$E$10/8)*G98*$M98*$E$17*Y$19)</f>
        <v>0</v>
      </c>
      <c r="Z98" s="277">
        <f>IF($E98=Dict!$F$2,0,
$O98*'Шаг 1. Основные исходные данные'!$E$11*(12/'Шаг 1. Основные исходные данные'!$E$10/8)*H98*$M98*$E$17*Z$19)</f>
        <v>0</v>
      </c>
      <c r="AA98" s="277">
        <f>IF($E98=Dict!$F$2,0,
$O98*'Шаг 1. Основные исходные данные'!$E$11*(12/'Шаг 1. Основные исходные данные'!$E$10/8)*I98*$M98*$E$17*AA$19)</f>
        <v>0</v>
      </c>
      <c r="AB98" s="277">
        <f>IF($E98=Dict!$F$2,0,
$O98*'Шаг 1. Основные исходные данные'!$E$11*(12/'Шаг 1. Основные исходные данные'!$E$10/8)*J98*$M98*$E$17*AB$19)</f>
        <v>0</v>
      </c>
      <c r="AC98" s="277">
        <f>IF($E98=Dict!$F$2,0,
$O98*'Шаг 1. Основные исходные данные'!$E$11*(12/'Шаг 1. Основные исходные данные'!$E$10/8)*K98*$M98*$E$17*AC$19)</f>
        <v>0</v>
      </c>
    </row>
    <row r="99" spans="1:29" s="37" customFormat="1" ht="15.75" x14ac:dyDescent="0.25">
      <c r="A99" s="43"/>
      <c r="B99" s="48"/>
      <c r="C99" s="89" t="str">
        <f>IF(LEN(D99)&gt;0,C98+1,"")</f>
        <v/>
      </c>
      <c r="D99" s="31"/>
      <c r="E99" s="96"/>
      <c r="F99" s="96"/>
      <c r="G99" s="96"/>
      <c r="H99" s="96"/>
      <c r="I99" s="96"/>
      <c r="J99" s="96"/>
      <c r="K99" s="96"/>
      <c r="L99" s="96"/>
      <c r="M99" s="96"/>
      <c r="N99" s="96"/>
      <c r="O99" s="97">
        <f>'Шаг 1. Основные исходные данные'!$E$8</f>
        <v>0</v>
      </c>
      <c r="P99" s="97">
        <f>SUM(X99:AC99)</f>
        <v>0</v>
      </c>
      <c r="Q99" s="43"/>
      <c r="R99" s="43"/>
      <c r="S99" s="317"/>
      <c r="T99" s="317"/>
      <c r="U99" s="49"/>
      <c r="V99" s="317"/>
      <c r="W99" s="281"/>
      <c r="X99" s="283">
        <f>$O99*'Шаг 1. Основные исходные данные'!$E$11*(12/'Шаг 1. Основные исходные данные'!$E$10/8)*F99*$M99*$E$17*X$19</f>
        <v>0</v>
      </c>
      <c r="Y99" s="283">
        <f>IF($E99=Dict!$F$2,0,
$O99*'Шаг 1. Основные исходные данные'!$E$11*(12/'Шаг 1. Основные исходные данные'!$E$10/8)*G99*$M99*$E$17*Y$19)</f>
        <v>0</v>
      </c>
      <c r="Z99" s="277">
        <f>IF($E99=Dict!$F$2,0,
$O99*'Шаг 1. Основные исходные данные'!$E$11*(12/'Шаг 1. Основные исходные данные'!$E$10/8)*H99*$M99*$E$17*Z$19)</f>
        <v>0</v>
      </c>
      <c r="AA99" s="277">
        <f>IF($E99=Dict!$F$2,0,
$O99*'Шаг 1. Основные исходные данные'!$E$11*(12/'Шаг 1. Основные исходные данные'!$E$10/8)*I99*$M99*$E$17*AA$19)</f>
        <v>0</v>
      </c>
      <c r="AB99" s="277">
        <f>IF($E99=Dict!$F$2,0,
$O99*'Шаг 1. Основные исходные данные'!$E$11*(12/'Шаг 1. Основные исходные данные'!$E$10/8)*J99*$M99*$E$17*AB$19)</f>
        <v>0</v>
      </c>
      <c r="AC99" s="277">
        <f>IF($E99=Dict!$F$2,0,
$O99*'Шаг 1. Основные исходные данные'!$E$11*(12/'Шаг 1. Основные исходные данные'!$E$10/8)*K99*$M99*$E$17*AC$19)</f>
        <v>0</v>
      </c>
    </row>
    <row r="100" spans="1:29" s="37" customFormat="1" ht="15.75" x14ac:dyDescent="0.25">
      <c r="A100" s="43"/>
      <c r="B100" s="48"/>
      <c r="C100" s="89" t="str">
        <f>IF(LEN(D100)&gt;0,C99+1,"")</f>
        <v/>
      </c>
      <c r="D100" s="31"/>
      <c r="E100" s="96"/>
      <c r="F100" s="96"/>
      <c r="G100" s="96"/>
      <c r="H100" s="96"/>
      <c r="I100" s="96"/>
      <c r="J100" s="96"/>
      <c r="K100" s="96"/>
      <c r="L100" s="96"/>
      <c r="M100" s="96"/>
      <c r="N100" s="96"/>
      <c r="O100" s="97">
        <f>'Шаг 1. Основные исходные данные'!$E$8</f>
        <v>0</v>
      </c>
      <c r="P100" s="97">
        <f>SUM(X100:AC100)</f>
        <v>0</v>
      </c>
      <c r="Q100" s="43"/>
      <c r="R100" s="43"/>
      <c r="S100" s="317"/>
      <c r="T100" s="317"/>
      <c r="U100" s="49"/>
      <c r="V100" s="317"/>
      <c r="X100" s="283">
        <f>$O100*'Шаг 1. Основные исходные данные'!$E$11*(12/'Шаг 1. Основные исходные данные'!$E$10/8)*F100*$M100*$E$17*X$19</f>
        <v>0</v>
      </c>
      <c r="Y100" s="283">
        <f>IF($E100=Dict!$F$2,0,
$O100*'Шаг 1. Основные исходные данные'!$E$11*(12/'Шаг 1. Основные исходные данные'!$E$10/8)*G100*$M100*$E$17*Y$19)</f>
        <v>0</v>
      </c>
      <c r="Z100" s="277">
        <f>IF($E100=Dict!$F$2,0,
$O100*'Шаг 1. Основные исходные данные'!$E$11*(12/'Шаг 1. Основные исходные данные'!$E$10/8)*H100*$M100*$E$17*Z$19)</f>
        <v>0</v>
      </c>
      <c r="AA100" s="277">
        <f>IF($E100=Dict!$F$2,0,
$O100*'Шаг 1. Основные исходные данные'!$E$11*(12/'Шаг 1. Основные исходные данные'!$E$10/8)*I100*$M100*$E$17*AA$19)</f>
        <v>0</v>
      </c>
      <c r="AB100" s="277">
        <f>IF($E100=Dict!$F$2,0,
$O100*'Шаг 1. Основные исходные данные'!$E$11*(12/'Шаг 1. Основные исходные данные'!$E$10/8)*J100*$M100*$E$17*AB$19)</f>
        <v>0</v>
      </c>
      <c r="AC100" s="277">
        <f>IF($E100=Dict!$F$2,0,
$O100*'Шаг 1. Основные исходные данные'!$E$11*(12/'Шаг 1. Основные исходные данные'!$E$10/8)*K100*$M100*$E$17*AC$19)</f>
        <v>0</v>
      </c>
    </row>
    <row r="101" spans="1:29" s="37" customFormat="1" ht="15.75" x14ac:dyDescent="0.25">
      <c r="A101" s="43"/>
      <c r="B101" s="48"/>
      <c r="C101" s="89" t="str">
        <f>IF(LEN(D101)&gt;0,C100+1,"")</f>
        <v/>
      </c>
      <c r="D101" s="31"/>
      <c r="E101" s="96"/>
      <c r="F101" s="96"/>
      <c r="G101" s="96"/>
      <c r="H101" s="96"/>
      <c r="I101" s="96"/>
      <c r="J101" s="96"/>
      <c r="K101" s="96"/>
      <c r="L101" s="96"/>
      <c r="M101" s="96"/>
      <c r="N101" s="96"/>
      <c r="O101" s="97">
        <f>'Шаг 1. Основные исходные данные'!$E$8</f>
        <v>0</v>
      </c>
      <c r="P101" s="97">
        <f>SUM(X101:AC101)</f>
        <v>0</v>
      </c>
      <c r="Q101" s="43"/>
      <c r="R101" s="43"/>
      <c r="S101" s="317"/>
      <c r="T101" s="317"/>
      <c r="U101" s="49"/>
      <c r="V101" s="317"/>
      <c r="X101" s="283">
        <f>$O101*'Шаг 1. Основные исходные данные'!$E$11*(12/'Шаг 1. Основные исходные данные'!$E$10/8)*F101*$M101*$E$17*X$19</f>
        <v>0</v>
      </c>
      <c r="Y101" s="283">
        <f>IF($E101=Dict!$F$2,0,
$O101*'Шаг 1. Основные исходные данные'!$E$11*(12/'Шаг 1. Основные исходные данные'!$E$10/8)*G101*$M101*$E$17*Y$19)</f>
        <v>0</v>
      </c>
      <c r="Z101" s="277">
        <f>IF($E101=Dict!$F$2,0,
$O101*'Шаг 1. Основные исходные данные'!$E$11*(12/'Шаг 1. Основные исходные данные'!$E$10/8)*H101*$M101*$E$17*Z$19)</f>
        <v>0</v>
      </c>
      <c r="AA101" s="277">
        <f>IF($E101=Dict!$F$2,0,
$O101*'Шаг 1. Основные исходные данные'!$E$11*(12/'Шаг 1. Основные исходные данные'!$E$10/8)*I101*$M101*$E$17*AA$19)</f>
        <v>0</v>
      </c>
      <c r="AB101" s="277">
        <f>IF($E101=Dict!$F$2,0,
$O101*'Шаг 1. Основные исходные данные'!$E$11*(12/'Шаг 1. Основные исходные данные'!$E$10/8)*J101*$M101*$E$17*AB$19)</f>
        <v>0</v>
      </c>
      <c r="AC101" s="277">
        <f>IF($E101=Dict!$F$2,0,
$O101*'Шаг 1. Основные исходные данные'!$E$11*(12/'Шаг 1. Основные исходные данные'!$E$10/8)*K101*$M101*$E$17*AC$19)</f>
        <v>0</v>
      </c>
    </row>
    <row r="102" spans="1:29" s="37" customFormat="1" ht="15.75" x14ac:dyDescent="0.25">
      <c r="A102" s="43"/>
      <c r="B102" s="48"/>
      <c r="C102" s="89" t="str">
        <f>IF(LEN(D102)&gt;0,C101+1,"")</f>
        <v/>
      </c>
      <c r="D102" s="31"/>
      <c r="E102" s="96"/>
      <c r="F102" s="96"/>
      <c r="G102" s="96"/>
      <c r="H102" s="96"/>
      <c r="I102" s="96"/>
      <c r="J102" s="96"/>
      <c r="K102" s="96"/>
      <c r="L102" s="96"/>
      <c r="M102" s="96"/>
      <c r="N102" s="96"/>
      <c r="O102" s="97">
        <f>'Шаг 1. Основные исходные данные'!$E$8</f>
        <v>0</v>
      </c>
      <c r="P102" s="97">
        <f>SUM(X102:AC102)</f>
        <v>0</v>
      </c>
      <c r="Q102" s="43"/>
      <c r="R102" s="43"/>
      <c r="S102" s="317"/>
      <c r="T102" s="317"/>
      <c r="U102" s="49"/>
      <c r="V102" s="317"/>
      <c r="X102" s="283">
        <f>$O102*'Шаг 1. Основные исходные данные'!$E$11*(12/'Шаг 1. Основные исходные данные'!$E$10/8)*F102*$M102*$E$17*X$19</f>
        <v>0</v>
      </c>
      <c r="Y102" s="283">
        <f>IF($E102=Dict!$F$2,0,
$O102*'Шаг 1. Основные исходные данные'!$E$11*(12/'Шаг 1. Основные исходные данные'!$E$10/8)*G102*$M102*$E$17*Y$19)</f>
        <v>0</v>
      </c>
      <c r="Z102" s="277">
        <f>IF($E102=Dict!$F$2,0,
$O102*'Шаг 1. Основные исходные данные'!$E$11*(12/'Шаг 1. Основные исходные данные'!$E$10/8)*H102*$M102*$E$17*Z$19)</f>
        <v>0</v>
      </c>
      <c r="AA102" s="277">
        <f>IF($E102=Dict!$F$2,0,
$O102*'Шаг 1. Основные исходные данные'!$E$11*(12/'Шаг 1. Основные исходные данные'!$E$10/8)*I102*$M102*$E$17*AA$19)</f>
        <v>0</v>
      </c>
      <c r="AB102" s="277">
        <f>IF($E102=Dict!$F$2,0,
$O102*'Шаг 1. Основные исходные данные'!$E$11*(12/'Шаг 1. Основные исходные данные'!$E$10/8)*J102*$M102*$E$17*AB$19)</f>
        <v>0</v>
      </c>
      <c r="AC102" s="277">
        <f>IF($E102=Dict!$F$2,0,
$O102*'Шаг 1. Основные исходные данные'!$E$11*(12/'Шаг 1. Основные исходные данные'!$E$10/8)*K102*$M102*$E$17*AC$19)</f>
        <v>0</v>
      </c>
    </row>
    <row r="103" spans="1:29" s="91" customFormat="1" ht="19.899999999999999" customHeight="1" x14ac:dyDescent="0.25">
      <c r="A103" s="90"/>
      <c r="B103" s="92"/>
      <c r="C103" s="94" t="s">
        <v>95</v>
      </c>
      <c r="D103" s="99"/>
      <c r="E103" s="99"/>
      <c r="F103" s="99"/>
      <c r="G103" s="99"/>
      <c r="H103" s="99"/>
      <c r="I103" s="99"/>
      <c r="J103" s="99"/>
      <c r="K103" s="99"/>
      <c r="L103" s="99"/>
      <c r="M103" s="99"/>
      <c r="N103" s="99"/>
      <c r="O103" s="99"/>
      <c r="P103" s="95">
        <f>SUM(P98:P102)</f>
        <v>0</v>
      </c>
      <c r="Q103" s="43"/>
      <c r="R103" s="43"/>
      <c r="S103" s="319"/>
      <c r="T103" s="319"/>
      <c r="U103" s="93"/>
      <c r="V103" s="319"/>
      <c r="X103" s="278">
        <f t="shared" ref="X103:AC103" si="9">SUM(X98:X102)</f>
        <v>0</v>
      </c>
      <c r="Y103" s="278">
        <f t="shared" si="9"/>
        <v>0</v>
      </c>
      <c r="Z103" s="278">
        <f t="shared" si="9"/>
        <v>0</v>
      </c>
      <c r="AA103" s="278">
        <f t="shared" si="9"/>
        <v>0</v>
      </c>
      <c r="AB103" s="278">
        <f t="shared" si="9"/>
        <v>0</v>
      </c>
      <c r="AC103" s="278">
        <f t="shared" si="9"/>
        <v>0</v>
      </c>
    </row>
    <row r="104" spans="1:29" s="37" customFormat="1" ht="15.75" x14ac:dyDescent="0.25">
      <c r="A104" s="43"/>
      <c r="B104" s="48"/>
      <c r="C104" s="43"/>
      <c r="D104" s="43"/>
      <c r="E104" s="43"/>
      <c r="F104" s="43"/>
      <c r="G104" s="43"/>
      <c r="H104" s="43"/>
      <c r="I104" s="43"/>
      <c r="J104" s="43"/>
      <c r="K104" s="43"/>
      <c r="L104" s="43"/>
      <c r="M104" s="43"/>
      <c r="N104" s="43"/>
      <c r="O104" s="43"/>
      <c r="P104" s="43"/>
      <c r="Q104" s="43"/>
      <c r="R104" s="43"/>
      <c r="S104" s="317"/>
      <c r="T104" s="317"/>
      <c r="U104" s="49"/>
      <c r="V104" s="317"/>
      <c r="X104" s="271"/>
      <c r="Y104" s="271"/>
      <c r="Z104" s="271"/>
      <c r="AA104" s="271"/>
      <c r="AB104" s="271"/>
      <c r="AC104" s="271"/>
    </row>
    <row r="105" spans="1:29" s="37" customFormat="1" ht="15.75" x14ac:dyDescent="0.25">
      <c r="A105" s="43"/>
      <c r="B105" s="48"/>
      <c r="C105" s="39" t="s">
        <v>80</v>
      </c>
      <c r="D105" s="43"/>
      <c r="E105" s="43"/>
      <c r="F105" s="43"/>
      <c r="G105" s="43"/>
      <c r="H105" s="43"/>
      <c r="I105" s="43"/>
      <c r="J105" s="43"/>
      <c r="K105" s="43"/>
      <c r="L105" s="43"/>
      <c r="M105" s="43"/>
      <c r="N105" s="43"/>
      <c r="O105" s="43"/>
      <c r="P105" s="43"/>
      <c r="Q105" s="43"/>
      <c r="R105" s="43"/>
      <c r="S105" s="317"/>
      <c r="T105" s="317"/>
      <c r="U105" s="49"/>
      <c r="V105" s="317"/>
      <c r="X105" s="271"/>
      <c r="Y105" s="271"/>
      <c r="Z105" s="271"/>
      <c r="AA105" s="271"/>
      <c r="AB105" s="271"/>
      <c r="AC105" s="271"/>
    </row>
    <row r="106" spans="1:29" s="37" customFormat="1" ht="132" customHeight="1" x14ac:dyDescent="0.25">
      <c r="A106" s="43"/>
      <c r="B106" s="48"/>
      <c r="C106" s="316" t="s">
        <v>62</v>
      </c>
      <c r="D106" s="316" t="s">
        <v>74</v>
      </c>
      <c r="E106" s="316" t="s">
        <v>1160</v>
      </c>
      <c r="F106" s="316" t="s">
        <v>1168</v>
      </c>
      <c r="G106" s="316" t="s">
        <v>1167</v>
      </c>
      <c r="H106" s="336" t="s">
        <v>1232</v>
      </c>
      <c r="I106" s="336"/>
      <c r="J106" s="336"/>
      <c r="K106" s="336"/>
      <c r="L106" s="336"/>
      <c r="M106" s="336"/>
      <c r="N106" s="316" t="s">
        <v>1301</v>
      </c>
      <c r="O106" s="316" t="s">
        <v>1169</v>
      </c>
      <c r="P106" s="316" t="s">
        <v>1307</v>
      </c>
      <c r="Q106" s="316" t="s">
        <v>1269</v>
      </c>
      <c r="R106" s="316" t="s">
        <v>1308</v>
      </c>
      <c r="S106" s="316" t="s">
        <v>1166</v>
      </c>
      <c r="T106" s="316" t="s">
        <v>1170</v>
      </c>
      <c r="U106" s="49"/>
      <c r="V106" s="317"/>
      <c r="X106" s="271">
        <v>1</v>
      </c>
      <c r="Y106" s="271">
        <v>2</v>
      </c>
      <c r="Z106" s="271">
        <v>3</v>
      </c>
      <c r="AA106" s="271">
        <v>4</v>
      </c>
      <c r="AB106" s="271">
        <v>5</v>
      </c>
      <c r="AC106" s="271">
        <v>6</v>
      </c>
    </row>
    <row r="107" spans="1:29" s="37" customFormat="1" ht="15.75" x14ac:dyDescent="0.25">
      <c r="A107" s="43"/>
      <c r="B107" s="48"/>
      <c r="C107" s="316"/>
      <c r="D107" s="316"/>
      <c r="E107" s="316"/>
      <c r="F107" s="316"/>
      <c r="G107" s="316"/>
      <c r="H107" s="316" t="str">
        <f>IF(1&lt;='Шаг 1. Основные исходные данные'!$E$5,"1 год","-")</f>
        <v>1 год</v>
      </c>
      <c r="I107" s="316" t="str">
        <f>IF(2&lt;='Шаг 1. Основные исходные данные'!$E$5,"2 год","-")</f>
        <v>2 год</v>
      </c>
      <c r="J107" s="316" t="str">
        <f>IF(3&lt;='Шаг 1. Основные исходные данные'!$E$5,"3 год","-")</f>
        <v>3 год</v>
      </c>
      <c r="K107" s="316" t="str">
        <f>IF(4&lt;='Шаг 1. Основные исходные данные'!$E$5,"4 год","-")</f>
        <v>4 год</v>
      </c>
      <c r="L107" s="316" t="str">
        <f>IF(5&lt;='Шаг 1. Основные исходные данные'!$E$5,"5 год","-")</f>
        <v>5 год</v>
      </c>
      <c r="M107" s="316" t="str">
        <f>IF(6&lt;='Шаг 1. Основные исходные данные'!$E$5,"6 год","-")</f>
        <v>6 год</v>
      </c>
      <c r="N107" s="316"/>
      <c r="O107" s="316"/>
      <c r="P107" s="316"/>
      <c r="Q107" s="316"/>
      <c r="R107" s="316"/>
      <c r="S107" s="316"/>
      <c r="T107" s="316"/>
      <c r="U107" s="49"/>
      <c r="V107" s="317"/>
      <c r="X107" s="279" t="s">
        <v>1221</v>
      </c>
      <c r="Y107" s="279" t="s">
        <v>1223</v>
      </c>
      <c r="Z107" s="279" t="s">
        <v>1224</v>
      </c>
      <c r="AA107" s="279" t="s">
        <v>1225</v>
      </c>
      <c r="AB107" s="279" t="s">
        <v>1226</v>
      </c>
      <c r="AC107" s="279" t="s">
        <v>1227</v>
      </c>
    </row>
    <row r="108" spans="1:29" s="37" customFormat="1" ht="15.75" x14ac:dyDescent="0.25">
      <c r="A108" s="43"/>
      <c r="B108" s="48"/>
      <c r="C108" s="89" t="str">
        <f>IF(LEN(D108)&gt;0,1,"")</f>
        <v/>
      </c>
      <c r="D108" s="31"/>
      <c r="E108" s="31"/>
      <c r="F108" s="96"/>
      <c r="G108" s="96"/>
      <c r="H108" s="96"/>
      <c r="I108" s="96"/>
      <c r="J108" s="96"/>
      <c r="K108" s="96"/>
      <c r="L108" s="96"/>
      <c r="M108" s="96"/>
      <c r="N108" s="96"/>
      <c r="O108" s="98"/>
      <c r="P108" s="96"/>
      <c r="Q108" s="96"/>
      <c r="R108" s="96"/>
      <c r="S108" s="257">
        <f>IF($E108=Dict!$I$2,IF($G108&gt;='Шаг 1. Основные исходные данные'!$E$5,1,ROUNDUP('Шаг 1. Основные исходные данные'!$E$5/$G108,0)),IF($F108=Dict!$J$2,1,SUM($H108:$M108)))</f>
        <v>0</v>
      </c>
      <c r="T108" s="97">
        <f>SUM(X108:AC108)</f>
        <v>0</v>
      </c>
      <c r="U108" s="49"/>
      <c r="V108" s="317"/>
      <c r="X108" s="282">
        <f>IF($E108=Dict!$I$2,1,IF($F108=Dict!$J$2,1,H108))*$O108*$Q108*X$18*$E$17</f>
        <v>0</v>
      </c>
      <c r="Y108" s="282">
        <f>IF($E108=Dict!$I$2,
IF($G108&gt;='Шаг 1. Основные исходные данные'!$E$5,0,
IF(MOD(Y$34-1,$G108)=0,1,0)),IF($F108=Dict!$J$2,0,I108))*$O108*$Q108*Y$18*$E$17</f>
        <v>0</v>
      </c>
      <c r="Z108" s="277">
        <f>IF($E108=Dict!$I$2,
IF($G108&gt;='Шаг 1. Основные исходные данные'!$E$5,0,
IF(MOD(Z$34-1,$G108)=0,1,0)),IF($F108=Dict!$J$2,0,J108))*$O108*$Q108*Z$18*$E$17</f>
        <v>0</v>
      </c>
      <c r="AA108" s="277">
        <f>IF($E108=Dict!$I$2,
IF($G108&gt;='Шаг 1. Основные исходные данные'!$E$5,0,
IF(MOD(AA$34-1,$G108)=0,1,0)),IF($F108=Dict!$J$2,0,K108))*$O108*$Q108*AA$18*$E$17</f>
        <v>0</v>
      </c>
      <c r="AB108" s="277">
        <f>IF($E108=Dict!$I$2,
IF($G108&gt;='Шаг 1. Основные исходные данные'!$E$5,0,
IF(MOD(AB$34-1,$G108)=0,1,0)),IF($F108=Dict!$J$2,0,L108))*$O108*$Q108*AB$18*$E$17</f>
        <v>0</v>
      </c>
      <c r="AC108" s="277">
        <f>IF($E108=Dict!$I$2,
IF($G108&gt;='Шаг 1. Основные исходные данные'!$E$5,0,
IF(MOD(AC$34-1,$G108)=0,1,0)),IF($F108=Dict!$J$2,0,M108))*$O108*$Q108*AC$18*$E$17</f>
        <v>0</v>
      </c>
    </row>
    <row r="109" spans="1:29" s="37" customFormat="1" ht="15.75" x14ac:dyDescent="0.25">
      <c r="A109" s="43"/>
      <c r="B109" s="48"/>
      <c r="C109" s="89" t="str">
        <f>IF(LEN(D109)&gt;0,C108+1,"")</f>
        <v/>
      </c>
      <c r="D109" s="31"/>
      <c r="E109" s="31"/>
      <c r="F109" s="96"/>
      <c r="G109" s="96"/>
      <c r="H109" s="96"/>
      <c r="I109" s="96"/>
      <c r="J109" s="96"/>
      <c r="K109" s="96"/>
      <c r="L109" s="96"/>
      <c r="M109" s="96"/>
      <c r="N109" s="96"/>
      <c r="O109" s="98"/>
      <c r="P109" s="96"/>
      <c r="Q109" s="96"/>
      <c r="R109" s="96"/>
      <c r="S109" s="257">
        <f>IF($E109=Dict!$I$2,IF($G109&gt;='Шаг 1. Основные исходные данные'!$E$5,1,ROUNDUP('Шаг 1. Основные исходные данные'!$E$5/$G109,0)),IF($F109=Dict!$J$2,1,SUM($H109:$M109)))</f>
        <v>0</v>
      </c>
      <c r="T109" s="97">
        <f>SUM(X109:AC109)</f>
        <v>0</v>
      </c>
      <c r="U109" s="49"/>
      <c r="V109" s="317"/>
      <c r="X109" s="283">
        <f>IF($E109=Dict!$I$2,1,IF($F109=Dict!$J$2,1,H109))*$O109*$Q109*X$18*$E$17</f>
        <v>0</v>
      </c>
      <c r="Y109" s="283">
        <f>IF($E109=Dict!$I$2,
IF($G109&gt;='Шаг 1. Основные исходные данные'!$E$5,0,
IF(MOD(Y$34-1,$G109)=0,1,0)),IF($F109=Dict!$J$2,0,I109))*$O109*$Q109*Y$18*$E$17</f>
        <v>0</v>
      </c>
      <c r="Z109" s="277">
        <f>IF($E109=Dict!$I$2,
IF($G109&gt;='Шаг 1. Основные исходные данные'!$E$5,0,
IF(MOD(Z$34-1,$G109)=0,1,0)),IF($F109=Dict!$J$2,0,J109))*$O109*$Q109*Z$18*$E$17</f>
        <v>0</v>
      </c>
      <c r="AA109" s="277">
        <f>IF($E109=Dict!$I$2,
IF($G109&gt;='Шаг 1. Основные исходные данные'!$E$5,0,
IF(MOD(AA$34-1,$G109)=0,1,0)),IF($F109=Dict!$J$2,0,K109))*$O109*$Q109*AA$18*$E$17</f>
        <v>0</v>
      </c>
      <c r="AB109" s="277">
        <f>IF($E109=Dict!$I$2,
IF($G109&gt;='Шаг 1. Основные исходные данные'!$E$5,0,
IF(MOD(AB$34-1,$G109)=0,1,0)),IF($F109=Dict!$J$2,0,L109))*$O109*$Q109*AB$18*$E$17</f>
        <v>0</v>
      </c>
      <c r="AC109" s="277">
        <f>IF($E109=Dict!$I$2,
IF($G109&gt;='Шаг 1. Основные исходные данные'!$E$5,0,
IF(MOD(AC$34-1,$G109)=0,1,0)),IF($F109=Dict!$J$2,0,M109))*$O109*$Q109*AC$18*$E$17</f>
        <v>0</v>
      </c>
    </row>
    <row r="110" spans="1:29" s="37" customFormat="1" ht="15.75" x14ac:dyDescent="0.25">
      <c r="A110" s="43"/>
      <c r="B110" s="48"/>
      <c r="C110" s="89" t="str">
        <f>IF(LEN(D110)&gt;0,C109+1,"")</f>
        <v/>
      </c>
      <c r="D110" s="31"/>
      <c r="E110" s="31"/>
      <c r="F110" s="96"/>
      <c r="G110" s="96"/>
      <c r="H110" s="96"/>
      <c r="I110" s="96"/>
      <c r="J110" s="96"/>
      <c r="K110" s="96"/>
      <c r="L110" s="96"/>
      <c r="M110" s="96"/>
      <c r="N110" s="96"/>
      <c r="O110" s="98"/>
      <c r="P110" s="96"/>
      <c r="Q110" s="96"/>
      <c r="R110" s="96"/>
      <c r="S110" s="257">
        <f>IF($E110=Dict!$I$2,IF($G110&gt;='Шаг 1. Основные исходные данные'!$E$5,1,ROUNDUP('Шаг 1. Основные исходные данные'!$E$5/$G110,0)),IF($F110=Dict!$J$2,1,SUM($H110:$M110)))</f>
        <v>0</v>
      </c>
      <c r="T110" s="97">
        <f>SUM(X110:AC110)</f>
        <v>0</v>
      </c>
      <c r="U110" s="49"/>
      <c r="V110" s="317"/>
      <c r="X110" s="283">
        <f>IF($E110=Dict!$I$2,1,IF($F110=Dict!$J$2,1,H110))*$O110*$Q110*X$18*$E$17</f>
        <v>0</v>
      </c>
      <c r="Y110" s="283">
        <f>IF($E110=Dict!$I$2,
IF($G110&gt;='Шаг 1. Основные исходные данные'!$E$5,0,
IF(MOD(Y$34-1,$G110)=0,1,0)),IF($F110=Dict!$J$2,0,I110))*$O110*$Q110*Y$18*$E$17</f>
        <v>0</v>
      </c>
      <c r="Z110" s="277">
        <f>IF($E110=Dict!$I$2,
IF($G110&gt;='Шаг 1. Основные исходные данные'!$E$5,0,
IF(MOD(Z$34-1,$G110)=0,1,0)),IF($F110=Dict!$J$2,0,J110))*$O110*$Q110*Z$18*$E$17</f>
        <v>0</v>
      </c>
      <c r="AA110" s="277">
        <f>IF($E110=Dict!$I$2,
IF($G110&gt;='Шаг 1. Основные исходные данные'!$E$5,0,
IF(MOD(AA$34-1,$G110)=0,1,0)),IF($F110=Dict!$J$2,0,K110))*$O110*$Q110*AA$18*$E$17</f>
        <v>0</v>
      </c>
      <c r="AB110" s="277">
        <f>IF($E110=Dict!$I$2,
IF($G110&gt;='Шаг 1. Основные исходные данные'!$E$5,0,
IF(MOD(AB$34-1,$G110)=0,1,0)),IF($F110=Dict!$J$2,0,L110))*$O110*$Q110*AB$18*$E$17</f>
        <v>0</v>
      </c>
      <c r="AC110" s="277">
        <f>IF($E110=Dict!$I$2,
IF($G110&gt;='Шаг 1. Основные исходные данные'!$E$5,0,
IF(MOD(AC$34-1,$G110)=0,1,0)),IF($F110=Dict!$J$2,0,M110))*$O110*$Q110*AC$18*$E$17</f>
        <v>0</v>
      </c>
    </row>
    <row r="111" spans="1:29" s="37" customFormat="1" ht="15.75" x14ac:dyDescent="0.25">
      <c r="A111" s="43"/>
      <c r="B111" s="48"/>
      <c r="C111" s="89" t="str">
        <f>IF(LEN(D111)&gt;0,C110+1,"")</f>
        <v/>
      </c>
      <c r="D111" s="31"/>
      <c r="E111" s="31"/>
      <c r="F111" s="96"/>
      <c r="G111" s="96"/>
      <c r="H111" s="96"/>
      <c r="I111" s="96"/>
      <c r="J111" s="96"/>
      <c r="K111" s="96"/>
      <c r="L111" s="96"/>
      <c r="M111" s="96"/>
      <c r="N111" s="96"/>
      <c r="O111" s="98"/>
      <c r="P111" s="96"/>
      <c r="Q111" s="96"/>
      <c r="R111" s="96"/>
      <c r="S111" s="257">
        <f>IF($E111=Dict!$I$2,IF($G111&gt;='Шаг 1. Основные исходные данные'!$E$5,1,ROUNDUP('Шаг 1. Основные исходные данные'!$E$5/$G111,0)),IF($F111=Dict!$J$2,1,SUM($H111:$M111)))</f>
        <v>0</v>
      </c>
      <c r="T111" s="97">
        <f>SUM(X111:AC111)</f>
        <v>0</v>
      </c>
      <c r="U111" s="49"/>
      <c r="V111" s="317"/>
      <c r="X111" s="283">
        <f>IF($E111=Dict!$I$2,1,IF($F111=Dict!$J$2,1,H111))*$O111*$Q111*X$18*$E$17</f>
        <v>0</v>
      </c>
      <c r="Y111" s="283">
        <f>IF($E111=Dict!$I$2,
IF($G111&gt;='Шаг 1. Основные исходные данные'!$E$5,0,
IF(MOD(Y$34-1,$G111)=0,1,0)),IF($F111=Dict!$J$2,0,I111))*$O111*$Q111*Y$18*$E$17</f>
        <v>0</v>
      </c>
      <c r="Z111" s="277">
        <f>IF($E111=Dict!$I$2,
IF($G111&gt;='Шаг 1. Основные исходные данные'!$E$5,0,
IF(MOD(Z$34-1,$G111)=0,1,0)),IF($F111=Dict!$J$2,0,J111))*$O111*$Q111*Z$18*$E$17</f>
        <v>0</v>
      </c>
      <c r="AA111" s="277">
        <f>IF($E111=Dict!$I$2,
IF($G111&gt;='Шаг 1. Основные исходные данные'!$E$5,0,
IF(MOD(AA$34-1,$G111)=0,1,0)),IF($F111=Dict!$J$2,0,K111))*$O111*$Q111*AA$18*$E$17</f>
        <v>0</v>
      </c>
      <c r="AB111" s="277">
        <f>IF($E111=Dict!$I$2,
IF($G111&gt;='Шаг 1. Основные исходные данные'!$E$5,0,
IF(MOD(AB$34-1,$G111)=0,1,0)),IF($F111=Dict!$J$2,0,L111))*$O111*$Q111*AB$18*$E$17</f>
        <v>0</v>
      </c>
      <c r="AC111" s="277">
        <f>IF($E111=Dict!$I$2,
IF($G111&gt;='Шаг 1. Основные исходные данные'!$E$5,0,
IF(MOD(AC$34-1,$G111)=0,1,0)),IF($F111=Dict!$J$2,0,M111))*$O111*$Q111*AC$18*$E$17</f>
        <v>0</v>
      </c>
    </row>
    <row r="112" spans="1:29" s="37" customFormat="1" ht="15.75" x14ac:dyDescent="0.25">
      <c r="A112" s="43"/>
      <c r="B112" s="48"/>
      <c r="C112" s="89" t="str">
        <f>IF(LEN(D112)&gt;0,C111+1,"")</f>
        <v/>
      </c>
      <c r="D112" s="31"/>
      <c r="E112" s="31"/>
      <c r="F112" s="96"/>
      <c r="G112" s="96"/>
      <c r="H112" s="96"/>
      <c r="I112" s="96"/>
      <c r="J112" s="96"/>
      <c r="K112" s="96"/>
      <c r="L112" s="96"/>
      <c r="M112" s="96"/>
      <c r="N112" s="96"/>
      <c r="O112" s="98"/>
      <c r="P112" s="96"/>
      <c r="Q112" s="96"/>
      <c r="R112" s="96"/>
      <c r="S112" s="257">
        <f>IF($E112=Dict!$I$2,IF($G112&gt;='Шаг 1. Основные исходные данные'!$E$5,1,ROUNDUP('Шаг 1. Основные исходные данные'!$E$5/$G112,0)),IF($F112=Dict!$J$2,1,SUM($H112:$M112)))</f>
        <v>0</v>
      </c>
      <c r="T112" s="97">
        <f>SUM(X112:AC112)</f>
        <v>0</v>
      </c>
      <c r="U112" s="49"/>
      <c r="V112" s="317"/>
      <c r="X112" s="283">
        <f>IF($E112=Dict!$I$2,1,IF($F112=Dict!$J$2,1,H112))*$O112*$Q112*X$18*$E$17</f>
        <v>0</v>
      </c>
      <c r="Y112" s="283">
        <f>IF($E112=Dict!$I$2,
IF($G112&gt;='Шаг 1. Основные исходные данные'!$E$5,0,
IF(MOD(Y$34-1,$G112)=0,1,0)),IF($F112=Dict!$J$2,0,I112))*$O112*$Q112*Y$18*$E$17</f>
        <v>0</v>
      </c>
      <c r="Z112" s="277">
        <f>IF($E112=Dict!$I$2,
IF($G112&gt;='Шаг 1. Основные исходные данные'!$E$5,0,
IF(MOD(Z$34-1,$G112)=0,1,0)),IF($F112=Dict!$J$2,0,J112))*$O112*$Q112*Z$18*$E$17</f>
        <v>0</v>
      </c>
      <c r="AA112" s="277">
        <f>IF($E112=Dict!$I$2,
IF($G112&gt;='Шаг 1. Основные исходные данные'!$E$5,0,
IF(MOD(AA$34-1,$G112)=0,1,0)),IF($F112=Dict!$J$2,0,K112))*$O112*$Q112*AA$18*$E$17</f>
        <v>0</v>
      </c>
      <c r="AB112" s="277">
        <f>IF($E112=Dict!$I$2,
IF($G112&gt;='Шаг 1. Основные исходные данные'!$E$5,0,
IF(MOD(AB$34-1,$G112)=0,1,0)),IF($F112=Dict!$J$2,0,L112))*$O112*$Q112*AB$18*$E$17</f>
        <v>0</v>
      </c>
      <c r="AC112" s="277">
        <f>IF($E112=Dict!$I$2,
IF($G112&gt;='Шаг 1. Основные исходные данные'!$E$5,0,
IF(MOD(AC$34-1,$G112)=0,1,0)),IF($F112=Dict!$J$2,0,M112))*$O112*$Q112*AC$18*$E$17</f>
        <v>0</v>
      </c>
    </row>
    <row r="113" spans="1:29" s="91" customFormat="1" ht="19.899999999999999" customHeight="1" x14ac:dyDescent="0.25">
      <c r="A113" s="90"/>
      <c r="B113" s="92"/>
      <c r="C113" s="94" t="s">
        <v>95</v>
      </c>
      <c r="D113" s="94"/>
      <c r="E113" s="94"/>
      <c r="F113" s="94"/>
      <c r="G113" s="94"/>
      <c r="H113" s="94"/>
      <c r="I113" s="94"/>
      <c r="J113" s="94"/>
      <c r="K113" s="94"/>
      <c r="L113" s="94"/>
      <c r="M113" s="94"/>
      <c r="N113" s="94"/>
      <c r="O113" s="94"/>
      <c r="P113" s="94"/>
      <c r="Q113" s="94"/>
      <c r="R113" s="94"/>
      <c r="S113" s="94"/>
      <c r="T113" s="95">
        <f>SUM(T108:T112)</f>
        <v>0</v>
      </c>
      <c r="U113" s="93"/>
      <c r="V113" s="319"/>
      <c r="W113" s="37"/>
      <c r="X113" s="278">
        <f t="shared" ref="X113:AC113" si="10">SUM(X108:X112)</f>
        <v>0</v>
      </c>
      <c r="Y113" s="278">
        <f t="shared" si="10"/>
        <v>0</v>
      </c>
      <c r="Z113" s="278">
        <f t="shared" si="10"/>
        <v>0</v>
      </c>
      <c r="AA113" s="278">
        <f t="shared" si="10"/>
        <v>0</v>
      </c>
      <c r="AB113" s="278">
        <f t="shared" si="10"/>
        <v>0</v>
      </c>
      <c r="AC113" s="278">
        <f t="shared" si="10"/>
        <v>0</v>
      </c>
    </row>
    <row r="114" spans="1:29" s="37" customFormat="1" ht="15.75" x14ac:dyDescent="0.25">
      <c r="A114" s="43"/>
      <c r="B114" s="53"/>
      <c r="C114" s="56"/>
      <c r="D114" s="56"/>
      <c r="E114" s="56"/>
      <c r="F114" s="56"/>
      <c r="G114" s="56"/>
      <c r="H114" s="56"/>
      <c r="I114" s="56"/>
      <c r="J114" s="56"/>
      <c r="K114" s="56"/>
      <c r="L114" s="56"/>
      <c r="M114" s="56"/>
      <c r="N114" s="56"/>
      <c r="O114" s="56"/>
      <c r="P114" s="56"/>
      <c r="Q114" s="56"/>
      <c r="R114" s="56"/>
      <c r="S114" s="56"/>
      <c r="T114" s="56"/>
      <c r="U114" s="54"/>
      <c r="V114" s="317"/>
      <c r="X114" s="271"/>
      <c r="Y114" s="271"/>
      <c r="Z114" s="271"/>
      <c r="AA114" s="271"/>
      <c r="AB114" s="271"/>
      <c r="AC114" s="271"/>
    </row>
    <row r="115" spans="1:29" s="37" customFormat="1" ht="15.75" x14ac:dyDescent="0.25">
      <c r="A115" s="43"/>
      <c r="B115" s="43"/>
      <c r="C115" s="43"/>
      <c r="D115" s="43"/>
      <c r="E115" s="43"/>
      <c r="F115" s="43"/>
      <c r="G115" s="43"/>
      <c r="H115" s="43"/>
      <c r="I115" s="43"/>
      <c r="J115" s="43"/>
      <c r="K115" s="43"/>
      <c r="L115" s="43"/>
      <c r="M115" s="43"/>
      <c r="N115" s="43"/>
      <c r="O115" s="43"/>
      <c r="P115" s="43"/>
      <c r="Q115" s="43"/>
      <c r="R115" s="43"/>
      <c r="S115" s="43"/>
      <c r="T115" s="317"/>
      <c r="U115" s="317"/>
      <c r="V115" s="317"/>
      <c r="X115" s="271"/>
      <c r="Y115" s="271"/>
      <c r="Z115" s="271"/>
      <c r="AA115" s="271"/>
      <c r="AB115" s="271"/>
      <c r="AC115" s="271"/>
    </row>
    <row r="116" spans="1:29" s="37" customFormat="1" ht="15.75" x14ac:dyDescent="0.25">
      <c r="A116" s="43"/>
      <c r="B116" s="45"/>
      <c r="C116" s="46"/>
      <c r="D116" s="46"/>
      <c r="E116" s="46"/>
      <c r="F116" s="46"/>
      <c r="G116" s="46"/>
      <c r="H116" s="46"/>
      <c r="I116" s="46"/>
      <c r="J116" s="46"/>
      <c r="K116" s="46"/>
      <c r="L116" s="46"/>
      <c r="M116" s="46"/>
      <c r="N116" s="46"/>
      <c r="O116" s="46"/>
      <c r="P116" s="46"/>
      <c r="Q116" s="46"/>
      <c r="R116" s="46"/>
      <c r="S116" s="46"/>
      <c r="T116" s="46"/>
      <c r="U116" s="47"/>
      <c r="V116" s="317"/>
      <c r="X116" s="272"/>
      <c r="Y116" s="272"/>
      <c r="Z116" s="272"/>
      <c r="AA116" s="272"/>
      <c r="AB116" s="272"/>
      <c r="AC116" s="272"/>
    </row>
    <row r="117" spans="1:29" s="37" customFormat="1" ht="15.75" x14ac:dyDescent="0.25">
      <c r="A117" s="43"/>
      <c r="B117" s="48"/>
      <c r="C117" s="36" t="str">
        <f>CONCATENATE("3.2.",$C$18,". Содержательные издержки группы объектов ",$C$18," - """,$D$18,"""")</f>
        <v>3.2.. Содержательные издержки группы объектов  - ""</v>
      </c>
      <c r="D117" s="43"/>
      <c r="E117" s="43"/>
      <c r="F117" s="43"/>
      <c r="G117" s="43"/>
      <c r="H117" s="43"/>
      <c r="I117" s="43"/>
      <c r="J117" s="43"/>
      <c r="K117" s="43"/>
      <c r="L117" s="43"/>
      <c r="M117" s="43"/>
      <c r="N117" s="43"/>
      <c r="O117" s="43"/>
      <c r="P117" s="43"/>
      <c r="Q117" s="43"/>
      <c r="R117" s="43"/>
      <c r="S117" s="317"/>
      <c r="T117" s="317"/>
      <c r="U117" s="49"/>
      <c r="V117" s="317"/>
      <c r="X117" s="272"/>
      <c r="Y117" s="272"/>
      <c r="Z117" s="272"/>
      <c r="AA117" s="272"/>
      <c r="AB117" s="272"/>
      <c r="AC117" s="272"/>
    </row>
    <row r="118" spans="1:29" s="37" customFormat="1" ht="15.75" x14ac:dyDescent="0.25">
      <c r="A118" s="43"/>
      <c r="B118" s="48"/>
      <c r="C118" s="43"/>
      <c r="D118" s="43"/>
      <c r="E118" s="43"/>
      <c r="F118" s="43"/>
      <c r="G118" s="43"/>
      <c r="H118" s="43"/>
      <c r="I118" s="43"/>
      <c r="J118" s="43"/>
      <c r="K118" s="43"/>
      <c r="L118" s="43"/>
      <c r="M118" s="43"/>
      <c r="N118" s="43"/>
      <c r="O118" s="43"/>
      <c r="P118" s="43"/>
      <c r="Q118" s="43"/>
      <c r="R118" s="43"/>
      <c r="S118" s="317"/>
      <c r="T118" s="317"/>
      <c r="U118" s="49"/>
      <c r="V118" s="317"/>
      <c r="X118" s="272"/>
      <c r="Y118" s="272"/>
      <c r="Z118" s="272"/>
      <c r="AA118" s="272"/>
      <c r="AB118" s="272"/>
      <c r="AC118" s="272"/>
    </row>
    <row r="119" spans="1:29" s="37" customFormat="1" ht="15.75" x14ac:dyDescent="0.25">
      <c r="A119" s="43"/>
      <c r="B119" s="48"/>
      <c r="C119" s="39" t="s">
        <v>63</v>
      </c>
      <c r="D119" s="43"/>
      <c r="E119" s="43"/>
      <c r="F119" s="43"/>
      <c r="G119" s="43"/>
      <c r="H119" s="43"/>
      <c r="I119" s="43"/>
      <c r="J119" s="43"/>
      <c r="K119" s="43"/>
      <c r="L119" s="43"/>
      <c r="M119" s="43"/>
      <c r="N119" s="43"/>
      <c r="O119" s="43"/>
      <c r="P119" s="43"/>
      <c r="Q119" s="43"/>
      <c r="R119" s="43"/>
      <c r="S119" s="317"/>
      <c r="T119" s="317"/>
      <c r="U119" s="49"/>
      <c r="V119" s="317"/>
      <c r="X119" s="272"/>
      <c r="Y119" s="272"/>
      <c r="Z119" s="272"/>
      <c r="AA119" s="272"/>
      <c r="AB119" s="272"/>
      <c r="AC119" s="272"/>
    </row>
    <row r="120" spans="1:29" s="52" customFormat="1" ht="127.5" customHeight="1" x14ac:dyDescent="0.25">
      <c r="A120" s="23"/>
      <c r="B120" s="50"/>
      <c r="C120" s="336" t="s">
        <v>62</v>
      </c>
      <c r="D120" s="336" t="s">
        <v>64</v>
      </c>
      <c r="E120" s="336" t="s">
        <v>75</v>
      </c>
      <c r="F120" s="336" t="s">
        <v>1231</v>
      </c>
      <c r="G120" s="336"/>
      <c r="H120" s="336"/>
      <c r="I120" s="336"/>
      <c r="J120" s="336"/>
      <c r="K120" s="336"/>
      <c r="L120" s="336" t="s">
        <v>1300</v>
      </c>
      <c r="M120" s="336" t="s">
        <v>1222</v>
      </c>
      <c r="N120" s="316" t="s">
        <v>1309</v>
      </c>
      <c r="O120" s="316" t="s">
        <v>79</v>
      </c>
      <c r="P120" s="316" t="s">
        <v>1159</v>
      </c>
      <c r="Q120" s="43"/>
      <c r="R120" s="43"/>
      <c r="S120" s="318"/>
      <c r="T120" s="318"/>
      <c r="U120" s="51"/>
      <c r="V120" s="318"/>
      <c r="X120" s="272"/>
      <c r="Y120" s="272"/>
      <c r="Z120" s="272"/>
      <c r="AA120" s="272"/>
      <c r="AB120" s="272"/>
      <c r="AC120" s="272"/>
    </row>
    <row r="121" spans="1:29" s="52" customFormat="1" ht="15.75" x14ac:dyDescent="0.25">
      <c r="A121" s="23"/>
      <c r="B121" s="50"/>
      <c r="C121" s="336"/>
      <c r="D121" s="349"/>
      <c r="E121" s="349"/>
      <c r="F121" s="316" t="str">
        <f>IF(1&lt;='Шаг 1. Основные исходные данные'!$E$5,"1 год","-")</f>
        <v>1 год</v>
      </c>
      <c r="G121" s="316" t="str">
        <f>IF(2&lt;='Шаг 1. Основные исходные данные'!$E$5,"2 год","-")</f>
        <v>2 год</v>
      </c>
      <c r="H121" s="316" t="str">
        <f>IF(3&lt;='Шаг 1. Основные исходные данные'!$E$5,"3 год","-")</f>
        <v>3 год</v>
      </c>
      <c r="I121" s="316" t="str">
        <f>IF(4&lt;='Шаг 1. Основные исходные данные'!$E$5,"4 год","-")</f>
        <v>4 год</v>
      </c>
      <c r="J121" s="316" t="str">
        <f>IF(5&lt;='Шаг 1. Основные исходные данные'!$E$5,"5 год","-")</f>
        <v>5 год</v>
      </c>
      <c r="K121" s="316" t="str">
        <f>IF(6&lt;='Шаг 1. Основные исходные данные'!$E$5,"6 год","-")</f>
        <v>6 год</v>
      </c>
      <c r="L121" s="349"/>
      <c r="M121" s="349"/>
      <c r="N121" s="316"/>
      <c r="O121" s="316"/>
      <c r="P121" s="316"/>
      <c r="Q121" s="43"/>
      <c r="R121" s="43"/>
      <c r="S121" s="318"/>
      <c r="T121" s="318"/>
      <c r="U121" s="51"/>
      <c r="V121" s="318"/>
      <c r="X121" s="279" t="s">
        <v>1221</v>
      </c>
      <c r="Y121" s="279" t="s">
        <v>1223</v>
      </c>
      <c r="Z121" s="279" t="s">
        <v>1224</v>
      </c>
      <c r="AA121" s="279" t="s">
        <v>1225</v>
      </c>
      <c r="AB121" s="279" t="s">
        <v>1226</v>
      </c>
      <c r="AC121" s="279" t="s">
        <v>1227</v>
      </c>
    </row>
    <row r="122" spans="1:29" s="37" customFormat="1" ht="15.75" x14ac:dyDescent="0.25">
      <c r="A122" s="43"/>
      <c r="B122" s="48"/>
      <c r="C122" s="89" t="str">
        <f>IF(LEN(D122)&gt;0,1,"")</f>
        <v/>
      </c>
      <c r="D122" s="31"/>
      <c r="E122" s="96"/>
      <c r="F122" s="96"/>
      <c r="G122" s="96"/>
      <c r="H122" s="96"/>
      <c r="I122" s="96"/>
      <c r="J122" s="96"/>
      <c r="K122" s="96"/>
      <c r="L122" s="96"/>
      <c r="M122" s="96"/>
      <c r="N122" s="96"/>
      <c r="O122" s="97">
        <f>'Шаг 1. Основные исходные данные'!$E$8</f>
        <v>0</v>
      </c>
      <c r="P122" s="97">
        <f>SUM(X122:AC122)</f>
        <v>0</v>
      </c>
      <c r="Q122" s="43"/>
      <c r="R122" s="43"/>
      <c r="S122" s="317"/>
      <c r="T122" s="317"/>
      <c r="U122" s="49"/>
      <c r="V122" s="317"/>
      <c r="W122" s="281"/>
      <c r="X122" s="282">
        <f>$O122*'Шаг 1. Основные исходные данные'!$E$11*(12/'Шаг 1. Основные исходные данные'!$E$10/8)*F122*$M122*$E$18*X$19</f>
        <v>0</v>
      </c>
      <c r="Y122" s="282">
        <f>IF($E122=Dict!$F$2,0,
$O122*'Шаг 1. Основные исходные данные'!$E$11*(12/'Шаг 1. Основные исходные данные'!$E$10/8)*G122*$M122*$E$18*Y$19)</f>
        <v>0</v>
      </c>
      <c r="Z122" s="277">
        <f>IF($E122=Dict!$F$2,0,
$O122*'Шаг 1. Основные исходные данные'!$E$11*(12/'Шаг 1. Основные исходные данные'!$E$10/8)*H122*$M122*$E$18*Z$19)</f>
        <v>0</v>
      </c>
      <c r="AA122" s="277">
        <f>IF($E122=Dict!$F$2,0,
$O122*'Шаг 1. Основные исходные данные'!$E$11*(12/'Шаг 1. Основные исходные данные'!$E$10/8)*I122*$M122*$E$18*AA$19)</f>
        <v>0</v>
      </c>
      <c r="AB122" s="277">
        <f>IF($E122=Dict!$F$2,0,
$O122*'Шаг 1. Основные исходные данные'!$E$11*(12/'Шаг 1. Основные исходные данные'!$E$10/8)*J122*$M122*$E$18*AB$19)</f>
        <v>0</v>
      </c>
      <c r="AC122" s="277">
        <f>IF($E122=Dict!$F$2,0,
$O122*'Шаг 1. Основные исходные данные'!$E$11*(12/'Шаг 1. Основные исходные данные'!$E$10/8)*K122*$M122*$E$18*AC$19)</f>
        <v>0</v>
      </c>
    </row>
    <row r="123" spans="1:29" s="37" customFormat="1" ht="15.75" x14ac:dyDescent="0.25">
      <c r="A123" s="43"/>
      <c r="B123" s="48"/>
      <c r="C123" s="89" t="str">
        <f>IF(LEN(D123)&gt;0,C122+1,"")</f>
        <v/>
      </c>
      <c r="D123" s="31"/>
      <c r="E123" s="96"/>
      <c r="F123" s="96"/>
      <c r="G123" s="96"/>
      <c r="H123" s="96"/>
      <c r="I123" s="96"/>
      <c r="J123" s="96"/>
      <c r="K123" s="96"/>
      <c r="L123" s="96"/>
      <c r="M123" s="96"/>
      <c r="N123" s="96"/>
      <c r="O123" s="97">
        <f>'Шаг 1. Основные исходные данные'!$E$8</f>
        <v>0</v>
      </c>
      <c r="P123" s="97">
        <f>SUM(X123:AC123)</f>
        <v>0</v>
      </c>
      <c r="Q123" s="43"/>
      <c r="R123" s="43"/>
      <c r="S123" s="317"/>
      <c r="T123" s="317"/>
      <c r="U123" s="49"/>
      <c r="V123" s="317"/>
      <c r="W123" s="281"/>
      <c r="X123" s="283">
        <f>$O123*'Шаг 1. Основные исходные данные'!$E$11*(12/'Шаг 1. Основные исходные данные'!$E$10/8)*F123*$M123*$E$18*X$19</f>
        <v>0</v>
      </c>
      <c r="Y123" s="283">
        <f>IF($E123=Dict!$F$2,0,
$O123*'Шаг 1. Основные исходные данные'!$E$11*(12/'Шаг 1. Основные исходные данные'!$E$10/8)*G123*$M123*$E$18*Y$19)</f>
        <v>0</v>
      </c>
      <c r="Z123" s="277">
        <f>IF($E123=Dict!$F$2,0,
$O123*'Шаг 1. Основные исходные данные'!$E$11*(12/'Шаг 1. Основные исходные данные'!$E$10/8)*H123*$M123*$E$18*Z$19)</f>
        <v>0</v>
      </c>
      <c r="AA123" s="277">
        <f>IF($E123=Dict!$F$2,0,
$O123*'Шаг 1. Основные исходные данные'!$E$11*(12/'Шаг 1. Основные исходные данные'!$E$10/8)*I123*$M123*$E$18*AA$19)</f>
        <v>0</v>
      </c>
      <c r="AB123" s="277">
        <f>IF($E123=Dict!$F$2,0,
$O123*'Шаг 1. Основные исходные данные'!$E$11*(12/'Шаг 1. Основные исходные данные'!$E$10/8)*J123*$M123*$E$18*AB$19)</f>
        <v>0</v>
      </c>
      <c r="AC123" s="277">
        <f>IF($E123=Dict!$F$2,0,
$O123*'Шаг 1. Основные исходные данные'!$E$11*(12/'Шаг 1. Основные исходные данные'!$E$10/8)*K123*$M123*$E$18*AC$19)</f>
        <v>0</v>
      </c>
    </row>
    <row r="124" spans="1:29" s="37" customFormat="1" ht="15.75" x14ac:dyDescent="0.25">
      <c r="A124" s="43"/>
      <c r="B124" s="48"/>
      <c r="C124" s="89" t="str">
        <f>IF(LEN(D124)&gt;0,C123+1,"")</f>
        <v/>
      </c>
      <c r="D124" s="31"/>
      <c r="E124" s="96"/>
      <c r="F124" s="96"/>
      <c r="G124" s="96"/>
      <c r="H124" s="96"/>
      <c r="I124" s="96"/>
      <c r="J124" s="96"/>
      <c r="K124" s="96"/>
      <c r="L124" s="96"/>
      <c r="M124" s="96"/>
      <c r="N124" s="96"/>
      <c r="O124" s="97">
        <f>'Шаг 1. Основные исходные данные'!$E$8</f>
        <v>0</v>
      </c>
      <c r="P124" s="97">
        <f>SUM(X124:AC124)</f>
        <v>0</v>
      </c>
      <c r="Q124" s="43"/>
      <c r="R124" s="43"/>
      <c r="S124" s="317"/>
      <c r="T124" s="317"/>
      <c r="U124" s="49"/>
      <c r="V124" s="317"/>
      <c r="X124" s="283">
        <f>$O124*'Шаг 1. Основные исходные данные'!$E$11*(12/'Шаг 1. Основные исходные данные'!$E$10/8)*F124*$M124*$E$18*X$19</f>
        <v>0</v>
      </c>
      <c r="Y124" s="283">
        <f>IF($E124=Dict!$F$2,0,
$O124*'Шаг 1. Основные исходные данные'!$E$11*(12/'Шаг 1. Основные исходные данные'!$E$10/8)*G124*$M124*$E$18*Y$19)</f>
        <v>0</v>
      </c>
      <c r="Z124" s="277">
        <f>IF($E124=Dict!$F$2,0,
$O124*'Шаг 1. Основные исходные данные'!$E$11*(12/'Шаг 1. Основные исходные данные'!$E$10/8)*H124*$M124*$E$18*Z$19)</f>
        <v>0</v>
      </c>
      <c r="AA124" s="277">
        <f>IF($E124=Dict!$F$2,0,
$O124*'Шаг 1. Основные исходные данные'!$E$11*(12/'Шаг 1. Основные исходные данные'!$E$10/8)*I124*$M124*$E$18*AA$19)</f>
        <v>0</v>
      </c>
      <c r="AB124" s="277">
        <f>IF($E124=Dict!$F$2,0,
$O124*'Шаг 1. Основные исходные данные'!$E$11*(12/'Шаг 1. Основные исходные данные'!$E$10/8)*J124*$M124*$E$18*AB$19)</f>
        <v>0</v>
      </c>
      <c r="AC124" s="277">
        <f>IF($E124=Dict!$F$2,0,
$O124*'Шаг 1. Основные исходные данные'!$E$11*(12/'Шаг 1. Основные исходные данные'!$E$10/8)*K124*$M124*$E$18*AC$19)</f>
        <v>0</v>
      </c>
    </row>
    <row r="125" spans="1:29" s="37" customFormat="1" ht="15.75" x14ac:dyDescent="0.25">
      <c r="A125" s="43"/>
      <c r="B125" s="48"/>
      <c r="C125" s="89" t="str">
        <f>IF(LEN(D125)&gt;0,C124+1,"")</f>
        <v/>
      </c>
      <c r="D125" s="31"/>
      <c r="E125" s="96"/>
      <c r="F125" s="96"/>
      <c r="G125" s="96"/>
      <c r="H125" s="96"/>
      <c r="I125" s="96"/>
      <c r="J125" s="96"/>
      <c r="K125" s="96"/>
      <c r="L125" s="96"/>
      <c r="M125" s="96"/>
      <c r="N125" s="96"/>
      <c r="O125" s="97">
        <f>'Шаг 1. Основные исходные данные'!$E$8</f>
        <v>0</v>
      </c>
      <c r="P125" s="97">
        <f>SUM(X125:AC125)</f>
        <v>0</v>
      </c>
      <c r="Q125" s="43"/>
      <c r="R125" s="43"/>
      <c r="S125" s="317"/>
      <c r="T125" s="317"/>
      <c r="U125" s="49"/>
      <c r="V125" s="317"/>
      <c r="X125" s="283">
        <f>$O125*'Шаг 1. Основные исходные данные'!$E$11*(12/'Шаг 1. Основные исходные данные'!$E$10/8)*F125*$M125*$E$18*X$19</f>
        <v>0</v>
      </c>
      <c r="Y125" s="283">
        <f>IF($E125=Dict!$F$2,0,
$O125*'Шаг 1. Основные исходные данные'!$E$11*(12/'Шаг 1. Основные исходные данные'!$E$10/8)*G125*$M125*$E$18*Y$19)</f>
        <v>0</v>
      </c>
      <c r="Z125" s="277">
        <f>IF($E125=Dict!$F$2,0,
$O125*'Шаг 1. Основные исходные данные'!$E$11*(12/'Шаг 1. Основные исходные данные'!$E$10/8)*H125*$M125*$E$18*Z$19)</f>
        <v>0</v>
      </c>
      <c r="AA125" s="277">
        <f>IF($E125=Dict!$F$2,0,
$O125*'Шаг 1. Основные исходные данные'!$E$11*(12/'Шаг 1. Основные исходные данные'!$E$10/8)*I125*$M125*$E$18*AA$19)</f>
        <v>0</v>
      </c>
      <c r="AB125" s="277">
        <f>IF($E125=Dict!$F$2,0,
$O125*'Шаг 1. Основные исходные данные'!$E$11*(12/'Шаг 1. Основные исходные данные'!$E$10/8)*J125*$M125*$E$18*AB$19)</f>
        <v>0</v>
      </c>
      <c r="AC125" s="277">
        <f>IF($E125=Dict!$F$2,0,
$O125*'Шаг 1. Основные исходные данные'!$E$11*(12/'Шаг 1. Основные исходные данные'!$E$10/8)*K125*$M125*$E$18*AC$19)</f>
        <v>0</v>
      </c>
    </row>
    <row r="126" spans="1:29" s="37" customFormat="1" ht="15.75" x14ac:dyDescent="0.25">
      <c r="A126" s="43"/>
      <c r="B126" s="48"/>
      <c r="C126" s="89" t="str">
        <f>IF(LEN(D126)&gt;0,C125+1,"")</f>
        <v/>
      </c>
      <c r="D126" s="31"/>
      <c r="E126" s="96"/>
      <c r="F126" s="96"/>
      <c r="G126" s="96"/>
      <c r="H126" s="96"/>
      <c r="I126" s="96"/>
      <c r="J126" s="96"/>
      <c r="K126" s="96"/>
      <c r="L126" s="96"/>
      <c r="M126" s="96"/>
      <c r="N126" s="96"/>
      <c r="O126" s="97">
        <f>'Шаг 1. Основные исходные данные'!$E$8</f>
        <v>0</v>
      </c>
      <c r="P126" s="97">
        <f>SUM(X126:AC126)</f>
        <v>0</v>
      </c>
      <c r="Q126" s="43"/>
      <c r="R126" s="43"/>
      <c r="S126" s="317"/>
      <c r="T126" s="317"/>
      <c r="U126" s="49"/>
      <c r="V126" s="317"/>
      <c r="X126" s="283">
        <f>$O126*'Шаг 1. Основные исходные данные'!$E$11*(12/'Шаг 1. Основные исходные данные'!$E$10/8)*F126*$M126*$E$18*X$19</f>
        <v>0</v>
      </c>
      <c r="Y126" s="283">
        <f>IF($E126=Dict!$F$2,0,
$O126*'Шаг 1. Основные исходные данные'!$E$11*(12/'Шаг 1. Основные исходные данные'!$E$10/8)*G126*$M126*$E$18*Y$19)</f>
        <v>0</v>
      </c>
      <c r="Z126" s="277">
        <f>IF($E126=Dict!$F$2,0,
$O126*'Шаг 1. Основные исходные данные'!$E$11*(12/'Шаг 1. Основные исходные данные'!$E$10/8)*H126*$M126*$E$18*Z$19)</f>
        <v>0</v>
      </c>
      <c r="AA126" s="277">
        <f>IF($E126=Dict!$F$2,0,
$O126*'Шаг 1. Основные исходные данные'!$E$11*(12/'Шаг 1. Основные исходные данные'!$E$10/8)*I126*$M126*$E$18*AA$19)</f>
        <v>0</v>
      </c>
      <c r="AB126" s="277">
        <f>IF($E126=Dict!$F$2,0,
$O126*'Шаг 1. Основные исходные данные'!$E$11*(12/'Шаг 1. Основные исходные данные'!$E$10/8)*J126*$M126*$E$18*AB$19)</f>
        <v>0</v>
      </c>
      <c r="AC126" s="277">
        <f>IF($E126=Dict!$F$2,0,
$O126*'Шаг 1. Основные исходные данные'!$E$11*(12/'Шаг 1. Основные исходные данные'!$E$10/8)*K126*$M126*$E$18*AC$19)</f>
        <v>0</v>
      </c>
    </row>
    <row r="127" spans="1:29" s="91" customFormat="1" ht="19.899999999999999" customHeight="1" x14ac:dyDescent="0.25">
      <c r="A127" s="90"/>
      <c r="B127" s="92"/>
      <c r="C127" s="94" t="s">
        <v>95</v>
      </c>
      <c r="D127" s="99"/>
      <c r="E127" s="99"/>
      <c r="F127" s="99"/>
      <c r="G127" s="99"/>
      <c r="H127" s="99"/>
      <c r="I127" s="99"/>
      <c r="J127" s="99"/>
      <c r="K127" s="99"/>
      <c r="L127" s="99"/>
      <c r="M127" s="99"/>
      <c r="N127" s="99"/>
      <c r="O127" s="99"/>
      <c r="P127" s="95">
        <f>SUM(P122:P126)</f>
        <v>0</v>
      </c>
      <c r="Q127" s="43"/>
      <c r="R127" s="43"/>
      <c r="S127" s="319"/>
      <c r="T127" s="319"/>
      <c r="U127" s="93"/>
      <c r="V127" s="319"/>
      <c r="X127" s="278">
        <f t="shared" ref="X127:AC127" si="11">SUM(X122:X126)</f>
        <v>0</v>
      </c>
      <c r="Y127" s="278">
        <f t="shared" si="11"/>
        <v>0</v>
      </c>
      <c r="Z127" s="278">
        <f t="shared" si="11"/>
        <v>0</v>
      </c>
      <c r="AA127" s="278">
        <f t="shared" si="11"/>
        <v>0</v>
      </c>
      <c r="AB127" s="278">
        <f t="shared" si="11"/>
        <v>0</v>
      </c>
      <c r="AC127" s="278">
        <f t="shared" si="11"/>
        <v>0</v>
      </c>
    </row>
    <row r="128" spans="1:29" s="37" customFormat="1" ht="15.75" x14ac:dyDescent="0.25">
      <c r="A128" s="43"/>
      <c r="B128" s="48"/>
      <c r="C128" s="43"/>
      <c r="D128" s="43"/>
      <c r="E128" s="43"/>
      <c r="F128" s="43"/>
      <c r="G128" s="43"/>
      <c r="H128" s="43"/>
      <c r="I128" s="43"/>
      <c r="J128" s="43"/>
      <c r="K128" s="43"/>
      <c r="L128" s="43"/>
      <c r="M128" s="43"/>
      <c r="N128" s="43"/>
      <c r="O128" s="43"/>
      <c r="P128" s="43"/>
      <c r="Q128" s="43"/>
      <c r="R128" s="43"/>
      <c r="S128" s="317"/>
      <c r="T128" s="317"/>
      <c r="U128" s="49"/>
      <c r="V128" s="317"/>
      <c r="X128" s="271"/>
      <c r="Y128" s="271"/>
      <c r="Z128" s="271"/>
      <c r="AA128" s="271"/>
      <c r="AB128" s="271"/>
      <c r="AC128" s="271"/>
    </row>
    <row r="129" spans="1:29" s="37" customFormat="1" ht="15.75" x14ac:dyDescent="0.25">
      <c r="A129" s="43"/>
      <c r="B129" s="48"/>
      <c r="C129" s="39" t="s">
        <v>80</v>
      </c>
      <c r="D129" s="43"/>
      <c r="E129" s="43"/>
      <c r="F129" s="43"/>
      <c r="G129" s="43"/>
      <c r="H129" s="43"/>
      <c r="I129" s="43"/>
      <c r="J129" s="43"/>
      <c r="K129" s="43"/>
      <c r="L129" s="43"/>
      <c r="M129" s="43"/>
      <c r="N129" s="43"/>
      <c r="O129" s="43"/>
      <c r="P129" s="43"/>
      <c r="Q129" s="43"/>
      <c r="R129" s="43"/>
      <c r="S129" s="317"/>
      <c r="T129" s="317"/>
      <c r="U129" s="49"/>
      <c r="V129" s="317"/>
      <c r="X129" s="271"/>
      <c r="Y129" s="271"/>
      <c r="Z129" s="271"/>
      <c r="AA129" s="271"/>
      <c r="AB129" s="271"/>
      <c r="AC129" s="271"/>
    </row>
    <row r="130" spans="1:29" s="37" customFormat="1" ht="132" customHeight="1" x14ac:dyDescent="0.25">
      <c r="A130" s="43"/>
      <c r="B130" s="48"/>
      <c r="C130" s="316" t="s">
        <v>62</v>
      </c>
      <c r="D130" s="316" t="s">
        <v>74</v>
      </c>
      <c r="E130" s="316" t="s">
        <v>1160</v>
      </c>
      <c r="F130" s="316" t="s">
        <v>1168</v>
      </c>
      <c r="G130" s="316" t="s">
        <v>1167</v>
      </c>
      <c r="H130" s="336" t="s">
        <v>1232</v>
      </c>
      <c r="I130" s="336"/>
      <c r="J130" s="336"/>
      <c r="K130" s="336"/>
      <c r="L130" s="336"/>
      <c r="M130" s="336"/>
      <c r="N130" s="316" t="s">
        <v>1301</v>
      </c>
      <c r="O130" s="316" t="s">
        <v>1169</v>
      </c>
      <c r="P130" s="316" t="s">
        <v>1307</v>
      </c>
      <c r="Q130" s="316" t="s">
        <v>1269</v>
      </c>
      <c r="R130" s="316" t="s">
        <v>1308</v>
      </c>
      <c r="S130" s="316" t="s">
        <v>1166</v>
      </c>
      <c r="T130" s="316" t="s">
        <v>1170</v>
      </c>
      <c r="U130" s="49"/>
      <c r="V130" s="317"/>
      <c r="X130" s="271">
        <v>1</v>
      </c>
      <c r="Y130" s="271">
        <v>2</v>
      </c>
      <c r="Z130" s="271">
        <v>3</v>
      </c>
      <c r="AA130" s="271">
        <v>4</v>
      </c>
      <c r="AB130" s="271">
        <v>5</v>
      </c>
      <c r="AC130" s="271">
        <v>6</v>
      </c>
    </row>
    <row r="131" spans="1:29" s="37" customFormat="1" ht="15.75" x14ac:dyDescent="0.25">
      <c r="A131" s="43"/>
      <c r="B131" s="48"/>
      <c r="C131" s="316"/>
      <c r="D131" s="316"/>
      <c r="E131" s="316"/>
      <c r="F131" s="316"/>
      <c r="G131" s="316"/>
      <c r="H131" s="316" t="str">
        <f>IF(1&lt;='Шаг 1. Основные исходные данные'!$E$5,"1 год","-")</f>
        <v>1 год</v>
      </c>
      <c r="I131" s="316" t="str">
        <f>IF(2&lt;='Шаг 1. Основные исходные данные'!$E$5,"2 год","-")</f>
        <v>2 год</v>
      </c>
      <c r="J131" s="316" t="str">
        <f>IF(3&lt;='Шаг 1. Основные исходные данные'!$E$5,"3 год","-")</f>
        <v>3 год</v>
      </c>
      <c r="K131" s="316" t="str">
        <f>IF(4&lt;='Шаг 1. Основные исходные данные'!$E$5,"4 год","-")</f>
        <v>4 год</v>
      </c>
      <c r="L131" s="316" t="str">
        <f>IF(5&lt;='Шаг 1. Основные исходные данные'!$E$5,"5 год","-")</f>
        <v>5 год</v>
      </c>
      <c r="M131" s="316" t="str">
        <f>IF(6&lt;='Шаг 1. Основные исходные данные'!$E$5,"6 год","-")</f>
        <v>6 год</v>
      </c>
      <c r="N131" s="316"/>
      <c r="O131" s="316"/>
      <c r="P131" s="316"/>
      <c r="Q131" s="316"/>
      <c r="R131" s="316"/>
      <c r="S131" s="316"/>
      <c r="T131" s="316"/>
      <c r="U131" s="49"/>
      <c r="V131" s="317"/>
      <c r="X131" s="279" t="s">
        <v>1221</v>
      </c>
      <c r="Y131" s="279" t="s">
        <v>1223</v>
      </c>
      <c r="Z131" s="279" t="s">
        <v>1224</v>
      </c>
      <c r="AA131" s="279" t="s">
        <v>1225</v>
      </c>
      <c r="AB131" s="279" t="s">
        <v>1226</v>
      </c>
      <c r="AC131" s="279" t="s">
        <v>1227</v>
      </c>
    </row>
    <row r="132" spans="1:29" s="37" customFormat="1" ht="15.75" x14ac:dyDescent="0.25">
      <c r="A132" s="43"/>
      <c r="B132" s="48"/>
      <c r="C132" s="89" t="str">
        <f>IF(LEN(D132)&gt;0,1,"")</f>
        <v/>
      </c>
      <c r="D132" s="31"/>
      <c r="E132" s="31"/>
      <c r="F132" s="96"/>
      <c r="G132" s="96"/>
      <c r="H132" s="96"/>
      <c r="I132" s="96"/>
      <c r="J132" s="96"/>
      <c r="K132" s="96"/>
      <c r="L132" s="96"/>
      <c r="M132" s="96"/>
      <c r="N132" s="96"/>
      <c r="O132" s="98"/>
      <c r="P132" s="96"/>
      <c r="Q132" s="96"/>
      <c r="R132" s="96"/>
      <c r="S132" s="257">
        <f>IF($E132=Dict!$I$2,IF($G132&gt;='Шаг 1. Основные исходные данные'!$E$5,1,ROUNDUP('Шаг 1. Основные исходные данные'!$E$5/$G132,0)),IF($F132=Dict!$J$2,1,SUM($H132:$M132)))</f>
        <v>0</v>
      </c>
      <c r="T132" s="97">
        <f>SUM(X132:AC132)</f>
        <v>0</v>
      </c>
      <c r="U132" s="49"/>
      <c r="V132" s="317"/>
      <c r="X132" s="282">
        <f>IF($E132=Dict!$I$2,1,IF($F132=Dict!$J$2,1,H132))*$O132*$Q132*X$18*$E$18</f>
        <v>0</v>
      </c>
      <c r="Y132" s="282">
        <f>IF($E132=Dict!$I$2,
IF($G132&gt;='Шаг 1. Основные исходные данные'!$E$5,0,
IF(MOD(Y$34-1,$G132)=0,1,0)),IF($F132=Dict!$J$2,0,I132))*$O132*$Q132*Y$18*$E$18</f>
        <v>0</v>
      </c>
      <c r="Z132" s="277">
        <f>IF($E132=Dict!$I$2,
IF($G132&gt;='Шаг 1. Основные исходные данные'!$E$5,0,
IF(MOD(Z$34-1,$G132)=0,1,0)),IF($F132=Dict!$J$2,0,J132))*$O132*$Q132*Z$18*$E$18</f>
        <v>0</v>
      </c>
      <c r="AA132" s="277">
        <f>IF($E132=Dict!$I$2,
IF($G132&gt;='Шаг 1. Основные исходные данные'!$E$5,0,
IF(MOD(AA$34-1,$G132)=0,1,0)),IF($F132=Dict!$J$2,0,K132))*$O132*$Q132*AA$18*$E$18</f>
        <v>0</v>
      </c>
      <c r="AB132" s="277">
        <f>IF($E132=Dict!$I$2,
IF($G132&gt;='Шаг 1. Основные исходные данные'!$E$5,0,
IF(MOD(AB$34-1,$G132)=0,1,0)),IF($F132=Dict!$J$2,0,L132))*$O132*$Q132*AB$18*$E$18</f>
        <v>0</v>
      </c>
      <c r="AC132" s="277">
        <f>IF($E132=Dict!$I$2,
IF($G132&gt;='Шаг 1. Основные исходные данные'!$E$5,0,
IF(MOD(AC$34-1,$G132)=0,1,0)),IF($F132=Dict!$J$2,0,M132))*$O132*$Q132*AC$18*$E$18</f>
        <v>0</v>
      </c>
    </row>
    <row r="133" spans="1:29" s="37" customFormat="1" ht="15.75" x14ac:dyDescent="0.25">
      <c r="A133" s="43"/>
      <c r="B133" s="48"/>
      <c r="C133" s="89" t="str">
        <f>IF(LEN(D133)&gt;0,C132+1,"")</f>
        <v/>
      </c>
      <c r="D133" s="31"/>
      <c r="E133" s="31"/>
      <c r="F133" s="96"/>
      <c r="G133" s="96"/>
      <c r="H133" s="96"/>
      <c r="I133" s="96"/>
      <c r="J133" s="96"/>
      <c r="K133" s="96"/>
      <c r="L133" s="96"/>
      <c r="M133" s="96"/>
      <c r="N133" s="96"/>
      <c r="O133" s="98"/>
      <c r="P133" s="96"/>
      <c r="Q133" s="96"/>
      <c r="R133" s="96"/>
      <c r="S133" s="257">
        <f>IF($E133=Dict!$I$2,IF($G133&gt;='Шаг 1. Основные исходные данные'!$E$5,1,ROUNDUP('Шаг 1. Основные исходные данные'!$E$5/$G133,0)),IF($F133=Dict!$J$2,1,SUM($H133:$M133)))</f>
        <v>0</v>
      </c>
      <c r="T133" s="97">
        <f>SUM(X133:AC133)</f>
        <v>0</v>
      </c>
      <c r="U133" s="49"/>
      <c r="V133" s="317"/>
      <c r="X133" s="283">
        <f>IF($E133=Dict!$I$2,1,IF($F133=Dict!$J$2,1,H133))*$O133*$Q133*X$18*$E$18</f>
        <v>0</v>
      </c>
      <c r="Y133" s="283">
        <f>IF($E133=Dict!$I$2,
IF($G133&gt;='Шаг 1. Основные исходные данные'!$E$5,0,
IF(MOD(Y$34-1,$G133)=0,1,0)),IF($F133=Dict!$J$2,0,I133))*$O133*$Q133*Y$18*$E$18</f>
        <v>0</v>
      </c>
      <c r="Z133" s="277">
        <f>IF($E133=Dict!$I$2,
IF($G133&gt;='Шаг 1. Основные исходные данные'!$E$5,0,
IF(MOD(Z$34-1,$G133)=0,1,0)),IF($F133=Dict!$J$2,0,J133))*$O133*$Q133*Z$18*$E$18</f>
        <v>0</v>
      </c>
      <c r="AA133" s="277">
        <f>IF($E133=Dict!$I$2,
IF($G133&gt;='Шаг 1. Основные исходные данные'!$E$5,0,
IF(MOD(AA$34-1,$G133)=0,1,0)),IF($F133=Dict!$J$2,0,K133))*$O133*$Q133*AA$18*$E$18</f>
        <v>0</v>
      </c>
      <c r="AB133" s="277">
        <f>IF($E133=Dict!$I$2,
IF($G133&gt;='Шаг 1. Основные исходные данные'!$E$5,0,
IF(MOD(AB$34-1,$G133)=0,1,0)),IF($F133=Dict!$J$2,0,L133))*$O133*$Q133*AB$18*$E$18</f>
        <v>0</v>
      </c>
      <c r="AC133" s="277">
        <f>IF($E133=Dict!$I$2,
IF($G133&gt;='Шаг 1. Основные исходные данные'!$E$5,0,
IF(MOD(AC$34-1,$G133)=0,1,0)),IF($F133=Dict!$J$2,0,M133))*$O133*$Q133*AC$18*$E$18</f>
        <v>0</v>
      </c>
    </row>
    <row r="134" spans="1:29" s="37" customFormat="1" ht="15.75" x14ac:dyDescent="0.25">
      <c r="A134" s="43"/>
      <c r="B134" s="48"/>
      <c r="C134" s="89" t="str">
        <f>IF(LEN(D134)&gt;0,C133+1,"")</f>
        <v/>
      </c>
      <c r="D134" s="31"/>
      <c r="E134" s="31"/>
      <c r="F134" s="96"/>
      <c r="G134" s="96"/>
      <c r="H134" s="96"/>
      <c r="I134" s="96"/>
      <c r="J134" s="96"/>
      <c r="K134" s="96"/>
      <c r="L134" s="96"/>
      <c r="M134" s="96"/>
      <c r="N134" s="96"/>
      <c r="O134" s="98"/>
      <c r="P134" s="96"/>
      <c r="Q134" s="96"/>
      <c r="R134" s="96"/>
      <c r="S134" s="257">
        <f>IF($E134=Dict!$I$2,IF($G134&gt;='Шаг 1. Основные исходные данные'!$E$5,1,ROUNDUP('Шаг 1. Основные исходные данные'!$E$5/$G134,0)),IF($F134=Dict!$J$2,1,SUM($H134:$M134)))</f>
        <v>0</v>
      </c>
      <c r="T134" s="97">
        <f>SUM(X134:AC134)</f>
        <v>0</v>
      </c>
      <c r="U134" s="49"/>
      <c r="V134" s="317"/>
      <c r="X134" s="283">
        <f>IF($E134=Dict!$I$2,1,IF($F134=Dict!$J$2,1,H134))*$O134*$Q134*X$18*$E$18</f>
        <v>0</v>
      </c>
      <c r="Y134" s="283">
        <f>IF($E134=Dict!$I$2,
IF($G134&gt;='Шаг 1. Основные исходные данные'!$E$5,0,
IF(MOD(Y$34-1,$G134)=0,1,0)),IF($F134=Dict!$J$2,0,I134))*$O134*$Q134*Y$18*$E$18</f>
        <v>0</v>
      </c>
      <c r="Z134" s="277">
        <f>IF($E134=Dict!$I$2,
IF($G134&gt;='Шаг 1. Основные исходные данные'!$E$5,0,
IF(MOD(Z$34-1,$G134)=0,1,0)),IF($F134=Dict!$J$2,0,J134))*$O134*$Q134*Z$18*$E$18</f>
        <v>0</v>
      </c>
      <c r="AA134" s="277">
        <f>IF($E134=Dict!$I$2,
IF($G134&gt;='Шаг 1. Основные исходные данные'!$E$5,0,
IF(MOD(AA$34-1,$G134)=0,1,0)),IF($F134=Dict!$J$2,0,K134))*$O134*$Q134*AA$18*$E$18</f>
        <v>0</v>
      </c>
      <c r="AB134" s="277">
        <f>IF($E134=Dict!$I$2,
IF($G134&gt;='Шаг 1. Основные исходные данные'!$E$5,0,
IF(MOD(AB$34-1,$G134)=0,1,0)),IF($F134=Dict!$J$2,0,L134))*$O134*$Q134*AB$18*$E$18</f>
        <v>0</v>
      </c>
      <c r="AC134" s="277">
        <f>IF($E134=Dict!$I$2,
IF($G134&gt;='Шаг 1. Основные исходные данные'!$E$5,0,
IF(MOD(AC$34-1,$G134)=0,1,0)),IF($F134=Dict!$J$2,0,M134))*$O134*$Q134*AC$18*$E$18</f>
        <v>0</v>
      </c>
    </row>
    <row r="135" spans="1:29" s="37" customFormat="1" ht="15.75" x14ac:dyDescent="0.25">
      <c r="A135" s="43"/>
      <c r="B135" s="48"/>
      <c r="C135" s="89" t="str">
        <f>IF(LEN(D135)&gt;0,C134+1,"")</f>
        <v/>
      </c>
      <c r="D135" s="31"/>
      <c r="E135" s="31"/>
      <c r="F135" s="96"/>
      <c r="G135" s="96"/>
      <c r="H135" s="96"/>
      <c r="I135" s="96"/>
      <c r="J135" s="96"/>
      <c r="K135" s="96"/>
      <c r="L135" s="96"/>
      <c r="M135" s="96"/>
      <c r="N135" s="96"/>
      <c r="O135" s="98"/>
      <c r="P135" s="96"/>
      <c r="Q135" s="96"/>
      <c r="R135" s="96"/>
      <c r="S135" s="257">
        <f>IF($E135=Dict!$I$2,IF($G135&gt;='Шаг 1. Основные исходные данные'!$E$5,1,ROUNDUP('Шаг 1. Основные исходные данные'!$E$5/$G135,0)),IF($F135=Dict!$J$2,1,SUM($H135:$M135)))</f>
        <v>0</v>
      </c>
      <c r="T135" s="97">
        <f>SUM(X135:AC135)</f>
        <v>0</v>
      </c>
      <c r="U135" s="49"/>
      <c r="V135" s="317"/>
      <c r="X135" s="283">
        <f>IF($E135=Dict!$I$2,1,IF($F135=Dict!$J$2,1,H135))*$O135*$Q135*X$18*$E$18</f>
        <v>0</v>
      </c>
      <c r="Y135" s="283">
        <f>IF($E135=Dict!$I$2,
IF($G135&gt;='Шаг 1. Основные исходные данные'!$E$5,0,
IF(MOD(Y$34-1,$G135)=0,1,0)),IF($F135=Dict!$J$2,0,I135))*$O135*$Q135*Y$18*$E$18</f>
        <v>0</v>
      </c>
      <c r="Z135" s="277">
        <f>IF($E135=Dict!$I$2,
IF($G135&gt;='Шаг 1. Основные исходные данные'!$E$5,0,
IF(MOD(Z$34-1,$G135)=0,1,0)),IF($F135=Dict!$J$2,0,J135))*$O135*$Q135*Z$18*$E$18</f>
        <v>0</v>
      </c>
      <c r="AA135" s="277">
        <f>IF($E135=Dict!$I$2,
IF($G135&gt;='Шаг 1. Основные исходные данные'!$E$5,0,
IF(MOD(AA$34-1,$G135)=0,1,0)),IF($F135=Dict!$J$2,0,K135))*$O135*$Q135*AA$18*$E$18</f>
        <v>0</v>
      </c>
      <c r="AB135" s="277">
        <f>IF($E135=Dict!$I$2,
IF($G135&gt;='Шаг 1. Основные исходные данные'!$E$5,0,
IF(MOD(AB$34-1,$G135)=0,1,0)),IF($F135=Dict!$J$2,0,L135))*$O135*$Q135*AB$18*$E$18</f>
        <v>0</v>
      </c>
      <c r="AC135" s="277">
        <f>IF($E135=Dict!$I$2,
IF($G135&gt;='Шаг 1. Основные исходные данные'!$E$5,0,
IF(MOD(AC$34-1,$G135)=0,1,0)),IF($F135=Dict!$J$2,0,M135))*$O135*$Q135*AC$18*$E$18</f>
        <v>0</v>
      </c>
    </row>
    <row r="136" spans="1:29" s="37" customFormat="1" ht="15.75" x14ac:dyDescent="0.25">
      <c r="A136" s="43"/>
      <c r="B136" s="48"/>
      <c r="C136" s="89" t="str">
        <f>IF(LEN(D136)&gt;0,C135+1,"")</f>
        <v/>
      </c>
      <c r="D136" s="31"/>
      <c r="E136" s="31"/>
      <c r="F136" s="96"/>
      <c r="G136" s="96"/>
      <c r="H136" s="96"/>
      <c r="I136" s="96"/>
      <c r="J136" s="96"/>
      <c r="K136" s="96"/>
      <c r="L136" s="96"/>
      <c r="M136" s="96"/>
      <c r="N136" s="96"/>
      <c r="O136" s="98"/>
      <c r="P136" s="96"/>
      <c r="Q136" s="96"/>
      <c r="R136" s="96"/>
      <c r="S136" s="257">
        <f>IF($E136=Dict!$I$2,IF($G136&gt;='Шаг 1. Основные исходные данные'!$E$5,1,ROUNDUP('Шаг 1. Основные исходные данные'!$E$5/$G136,0)),IF($F136=Dict!$J$2,1,SUM($H136:$M136)))</f>
        <v>0</v>
      </c>
      <c r="T136" s="97">
        <f>SUM(X136:AC136)</f>
        <v>0</v>
      </c>
      <c r="U136" s="49"/>
      <c r="V136" s="317"/>
      <c r="X136" s="283">
        <f>IF($E136=Dict!$I$2,1,IF($F136=Dict!$J$2,1,H136))*$O136*$Q136*X$18*$E$18</f>
        <v>0</v>
      </c>
      <c r="Y136" s="283">
        <f>IF($E136=Dict!$I$2,
IF($G136&gt;='Шаг 1. Основные исходные данные'!$E$5,0,
IF(MOD(Y$34-1,$G136)=0,1,0)),IF($F136=Dict!$J$2,0,I136))*$O136*$Q136*Y$18*$E$18</f>
        <v>0</v>
      </c>
      <c r="Z136" s="277">
        <f>IF($E136=Dict!$I$2,
IF($G136&gt;='Шаг 1. Основные исходные данные'!$E$5,0,
IF(MOD(Z$34-1,$G136)=0,1,0)),IF($F136=Dict!$J$2,0,J136))*$O136*$Q136*Z$18*$E$18</f>
        <v>0</v>
      </c>
      <c r="AA136" s="277">
        <f>IF($E136=Dict!$I$2,
IF($G136&gt;='Шаг 1. Основные исходные данные'!$E$5,0,
IF(MOD(AA$34-1,$G136)=0,1,0)),IF($F136=Dict!$J$2,0,K136))*$O136*$Q136*AA$18*$E$18</f>
        <v>0</v>
      </c>
      <c r="AB136" s="277">
        <f>IF($E136=Dict!$I$2,
IF($G136&gt;='Шаг 1. Основные исходные данные'!$E$5,0,
IF(MOD(AB$34-1,$G136)=0,1,0)),IF($F136=Dict!$J$2,0,L136))*$O136*$Q136*AB$18*$E$18</f>
        <v>0</v>
      </c>
      <c r="AC136" s="277">
        <f>IF($E136=Dict!$I$2,
IF($G136&gt;='Шаг 1. Основные исходные данные'!$E$5,0,
IF(MOD(AC$34-1,$G136)=0,1,0)),IF($F136=Dict!$J$2,0,M136))*$O136*$Q136*AC$18*$E$18</f>
        <v>0</v>
      </c>
    </row>
    <row r="137" spans="1:29" s="91" customFormat="1" ht="19.899999999999999" customHeight="1" x14ac:dyDescent="0.25">
      <c r="A137" s="90"/>
      <c r="B137" s="92"/>
      <c r="C137" s="94" t="s">
        <v>95</v>
      </c>
      <c r="D137" s="94"/>
      <c r="E137" s="94"/>
      <c r="F137" s="94"/>
      <c r="G137" s="94"/>
      <c r="H137" s="94"/>
      <c r="I137" s="94"/>
      <c r="J137" s="94"/>
      <c r="K137" s="94"/>
      <c r="L137" s="94"/>
      <c r="M137" s="94"/>
      <c r="N137" s="94"/>
      <c r="O137" s="94"/>
      <c r="P137" s="94"/>
      <c r="Q137" s="94"/>
      <c r="R137" s="94"/>
      <c r="S137" s="94"/>
      <c r="T137" s="95">
        <f>SUM(T132:T136)</f>
        <v>0</v>
      </c>
      <c r="U137" s="93"/>
      <c r="V137" s="319"/>
      <c r="W137" s="37"/>
      <c r="X137" s="284">
        <f t="shared" ref="X137:AC137" si="12">SUM(X132:X136)</f>
        <v>0</v>
      </c>
      <c r="Y137" s="284">
        <f t="shared" si="12"/>
        <v>0</v>
      </c>
      <c r="Z137" s="284">
        <f t="shared" si="12"/>
        <v>0</v>
      </c>
      <c r="AA137" s="284">
        <f t="shared" si="12"/>
        <v>0</v>
      </c>
      <c r="AB137" s="284">
        <f t="shared" si="12"/>
        <v>0</v>
      </c>
      <c r="AC137" s="284">
        <f t="shared" si="12"/>
        <v>0</v>
      </c>
    </row>
    <row r="138" spans="1:29" s="37" customFormat="1" ht="15.75" x14ac:dyDescent="0.25">
      <c r="A138" s="43"/>
      <c r="B138" s="53"/>
      <c r="C138" s="56"/>
      <c r="D138" s="56"/>
      <c r="E138" s="56"/>
      <c r="F138" s="56"/>
      <c r="G138" s="56"/>
      <c r="H138" s="56"/>
      <c r="I138" s="56"/>
      <c r="J138" s="56"/>
      <c r="K138" s="56"/>
      <c r="L138" s="56"/>
      <c r="M138" s="56"/>
      <c r="N138" s="56"/>
      <c r="O138" s="56"/>
      <c r="P138" s="56"/>
      <c r="Q138" s="56"/>
      <c r="R138" s="56"/>
      <c r="S138" s="56"/>
      <c r="T138" s="56"/>
      <c r="U138" s="54"/>
      <c r="V138" s="317"/>
      <c r="X138" s="271"/>
      <c r="Y138" s="271"/>
      <c r="Z138" s="271"/>
      <c r="AA138" s="271"/>
      <c r="AB138" s="271"/>
      <c r="AC138" s="271"/>
    </row>
    <row r="139" spans="1:29" s="37" customFormat="1" ht="15.75" x14ac:dyDescent="0.25">
      <c r="A139" s="43"/>
      <c r="B139" s="43"/>
      <c r="C139" s="43"/>
      <c r="D139" s="43"/>
      <c r="E139" s="43"/>
      <c r="F139" s="43"/>
      <c r="G139" s="43"/>
      <c r="H139" s="43"/>
      <c r="I139" s="43"/>
      <c r="J139" s="43"/>
      <c r="K139" s="43"/>
      <c r="L139" s="43"/>
      <c r="M139" s="43"/>
      <c r="N139" s="43"/>
      <c r="O139" s="43"/>
      <c r="P139" s="43"/>
      <c r="Q139" s="43"/>
      <c r="R139" s="43"/>
      <c r="S139" s="43"/>
      <c r="T139" s="43"/>
      <c r="U139" s="43"/>
      <c r="V139" s="43"/>
      <c r="X139" s="271"/>
      <c r="Y139" s="271"/>
      <c r="Z139" s="271"/>
      <c r="AA139" s="271"/>
      <c r="AB139" s="271"/>
      <c r="AC139" s="271"/>
    </row>
  </sheetData>
  <mergeCells count="53">
    <mergeCell ref="H130:M130"/>
    <mergeCell ref="H106:M106"/>
    <mergeCell ref="C120:C121"/>
    <mergeCell ref="D120:D121"/>
    <mergeCell ref="E120:E121"/>
    <mergeCell ref="F120:K120"/>
    <mergeCell ref="L120:L121"/>
    <mergeCell ref="M120:M121"/>
    <mergeCell ref="H82:M82"/>
    <mergeCell ref="C96:C97"/>
    <mergeCell ref="D96:D97"/>
    <mergeCell ref="E96:E97"/>
    <mergeCell ref="F96:K96"/>
    <mergeCell ref="L96:L97"/>
    <mergeCell ref="M96:M97"/>
    <mergeCell ref="H58:M58"/>
    <mergeCell ref="C72:C73"/>
    <mergeCell ref="D72:D73"/>
    <mergeCell ref="E72:E73"/>
    <mergeCell ref="F72:K72"/>
    <mergeCell ref="L72:L73"/>
    <mergeCell ref="M72:M73"/>
    <mergeCell ref="H34:M34"/>
    <mergeCell ref="C48:C49"/>
    <mergeCell ref="D48:D49"/>
    <mergeCell ref="E48:E49"/>
    <mergeCell ref="F48:K48"/>
    <mergeCell ref="L48:L49"/>
    <mergeCell ref="M48:M49"/>
    <mergeCell ref="C24:C25"/>
    <mergeCell ref="D24:D25"/>
    <mergeCell ref="E24:E25"/>
    <mergeCell ref="F24:K24"/>
    <mergeCell ref="L24:L25"/>
    <mergeCell ref="M24:M25"/>
    <mergeCell ref="G13:H13"/>
    <mergeCell ref="I13:M13"/>
    <mergeCell ref="G14:H14"/>
    <mergeCell ref="I14:M18"/>
    <mergeCell ref="G15:H15"/>
    <mergeCell ref="G16:H16"/>
    <mergeCell ref="G17:H17"/>
    <mergeCell ref="G18:H18"/>
    <mergeCell ref="C3:I3"/>
    <mergeCell ref="C5:D5"/>
    <mergeCell ref="E5:F5"/>
    <mergeCell ref="H5:P8"/>
    <mergeCell ref="C6:D6"/>
    <mergeCell ref="E6:F6"/>
    <mergeCell ref="C7:D7"/>
    <mergeCell ref="E7:F7"/>
    <mergeCell ref="C8:D8"/>
    <mergeCell ref="E8:F8"/>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8" id="{64F655D2-91AA-4347-96E8-396AAA5957A3}">
            <xm:f>(E36=Dict!$I$2)</xm:f>
            <x14:dxf>
              <fill>
                <patternFill patternType="lightUp">
                  <bgColor theme="2"/>
                </patternFill>
              </fill>
            </x14:dxf>
          </x14:cfRule>
          <xm:sqref>F36:F40</xm:sqref>
        </x14:conditionalFormatting>
        <x14:conditionalFormatting xmlns:xm="http://schemas.microsoft.com/office/excel/2006/main">
          <x14:cfRule type="expression" priority="14" id="{62F6DC4E-55EE-46AC-A4D0-F6076AAAA212}">
            <xm:f>(E60=Dict!$I$2)</xm:f>
            <x14:dxf>
              <fill>
                <patternFill patternType="lightUp">
                  <bgColor theme="2"/>
                </patternFill>
              </fill>
            </x14:dxf>
          </x14:cfRule>
          <xm:sqref>F60:F64</xm:sqref>
        </x14:conditionalFormatting>
        <x14:conditionalFormatting xmlns:xm="http://schemas.microsoft.com/office/excel/2006/main">
          <x14:cfRule type="expression" priority="10" id="{A3E4A8CA-6B5B-466C-B797-8884508C7065}">
            <xm:f>(E84=Dict!$I$2)</xm:f>
            <x14:dxf>
              <fill>
                <patternFill patternType="lightUp">
                  <bgColor theme="2"/>
                </patternFill>
              </fill>
            </x14:dxf>
          </x14:cfRule>
          <xm:sqref>F84:F88</xm:sqref>
        </x14:conditionalFormatting>
        <x14:conditionalFormatting xmlns:xm="http://schemas.microsoft.com/office/excel/2006/main">
          <x14:cfRule type="expression" priority="6" id="{049C2958-60D8-44BB-AD39-4916044ADBB2}">
            <xm:f>(E108=Dict!$I$2)</xm:f>
            <x14:dxf>
              <fill>
                <patternFill patternType="lightUp">
                  <bgColor theme="2"/>
                </patternFill>
              </fill>
            </x14:dxf>
          </x14:cfRule>
          <xm:sqref>F108:F112</xm:sqref>
        </x14:conditionalFormatting>
        <x14:conditionalFormatting xmlns:xm="http://schemas.microsoft.com/office/excel/2006/main">
          <x14:cfRule type="expression" priority="2" id="{BC6C978B-4BA3-4E71-9596-FA79D7C9A1FD}">
            <xm:f>(E132=Dict!$I$2)</xm:f>
            <x14:dxf>
              <fill>
                <patternFill patternType="lightUp">
                  <bgColor theme="2"/>
                </patternFill>
              </fill>
            </x14:dxf>
          </x14:cfRule>
          <xm:sqref>F132:F136</xm:sqref>
        </x14:conditionalFormatting>
        <x14:conditionalFormatting xmlns:xm="http://schemas.microsoft.com/office/excel/2006/main">
          <x14:cfRule type="expression" priority="19" id="{E019CD3C-805E-490D-9FBB-22FD60760417}">
            <xm:f>OR(E36=Dict!$I$3,E36=Dict!$I$4)</xm:f>
            <x14:dxf>
              <fill>
                <patternFill patternType="lightUp">
                  <bgColor theme="2"/>
                </patternFill>
              </fill>
            </x14:dxf>
          </x14:cfRule>
          <xm:sqref>G36:G40</xm:sqref>
        </x14:conditionalFormatting>
        <x14:conditionalFormatting xmlns:xm="http://schemas.microsoft.com/office/excel/2006/main">
          <x14:cfRule type="expression" priority="15" id="{07A28C58-3E88-4CDB-B4C6-DBC1D08388F7}">
            <xm:f>OR(E60=Dict!$I$3,E60=Dict!$I$4)</xm:f>
            <x14:dxf>
              <fill>
                <patternFill patternType="lightUp">
                  <bgColor theme="2"/>
                </patternFill>
              </fill>
            </x14:dxf>
          </x14:cfRule>
          <xm:sqref>G60:G64</xm:sqref>
        </x14:conditionalFormatting>
        <x14:conditionalFormatting xmlns:xm="http://schemas.microsoft.com/office/excel/2006/main">
          <x14:cfRule type="expression" priority="11" id="{260C326E-F1D6-4A49-94E1-73B0308D6B4A}">
            <xm:f>OR(E84=Dict!$I$3,E84=Dict!$I$4)</xm:f>
            <x14:dxf>
              <fill>
                <patternFill patternType="lightUp">
                  <bgColor theme="2"/>
                </patternFill>
              </fill>
            </x14:dxf>
          </x14:cfRule>
          <xm:sqref>G84:G88</xm:sqref>
        </x14:conditionalFormatting>
        <x14:conditionalFormatting xmlns:xm="http://schemas.microsoft.com/office/excel/2006/main">
          <x14:cfRule type="expression" priority="7" id="{EA1F7735-B031-45B7-9800-D63370ED6D1B}">
            <xm:f>OR(E108=Dict!$I$3,E108=Dict!$I$4)</xm:f>
            <x14:dxf>
              <fill>
                <patternFill patternType="lightUp">
                  <bgColor theme="2"/>
                </patternFill>
              </fill>
            </x14:dxf>
          </x14:cfRule>
          <xm:sqref>G108:G112</xm:sqref>
        </x14:conditionalFormatting>
        <x14:conditionalFormatting xmlns:xm="http://schemas.microsoft.com/office/excel/2006/main">
          <x14:cfRule type="expression" priority="3" id="{269B1441-AB3D-4E1E-9013-F38775D149C4}">
            <xm:f>OR(E132=Dict!$I$3,E132=Dict!$I$4)</xm:f>
            <x14:dxf>
              <fill>
                <patternFill patternType="lightUp">
                  <bgColor theme="2"/>
                </patternFill>
              </fill>
            </x14:dxf>
          </x14:cfRule>
          <xm:sqref>G132:G136</xm:sqref>
        </x14:conditionalFormatting>
        <x14:conditionalFormatting xmlns:xm="http://schemas.microsoft.com/office/excel/2006/main">
          <x14:cfRule type="expression" priority="17" id="{8F821E81-D844-4F66-B239-C0B72859884A}">
            <xm:f>OR($E26=Dict!$F$2,G$25="-")</xm:f>
            <x14:dxf>
              <fill>
                <patternFill patternType="lightUp"/>
              </fill>
            </x14:dxf>
          </x14:cfRule>
          <xm:sqref>G26:K30</xm:sqref>
        </x14:conditionalFormatting>
        <x14:conditionalFormatting xmlns:xm="http://schemas.microsoft.com/office/excel/2006/main">
          <x14:cfRule type="expression" priority="13" id="{2E0E9C7F-E781-4AD9-9F92-978C731A4784}">
            <xm:f>OR($E50=Dict!$F$2,G$25="-")</xm:f>
            <x14:dxf>
              <fill>
                <patternFill patternType="lightUp"/>
              </fill>
            </x14:dxf>
          </x14:cfRule>
          <xm:sqref>G50:K54</xm:sqref>
        </x14:conditionalFormatting>
        <x14:conditionalFormatting xmlns:xm="http://schemas.microsoft.com/office/excel/2006/main">
          <x14:cfRule type="expression" priority="9" id="{7CCBE872-BA1E-4EA4-9516-9ED845BEE1DD}">
            <xm:f>OR($E74=Dict!$F$2,G$25="-")</xm:f>
            <x14:dxf>
              <fill>
                <patternFill patternType="lightUp"/>
              </fill>
            </x14:dxf>
          </x14:cfRule>
          <xm:sqref>G74:K78</xm:sqref>
        </x14:conditionalFormatting>
        <x14:conditionalFormatting xmlns:xm="http://schemas.microsoft.com/office/excel/2006/main">
          <x14:cfRule type="expression" priority="5" id="{187CF988-540E-44C9-A04B-9D12997C1324}">
            <xm:f>OR($E98=Dict!$F$2,G$25="-")</xm:f>
            <x14:dxf>
              <fill>
                <patternFill patternType="lightUp"/>
              </fill>
            </x14:dxf>
          </x14:cfRule>
          <xm:sqref>G98:K102</xm:sqref>
        </x14:conditionalFormatting>
        <x14:conditionalFormatting xmlns:xm="http://schemas.microsoft.com/office/excel/2006/main">
          <x14:cfRule type="expression" priority="1" id="{7804E3AF-04EA-43F4-92E5-9D4A2416BDE6}">
            <xm:f>OR($E122=Dict!$F$2,G$25="-")</xm:f>
            <x14:dxf>
              <fill>
                <patternFill patternType="lightUp"/>
              </fill>
            </x14:dxf>
          </x14:cfRule>
          <xm:sqref>G122:K126</xm:sqref>
        </x14:conditionalFormatting>
        <x14:conditionalFormatting xmlns:xm="http://schemas.microsoft.com/office/excel/2006/main">
          <x14:cfRule type="expression" priority="20" id="{4E9D2F08-EF6D-40A7-B5FC-33D385BCE862}">
            <xm:f>OR($E36=Dict!$I$2,$F36=Dict!$J$2,H$35="-")</xm:f>
            <x14:dxf>
              <fill>
                <patternFill patternType="lightUp">
                  <bgColor theme="2"/>
                </patternFill>
              </fill>
            </x14:dxf>
          </x14:cfRule>
          <xm:sqref>H36:M40</xm:sqref>
        </x14:conditionalFormatting>
        <x14:conditionalFormatting xmlns:xm="http://schemas.microsoft.com/office/excel/2006/main">
          <x14:cfRule type="expression" priority="16" id="{BF4FC1A6-01A6-4C74-BEC2-29015728A9BD}">
            <xm:f>OR($E60=Dict!$I$2,$F60=Dict!$J$2,H$35="-")</xm:f>
            <x14:dxf>
              <fill>
                <patternFill patternType="lightUp">
                  <bgColor theme="2"/>
                </patternFill>
              </fill>
            </x14:dxf>
          </x14:cfRule>
          <xm:sqref>H60:M64</xm:sqref>
        </x14:conditionalFormatting>
        <x14:conditionalFormatting xmlns:xm="http://schemas.microsoft.com/office/excel/2006/main">
          <x14:cfRule type="expression" priority="12" id="{7F6CBC6A-601B-4A16-BAC9-9124BD7FE12E}">
            <xm:f>OR($E84=Dict!$I$2,$F84=Dict!$J$2,H$35="-")</xm:f>
            <x14:dxf>
              <fill>
                <patternFill patternType="lightUp">
                  <bgColor theme="2"/>
                </patternFill>
              </fill>
            </x14:dxf>
          </x14:cfRule>
          <xm:sqref>H84:M88</xm:sqref>
        </x14:conditionalFormatting>
        <x14:conditionalFormatting xmlns:xm="http://schemas.microsoft.com/office/excel/2006/main">
          <x14:cfRule type="expression" priority="8" id="{6196F7F4-00D0-457C-912A-1DAD7A173A75}">
            <xm:f>OR($E108=Dict!$I$2,$F108=Dict!$J$2,H$35="-")</xm:f>
            <x14:dxf>
              <fill>
                <patternFill patternType="lightUp">
                  <bgColor theme="2"/>
                </patternFill>
              </fill>
            </x14:dxf>
          </x14:cfRule>
          <xm:sqref>H108:M112</xm:sqref>
        </x14:conditionalFormatting>
        <x14:conditionalFormatting xmlns:xm="http://schemas.microsoft.com/office/excel/2006/main">
          <x14:cfRule type="expression" priority="4" id="{7F9CBCDA-1F10-468C-80AC-460CAB4B94F2}">
            <xm:f>OR($E132=Dict!$I$2,$F132=Dict!$J$2,H$35="-")</xm:f>
            <x14:dxf>
              <fill>
                <patternFill patternType="lightUp">
                  <bgColor theme="2"/>
                </patternFill>
              </fill>
            </x14:dxf>
          </x14:cfRule>
          <xm:sqref>H132:M136</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Dict!$F$2:$F$3</xm:f>
          </x14:formula1>
          <xm:sqref>E26:E30 E50:E54 E74:E78 E98:E102 E122:E126</xm:sqref>
        </x14:dataValidation>
        <x14:dataValidation type="list" allowBlank="1" showInputMessage="1" showErrorMessage="1">
          <x14:formula1>
            <xm:f>Dict!$I$2:$I$4</xm:f>
          </x14:formula1>
          <xm:sqref>E36:E40 E60:E64 E84:E88 E108:E112 E132:E136</xm:sqref>
        </x14:dataValidation>
        <x14:dataValidation type="list" allowBlank="1" showInputMessage="1" showErrorMessage="1">
          <x14:formula1>
            <xm:f>Dict!$J$2:$J$3</xm:f>
          </x14:formula1>
          <xm:sqref>F36:F40 F60:F64 F84:F88 F108:F112 F132:F136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N90"/>
  <sheetViews>
    <sheetView topLeftCell="A82" zoomScale="70" zoomScaleNormal="70" workbookViewId="0"/>
  </sheetViews>
  <sheetFormatPr defaultColWidth="8.85546875" defaultRowHeight="15.75" x14ac:dyDescent="0.25"/>
  <cols>
    <col min="1" max="2" width="5.7109375" style="37" customWidth="1"/>
    <col min="3" max="3" width="8.42578125" style="37" customWidth="1"/>
    <col min="4" max="4" width="37.85546875" style="37" customWidth="1"/>
    <col min="5" max="5" width="25.140625" style="37" customWidth="1"/>
    <col min="6" max="6" width="19.85546875" style="37" customWidth="1"/>
    <col min="7" max="7" width="23.7109375" style="37" customWidth="1"/>
    <col min="8" max="9" width="18.42578125" style="37" customWidth="1"/>
    <col min="10" max="11" width="17.85546875" style="37" customWidth="1"/>
    <col min="12" max="12" width="22.5703125" style="37" customWidth="1"/>
    <col min="13" max="13" width="19.42578125" style="37" customWidth="1"/>
    <col min="14" max="15" width="12" style="37" customWidth="1"/>
    <col min="16" max="16" width="21" style="37" customWidth="1"/>
    <col min="17" max="20" width="19.5703125" style="37" customWidth="1"/>
    <col min="21" max="21" width="14.42578125" style="37" customWidth="1"/>
    <col min="22" max="22" width="8.85546875" style="37"/>
    <col min="23" max="23" width="12.28515625" style="270" hidden="1" customWidth="1"/>
    <col min="24" max="28" width="10.42578125" style="270" hidden="1" customWidth="1"/>
    <col min="29" max="40" width="8.85546875" style="271" hidden="1" customWidth="1"/>
    <col min="41" max="16384" width="8.85546875" style="37"/>
  </cols>
  <sheetData>
    <row r="1" spans="1:40" x14ac:dyDescent="0.25">
      <c r="A1" s="43"/>
      <c r="B1" s="43"/>
      <c r="C1" s="43"/>
      <c r="D1" s="43"/>
      <c r="E1" s="43"/>
      <c r="F1" s="43"/>
      <c r="G1" s="43"/>
      <c r="H1" s="43"/>
      <c r="I1" s="43"/>
      <c r="J1" s="43"/>
      <c r="K1" s="43"/>
      <c r="L1" s="43"/>
      <c r="M1" s="43"/>
      <c r="N1" s="43"/>
      <c r="O1" s="43"/>
      <c r="P1" s="43"/>
      <c r="Q1" s="43"/>
      <c r="R1" s="43"/>
      <c r="S1" s="43"/>
      <c r="T1" s="43"/>
      <c r="U1" s="43"/>
    </row>
    <row r="2" spans="1:40" ht="18" x14ac:dyDescent="0.25">
      <c r="A2" s="43"/>
      <c r="B2" s="43"/>
      <c r="C2" s="33" t="s">
        <v>1174</v>
      </c>
      <c r="D2" s="43"/>
      <c r="E2" s="43"/>
      <c r="F2" s="43"/>
      <c r="G2" s="43"/>
      <c r="H2" s="43"/>
      <c r="I2" s="43"/>
      <c r="J2" s="43"/>
      <c r="K2" s="43"/>
      <c r="L2" s="43"/>
      <c r="M2" s="43"/>
      <c r="N2" s="43"/>
      <c r="O2" s="43"/>
      <c r="P2" s="43"/>
      <c r="Q2" s="43"/>
      <c r="R2" s="43"/>
      <c r="S2" s="43"/>
      <c r="T2" s="43"/>
      <c r="U2" s="43"/>
    </row>
    <row r="3" spans="1:40" ht="127.5" customHeight="1" x14ac:dyDescent="0.25">
      <c r="A3" s="43"/>
      <c r="B3" s="43"/>
      <c r="C3" s="329" t="s">
        <v>1175</v>
      </c>
      <c r="D3" s="329"/>
      <c r="E3" s="329"/>
      <c r="F3" s="329"/>
      <c r="G3" s="329"/>
      <c r="H3" s="329"/>
      <c r="I3" s="43"/>
      <c r="J3" s="43"/>
      <c r="K3" s="43"/>
      <c r="L3" s="43"/>
      <c r="M3" s="43"/>
      <c r="N3" s="43"/>
      <c r="O3" s="43"/>
      <c r="P3" s="43"/>
      <c r="Q3" s="43"/>
      <c r="R3" s="43"/>
      <c r="S3" s="43"/>
      <c r="T3" s="43"/>
      <c r="U3" s="43"/>
    </row>
    <row r="4" spans="1:40" ht="19.899999999999999" customHeight="1" x14ac:dyDescent="0.25">
      <c r="A4" s="43"/>
      <c r="B4" s="43"/>
      <c r="C4" s="40" t="s">
        <v>135</v>
      </c>
      <c r="D4" s="43"/>
      <c r="E4" s="43"/>
      <c r="F4" s="43"/>
      <c r="G4" s="122"/>
      <c r="H4" s="43"/>
      <c r="I4" s="43"/>
      <c r="J4" s="122" t="s">
        <v>156</v>
      </c>
      <c r="K4" s="43"/>
      <c r="L4" s="43"/>
      <c r="M4" s="43"/>
      <c r="N4" s="43"/>
      <c r="O4" s="43"/>
      <c r="P4" s="43"/>
      <c r="Q4" s="43"/>
      <c r="R4" s="43"/>
      <c r="S4" s="43"/>
      <c r="T4" s="43"/>
      <c r="U4" s="43"/>
      <c r="W4" s="280" t="s">
        <v>1228</v>
      </c>
      <c r="X4" s="271"/>
      <c r="Y4" s="271"/>
      <c r="Z4" s="271"/>
      <c r="AA4" s="271"/>
      <c r="AB4" s="271"/>
    </row>
    <row r="5" spans="1:40" s="91" customFormat="1" ht="47.25" x14ac:dyDescent="0.25">
      <c r="A5" s="90"/>
      <c r="B5" s="90"/>
      <c r="C5" s="86" t="s">
        <v>62</v>
      </c>
      <c r="D5" s="86" t="s">
        <v>86</v>
      </c>
      <c r="E5" s="285" t="s">
        <v>1236</v>
      </c>
      <c r="F5" s="285" t="s">
        <v>1237</v>
      </c>
      <c r="G5" s="90"/>
      <c r="H5" s="90"/>
      <c r="I5" s="90"/>
      <c r="J5" s="350"/>
      <c r="K5" s="350"/>
      <c r="L5" s="350"/>
      <c r="M5" s="350"/>
      <c r="N5" s="350"/>
      <c r="O5" s="350"/>
      <c r="P5" s="350"/>
      <c r="Q5" s="350"/>
      <c r="R5" s="90"/>
      <c r="S5" s="90"/>
      <c r="T5" s="90"/>
      <c r="U5" s="90"/>
      <c r="V5" s="37"/>
      <c r="W5" s="271"/>
      <c r="X5" s="271" t="s">
        <v>1229</v>
      </c>
      <c r="Y5" s="271"/>
      <c r="Z5" s="271"/>
      <c r="AA5" s="271"/>
      <c r="AB5" s="271"/>
      <c r="AC5" s="295"/>
      <c r="AD5" s="295"/>
      <c r="AE5" s="295"/>
      <c r="AF5" s="295"/>
      <c r="AG5" s="295"/>
      <c r="AH5" s="295"/>
      <c r="AI5" s="295"/>
      <c r="AJ5" s="295"/>
      <c r="AK5" s="295"/>
      <c r="AL5" s="295"/>
      <c r="AM5" s="295"/>
      <c r="AN5" s="295"/>
    </row>
    <row r="6" spans="1:40" x14ac:dyDescent="0.25">
      <c r="A6" s="43"/>
      <c r="B6" s="43"/>
      <c r="C6" s="275" t="str">
        <f>IF(LEN(D6)&gt;0,1,"")</f>
        <v/>
      </c>
      <c r="D6" s="125"/>
      <c r="E6" s="260">
        <f>IFERROR(S35,"Ошибка: не заполнен параметр в п.4.1")</f>
        <v>0</v>
      </c>
      <c r="F6" s="260">
        <f>IFERROR(T35,"Ошибка: не заполнен параметр в п.4.1")</f>
        <v>0</v>
      </c>
      <c r="G6" s="90"/>
      <c r="H6" s="43"/>
      <c r="I6" s="43"/>
      <c r="J6" s="350"/>
      <c r="K6" s="350"/>
      <c r="L6" s="350"/>
      <c r="M6" s="350"/>
      <c r="N6" s="350"/>
      <c r="O6" s="350"/>
      <c r="P6" s="350"/>
      <c r="Q6" s="350"/>
      <c r="R6" s="43"/>
      <c r="S6" s="43"/>
      <c r="T6" s="43"/>
      <c r="U6" s="43"/>
      <c r="W6" s="271"/>
      <c r="X6" s="271" t="s">
        <v>1230</v>
      </c>
      <c r="Y6" s="271"/>
      <c r="Z6" s="271"/>
      <c r="AA6" s="271"/>
      <c r="AB6" s="271"/>
    </row>
    <row r="7" spans="1:40" x14ac:dyDescent="0.25">
      <c r="A7" s="43"/>
      <c r="B7" s="43"/>
      <c r="C7" s="275" t="str">
        <f>IF(LEN(D7)&gt;0,C6+1,"")</f>
        <v/>
      </c>
      <c r="D7" s="125"/>
      <c r="E7" s="260">
        <f>IFERROR(S47,"Ошибка: не заполнен параметр в п.4.1")</f>
        <v>0</v>
      </c>
      <c r="F7" s="260">
        <f>IFERROR(T47,"Ошибка: не заполнен параметр в п.4.1")</f>
        <v>0</v>
      </c>
      <c r="G7" s="90"/>
      <c r="H7" s="43"/>
      <c r="I7" s="43"/>
      <c r="J7" s="350"/>
      <c r="K7" s="350"/>
      <c r="L7" s="350"/>
      <c r="M7" s="350"/>
      <c r="N7" s="350"/>
      <c r="O7" s="350"/>
      <c r="P7" s="350"/>
      <c r="Q7" s="350"/>
      <c r="R7" s="43"/>
      <c r="S7" s="43"/>
      <c r="T7" s="43"/>
      <c r="U7" s="43"/>
      <c r="W7" s="279" t="s">
        <v>1221</v>
      </c>
      <c r="X7" s="279" t="s">
        <v>1223</v>
      </c>
      <c r="Y7" s="279" t="s">
        <v>1224</v>
      </c>
      <c r="Z7" s="279" t="s">
        <v>1225</v>
      </c>
      <c r="AA7" s="279" t="s">
        <v>1226</v>
      </c>
      <c r="AB7" s="279" t="s">
        <v>1227</v>
      </c>
    </row>
    <row r="8" spans="1:40" x14ac:dyDescent="0.25">
      <c r="A8" s="43"/>
      <c r="B8" s="43"/>
      <c r="C8" s="275" t="str">
        <f>IF(LEN(D8)&gt;0,C7+1,"")</f>
        <v/>
      </c>
      <c r="D8" s="125"/>
      <c r="E8" s="260">
        <f>IFERROR(S59,"Ошибка: не заполнен параметр в п.4.1")</f>
        <v>0</v>
      </c>
      <c r="F8" s="260">
        <f>IFERROR(T59,"Ошибка: не заполнен параметр в п.4.1")</f>
        <v>0</v>
      </c>
      <c r="G8" s="90"/>
      <c r="H8" s="43"/>
      <c r="I8" s="43"/>
      <c r="J8" s="350"/>
      <c r="K8" s="350"/>
      <c r="L8" s="350"/>
      <c r="M8" s="350"/>
      <c r="N8" s="350"/>
      <c r="O8" s="350"/>
      <c r="P8" s="350"/>
      <c r="Q8" s="350"/>
      <c r="R8" s="43"/>
      <c r="S8" s="43"/>
      <c r="T8" s="43"/>
      <c r="U8" s="43"/>
      <c r="W8" s="272">
        <f>IF(1&lt;='Шаг 1. Основные исходные данные'!$E$5,1,0)</f>
        <v>1</v>
      </c>
      <c r="X8" s="272">
        <f>IF(2&lt;='Шаг 1. Основные исходные данные'!$E$5,2,0)</f>
        <v>2</v>
      </c>
      <c r="Y8" s="272">
        <f>IF(3&lt;='Шаг 1. Основные исходные данные'!$E$5,3,0)</f>
        <v>3</v>
      </c>
      <c r="Z8" s="272">
        <f>IF(4&lt;='Шаг 1. Основные исходные данные'!$E$5,4,0)</f>
        <v>4</v>
      </c>
      <c r="AA8" s="272">
        <f>IF(5&lt;='Шаг 1. Основные исходные данные'!$E$5,5,0)</f>
        <v>5</v>
      </c>
      <c r="AB8" s="272">
        <f>IF(6&lt;='Шаг 1. Основные исходные данные'!$E$5,6,0)</f>
        <v>6</v>
      </c>
    </row>
    <row r="9" spans="1:40" x14ac:dyDescent="0.25">
      <c r="A9" s="43"/>
      <c r="B9" s="43"/>
      <c r="C9" s="275" t="str">
        <f>IF(LEN(D9)&gt;0,C8+1,"")</f>
        <v/>
      </c>
      <c r="D9" s="125"/>
      <c r="E9" s="260">
        <f>IFERROR(S71,"Ошибка: не заполнен параметр в п.4.1")</f>
        <v>0</v>
      </c>
      <c r="F9" s="260">
        <f>IFERROR(T71,"Ошибка: не заполнен параметр в п.4.1")</f>
        <v>0</v>
      </c>
      <c r="G9" s="90"/>
      <c r="H9" s="43"/>
      <c r="I9" s="43"/>
      <c r="J9" s="350"/>
      <c r="K9" s="350"/>
      <c r="L9" s="350"/>
      <c r="M9" s="350"/>
      <c r="N9" s="350"/>
      <c r="O9" s="350"/>
      <c r="P9" s="350"/>
      <c r="Q9" s="350"/>
      <c r="R9" s="43"/>
      <c r="S9" s="43"/>
      <c r="T9" s="43"/>
      <c r="U9" s="43"/>
      <c r="W9" s="271">
        <v>1</v>
      </c>
      <c r="X9" s="271">
        <f>IF(X$8=0,0,(1+'Шаг 1. Основные исходные данные'!$E$12/100))</f>
        <v>1.04457</v>
      </c>
      <c r="Y9" s="271">
        <f>IF(Y$8=0,0,X9*(1+'Шаг 1. Основные исходные данные'!$E$13/100))</f>
        <v>1.0866243882</v>
      </c>
      <c r="Z9" s="271">
        <f>IF(Z$8=0,0,Y9*(1+'Шаг 1. Основные исходные данные'!$E$14/100))</f>
        <v>1.1305022809955161</v>
      </c>
      <c r="AA9" s="271">
        <f>IF(AA$8=0,0,Z9*(1+'Шаг 1. Основные исходные данные'!$E$15/100))</f>
        <v>1.1761519631021151</v>
      </c>
      <c r="AB9" s="271">
        <f>IF(AB$8=0,0,AA9*(1+'Шаг 1. Основные исходные данные'!$E$16/100))</f>
        <v>1.2236449793721786</v>
      </c>
    </row>
    <row r="10" spans="1:40" x14ac:dyDescent="0.25">
      <c r="A10" s="43"/>
      <c r="B10" s="43"/>
      <c r="C10" s="275" t="str">
        <f>IF(LEN(D10)&gt;0,C9+1,"")</f>
        <v/>
      </c>
      <c r="D10" s="125"/>
      <c r="E10" s="260">
        <f>IFERROR(S83,"Ошибка: не заполнен параметр в п.4.1")</f>
        <v>0</v>
      </c>
      <c r="F10" s="260">
        <f>IFERROR(T83,"Ошибка: не заполнен параметр в п.4.1")</f>
        <v>0</v>
      </c>
      <c r="G10" s="90"/>
      <c r="H10" s="43"/>
      <c r="I10" s="43"/>
      <c r="J10" s="350"/>
      <c r="K10" s="350"/>
      <c r="L10" s="350"/>
      <c r="M10" s="350"/>
      <c r="N10" s="350"/>
      <c r="O10" s="350"/>
      <c r="P10" s="350"/>
      <c r="Q10" s="350"/>
      <c r="R10" s="43"/>
      <c r="S10" s="43"/>
      <c r="T10" s="43"/>
      <c r="U10" s="43"/>
      <c r="W10" s="271">
        <v>1</v>
      </c>
      <c r="X10" s="271">
        <f>IF(X$8=0,0,(1+'Шаг 1. Основные исходные данные'!$E$17/100))</f>
        <v>1.1321600000000001</v>
      </c>
      <c r="Y10" s="271">
        <f>IF(Y$8=0,0,X10*(1+'Шаг 1. Основные исходные данные'!$E$18/100))</f>
        <v>1.2478780735999999</v>
      </c>
      <c r="Z10" s="271">
        <f>IF(Z$8=0,0,Y10*(1+'Шаг 1. Основные исходные данные'!$E$19/100))</f>
        <v>1.35126477199776</v>
      </c>
      <c r="AA10" s="271">
        <f>IF(AA$8=0,0,Z10*(1+'Шаг 1. Основные исходные данные'!$E$20/100))</f>
        <v>1.4632170583577746</v>
      </c>
      <c r="AB10" s="271">
        <f>IF(AB$8=0,0,AA10*(1+'Шаг 1. Основные исходные данные'!$E$21/100))</f>
        <v>1.5844445916427163</v>
      </c>
    </row>
    <row r="11" spans="1:40" s="91" customFormat="1" ht="19.899999999999999" customHeight="1" x14ac:dyDescent="0.25">
      <c r="A11" s="90"/>
      <c r="B11" s="90"/>
      <c r="C11" s="351" t="s">
        <v>96</v>
      </c>
      <c r="D11" s="351"/>
      <c r="E11" s="259">
        <f>IFERROR(VLOOKUP("Ошибка: не заполнен параметр в п.4.1",E6:E10,1,0),SUM(E6:E10))</f>
        <v>0</v>
      </c>
      <c r="F11" s="259">
        <f>IFERROR(VLOOKUP("Ошибка: не заполнен параметр в п.4.1",F6:F10,1,0),SUM(F6:F10))</f>
        <v>0</v>
      </c>
      <c r="G11" s="90"/>
      <c r="H11" s="90"/>
      <c r="I11" s="90"/>
      <c r="J11" s="350"/>
      <c r="K11" s="350"/>
      <c r="L11" s="350"/>
      <c r="M11" s="350"/>
      <c r="N11" s="350"/>
      <c r="O11" s="350"/>
      <c r="P11" s="350"/>
      <c r="Q11" s="350"/>
      <c r="R11" s="90"/>
      <c r="S11" s="90"/>
      <c r="T11" s="90"/>
      <c r="U11" s="90"/>
      <c r="V11" s="37"/>
      <c r="W11" s="271"/>
      <c r="X11" s="271"/>
      <c r="Y11" s="271"/>
      <c r="Z11" s="271"/>
      <c r="AA11" s="271"/>
      <c r="AB11" s="271"/>
      <c r="AC11" s="295"/>
      <c r="AD11" s="295"/>
      <c r="AE11" s="295"/>
      <c r="AF11" s="295"/>
      <c r="AG11" s="295"/>
      <c r="AH11" s="295"/>
      <c r="AI11" s="295"/>
      <c r="AJ11" s="295"/>
      <c r="AK11" s="295"/>
      <c r="AL11" s="295"/>
      <c r="AM11" s="295"/>
      <c r="AN11" s="295"/>
    </row>
    <row r="12" spans="1:40" ht="31.5" customHeight="1" x14ac:dyDescent="0.25">
      <c r="A12" s="43"/>
      <c r="B12" s="43"/>
      <c r="C12" s="329" t="s">
        <v>87</v>
      </c>
      <c r="D12" s="329"/>
      <c r="E12" s="329"/>
      <c r="F12" s="329"/>
      <c r="G12" s="329"/>
      <c r="H12" s="329"/>
      <c r="I12" s="43"/>
      <c r="J12" s="43"/>
      <c r="K12" s="43"/>
      <c r="L12" s="43"/>
      <c r="M12" s="43"/>
      <c r="N12" s="43"/>
      <c r="O12" s="43"/>
      <c r="P12" s="43"/>
      <c r="Q12" s="43"/>
      <c r="R12" s="43"/>
      <c r="S12" s="43"/>
      <c r="T12" s="43"/>
      <c r="U12" s="43"/>
    </row>
    <row r="13" spans="1:40" x14ac:dyDescent="0.25">
      <c r="A13" s="43"/>
      <c r="B13" s="43"/>
      <c r="C13" s="43"/>
      <c r="D13" s="43"/>
      <c r="E13" s="43"/>
      <c r="F13" s="43"/>
      <c r="G13" s="43"/>
      <c r="H13" s="43"/>
      <c r="I13" s="43"/>
      <c r="J13" s="43"/>
      <c r="K13" s="43"/>
      <c r="L13" s="43"/>
      <c r="M13" s="43"/>
      <c r="N13" s="43"/>
      <c r="O13" s="43"/>
      <c r="P13" s="43"/>
      <c r="Q13" s="43"/>
      <c r="R13" s="43"/>
      <c r="S13" s="43"/>
      <c r="T13" s="43"/>
      <c r="U13" s="43"/>
    </row>
    <row r="14" spans="1:40" x14ac:dyDescent="0.25">
      <c r="A14" s="43"/>
      <c r="B14" s="43"/>
      <c r="C14" s="43"/>
      <c r="D14" s="43"/>
      <c r="E14" s="43"/>
      <c r="F14" s="43"/>
      <c r="G14" s="43"/>
      <c r="H14" s="43"/>
      <c r="I14" s="43"/>
      <c r="J14" s="43"/>
      <c r="K14" s="43"/>
      <c r="L14" s="43"/>
      <c r="M14" s="43"/>
      <c r="N14" s="43"/>
      <c r="O14" s="43"/>
      <c r="P14" s="43"/>
      <c r="Q14" s="43"/>
      <c r="R14" s="43"/>
      <c r="S14" s="43"/>
      <c r="T14" s="43"/>
      <c r="U14" s="43"/>
    </row>
    <row r="15" spans="1:40" x14ac:dyDescent="0.25">
      <c r="A15" s="43"/>
      <c r="B15" s="43"/>
      <c r="C15" s="36" t="s">
        <v>83</v>
      </c>
      <c r="D15" s="43"/>
      <c r="E15" s="43"/>
      <c r="F15" s="43"/>
      <c r="G15" s="43"/>
      <c r="H15" s="43"/>
      <c r="I15" s="43"/>
      <c r="J15" s="43"/>
      <c r="K15" s="43"/>
      <c r="L15" s="43"/>
      <c r="M15" s="43"/>
      <c r="N15" s="43"/>
      <c r="O15" s="43"/>
      <c r="P15" s="43"/>
      <c r="Q15" s="43"/>
      <c r="R15" s="43"/>
      <c r="S15" s="43"/>
      <c r="T15" s="43"/>
      <c r="U15" s="43"/>
    </row>
    <row r="16" spans="1:40" x14ac:dyDescent="0.25">
      <c r="A16" s="43"/>
      <c r="B16" s="43"/>
      <c r="C16" s="43"/>
      <c r="D16" s="43"/>
      <c r="E16" s="43"/>
      <c r="F16" s="43"/>
      <c r="G16" s="43"/>
      <c r="H16" s="43"/>
      <c r="I16" s="43"/>
      <c r="J16" s="43"/>
      <c r="K16" s="43"/>
      <c r="L16" s="43"/>
      <c r="M16" s="43"/>
      <c r="N16" s="43"/>
      <c r="O16" s="43"/>
      <c r="P16" s="43"/>
      <c r="Q16" s="43"/>
      <c r="R16" s="43"/>
      <c r="S16" s="43"/>
      <c r="T16" s="43"/>
      <c r="U16" s="43"/>
    </row>
    <row r="17" spans="1:40" ht="19.899999999999999" customHeight="1" x14ac:dyDescent="0.25">
      <c r="A17" s="43"/>
      <c r="B17" s="43"/>
      <c r="C17" s="336" t="s">
        <v>62</v>
      </c>
      <c r="D17" s="336" t="s">
        <v>84</v>
      </c>
      <c r="E17" s="336" t="s">
        <v>15</v>
      </c>
      <c r="F17" s="336" t="s">
        <v>85</v>
      </c>
      <c r="G17" s="352" t="s">
        <v>1302</v>
      </c>
      <c r="H17" s="354" t="s">
        <v>32</v>
      </c>
      <c r="I17" s="355"/>
      <c r="J17" s="355"/>
      <c r="K17" s="355"/>
      <c r="L17" s="355"/>
      <c r="M17" s="355"/>
      <c r="N17" s="355"/>
      <c r="O17" s="356"/>
      <c r="P17" s="43"/>
      <c r="Q17" s="43"/>
      <c r="R17" s="43"/>
      <c r="S17" s="43"/>
      <c r="T17" s="43"/>
      <c r="U17" s="43"/>
    </row>
    <row r="18" spans="1:40" ht="126" customHeight="1" x14ac:dyDescent="0.25">
      <c r="A18" s="43"/>
      <c r="B18" s="43"/>
      <c r="C18" s="336"/>
      <c r="D18" s="336"/>
      <c r="E18" s="336"/>
      <c r="F18" s="336"/>
      <c r="G18" s="353"/>
      <c r="H18" s="77" t="s">
        <v>89</v>
      </c>
      <c r="I18" s="77" t="s">
        <v>1303</v>
      </c>
      <c r="J18" s="77" t="s">
        <v>1238</v>
      </c>
      <c r="K18" s="77" t="s">
        <v>1304</v>
      </c>
      <c r="L18" s="77" t="s">
        <v>88</v>
      </c>
      <c r="M18" s="77" t="s">
        <v>90</v>
      </c>
      <c r="N18" s="357" t="s">
        <v>91</v>
      </c>
      <c r="O18" s="358"/>
      <c r="P18" s="43"/>
      <c r="Q18" s="43"/>
      <c r="R18" s="43"/>
      <c r="S18" s="43"/>
      <c r="T18" s="43"/>
      <c r="U18" s="43"/>
      <c r="W18" s="293" t="s">
        <v>1242</v>
      </c>
      <c r="X18" s="293" t="s">
        <v>1245</v>
      </c>
      <c r="Y18" s="293" t="s">
        <v>1249</v>
      </c>
    </row>
    <row r="19" spans="1:40" x14ac:dyDescent="0.25">
      <c r="A19" s="43"/>
      <c r="B19" s="43"/>
      <c r="C19" s="35" t="str">
        <f>IF(LEN(D19)&gt;0,1,"")</f>
        <v/>
      </c>
      <c r="D19" s="76"/>
      <c r="E19" s="76"/>
      <c r="F19" s="44"/>
      <c r="G19" s="63"/>
      <c r="H19" s="62"/>
      <c r="I19" s="44"/>
      <c r="J19" s="44"/>
      <c r="K19" s="44"/>
      <c r="L19" s="55">
        <f>IF(J19=0,0,'Шаг 1. Основные исходные данные'!$E$8*'Шаг 1. Основные исходные данные'!$E$11)</f>
        <v>0</v>
      </c>
      <c r="M19" s="59"/>
      <c r="N19" s="364"/>
      <c r="O19" s="365"/>
      <c r="P19" s="43"/>
      <c r="Q19" s="43"/>
      <c r="R19" s="43"/>
      <c r="S19" s="43"/>
      <c r="T19" s="43"/>
      <c r="U19" s="43"/>
      <c r="W19" s="297">
        <f>L19*12/'Шаг 1. Основные исходные данные'!$E$10/8*J19*F19</f>
        <v>0</v>
      </c>
      <c r="X19" s="297">
        <f>M19*12/365/8*F19</f>
        <v>0</v>
      </c>
      <c r="Y19" s="297">
        <f>H19*12/'Шаг 1. Основные исходные данные'!$E$10/8*F19</f>
        <v>0</v>
      </c>
      <c r="Z19" s="272"/>
      <c r="AA19" s="272"/>
      <c r="AB19" s="272"/>
    </row>
    <row r="20" spans="1:40" x14ac:dyDescent="0.25">
      <c r="A20" s="43"/>
      <c r="B20" s="43"/>
      <c r="C20" s="35" t="str">
        <f>IF(LEN(D20)&gt;0,C19+1,"")</f>
        <v/>
      </c>
      <c r="D20" s="76"/>
      <c r="E20" s="76"/>
      <c r="F20" s="44"/>
      <c r="G20" s="63"/>
      <c r="H20" s="62"/>
      <c r="I20" s="44"/>
      <c r="J20" s="44"/>
      <c r="K20" s="44"/>
      <c r="L20" s="55">
        <f>IF(J20=0,0,'Шаг 1. Основные исходные данные'!$E$8*'Шаг 1. Основные исходные данные'!$E$11)</f>
        <v>0</v>
      </c>
      <c r="M20" s="59"/>
      <c r="N20" s="364"/>
      <c r="O20" s="365"/>
      <c r="P20" s="43"/>
      <c r="Q20" s="43"/>
      <c r="R20" s="43"/>
      <c r="S20" s="43"/>
      <c r="T20" s="43"/>
      <c r="U20" s="43"/>
      <c r="W20" s="297">
        <f>L20*12/'Шаг 1. Основные исходные данные'!$E$10/8*J20*F20</f>
        <v>0</v>
      </c>
      <c r="X20" s="297">
        <f>M20*12/365/8*F20</f>
        <v>0</v>
      </c>
      <c r="Y20" s="297">
        <f>H20*12/'Шаг 1. Основные исходные данные'!$E$10/8*F20</f>
        <v>0</v>
      </c>
      <c r="Z20" s="272"/>
      <c r="AA20" s="272"/>
      <c r="AB20" s="272"/>
    </row>
    <row r="21" spans="1:40" x14ac:dyDescent="0.25">
      <c r="A21" s="43"/>
      <c r="B21" s="43"/>
      <c r="C21" s="35" t="str">
        <f>IF(LEN(D21)&gt;0,C20+1,"")</f>
        <v/>
      </c>
      <c r="D21" s="76"/>
      <c r="E21" s="76"/>
      <c r="F21" s="44"/>
      <c r="G21" s="63"/>
      <c r="H21" s="62"/>
      <c r="I21" s="44"/>
      <c r="J21" s="44"/>
      <c r="K21" s="44"/>
      <c r="L21" s="55">
        <f>IF(J21=0,0,'Шаг 1. Основные исходные данные'!$E$8*'Шаг 1. Основные исходные данные'!$E$11)</f>
        <v>0</v>
      </c>
      <c r="M21" s="59"/>
      <c r="N21" s="364"/>
      <c r="O21" s="365"/>
      <c r="P21" s="43"/>
      <c r="Q21" s="43"/>
      <c r="R21" s="43"/>
      <c r="S21" s="43"/>
      <c r="T21" s="43"/>
      <c r="U21" s="43"/>
      <c r="W21" s="297">
        <f>L21*12/'Шаг 1. Основные исходные данные'!$E$10/8*J21*F21</f>
        <v>0</v>
      </c>
      <c r="X21" s="297">
        <f>M21*12/365/8*F21</f>
        <v>0</v>
      </c>
      <c r="Y21" s="297">
        <f>H21*12/'Шаг 1. Основные исходные данные'!$E$10/8*F21</f>
        <v>0</v>
      </c>
      <c r="Z21" s="272"/>
      <c r="AA21" s="272"/>
      <c r="AB21" s="272"/>
    </row>
    <row r="22" spans="1:40" x14ac:dyDescent="0.25">
      <c r="A22" s="43"/>
      <c r="B22" s="43"/>
      <c r="C22" s="35" t="str">
        <f>IF(LEN(D22)&gt;0,C21+1,"")</f>
        <v/>
      </c>
      <c r="D22" s="76"/>
      <c r="E22" s="76"/>
      <c r="F22" s="44"/>
      <c r="G22" s="63"/>
      <c r="H22" s="62"/>
      <c r="I22" s="44"/>
      <c r="J22" s="44"/>
      <c r="K22" s="44"/>
      <c r="L22" s="55">
        <f>IF(J22=0,0,'Шаг 1. Основные исходные данные'!$E$8*'Шаг 1. Основные исходные данные'!$E$11)</f>
        <v>0</v>
      </c>
      <c r="M22" s="59"/>
      <c r="N22" s="364"/>
      <c r="O22" s="365"/>
      <c r="P22" s="43"/>
      <c r="Q22" s="43"/>
      <c r="R22" s="43"/>
      <c r="S22" s="43"/>
      <c r="T22" s="43"/>
      <c r="U22" s="43"/>
      <c r="W22" s="297">
        <f>L22*12/'Шаг 1. Основные исходные данные'!$E$10/8*J22*F22</f>
        <v>0</v>
      </c>
      <c r="X22" s="297">
        <f>M22*12/365/8*F22</f>
        <v>0</v>
      </c>
      <c r="Y22" s="297">
        <f>H22*12/'Шаг 1. Основные исходные данные'!$E$10/8*F22</f>
        <v>0</v>
      </c>
      <c r="Z22" s="272"/>
      <c r="AA22" s="272"/>
      <c r="AB22" s="272"/>
    </row>
    <row r="23" spans="1:40" x14ac:dyDescent="0.25">
      <c r="A23" s="43"/>
      <c r="B23" s="43"/>
      <c r="C23" s="291" t="str">
        <f>IF(LEN(D23)&gt;0,C22+1,"")</f>
        <v/>
      </c>
      <c r="D23" s="292"/>
      <c r="E23" s="292"/>
      <c r="F23" s="65"/>
      <c r="G23" s="68"/>
      <c r="H23" s="64"/>
      <c r="I23" s="65"/>
      <c r="J23" s="65"/>
      <c r="K23" s="65"/>
      <c r="L23" s="66">
        <f>IF(J23=0,0,'Шаг 1. Основные исходные данные'!$E$8*'Шаг 1. Основные исходные данные'!$E$11)</f>
        <v>0</v>
      </c>
      <c r="M23" s="67"/>
      <c r="N23" s="366"/>
      <c r="O23" s="367"/>
      <c r="P23" s="43"/>
      <c r="Q23" s="43"/>
      <c r="R23" s="43"/>
      <c r="S23" s="43"/>
      <c r="T23" s="43"/>
      <c r="U23" s="43"/>
      <c r="W23" s="297">
        <f>L23*12/'Шаг 1. Основные исходные данные'!$E$10/8*J23*F23</f>
        <v>0</v>
      </c>
      <c r="X23" s="297">
        <f>M23*12/365/8*F23</f>
        <v>0</v>
      </c>
      <c r="Y23" s="297">
        <f>H23*12/'Шаг 1. Основные исходные данные'!$E$10/8*F23</f>
        <v>0</v>
      </c>
      <c r="Z23" s="272"/>
      <c r="AA23" s="272"/>
      <c r="AB23" s="272"/>
    </row>
    <row r="24" spans="1:40" x14ac:dyDescent="0.25">
      <c r="A24" s="43"/>
      <c r="B24" s="43"/>
      <c r="C24" s="43"/>
      <c r="D24" s="43"/>
      <c r="E24" s="43"/>
      <c r="F24" s="43"/>
      <c r="G24" s="43"/>
      <c r="H24" s="43"/>
      <c r="I24" s="43"/>
      <c r="J24" s="43"/>
      <c r="K24" s="43"/>
      <c r="L24" s="43"/>
      <c r="M24" s="43"/>
      <c r="N24" s="43"/>
      <c r="O24" s="43"/>
      <c r="P24" s="43"/>
      <c r="Q24" s="43"/>
      <c r="R24" s="43"/>
      <c r="S24" s="43"/>
      <c r="T24" s="43"/>
      <c r="U24" s="43"/>
      <c r="W24" s="294"/>
    </row>
    <row r="25" spans="1:40" x14ac:dyDescent="0.25">
      <c r="A25" s="43"/>
      <c r="B25" s="43"/>
      <c r="C25" s="43"/>
      <c r="D25" s="43"/>
      <c r="E25" s="43"/>
      <c r="F25" s="43"/>
      <c r="G25" s="43"/>
      <c r="H25" s="43"/>
      <c r="I25" s="43"/>
      <c r="J25" s="43"/>
      <c r="K25" s="43"/>
      <c r="L25" s="43"/>
      <c r="M25" s="43"/>
      <c r="N25" s="43"/>
      <c r="O25" s="43"/>
      <c r="P25" s="43"/>
      <c r="Q25" s="43"/>
      <c r="R25" s="43"/>
      <c r="S25" s="43"/>
      <c r="T25" s="43"/>
      <c r="U25" s="43"/>
    </row>
    <row r="26" spans="1:40" x14ac:dyDescent="0.25">
      <c r="A26" s="43"/>
      <c r="B26" s="43"/>
      <c r="C26" s="36" t="str">
        <f>CONCATENATE("4.2.",$C$19,". Издержки простоя группы объектов ",$C$19," - """,$D$19,"""")</f>
        <v>4.2.. Издержки простоя группы объектов  - ""</v>
      </c>
      <c r="D26" s="43"/>
      <c r="E26" s="43"/>
      <c r="F26" s="43"/>
      <c r="G26" s="43"/>
      <c r="H26" s="43"/>
      <c r="I26" s="43"/>
      <c r="J26" s="43"/>
      <c r="K26" s="43"/>
      <c r="L26" s="43"/>
      <c r="M26" s="43"/>
      <c r="N26" s="43"/>
      <c r="O26" s="43"/>
      <c r="P26" s="43"/>
      <c r="Q26" s="43"/>
      <c r="R26" s="43"/>
      <c r="S26" s="43"/>
      <c r="T26" s="43"/>
      <c r="U26" s="43"/>
    </row>
    <row r="27" spans="1:40" x14ac:dyDescent="0.25">
      <c r="A27" s="43"/>
      <c r="B27" s="43"/>
      <c r="C27" s="43"/>
      <c r="D27" s="43"/>
      <c r="E27" s="43"/>
      <c r="F27" s="43"/>
      <c r="G27" s="43"/>
      <c r="H27" s="43"/>
      <c r="I27" s="43"/>
      <c r="J27" s="43"/>
      <c r="K27" s="43"/>
      <c r="L27" s="43"/>
      <c r="M27" s="43"/>
      <c r="N27" s="43"/>
      <c r="O27" s="43"/>
      <c r="P27" s="43"/>
      <c r="Q27" s="43"/>
      <c r="R27" s="43"/>
      <c r="S27" s="43"/>
      <c r="T27" s="43"/>
      <c r="U27" s="43"/>
      <c r="AC27" s="293"/>
      <c r="AI27" s="293"/>
    </row>
    <row r="28" spans="1:40" ht="19.899999999999999" customHeight="1" x14ac:dyDescent="0.25">
      <c r="A28" s="43"/>
      <c r="B28" s="43"/>
      <c r="C28" s="336" t="s">
        <v>62</v>
      </c>
      <c r="D28" s="336" t="s">
        <v>94</v>
      </c>
      <c r="E28" s="359" t="s">
        <v>1176</v>
      </c>
      <c r="F28" s="360"/>
      <c r="G28" s="361"/>
      <c r="H28" s="362" t="s">
        <v>1239</v>
      </c>
      <c r="I28" s="336" t="s">
        <v>1305</v>
      </c>
      <c r="J28" s="336" t="s">
        <v>1240</v>
      </c>
      <c r="K28" s="336"/>
      <c r="L28" s="336"/>
      <c r="M28" s="336"/>
      <c r="N28" s="336"/>
      <c r="O28" s="336"/>
      <c r="P28" s="336" t="s">
        <v>1306</v>
      </c>
      <c r="Q28" s="286" t="s">
        <v>1236</v>
      </c>
      <c r="R28" s="287"/>
      <c r="S28" s="362" t="s">
        <v>1241</v>
      </c>
      <c r="T28" s="336" t="s">
        <v>1271</v>
      </c>
      <c r="U28" s="43"/>
      <c r="W28" s="293" t="s">
        <v>1246</v>
      </c>
      <c r="AC28" s="293" t="s">
        <v>1247</v>
      </c>
      <c r="AI28" s="293" t="s">
        <v>1248</v>
      </c>
    </row>
    <row r="29" spans="1:40" s="61" customFormat="1" ht="94.5" x14ac:dyDescent="0.25">
      <c r="A29" s="60"/>
      <c r="B29" s="60"/>
      <c r="C29" s="336"/>
      <c r="D29" s="336"/>
      <c r="E29" s="288" t="s">
        <v>109</v>
      </c>
      <c r="F29" s="289" t="s">
        <v>1243</v>
      </c>
      <c r="G29" s="290" t="s">
        <v>1244</v>
      </c>
      <c r="H29" s="363"/>
      <c r="I29" s="336"/>
      <c r="J29" s="125" t="str">
        <f>IF(1&lt;='Шаг 1. Основные исходные данные'!$E$5,"1 год","-")</f>
        <v>1 год</v>
      </c>
      <c r="K29" s="125" t="str">
        <f>IF(2&lt;='Шаг 1. Основные исходные данные'!$E$5,"2 год","-")</f>
        <v>2 год</v>
      </c>
      <c r="L29" s="125" t="str">
        <f>IF(3&lt;='Шаг 1. Основные исходные данные'!$E$5,"3 год","-")</f>
        <v>3 год</v>
      </c>
      <c r="M29" s="125" t="str">
        <f>IF(4&lt;='Шаг 1. Основные исходные данные'!$E$5,"4 год","-")</f>
        <v>4 год</v>
      </c>
      <c r="N29" s="125" t="str">
        <f>IF(5&lt;='Шаг 1. Основные исходные данные'!$E$5,"5 год","-")</f>
        <v>5 год</v>
      </c>
      <c r="O29" s="125" t="str">
        <f>IF(6&lt;='Шаг 1. Основные исходные данные'!$E$5,"6 год","-")</f>
        <v>6 год</v>
      </c>
      <c r="P29" s="336"/>
      <c r="Q29" s="79" t="s">
        <v>92</v>
      </c>
      <c r="R29" s="78" t="s">
        <v>93</v>
      </c>
      <c r="S29" s="363"/>
      <c r="T29" s="349"/>
      <c r="U29" s="43"/>
      <c r="W29" s="279" t="s">
        <v>1221</v>
      </c>
      <c r="X29" s="279" t="s">
        <v>1223</v>
      </c>
      <c r="Y29" s="279" t="s">
        <v>1224</v>
      </c>
      <c r="Z29" s="279" t="s">
        <v>1225</v>
      </c>
      <c r="AA29" s="279" t="s">
        <v>1226</v>
      </c>
      <c r="AB29" s="279" t="s">
        <v>1227</v>
      </c>
      <c r="AC29" s="279" t="s">
        <v>1221</v>
      </c>
      <c r="AD29" s="279" t="s">
        <v>1223</v>
      </c>
      <c r="AE29" s="279" t="s">
        <v>1224</v>
      </c>
      <c r="AF29" s="279" t="s">
        <v>1225</v>
      </c>
      <c r="AG29" s="279" t="s">
        <v>1226</v>
      </c>
      <c r="AH29" s="279" t="s">
        <v>1227</v>
      </c>
      <c r="AI29" s="279" t="s">
        <v>1221</v>
      </c>
      <c r="AJ29" s="279" t="s">
        <v>1223</v>
      </c>
      <c r="AK29" s="279" t="s">
        <v>1224</v>
      </c>
      <c r="AL29" s="279" t="s">
        <v>1225</v>
      </c>
      <c r="AM29" s="279" t="s">
        <v>1226</v>
      </c>
      <c r="AN29" s="279" t="s">
        <v>1227</v>
      </c>
    </row>
    <row r="30" spans="1:40" x14ac:dyDescent="0.25">
      <c r="A30" s="43"/>
      <c r="B30" s="43"/>
      <c r="C30" s="88" t="str">
        <f>IF(LEN(D30)&gt;0,1,"")</f>
        <v/>
      </c>
      <c r="D30" s="75" t="str">
        <f>IF(AND(LEN($D$19)&gt;1,LEN($D$6)&gt;1),$D$6,"")</f>
        <v/>
      </c>
      <c r="E30" s="70"/>
      <c r="F30" s="44"/>
      <c r="G30" s="63"/>
      <c r="H30" s="69"/>
      <c r="I30" s="44"/>
      <c r="J30" s="96"/>
      <c r="K30" s="44"/>
      <c r="L30" s="44"/>
      <c r="M30" s="44"/>
      <c r="N30" s="44"/>
      <c r="O30" s="44"/>
      <c r="P30" s="44"/>
      <c r="Q30" s="73">
        <f>IF(F30=Dict!$A$2,IF($J$19=0,"Ошибка: не заполнен параметр в п.4.1",SUM(W30:AB30)),0)</f>
        <v>0</v>
      </c>
      <c r="R30" s="74">
        <f>IF(G30=Dict!$A$2,IF($M$19=0,"Ошибка: не заполнен параметр в п.4.1",SUM(AC30:AH30)),0)</f>
        <v>0</v>
      </c>
      <c r="S30" s="72">
        <f>IFERROR(HLOOKUP("Ошибка: не заполнен параметр в п.4.1",Q30:R30,1,0),SUM(Q30:R30))</f>
        <v>0</v>
      </c>
      <c r="T30" s="74">
        <f>IF(E30=Dict!$A$2,IFERROR(SUM(AI30:AN30),"Ошибка: не заполнен параметр в п.4.1"),0)</f>
        <v>0</v>
      </c>
      <c r="U30" s="43"/>
      <c r="W30" s="296">
        <f t="shared" ref="W30:AB34" si="0">W$10*$W$19*$H30*J30</f>
        <v>0</v>
      </c>
      <c r="X30" s="297">
        <f t="shared" si="0"/>
        <v>0</v>
      </c>
      <c r="Y30" s="297">
        <f t="shared" si="0"/>
        <v>0</v>
      </c>
      <c r="Z30" s="297">
        <f t="shared" si="0"/>
        <v>0</v>
      </c>
      <c r="AA30" s="297">
        <f t="shared" si="0"/>
        <v>0</v>
      </c>
      <c r="AB30" s="297">
        <f t="shared" si="0"/>
        <v>0</v>
      </c>
      <c r="AC30" s="296">
        <f t="shared" ref="AC30:AH34" si="1">W$9*$X$19*$H30*J30</f>
        <v>0</v>
      </c>
      <c r="AD30" s="297">
        <f t="shared" si="1"/>
        <v>0</v>
      </c>
      <c r="AE30" s="297">
        <f t="shared" si="1"/>
        <v>0</v>
      </c>
      <c r="AF30" s="297">
        <f t="shared" si="1"/>
        <v>0</v>
      </c>
      <c r="AG30" s="297">
        <f t="shared" si="1"/>
        <v>0</v>
      </c>
      <c r="AH30" s="297">
        <f t="shared" si="1"/>
        <v>0</v>
      </c>
      <c r="AI30" s="296">
        <f>$Y$19*'Шаг 1. Основные исходные данные'!$E$9/100*$H30*J30</f>
        <v>0</v>
      </c>
      <c r="AJ30" s="297">
        <f>$Y$19*'Шаг 1. Основные исходные данные'!$E$9/100*$H30*K30</f>
        <v>0</v>
      </c>
      <c r="AK30" s="297">
        <f>$Y$19*'Шаг 1. Основные исходные данные'!$E$9/100*$H30*L30</f>
        <v>0</v>
      </c>
      <c r="AL30" s="297">
        <f>$Y$19*'Шаг 1. Основные исходные данные'!$E$9/100*$H30*M30</f>
        <v>0</v>
      </c>
      <c r="AM30" s="297">
        <f>$Y$19*'Шаг 1. Основные исходные данные'!$E$9/100*$H30*N30</f>
        <v>0</v>
      </c>
      <c r="AN30" s="297">
        <f>$Y$19*'Шаг 1. Основные исходные данные'!$E$9/100*$H30*O30</f>
        <v>0</v>
      </c>
    </row>
    <row r="31" spans="1:40" x14ac:dyDescent="0.25">
      <c r="A31" s="43"/>
      <c r="B31" s="43"/>
      <c r="C31" s="88" t="str">
        <f>IF(LEN(D31)&gt;0,C30+1,"")</f>
        <v/>
      </c>
      <c r="D31" s="75" t="str">
        <f>IF(AND(LEN($D$19)&gt;1,LEN($D$7)&gt;1),$D$7,"")</f>
        <v/>
      </c>
      <c r="E31" s="70"/>
      <c r="F31" s="44"/>
      <c r="G31" s="63"/>
      <c r="H31" s="69"/>
      <c r="I31" s="44"/>
      <c r="J31" s="96"/>
      <c r="K31" s="44"/>
      <c r="L31" s="44"/>
      <c r="M31" s="44"/>
      <c r="N31" s="44"/>
      <c r="O31" s="44"/>
      <c r="P31" s="44"/>
      <c r="Q31" s="73">
        <f>IF(F31=Dict!$A$2,IF($J$19=0,"Ошибка: не заполнен параметр в п.4.1",SUM(W31:AB31)),0)</f>
        <v>0</v>
      </c>
      <c r="R31" s="74">
        <f>IF(G31=Dict!$A$2,IF($M$19=0,"Ошибка: не заполнен параметр в п.4.1",SUM(AC31:AH31)),0)</f>
        <v>0</v>
      </c>
      <c r="S31" s="72">
        <f>IFERROR(HLOOKUP("Ошибка: не заполнен параметр в п.4.1",Q31:R31,1,0),SUM(Q31:R31))</f>
        <v>0</v>
      </c>
      <c r="T31" s="74">
        <f>IF(E31=Dict!$A$2,IFERROR(SUM(AI31:AN31),"Ошибка: не заполнен параметр в п.4.1"),0)</f>
        <v>0</v>
      </c>
      <c r="U31" s="43"/>
      <c r="W31" s="297">
        <f t="shared" si="0"/>
        <v>0</v>
      </c>
      <c r="X31" s="297">
        <f t="shared" si="0"/>
        <v>0</v>
      </c>
      <c r="Y31" s="297">
        <f t="shared" si="0"/>
        <v>0</v>
      </c>
      <c r="Z31" s="297">
        <f t="shared" si="0"/>
        <v>0</v>
      </c>
      <c r="AA31" s="297">
        <f t="shared" si="0"/>
        <v>0</v>
      </c>
      <c r="AB31" s="297">
        <f t="shared" si="0"/>
        <v>0</v>
      </c>
      <c r="AC31" s="297">
        <f t="shared" si="1"/>
        <v>0</v>
      </c>
      <c r="AD31" s="297">
        <f t="shared" si="1"/>
        <v>0</v>
      </c>
      <c r="AE31" s="297">
        <f t="shared" si="1"/>
        <v>0</v>
      </c>
      <c r="AF31" s="297">
        <f t="shared" si="1"/>
        <v>0</v>
      </c>
      <c r="AG31" s="297">
        <f t="shared" si="1"/>
        <v>0</v>
      </c>
      <c r="AH31" s="297">
        <f t="shared" si="1"/>
        <v>0</v>
      </c>
      <c r="AI31" s="297">
        <f>$Y$19*'Шаг 1. Основные исходные данные'!$E$9/100*$H31*J31</f>
        <v>0</v>
      </c>
      <c r="AJ31" s="297">
        <f>$Y$19*'Шаг 1. Основные исходные данные'!$E$9/100*$H31*K31</f>
        <v>0</v>
      </c>
      <c r="AK31" s="297">
        <f>$Y$19*'Шаг 1. Основные исходные данные'!$E$9/100*$H31*L31</f>
        <v>0</v>
      </c>
      <c r="AL31" s="297">
        <f>$Y$19*'Шаг 1. Основные исходные данные'!$E$9/100*$H31*M31</f>
        <v>0</v>
      </c>
      <c r="AM31" s="297">
        <f>$Y$19*'Шаг 1. Основные исходные данные'!$E$9/100*$H31*N31</f>
        <v>0</v>
      </c>
      <c r="AN31" s="297">
        <f>$Y$19*'Шаг 1. Основные исходные данные'!$E$9/100*$H31*O31</f>
        <v>0</v>
      </c>
    </row>
    <row r="32" spans="1:40" x14ac:dyDescent="0.25">
      <c r="A32" s="43"/>
      <c r="B32" s="43"/>
      <c r="C32" s="88" t="str">
        <f>IF(LEN(D32)&gt;0,C31+1,"")</f>
        <v/>
      </c>
      <c r="D32" s="75" t="str">
        <f>IF(AND(LEN($D$19)&gt;1,LEN($D$8)&gt;1),$D$8,"")</f>
        <v/>
      </c>
      <c r="E32" s="70"/>
      <c r="F32" s="44"/>
      <c r="G32" s="63"/>
      <c r="H32" s="69"/>
      <c r="I32" s="44"/>
      <c r="J32" s="96"/>
      <c r="K32" s="44"/>
      <c r="L32" s="44"/>
      <c r="M32" s="44"/>
      <c r="N32" s="44"/>
      <c r="O32" s="44"/>
      <c r="P32" s="44"/>
      <c r="Q32" s="73">
        <f>IF(F32=Dict!$A$2,IF($J$19=0,"Ошибка: не заполнен параметр в п.4.1",SUM(W32:AB32)),0)</f>
        <v>0</v>
      </c>
      <c r="R32" s="74">
        <f>IF(G32=Dict!$A$2,IF($M$19=0,"Ошибка: не заполнен параметр в п.4.1",SUM(AC32:AH32)),0)</f>
        <v>0</v>
      </c>
      <c r="S32" s="72">
        <f>IFERROR(HLOOKUP("Ошибка: не заполнен параметр в п.4.1",Q32:R32,1,0),SUM(Q32:R32))</f>
        <v>0</v>
      </c>
      <c r="T32" s="74">
        <f>IF(E32=Dict!$A$2,IFERROR(SUM(AI32:AN32),"Ошибка: не заполнен параметр в п.4.1"),0)</f>
        <v>0</v>
      </c>
      <c r="U32" s="43"/>
      <c r="W32" s="297">
        <f t="shared" si="0"/>
        <v>0</v>
      </c>
      <c r="X32" s="297">
        <f t="shared" si="0"/>
        <v>0</v>
      </c>
      <c r="Y32" s="297">
        <f t="shared" si="0"/>
        <v>0</v>
      </c>
      <c r="Z32" s="297">
        <f t="shared" si="0"/>
        <v>0</v>
      </c>
      <c r="AA32" s="297">
        <f t="shared" si="0"/>
        <v>0</v>
      </c>
      <c r="AB32" s="297">
        <f t="shared" si="0"/>
        <v>0</v>
      </c>
      <c r="AC32" s="297">
        <f t="shared" si="1"/>
        <v>0</v>
      </c>
      <c r="AD32" s="297">
        <f t="shared" si="1"/>
        <v>0</v>
      </c>
      <c r="AE32" s="297">
        <f t="shared" si="1"/>
        <v>0</v>
      </c>
      <c r="AF32" s="297">
        <f t="shared" si="1"/>
        <v>0</v>
      </c>
      <c r="AG32" s="297">
        <f t="shared" si="1"/>
        <v>0</v>
      </c>
      <c r="AH32" s="297">
        <f t="shared" si="1"/>
        <v>0</v>
      </c>
      <c r="AI32" s="297">
        <f>$Y$19*'Шаг 1. Основные исходные данные'!$E$9/100*$H32*J32</f>
        <v>0</v>
      </c>
      <c r="AJ32" s="297">
        <f>$Y$19*'Шаг 1. Основные исходные данные'!$E$9/100*$H32*K32</f>
        <v>0</v>
      </c>
      <c r="AK32" s="297">
        <f>$Y$19*'Шаг 1. Основные исходные данные'!$E$9/100*$H32*L32</f>
        <v>0</v>
      </c>
      <c r="AL32" s="297">
        <f>$Y$19*'Шаг 1. Основные исходные данные'!$E$9/100*$H32*M32</f>
        <v>0</v>
      </c>
      <c r="AM32" s="297">
        <f>$Y$19*'Шаг 1. Основные исходные данные'!$E$9/100*$H32*N32</f>
        <v>0</v>
      </c>
      <c r="AN32" s="297">
        <f>$Y$19*'Шаг 1. Основные исходные данные'!$E$9/100*$H32*O32</f>
        <v>0</v>
      </c>
    </row>
    <row r="33" spans="1:40" x14ac:dyDescent="0.25">
      <c r="A33" s="43"/>
      <c r="B33" s="43"/>
      <c r="C33" s="88" t="str">
        <f>IF(LEN(D33)&gt;0,C32+1,"")</f>
        <v/>
      </c>
      <c r="D33" s="75" t="str">
        <f>IF(AND(LEN($D$19)&gt;1,LEN($D$9)&gt;1),$D$9,"")</f>
        <v/>
      </c>
      <c r="E33" s="70"/>
      <c r="F33" s="44"/>
      <c r="G33" s="63"/>
      <c r="H33" s="69"/>
      <c r="I33" s="44"/>
      <c r="J33" s="96"/>
      <c r="K33" s="44"/>
      <c r="L33" s="44"/>
      <c r="M33" s="44"/>
      <c r="N33" s="44"/>
      <c r="O33" s="44"/>
      <c r="P33" s="44"/>
      <c r="Q33" s="73">
        <f>IF(F33=Dict!$A$2,IF($J$19=0,"Ошибка: не заполнен параметр в п.4.1",SUM(W33:AB33)),0)</f>
        <v>0</v>
      </c>
      <c r="R33" s="74">
        <f>IF(G33=Dict!$A$2,IF($M$19=0,"Ошибка: не заполнен параметр в п.4.1",SUM(AC33:AH33)),0)</f>
        <v>0</v>
      </c>
      <c r="S33" s="72">
        <f>IFERROR(HLOOKUP("Ошибка: не заполнен параметр в п.4.1",Q33:R33,1,0),SUM(Q33:R33))</f>
        <v>0</v>
      </c>
      <c r="T33" s="74">
        <f>IF(E33=Dict!$A$2,IFERROR(SUM(AI33:AN33),"Ошибка: не заполнен параметр в п.4.1"),0)</f>
        <v>0</v>
      </c>
      <c r="U33" s="43"/>
      <c r="W33" s="297">
        <f t="shared" si="0"/>
        <v>0</v>
      </c>
      <c r="X33" s="297">
        <f t="shared" si="0"/>
        <v>0</v>
      </c>
      <c r="Y33" s="297">
        <f t="shared" si="0"/>
        <v>0</v>
      </c>
      <c r="Z33" s="297">
        <f t="shared" si="0"/>
        <v>0</v>
      </c>
      <c r="AA33" s="297">
        <f t="shared" si="0"/>
        <v>0</v>
      </c>
      <c r="AB33" s="297">
        <f t="shared" si="0"/>
        <v>0</v>
      </c>
      <c r="AC33" s="297">
        <f t="shared" si="1"/>
        <v>0</v>
      </c>
      <c r="AD33" s="297">
        <f t="shared" si="1"/>
        <v>0</v>
      </c>
      <c r="AE33" s="297">
        <f t="shared" si="1"/>
        <v>0</v>
      </c>
      <c r="AF33" s="297">
        <f t="shared" si="1"/>
        <v>0</v>
      </c>
      <c r="AG33" s="297">
        <f t="shared" si="1"/>
        <v>0</v>
      </c>
      <c r="AH33" s="297">
        <f t="shared" si="1"/>
        <v>0</v>
      </c>
      <c r="AI33" s="297">
        <f>$Y$19*'Шаг 1. Основные исходные данные'!$E$9/100*$H33*J33</f>
        <v>0</v>
      </c>
      <c r="AJ33" s="297">
        <f>$Y$19*'Шаг 1. Основные исходные данные'!$E$9/100*$H33*K33</f>
        <v>0</v>
      </c>
      <c r="AK33" s="297">
        <f>$Y$19*'Шаг 1. Основные исходные данные'!$E$9/100*$H33*L33</f>
        <v>0</v>
      </c>
      <c r="AL33" s="297">
        <f>$Y$19*'Шаг 1. Основные исходные данные'!$E$9/100*$H33*M33</f>
        <v>0</v>
      </c>
      <c r="AM33" s="297">
        <f>$Y$19*'Шаг 1. Основные исходные данные'!$E$9/100*$H33*N33</f>
        <v>0</v>
      </c>
      <c r="AN33" s="297">
        <f>$Y$19*'Шаг 1. Основные исходные данные'!$E$9/100*$H33*O33</f>
        <v>0</v>
      </c>
    </row>
    <row r="34" spans="1:40" x14ac:dyDescent="0.25">
      <c r="A34" s="43"/>
      <c r="B34" s="43"/>
      <c r="C34" s="88" t="str">
        <f>IF(LEN(D34)&gt;0,C33+1,"")</f>
        <v/>
      </c>
      <c r="D34" s="75" t="str">
        <f>IF(AND(LEN($D$19)&gt;1,LEN($D$10)&gt;1),$D$10,"")</f>
        <v/>
      </c>
      <c r="E34" s="71"/>
      <c r="F34" s="65"/>
      <c r="G34" s="68"/>
      <c r="H34" s="69"/>
      <c r="I34" s="44"/>
      <c r="J34" s="96"/>
      <c r="K34" s="44"/>
      <c r="L34" s="44"/>
      <c r="M34" s="44"/>
      <c r="N34" s="44"/>
      <c r="O34" s="44"/>
      <c r="P34" s="44"/>
      <c r="Q34" s="73">
        <f>IF(F34=Dict!$A$2,IF($J$19=0,"Ошибка: не заполнен параметр в п.4.1",SUM(W34:AB34)),0)</f>
        <v>0</v>
      </c>
      <c r="R34" s="74">
        <f>IF(G34=Dict!$A$2,IF($M$19=0,"Ошибка: не заполнен параметр в п.4.1",SUM(AC34:AH34)),0)</f>
        <v>0</v>
      </c>
      <c r="S34" s="72">
        <f>IFERROR(HLOOKUP("Ошибка: не заполнен параметр в п.4.1",Q34:R34,1,0),SUM(Q34:R34))</f>
        <v>0</v>
      </c>
      <c r="T34" s="74">
        <f>IF(E34=Dict!$A$2,IFERROR(SUM(AI34:AN34),"Ошибка: не заполнен параметр в п.4.1"),0)</f>
        <v>0</v>
      </c>
      <c r="U34" s="43"/>
      <c r="W34" s="297">
        <f t="shared" si="0"/>
        <v>0</v>
      </c>
      <c r="X34" s="297">
        <f t="shared" si="0"/>
        <v>0</v>
      </c>
      <c r="Y34" s="297">
        <f t="shared" si="0"/>
        <v>0</v>
      </c>
      <c r="Z34" s="297">
        <f t="shared" si="0"/>
        <v>0</v>
      </c>
      <c r="AA34" s="297">
        <f t="shared" si="0"/>
        <v>0</v>
      </c>
      <c r="AB34" s="297">
        <f t="shared" si="0"/>
        <v>0</v>
      </c>
      <c r="AC34" s="297">
        <f t="shared" si="1"/>
        <v>0</v>
      </c>
      <c r="AD34" s="297">
        <f t="shared" si="1"/>
        <v>0</v>
      </c>
      <c r="AE34" s="297">
        <f t="shared" si="1"/>
        <v>0</v>
      </c>
      <c r="AF34" s="297">
        <f t="shared" si="1"/>
        <v>0</v>
      </c>
      <c r="AG34" s="297">
        <f t="shared" si="1"/>
        <v>0</v>
      </c>
      <c r="AH34" s="297">
        <f t="shared" si="1"/>
        <v>0</v>
      </c>
      <c r="AI34" s="297">
        <f>$Y$19*'Шаг 1. Основные исходные данные'!$E$9/100*$H34*J34</f>
        <v>0</v>
      </c>
      <c r="AJ34" s="297">
        <f>$Y$19*'Шаг 1. Основные исходные данные'!$E$9/100*$H34*K34</f>
        <v>0</v>
      </c>
      <c r="AK34" s="297">
        <f>$Y$19*'Шаг 1. Основные исходные данные'!$E$9/100*$H34*L34</f>
        <v>0</v>
      </c>
      <c r="AL34" s="297">
        <f>$Y$19*'Шаг 1. Основные исходные данные'!$E$9/100*$H34*M34</f>
        <v>0</v>
      </c>
      <c r="AM34" s="297">
        <f>$Y$19*'Шаг 1. Основные исходные данные'!$E$9/100*$H34*N34</f>
        <v>0</v>
      </c>
      <c r="AN34" s="297">
        <f>$Y$19*'Шаг 1. Основные исходные данные'!$E$9/100*$H34*O34</f>
        <v>0</v>
      </c>
    </row>
    <row r="35" spans="1:40" ht="19.899999999999999" customHeight="1" x14ac:dyDescent="0.25">
      <c r="A35" s="43"/>
      <c r="B35" s="43"/>
      <c r="C35" s="35" t="s">
        <v>95</v>
      </c>
      <c r="D35" s="35"/>
      <c r="E35" s="35"/>
      <c r="F35" s="35"/>
      <c r="G35" s="35"/>
      <c r="H35" s="35"/>
      <c r="I35" s="35"/>
      <c r="J35" s="35"/>
      <c r="K35" s="35"/>
      <c r="L35" s="35"/>
      <c r="M35" s="35"/>
      <c r="N35" s="35"/>
      <c r="O35" s="35"/>
      <c r="P35" s="35"/>
      <c r="Q35" s="57">
        <f t="shared" ref="Q35:T35" si="2">IFERROR(VLOOKUP("Ошибка: не заполнен параметр в п.4.1",Q30:Q34,1,0),SUM(Q30:Q34))</f>
        <v>0</v>
      </c>
      <c r="R35" s="57">
        <f t="shared" si="2"/>
        <v>0</v>
      </c>
      <c r="S35" s="57">
        <f t="shared" si="2"/>
        <v>0</v>
      </c>
      <c r="T35" s="57">
        <f t="shared" si="2"/>
        <v>0</v>
      </c>
      <c r="U35" s="43"/>
      <c r="W35" s="298">
        <f>SUM(W30:W34)</f>
        <v>0</v>
      </c>
      <c r="X35" s="298">
        <f t="shared" ref="X35:AB35" si="3">SUM(X30:X34)</f>
        <v>0</v>
      </c>
      <c r="Y35" s="298">
        <f t="shared" si="3"/>
        <v>0</v>
      </c>
      <c r="Z35" s="298">
        <f t="shared" si="3"/>
        <v>0</v>
      </c>
      <c r="AA35" s="298">
        <f t="shared" si="3"/>
        <v>0</v>
      </c>
      <c r="AB35" s="298">
        <f t="shared" si="3"/>
        <v>0</v>
      </c>
      <c r="AC35" s="299">
        <f>SUM(AC30:AC34)</f>
        <v>0</v>
      </c>
      <c r="AD35" s="299">
        <f t="shared" ref="AD35:AH35" si="4">SUM(AD30:AD34)</f>
        <v>0</v>
      </c>
      <c r="AE35" s="299">
        <f t="shared" si="4"/>
        <v>0</v>
      </c>
      <c r="AF35" s="299">
        <f t="shared" si="4"/>
        <v>0</v>
      </c>
      <c r="AG35" s="299">
        <f t="shared" si="4"/>
        <v>0</v>
      </c>
      <c r="AH35" s="299">
        <f t="shared" si="4"/>
        <v>0</v>
      </c>
      <c r="AI35" s="299">
        <f>SUM(AI30:AI34)</f>
        <v>0</v>
      </c>
      <c r="AJ35" s="299">
        <f t="shared" ref="AJ35" si="5">SUM(AJ30:AJ34)</f>
        <v>0</v>
      </c>
      <c r="AK35" s="299">
        <f t="shared" ref="AK35" si="6">SUM(AK30:AK34)</f>
        <v>0</v>
      </c>
      <c r="AL35" s="299">
        <f t="shared" ref="AL35" si="7">SUM(AL30:AL34)</f>
        <v>0</v>
      </c>
      <c r="AM35" s="299">
        <f t="shared" ref="AM35" si="8">SUM(AM30:AM34)</f>
        <v>0</v>
      </c>
      <c r="AN35" s="299">
        <f t="shared" ref="AN35" si="9">SUM(AN30:AN34)</f>
        <v>0</v>
      </c>
    </row>
    <row r="36" spans="1:40" x14ac:dyDescent="0.25">
      <c r="A36" s="43"/>
      <c r="B36" s="43"/>
      <c r="C36" s="43"/>
      <c r="D36" s="43"/>
      <c r="E36" s="43"/>
      <c r="F36" s="43"/>
      <c r="G36" s="43"/>
      <c r="H36" s="43"/>
      <c r="I36" s="43"/>
      <c r="J36" s="43"/>
      <c r="K36" s="43"/>
      <c r="L36" s="43"/>
      <c r="M36" s="43"/>
      <c r="N36" s="43"/>
      <c r="O36" s="43"/>
      <c r="P36" s="43"/>
      <c r="Q36" s="43"/>
      <c r="R36" s="43"/>
      <c r="S36" s="43"/>
      <c r="T36" s="43"/>
      <c r="U36" s="43"/>
      <c r="W36" s="272"/>
      <c r="X36" s="272"/>
      <c r="Y36" s="272"/>
      <c r="Z36" s="272"/>
      <c r="AA36" s="272"/>
      <c r="AB36" s="272"/>
    </row>
    <row r="37" spans="1:40" x14ac:dyDescent="0.25">
      <c r="A37" s="43"/>
      <c r="B37" s="43"/>
      <c r="C37" s="43"/>
      <c r="D37" s="43"/>
      <c r="E37" s="43"/>
      <c r="F37" s="43"/>
      <c r="G37" s="43"/>
      <c r="H37" s="43"/>
      <c r="I37" s="43"/>
      <c r="J37" s="43"/>
      <c r="K37" s="43"/>
      <c r="L37" s="43"/>
      <c r="M37" s="43"/>
      <c r="N37" s="43"/>
      <c r="O37" s="43"/>
      <c r="P37" s="43"/>
      <c r="Q37" s="43"/>
      <c r="R37" s="43"/>
      <c r="S37" s="43"/>
      <c r="T37" s="43"/>
      <c r="U37" s="43"/>
    </row>
    <row r="38" spans="1:40" x14ac:dyDescent="0.25">
      <c r="A38" s="43"/>
      <c r="B38" s="43"/>
      <c r="C38" s="36" t="str">
        <f>CONCATENATE("4.2.",$C$20,". Издержки простоя группы объектов ",$C$20," - """,$D$20,"""")</f>
        <v>4.2.. Издержки простоя группы объектов  - ""</v>
      </c>
      <c r="D38" s="43"/>
      <c r="E38" s="43"/>
      <c r="F38" s="43"/>
      <c r="G38" s="43"/>
      <c r="H38" s="43"/>
      <c r="I38" s="43"/>
      <c r="J38" s="43"/>
      <c r="K38" s="43"/>
      <c r="L38" s="43"/>
      <c r="M38" s="43"/>
      <c r="N38" s="43"/>
      <c r="O38" s="43"/>
      <c r="P38" s="43"/>
      <c r="Q38" s="43"/>
      <c r="R38" s="43"/>
      <c r="S38" s="43"/>
      <c r="T38" s="43"/>
      <c r="U38" s="43"/>
    </row>
    <row r="39" spans="1:40" x14ac:dyDescent="0.25">
      <c r="A39" s="43"/>
      <c r="B39" s="43"/>
      <c r="C39" s="43"/>
      <c r="D39" s="43"/>
      <c r="E39" s="43"/>
      <c r="F39" s="43"/>
      <c r="G39" s="43"/>
      <c r="H39" s="43"/>
      <c r="I39" s="43"/>
      <c r="J39" s="43"/>
      <c r="K39" s="43"/>
      <c r="L39" s="43"/>
      <c r="M39" s="43"/>
      <c r="N39" s="43"/>
      <c r="O39" s="43"/>
      <c r="P39" s="43"/>
      <c r="Q39" s="43"/>
      <c r="R39" s="43"/>
      <c r="S39" s="43"/>
      <c r="T39" s="43"/>
      <c r="U39" s="43"/>
      <c r="AC39" s="293"/>
      <c r="AI39" s="293"/>
    </row>
    <row r="40" spans="1:40" ht="19.899999999999999" customHeight="1" x14ac:dyDescent="0.25">
      <c r="A40" s="43"/>
      <c r="B40" s="43"/>
      <c r="C40" s="336" t="s">
        <v>62</v>
      </c>
      <c r="D40" s="336" t="s">
        <v>94</v>
      </c>
      <c r="E40" s="359" t="s">
        <v>1176</v>
      </c>
      <c r="F40" s="360"/>
      <c r="G40" s="361"/>
      <c r="H40" s="362" t="s">
        <v>1239</v>
      </c>
      <c r="I40" s="336" t="s">
        <v>1305</v>
      </c>
      <c r="J40" s="336" t="s">
        <v>1240</v>
      </c>
      <c r="K40" s="336"/>
      <c r="L40" s="336"/>
      <c r="M40" s="336"/>
      <c r="N40" s="336"/>
      <c r="O40" s="336"/>
      <c r="P40" s="336" t="s">
        <v>1306</v>
      </c>
      <c r="Q40" s="286" t="s">
        <v>1236</v>
      </c>
      <c r="R40" s="287"/>
      <c r="S40" s="362" t="s">
        <v>1241</v>
      </c>
      <c r="T40" s="336" t="s">
        <v>1271</v>
      </c>
      <c r="U40" s="43"/>
      <c r="W40" s="293" t="s">
        <v>1246</v>
      </c>
      <c r="AC40" s="293" t="s">
        <v>1247</v>
      </c>
      <c r="AI40" s="293" t="s">
        <v>1248</v>
      </c>
    </row>
    <row r="41" spans="1:40" s="61" customFormat="1" ht="94.5" x14ac:dyDescent="0.25">
      <c r="A41" s="60"/>
      <c r="B41" s="60"/>
      <c r="C41" s="336"/>
      <c r="D41" s="336"/>
      <c r="E41" s="288" t="s">
        <v>109</v>
      </c>
      <c r="F41" s="289" t="s">
        <v>1243</v>
      </c>
      <c r="G41" s="290" t="s">
        <v>1244</v>
      </c>
      <c r="H41" s="363"/>
      <c r="I41" s="336"/>
      <c r="J41" s="125" t="str">
        <f>IF(1&lt;='Шаг 1. Основные исходные данные'!$E$5,"1 год","-")</f>
        <v>1 год</v>
      </c>
      <c r="K41" s="125" t="str">
        <f>IF(2&lt;='Шаг 1. Основные исходные данные'!$E$5,"2 год","-")</f>
        <v>2 год</v>
      </c>
      <c r="L41" s="125" t="str">
        <f>IF(3&lt;='Шаг 1. Основные исходные данные'!$E$5,"3 год","-")</f>
        <v>3 год</v>
      </c>
      <c r="M41" s="125" t="str">
        <f>IF(4&lt;='Шаг 1. Основные исходные данные'!$E$5,"4 год","-")</f>
        <v>4 год</v>
      </c>
      <c r="N41" s="125" t="str">
        <f>IF(5&lt;='Шаг 1. Основные исходные данные'!$E$5,"5 год","-")</f>
        <v>5 год</v>
      </c>
      <c r="O41" s="125" t="str">
        <f>IF(6&lt;='Шаг 1. Основные исходные данные'!$E$5,"6 год","-")</f>
        <v>6 год</v>
      </c>
      <c r="P41" s="336"/>
      <c r="Q41" s="79" t="s">
        <v>92</v>
      </c>
      <c r="R41" s="78" t="s">
        <v>93</v>
      </c>
      <c r="S41" s="363"/>
      <c r="T41" s="349"/>
      <c r="U41" s="43"/>
      <c r="W41" s="279" t="s">
        <v>1221</v>
      </c>
      <c r="X41" s="279" t="s">
        <v>1223</v>
      </c>
      <c r="Y41" s="279" t="s">
        <v>1224</v>
      </c>
      <c r="Z41" s="279" t="s">
        <v>1225</v>
      </c>
      <c r="AA41" s="279" t="s">
        <v>1226</v>
      </c>
      <c r="AB41" s="279" t="s">
        <v>1227</v>
      </c>
      <c r="AC41" s="279" t="s">
        <v>1221</v>
      </c>
      <c r="AD41" s="279" t="s">
        <v>1223</v>
      </c>
      <c r="AE41" s="279" t="s">
        <v>1224</v>
      </c>
      <c r="AF41" s="279" t="s">
        <v>1225</v>
      </c>
      <c r="AG41" s="279" t="s">
        <v>1226</v>
      </c>
      <c r="AH41" s="279" t="s">
        <v>1227</v>
      </c>
      <c r="AI41" s="279" t="s">
        <v>1221</v>
      </c>
      <c r="AJ41" s="279" t="s">
        <v>1223</v>
      </c>
      <c r="AK41" s="279" t="s">
        <v>1224</v>
      </c>
      <c r="AL41" s="279" t="s">
        <v>1225</v>
      </c>
      <c r="AM41" s="279" t="s">
        <v>1226</v>
      </c>
      <c r="AN41" s="279" t="s">
        <v>1227</v>
      </c>
    </row>
    <row r="42" spans="1:40" x14ac:dyDescent="0.25">
      <c r="A42" s="43"/>
      <c r="B42" s="43"/>
      <c r="C42" s="88" t="str">
        <f>IF(LEN(D42)&gt;0,1,"")</f>
        <v/>
      </c>
      <c r="D42" s="75" t="str">
        <f>IF(AND(LEN($D$20)&gt;1,LEN($D$6)&gt;1),$D$6,"")</f>
        <v/>
      </c>
      <c r="E42" s="70"/>
      <c r="F42" s="44"/>
      <c r="G42" s="63"/>
      <c r="H42" s="69"/>
      <c r="I42" s="44"/>
      <c r="J42" s="96"/>
      <c r="K42" s="44"/>
      <c r="L42" s="44"/>
      <c r="M42" s="44"/>
      <c r="N42" s="44"/>
      <c r="O42" s="44"/>
      <c r="P42" s="44"/>
      <c r="Q42" s="73">
        <f>IF(F42=Dict!$A$2,IF($J$19=0,"Ошибка: не заполнен параметр в п.4.1",SUM(W42:AB42)),0)</f>
        <v>0</v>
      </c>
      <c r="R42" s="74">
        <f>IF(G42=Dict!$A$2,IF($M$19=0,"Ошибка: не заполнен параметр в п.4.1",SUM(AC42:AH42)),0)</f>
        <v>0</v>
      </c>
      <c r="S42" s="72">
        <f>IFERROR(HLOOKUP("Ошибка: не заполнен параметр в п.4.1",Q42:R42,1,0),SUM(Q42:R42))</f>
        <v>0</v>
      </c>
      <c r="T42" s="74">
        <f>IF(E42=Dict!$A$2,IFERROR(SUM(AI42:AN42),"Ошибка: не заполнен параметр в п.4.1"),0)</f>
        <v>0</v>
      </c>
      <c r="U42" s="43"/>
      <c r="W42" s="297">
        <f t="shared" ref="W42:AB46" si="10">W$10*$W$20*$H42*J42</f>
        <v>0</v>
      </c>
      <c r="X42" s="297">
        <f t="shared" si="10"/>
        <v>0</v>
      </c>
      <c r="Y42" s="297">
        <f t="shared" si="10"/>
        <v>0</v>
      </c>
      <c r="Z42" s="297">
        <f t="shared" si="10"/>
        <v>0</v>
      </c>
      <c r="AA42" s="297">
        <f t="shared" si="10"/>
        <v>0</v>
      </c>
      <c r="AB42" s="297">
        <f t="shared" si="10"/>
        <v>0</v>
      </c>
      <c r="AC42" s="297">
        <f t="shared" ref="AC42:AH46" si="11">W$9*$X$20*$H42*J42</f>
        <v>0</v>
      </c>
      <c r="AD42" s="297">
        <f t="shared" si="11"/>
        <v>0</v>
      </c>
      <c r="AE42" s="297">
        <f t="shared" si="11"/>
        <v>0</v>
      </c>
      <c r="AF42" s="297">
        <f t="shared" si="11"/>
        <v>0</v>
      </c>
      <c r="AG42" s="297">
        <f t="shared" si="11"/>
        <v>0</v>
      </c>
      <c r="AH42" s="297">
        <f t="shared" si="11"/>
        <v>0</v>
      </c>
      <c r="AI42" s="297">
        <f>$Y$20*'Шаг 1. Основные исходные данные'!$E$9/100*$H42*J42</f>
        <v>0</v>
      </c>
      <c r="AJ42" s="297">
        <f>$Y$20*'Шаг 1. Основные исходные данные'!$E$9/100*$H42*K42</f>
        <v>0</v>
      </c>
      <c r="AK42" s="297">
        <f>$Y$20*'Шаг 1. Основные исходные данные'!$E$9/100*$H42*L42</f>
        <v>0</v>
      </c>
      <c r="AL42" s="297">
        <f>$Y$20*'Шаг 1. Основные исходные данные'!$E$9/100*$H42*M42</f>
        <v>0</v>
      </c>
      <c r="AM42" s="297">
        <f>$Y$20*'Шаг 1. Основные исходные данные'!$E$9/100*$H42*N42</f>
        <v>0</v>
      </c>
      <c r="AN42" s="297">
        <f>$Y$20*'Шаг 1. Основные исходные данные'!$E$9/100*$H42*O42</f>
        <v>0</v>
      </c>
    </row>
    <row r="43" spans="1:40" x14ac:dyDescent="0.25">
      <c r="A43" s="43"/>
      <c r="B43" s="43"/>
      <c r="C43" s="88" t="str">
        <f>IF(LEN(D43)&gt;0,C42+1,"")</f>
        <v/>
      </c>
      <c r="D43" s="75" t="str">
        <f>IF(AND(LEN($D$20)&gt;1,LEN($D$7)&gt;1),$D$7,"")</f>
        <v/>
      </c>
      <c r="E43" s="70"/>
      <c r="F43" s="44"/>
      <c r="G43" s="63"/>
      <c r="H43" s="69"/>
      <c r="I43" s="44"/>
      <c r="J43" s="96"/>
      <c r="K43" s="44"/>
      <c r="L43" s="44"/>
      <c r="M43" s="44"/>
      <c r="N43" s="44"/>
      <c r="O43" s="44"/>
      <c r="P43" s="44"/>
      <c r="Q43" s="73">
        <f>IF(F43=Dict!$A$2,IF($J$19=0,"Ошибка: не заполнен параметр в п.4.1",SUM(W43:AB43)),0)</f>
        <v>0</v>
      </c>
      <c r="R43" s="74">
        <f>IF(G43=Dict!$A$2,IF($M$19=0,"Ошибка: не заполнен параметр в п.4.1",SUM(AC43:AH43)),0)</f>
        <v>0</v>
      </c>
      <c r="S43" s="72">
        <f>IFERROR(HLOOKUP("Ошибка: не заполнен параметр в п.4.1",Q43:R43,1,0),SUM(Q43:R43))</f>
        <v>0</v>
      </c>
      <c r="T43" s="74">
        <f>IF(E43=Dict!$A$2,IFERROR(SUM(AI43:AN43),"Ошибка: не заполнен параметр в п.4.1"),0)</f>
        <v>0</v>
      </c>
      <c r="U43" s="43"/>
      <c r="W43" s="297">
        <f t="shared" si="10"/>
        <v>0</v>
      </c>
      <c r="X43" s="297">
        <f t="shared" si="10"/>
        <v>0</v>
      </c>
      <c r="Y43" s="297">
        <f t="shared" si="10"/>
        <v>0</v>
      </c>
      <c r="Z43" s="297">
        <f t="shared" si="10"/>
        <v>0</v>
      </c>
      <c r="AA43" s="297">
        <f t="shared" si="10"/>
        <v>0</v>
      </c>
      <c r="AB43" s="297">
        <f t="shared" si="10"/>
        <v>0</v>
      </c>
      <c r="AC43" s="297">
        <f t="shared" si="11"/>
        <v>0</v>
      </c>
      <c r="AD43" s="297">
        <f t="shared" si="11"/>
        <v>0</v>
      </c>
      <c r="AE43" s="297">
        <f t="shared" si="11"/>
        <v>0</v>
      </c>
      <c r="AF43" s="297">
        <f t="shared" si="11"/>
        <v>0</v>
      </c>
      <c r="AG43" s="297">
        <f t="shared" si="11"/>
        <v>0</v>
      </c>
      <c r="AH43" s="297">
        <f t="shared" si="11"/>
        <v>0</v>
      </c>
      <c r="AI43" s="297">
        <f>$Y$20*'Шаг 1. Основные исходные данные'!$E$9/100*$H43*J43</f>
        <v>0</v>
      </c>
      <c r="AJ43" s="297">
        <f>$Y$20*'Шаг 1. Основные исходные данные'!$E$9/100*$H43*K43</f>
        <v>0</v>
      </c>
      <c r="AK43" s="297">
        <f>$Y$20*'Шаг 1. Основные исходные данные'!$E$9/100*$H43*L43</f>
        <v>0</v>
      </c>
      <c r="AL43" s="297">
        <f>$Y$20*'Шаг 1. Основные исходные данные'!$E$9/100*$H43*M43</f>
        <v>0</v>
      </c>
      <c r="AM43" s="297">
        <f>$Y$20*'Шаг 1. Основные исходные данные'!$E$9/100*$H43*N43</f>
        <v>0</v>
      </c>
      <c r="AN43" s="297">
        <f>$Y$20*'Шаг 1. Основные исходные данные'!$E$9/100*$H43*O43</f>
        <v>0</v>
      </c>
    </row>
    <row r="44" spans="1:40" x14ac:dyDescent="0.25">
      <c r="A44" s="43"/>
      <c r="B44" s="43"/>
      <c r="C44" s="88" t="str">
        <f>IF(LEN(D44)&gt;0,C43+1,"")</f>
        <v/>
      </c>
      <c r="D44" s="75" t="str">
        <f>IF(AND(LEN($D$20)&gt;1,LEN($D$8)&gt;1),$D$8,"")</f>
        <v/>
      </c>
      <c r="E44" s="70"/>
      <c r="F44" s="44"/>
      <c r="G44" s="63"/>
      <c r="H44" s="69"/>
      <c r="I44" s="44"/>
      <c r="J44" s="96"/>
      <c r="K44" s="44"/>
      <c r="L44" s="44"/>
      <c r="M44" s="44"/>
      <c r="N44" s="44"/>
      <c r="O44" s="44"/>
      <c r="P44" s="44"/>
      <c r="Q44" s="73">
        <f>IF(F44=Dict!$A$2,IF($J$19=0,"Ошибка: не заполнен параметр в п.4.1",SUM(W44:AB44)),0)</f>
        <v>0</v>
      </c>
      <c r="R44" s="74">
        <f>IF(G44=Dict!$A$2,IF($M$19=0,"Ошибка: не заполнен параметр в п.4.1",SUM(AC44:AH44)),0)</f>
        <v>0</v>
      </c>
      <c r="S44" s="72">
        <f>IFERROR(HLOOKUP("Ошибка: не заполнен параметр в п.4.1",Q44:R44,1,0),SUM(Q44:R44))</f>
        <v>0</v>
      </c>
      <c r="T44" s="74">
        <f>IF(E44=Dict!$A$2,IFERROR(SUM(AI44:AN44),"Ошибка: не заполнен параметр в п.4.1"),0)</f>
        <v>0</v>
      </c>
      <c r="U44" s="43"/>
      <c r="W44" s="297">
        <f t="shared" si="10"/>
        <v>0</v>
      </c>
      <c r="X44" s="297">
        <f t="shared" si="10"/>
        <v>0</v>
      </c>
      <c r="Y44" s="297">
        <f t="shared" si="10"/>
        <v>0</v>
      </c>
      <c r="Z44" s="297">
        <f t="shared" si="10"/>
        <v>0</v>
      </c>
      <c r="AA44" s="297">
        <f t="shared" si="10"/>
        <v>0</v>
      </c>
      <c r="AB44" s="297">
        <f t="shared" si="10"/>
        <v>0</v>
      </c>
      <c r="AC44" s="297">
        <f t="shared" si="11"/>
        <v>0</v>
      </c>
      <c r="AD44" s="297">
        <f t="shared" si="11"/>
        <v>0</v>
      </c>
      <c r="AE44" s="297">
        <f t="shared" si="11"/>
        <v>0</v>
      </c>
      <c r="AF44" s="297">
        <f t="shared" si="11"/>
        <v>0</v>
      </c>
      <c r="AG44" s="297">
        <f t="shared" si="11"/>
        <v>0</v>
      </c>
      <c r="AH44" s="297">
        <f t="shared" si="11"/>
        <v>0</v>
      </c>
      <c r="AI44" s="297">
        <f>$Y$20*'Шаг 1. Основные исходные данные'!$E$9/100*$H44*J44</f>
        <v>0</v>
      </c>
      <c r="AJ44" s="297">
        <f>$Y$20*'Шаг 1. Основные исходные данные'!$E$9/100*$H44*K44</f>
        <v>0</v>
      </c>
      <c r="AK44" s="297">
        <f>$Y$20*'Шаг 1. Основные исходные данные'!$E$9/100*$H44*L44</f>
        <v>0</v>
      </c>
      <c r="AL44" s="297">
        <f>$Y$20*'Шаг 1. Основные исходные данные'!$E$9/100*$H44*M44</f>
        <v>0</v>
      </c>
      <c r="AM44" s="297">
        <f>$Y$20*'Шаг 1. Основные исходные данные'!$E$9/100*$H44*N44</f>
        <v>0</v>
      </c>
      <c r="AN44" s="297">
        <f>$Y$20*'Шаг 1. Основные исходные данные'!$E$9/100*$H44*O44</f>
        <v>0</v>
      </c>
    </row>
    <row r="45" spans="1:40" x14ac:dyDescent="0.25">
      <c r="A45" s="43"/>
      <c r="B45" s="43"/>
      <c r="C45" s="88" t="str">
        <f>IF(LEN(D45)&gt;0,C44+1,"")</f>
        <v/>
      </c>
      <c r="D45" s="75" t="str">
        <f>IF(AND(LEN($D$20)&gt;1,LEN($D$9)&gt;1),$D$9,"")</f>
        <v/>
      </c>
      <c r="E45" s="70"/>
      <c r="F45" s="44"/>
      <c r="G45" s="63"/>
      <c r="H45" s="69"/>
      <c r="I45" s="44"/>
      <c r="J45" s="96"/>
      <c r="K45" s="44"/>
      <c r="L45" s="44"/>
      <c r="M45" s="44"/>
      <c r="N45" s="44"/>
      <c r="O45" s="44"/>
      <c r="P45" s="44"/>
      <c r="Q45" s="73">
        <f>IF(F45=Dict!$A$2,IF($J$19=0,"Ошибка: не заполнен параметр в п.4.1",SUM(W45:AB45)),0)</f>
        <v>0</v>
      </c>
      <c r="R45" s="74">
        <f>IF(G45=Dict!$A$2,IF($M$19=0,"Ошибка: не заполнен параметр в п.4.1",SUM(AC45:AH45)),0)</f>
        <v>0</v>
      </c>
      <c r="S45" s="72">
        <f>IFERROR(HLOOKUP("Ошибка: не заполнен параметр в п.4.1",Q45:R45,1,0),SUM(Q45:R45))</f>
        <v>0</v>
      </c>
      <c r="T45" s="74">
        <f>IF(E45=Dict!$A$2,IFERROR(SUM(AI45:AN45),"Ошибка: не заполнен параметр в п.4.1"),0)</f>
        <v>0</v>
      </c>
      <c r="U45" s="43"/>
      <c r="W45" s="297">
        <f t="shared" si="10"/>
        <v>0</v>
      </c>
      <c r="X45" s="297">
        <f t="shared" si="10"/>
        <v>0</v>
      </c>
      <c r="Y45" s="297">
        <f t="shared" si="10"/>
        <v>0</v>
      </c>
      <c r="Z45" s="297">
        <f t="shared" si="10"/>
        <v>0</v>
      </c>
      <c r="AA45" s="297">
        <f t="shared" si="10"/>
        <v>0</v>
      </c>
      <c r="AB45" s="297">
        <f t="shared" si="10"/>
        <v>0</v>
      </c>
      <c r="AC45" s="297">
        <f t="shared" si="11"/>
        <v>0</v>
      </c>
      <c r="AD45" s="297">
        <f t="shared" si="11"/>
        <v>0</v>
      </c>
      <c r="AE45" s="297">
        <f t="shared" si="11"/>
        <v>0</v>
      </c>
      <c r="AF45" s="297">
        <f t="shared" si="11"/>
        <v>0</v>
      </c>
      <c r="AG45" s="297">
        <f t="shared" si="11"/>
        <v>0</v>
      </c>
      <c r="AH45" s="297">
        <f t="shared" si="11"/>
        <v>0</v>
      </c>
      <c r="AI45" s="297">
        <f>$Y$20*'Шаг 1. Основные исходные данные'!$E$9/100*$H45*J45</f>
        <v>0</v>
      </c>
      <c r="AJ45" s="297">
        <f>$Y$20*'Шаг 1. Основные исходные данные'!$E$9/100*$H45*K45</f>
        <v>0</v>
      </c>
      <c r="AK45" s="297">
        <f>$Y$20*'Шаг 1. Основные исходные данные'!$E$9/100*$H45*L45</f>
        <v>0</v>
      </c>
      <c r="AL45" s="297">
        <f>$Y$20*'Шаг 1. Основные исходные данные'!$E$9/100*$H45*M45</f>
        <v>0</v>
      </c>
      <c r="AM45" s="297">
        <f>$Y$20*'Шаг 1. Основные исходные данные'!$E$9/100*$H45*N45</f>
        <v>0</v>
      </c>
      <c r="AN45" s="297">
        <f>$Y$20*'Шаг 1. Основные исходные данные'!$E$9/100*$H45*O45</f>
        <v>0</v>
      </c>
    </row>
    <row r="46" spans="1:40" x14ac:dyDescent="0.25">
      <c r="A46" s="43"/>
      <c r="B46" s="43"/>
      <c r="C46" s="88" t="str">
        <f>IF(LEN(D46)&gt;0,C45+1,"")</f>
        <v/>
      </c>
      <c r="D46" s="75" t="str">
        <f>IF(AND(LEN($D$20)&gt;1,LEN($D$10)&gt;1),$D$10,"")</f>
        <v/>
      </c>
      <c r="E46" s="71"/>
      <c r="F46" s="65"/>
      <c r="G46" s="68"/>
      <c r="H46" s="69"/>
      <c r="I46" s="44"/>
      <c r="J46" s="96"/>
      <c r="K46" s="44"/>
      <c r="L46" s="44"/>
      <c r="M46" s="44"/>
      <c r="N46" s="44"/>
      <c r="O46" s="44"/>
      <c r="P46" s="44"/>
      <c r="Q46" s="73">
        <f>IF(F46=Dict!$A$2,IF($J$19=0,"Ошибка: не заполнен параметр в п.4.1",SUM(W46:AB46)),0)</f>
        <v>0</v>
      </c>
      <c r="R46" s="74">
        <f>IF(G46=Dict!$A$2,IF($M$19=0,"Ошибка: не заполнен параметр в п.4.1",SUM(AC46:AH46)),0)</f>
        <v>0</v>
      </c>
      <c r="S46" s="72">
        <f>IFERROR(HLOOKUP("Ошибка: не заполнен параметр в п.4.1",Q46:R46,1,0),SUM(Q46:R46))</f>
        <v>0</v>
      </c>
      <c r="T46" s="74">
        <f>IF(E46=Dict!$A$2,IFERROR(SUM(AI46:AN46),"Ошибка: не заполнен параметр в п.4.1"),0)</f>
        <v>0</v>
      </c>
      <c r="U46" s="43"/>
      <c r="W46" s="297">
        <f t="shared" si="10"/>
        <v>0</v>
      </c>
      <c r="X46" s="297">
        <f t="shared" si="10"/>
        <v>0</v>
      </c>
      <c r="Y46" s="297">
        <f t="shared" si="10"/>
        <v>0</v>
      </c>
      <c r="Z46" s="297">
        <f t="shared" si="10"/>
        <v>0</v>
      </c>
      <c r="AA46" s="297">
        <f t="shared" si="10"/>
        <v>0</v>
      </c>
      <c r="AB46" s="297">
        <f t="shared" si="10"/>
        <v>0</v>
      </c>
      <c r="AC46" s="297">
        <f t="shared" si="11"/>
        <v>0</v>
      </c>
      <c r="AD46" s="297">
        <f t="shared" si="11"/>
        <v>0</v>
      </c>
      <c r="AE46" s="297">
        <f t="shared" si="11"/>
        <v>0</v>
      </c>
      <c r="AF46" s="297">
        <f t="shared" si="11"/>
        <v>0</v>
      </c>
      <c r="AG46" s="297">
        <f t="shared" si="11"/>
        <v>0</v>
      </c>
      <c r="AH46" s="297">
        <f t="shared" si="11"/>
        <v>0</v>
      </c>
      <c r="AI46" s="297">
        <f>$Y$20*'Шаг 1. Основные исходные данные'!$E$9/100*$H46*J46</f>
        <v>0</v>
      </c>
      <c r="AJ46" s="297">
        <f>$Y$20*'Шаг 1. Основные исходные данные'!$E$9/100*$H46*K46</f>
        <v>0</v>
      </c>
      <c r="AK46" s="297">
        <f>$Y$20*'Шаг 1. Основные исходные данные'!$E$9/100*$H46*L46</f>
        <v>0</v>
      </c>
      <c r="AL46" s="297">
        <f>$Y$20*'Шаг 1. Основные исходные данные'!$E$9/100*$H46*M46</f>
        <v>0</v>
      </c>
      <c r="AM46" s="297">
        <f>$Y$20*'Шаг 1. Основные исходные данные'!$E$9/100*$H46*N46</f>
        <v>0</v>
      </c>
      <c r="AN46" s="297">
        <f>$Y$20*'Шаг 1. Основные исходные данные'!$E$9/100*$H46*O46</f>
        <v>0</v>
      </c>
    </row>
    <row r="47" spans="1:40" ht="19.899999999999999" customHeight="1" x14ac:dyDescent="0.25">
      <c r="A47" s="43"/>
      <c r="B47" s="43"/>
      <c r="C47" s="35" t="s">
        <v>95</v>
      </c>
      <c r="D47" s="35"/>
      <c r="E47" s="35"/>
      <c r="F47" s="35"/>
      <c r="G47" s="35"/>
      <c r="H47" s="35"/>
      <c r="I47" s="35"/>
      <c r="J47" s="35"/>
      <c r="K47" s="35"/>
      <c r="L47" s="35"/>
      <c r="M47" s="35"/>
      <c r="N47" s="35"/>
      <c r="O47" s="35"/>
      <c r="P47" s="35"/>
      <c r="Q47" s="57">
        <f t="shared" ref="Q47:T47" si="12">IFERROR(VLOOKUP("Ошибка: не заполнен параметр в п.4.1",Q42:Q46,1,0),SUM(Q42:Q46))</f>
        <v>0</v>
      </c>
      <c r="R47" s="57">
        <f t="shared" si="12"/>
        <v>0</v>
      </c>
      <c r="S47" s="57">
        <f t="shared" si="12"/>
        <v>0</v>
      </c>
      <c r="T47" s="57">
        <f t="shared" si="12"/>
        <v>0</v>
      </c>
      <c r="U47" s="43"/>
      <c r="W47" s="298">
        <f>SUM(W42:W46)</f>
        <v>0</v>
      </c>
      <c r="X47" s="298">
        <f t="shared" ref="X47" si="13">SUM(X42:X46)</f>
        <v>0</v>
      </c>
      <c r="Y47" s="298">
        <f t="shared" ref="Y47" si="14">SUM(Y42:Y46)</f>
        <v>0</v>
      </c>
      <c r="Z47" s="298">
        <f t="shared" ref="Z47" si="15">SUM(Z42:Z46)</f>
        <v>0</v>
      </c>
      <c r="AA47" s="298">
        <f t="shared" ref="AA47" si="16">SUM(AA42:AA46)</f>
        <v>0</v>
      </c>
      <c r="AB47" s="298">
        <f t="shared" ref="AB47" si="17">SUM(AB42:AB46)</f>
        <v>0</v>
      </c>
      <c r="AC47" s="299">
        <f>SUM(AC42:AC46)</f>
        <v>0</v>
      </c>
      <c r="AD47" s="299">
        <f t="shared" ref="AD47" si="18">SUM(AD42:AD46)</f>
        <v>0</v>
      </c>
      <c r="AE47" s="299">
        <f t="shared" ref="AE47" si="19">SUM(AE42:AE46)</f>
        <v>0</v>
      </c>
      <c r="AF47" s="299">
        <f t="shared" ref="AF47" si="20">SUM(AF42:AF46)</f>
        <v>0</v>
      </c>
      <c r="AG47" s="299">
        <f t="shared" ref="AG47" si="21">SUM(AG42:AG46)</f>
        <v>0</v>
      </c>
      <c r="AH47" s="299">
        <f t="shared" ref="AH47" si="22">SUM(AH42:AH46)</f>
        <v>0</v>
      </c>
      <c r="AI47" s="299">
        <f>SUM(AI42:AI46)</f>
        <v>0</v>
      </c>
      <c r="AJ47" s="299">
        <f t="shared" ref="AJ47" si="23">SUM(AJ42:AJ46)</f>
        <v>0</v>
      </c>
      <c r="AK47" s="299">
        <f t="shared" ref="AK47" si="24">SUM(AK42:AK46)</f>
        <v>0</v>
      </c>
      <c r="AL47" s="299">
        <f t="shared" ref="AL47" si="25">SUM(AL42:AL46)</f>
        <v>0</v>
      </c>
      <c r="AM47" s="299">
        <f t="shared" ref="AM47" si="26">SUM(AM42:AM46)</f>
        <v>0</v>
      </c>
      <c r="AN47" s="299">
        <f t="shared" ref="AN47" si="27">SUM(AN42:AN46)</f>
        <v>0</v>
      </c>
    </row>
    <row r="48" spans="1:40" x14ac:dyDescent="0.25">
      <c r="A48" s="43"/>
      <c r="B48" s="43"/>
      <c r="C48" s="43"/>
      <c r="D48" s="43"/>
      <c r="E48" s="43"/>
      <c r="F48" s="43"/>
      <c r="G48" s="43"/>
      <c r="H48" s="43"/>
      <c r="I48" s="43"/>
      <c r="J48" s="43"/>
      <c r="K48" s="43"/>
      <c r="L48" s="43"/>
      <c r="M48" s="43"/>
      <c r="N48" s="43"/>
      <c r="O48" s="43"/>
      <c r="P48" s="43"/>
      <c r="Q48" s="43"/>
      <c r="R48" s="43"/>
      <c r="S48" s="43"/>
      <c r="T48" s="43"/>
      <c r="U48" s="43"/>
      <c r="W48" s="300"/>
      <c r="X48" s="300"/>
      <c r="Y48" s="300"/>
      <c r="Z48" s="300"/>
      <c r="AA48" s="300"/>
      <c r="AB48" s="300"/>
      <c r="AC48" s="301"/>
      <c r="AD48" s="301"/>
      <c r="AE48" s="301"/>
      <c r="AF48" s="301"/>
      <c r="AG48" s="301"/>
      <c r="AH48" s="301"/>
      <c r="AI48" s="301"/>
      <c r="AJ48" s="301"/>
      <c r="AK48" s="301"/>
      <c r="AL48" s="301"/>
      <c r="AM48" s="301"/>
      <c r="AN48" s="301"/>
    </row>
    <row r="49" spans="1:40" x14ac:dyDescent="0.25">
      <c r="A49" s="43"/>
      <c r="B49" s="43"/>
      <c r="C49" s="43"/>
      <c r="D49" s="43"/>
      <c r="E49" s="43"/>
      <c r="F49" s="43"/>
      <c r="G49" s="43"/>
      <c r="H49" s="43"/>
      <c r="I49" s="43"/>
      <c r="J49" s="43"/>
      <c r="K49" s="43"/>
      <c r="L49" s="43"/>
      <c r="M49" s="43"/>
      <c r="N49" s="43"/>
      <c r="O49" s="43"/>
      <c r="P49" s="43"/>
      <c r="Q49" s="43"/>
      <c r="R49" s="43"/>
      <c r="S49" s="43"/>
      <c r="T49" s="43"/>
      <c r="U49" s="43"/>
      <c r="W49" s="302"/>
      <c r="X49" s="302"/>
      <c r="Y49" s="302"/>
      <c r="Z49" s="302"/>
      <c r="AA49" s="302"/>
      <c r="AB49" s="302"/>
      <c r="AC49" s="301"/>
      <c r="AD49" s="301"/>
      <c r="AE49" s="301"/>
      <c r="AF49" s="301"/>
      <c r="AG49" s="301"/>
      <c r="AH49" s="301"/>
      <c r="AI49" s="301"/>
      <c r="AJ49" s="301"/>
      <c r="AK49" s="301"/>
      <c r="AL49" s="301"/>
      <c r="AM49" s="301"/>
      <c r="AN49" s="301"/>
    </row>
    <row r="50" spans="1:40" x14ac:dyDescent="0.25">
      <c r="A50" s="43"/>
      <c r="B50" s="43"/>
      <c r="C50" s="36" t="str">
        <f>CONCATENATE("4.2.",$C$21,". Издержки простоя группы объектов ",$C$21," - """,$D$21,"""")</f>
        <v>4.2.. Издержки простоя группы объектов  - ""</v>
      </c>
      <c r="D50" s="43"/>
      <c r="E50" s="43"/>
      <c r="F50" s="43"/>
      <c r="G50" s="43"/>
      <c r="H50" s="43"/>
      <c r="I50" s="43"/>
      <c r="J50" s="43"/>
      <c r="K50" s="43"/>
      <c r="L50" s="43"/>
      <c r="M50" s="43"/>
      <c r="N50" s="43"/>
      <c r="O50" s="43"/>
      <c r="P50" s="43"/>
      <c r="Q50" s="43"/>
      <c r="R50" s="43"/>
      <c r="S50" s="43"/>
      <c r="T50" s="43"/>
      <c r="U50" s="43"/>
      <c r="W50" s="302"/>
      <c r="X50" s="302"/>
      <c r="Y50" s="302"/>
      <c r="Z50" s="302"/>
      <c r="AA50" s="302"/>
      <c r="AB50" s="302"/>
      <c r="AC50" s="301"/>
      <c r="AD50" s="301"/>
      <c r="AE50" s="301"/>
      <c r="AF50" s="301"/>
      <c r="AG50" s="301"/>
      <c r="AH50" s="301"/>
      <c r="AI50" s="301"/>
      <c r="AJ50" s="301"/>
      <c r="AK50" s="301"/>
      <c r="AL50" s="301"/>
      <c r="AM50" s="301"/>
      <c r="AN50" s="301"/>
    </row>
    <row r="51" spans="1:40" x14ac:dyDescent="0.25">
      <c r="A51" s="43"/>
      <c r="B51" s="43"/>
      <c r="C51" s="43"/>
      <c r="D51" s="43"/>
      <c r="E51" s="43"/>
      <c r="F51" s="43"/>
      <c r="G51" s="43"/>
      <c r="H51" s="43"/>
      <c r="I51" s="43"/>
      <c r="J51" s="43"/>
      <c r="K51" s="43"/>
      <c r="L51" s="43"/>
      <c r="M51" s="43"/>
      <c r="N51" s="43"/>
      <c r="O51" s="43"/>
      <c r="P51" s="43"/>
      <c r="Q51" s="43"/>
      <c r="R51" s="43"/>
      <c r="S51" s="43"/>
      <c r="T51" s="43"/>
      <c r="U51" s="43"/>
      <c r="W51" s="302"/>
      <c r="X51" s="302"/>
      <c r="Y51" s="302"/>
      <c r="Z51" s="302"/>
      <c r="AA51" s="302"/>
      <c r="AB51" s="302"/>
      <c r="AC51" s="303"/>
      <c r="AD51" s="301"/>
      <c r="AE51" s="301"/>
      <c r="AF51" s="301"/>
      <c r="AG51" s="301"/>
      <c r="AH51" s="301"/>
      <c r="AI51" s="303"/>
      <c r="AJ51" s="301"/>
      <c r="AK51" s="301"/>
      <c r="AL51" s="301"/>
      <c r="AM51" s="301"/>
      <c r="AN51" s="301"/>
    </row>
    <row r="52" spans="1:40" ht="19.899999999999999" customHeight="1" x14ac:dyDescent="0.25">
      <c r="A52" s="43"/>
      <c r="B52" s="43"/>
      <c r="C52" s="336" t="s">
        <v>62</v>
      </c>
      <c r="D52" s="336" t="s">
        <v>94</v>
      </c>
      <c r="E52" s="359" t="s">
        <v>1176</v>
      </c>
      <c r="F52" s="360"/>
      <c r="G52" s="361"/>
      <c r="H52" s="362" t="s">
        <v>1239</v>
      </c>
      <c r="I52" s="336" t="s">
        <v>1305</v>
      </c>
      <c r="J52" s="336" t="s">
        <v>1240</v>
      </c>
      <c r="K52" s="336"/>
      <c r="L52" s="336"/>
      <c r="M52" s="336"/>
      <c r="N52" s="336"/>
      <c r="O52" s="336"/>
      <c r="P52" s="336" t="s">
        <v>1306</v>
      </c>
      <c r="Q52" s="286" t="s">
        <v>1236</v>
      </c>
      <c r="R52" s="287"/>
      <c r="S52" s="362" t="s">
        <v>1241</v>
      </c>
      <c r="T52" s="336" t="s">
        <v>1271</v>
      </c>
      <c r="U52" s="43"/>
      <c r="W52" s="303" t="s">
        <v>1246</v>
      </c>
      <c r="X52" s="302"/>
      <c r="Y52" s="302"/>
      <c r="Z52" s="302"/>
      <c r="AA52" s="302"/>
      <c r="AB52" s="302"/>
      <c r="AC52" s="303" t="s">
        <v>1247</v>
      </c>
      <c r="AD52" s="301"/>
      <c r="AE52" s="301"/>
      <c r="AF52" s="301"/>
      <c r="AG52" s="301"/>
      <c r="AH52" s="301"/>
      <c r="AI52" s="303" t="s">
        <v>1248</v>
      </c>
      <c r="AJ52" s="301"/>
      <c r="AK52" s="301"/>
      <c r="AL52" s="301"/>
      <c r="AM52" s="301"/>
      <c r="AN52" s="301"/>
    </row>
    <row r="53" spans="1:40" s="61" customFormat="1" ht="94.5" x14ac:dyDescent="0.25">
      <c r="A53" s="60"/>
      <c r="B53" s="60"/>
      <c r="C53" s="336"/>
      <c r="D53" s="336"/>
      <c r="E53" s="288" t="s">
        <v>109</v>
      </c>
      <c r="F53" s="289" t="s">
        <v>1243</v>
      </c>
      <c r="G53" s="290" t="s">
        <v>1244</v>
      </c>
      <c r="H53" s="363"/>
      <c r="I53" s="336"/>
      <c r="J53" s="125" t="str">
        <f>IF(1&lt;='Шаг 1. Основные исходные данные'!$E$5,"1 год","-")</f>
        <v>1 год</v>
      </c>
      <c r="K53" s="125" t="str">
        <f>IF(2&lt;='Шаг 1. Основные исходные данные'!$E$5,"2 год","-")</f>
        <v>2 год</v>
      </c>
      <c r="L53" s="125" t="str">
        <f>IF(3&lt;='Шаг 1. Основные исходные данные'!$E$5,"3 год","-")</f>
        <v>3 год</v>
      </c>
      <c r="M53" s="125" t="str">
        <f>IF(4&lt;='Шаг 1. Основные исходные данные'!$E$5,"4 год","-")</f>
        <v>4 год</v>
      </c>
      <c r="N53" s="125" t="str">
        <f>IF(5&lt;='Шаг 1. Основные исходные данные'!$E$5,"5 год","-")</f>
        <v>5 год</v>
      </c>
      <c r="O53" s="125" t="str">
        <f>IF(6&lt;='Шаг 1. Основные исходные данные'!$E$5,"6 год","-")</f>
        <v>6 год</v>
      </c>
      <c r="P53" s="336"/>
      <c r="Q53" s="79" t="s">
        <v>92</v>
      </c>
      <c r="R53" s="78" t="s">
        <v>93</v>
      </c>
      <c r="S53" s="363"/>
      <c r="T53" s="349"/>
      <c r="U53" s="43"/>
      <c r="W53" s="304" t="s">
        <v>1221</v>
      </c>
      <c r="X53" s="304" t="s">
        <v>1223</v>
      </c>
      <c r="Y53" s="304" t="s">
        <v>1224</v>
      </c>
      <c r="Z53" s="304" t="s">
        <v>1225</v>
      </c>
      <c r="AA53" s="304" t="s">
        <v>1226</v>
      </c>
      <c r="AB53" s="304" t="s">
        <v>1227</v>
      </c>
      <c r="AC53" s="304" t="s">
        <v>1221</v>
      </c>
      <c r="AD53" s="304" t="s">
        <v>1223</v>
      </c>
      <c r="AE53" s="304" t="s">
        <v>1224</v>
      </c>
      <c r="AF53" s="304" t="s">
        <v>1225</v>
      </c>
      <c r="AG53" s="304" t="s">
        <v>1226</v>
      </c>
      <c r="AH53" s="304" t="s">
        <v>1227</v>
      </c>
      <c r="AI53" s="304" t="s">
        <v>1221</v>
      </c>
      <c r="AJ53" s="304" t="s">
        <v>1223</v>
      </c>
      <c r="AK53" s="304" t="s">
        <v>1224</v>
      </c>
      <c r="AL53" s="304" t="s">
        <v>1225</v>
      </c>
      <c r="AM53" s="304" t="s">
        <v>1226</v>
      </c>
      <c r="AN53" s="304" t="s">
        <v>1227</v>
      </c>
    </row>
    <row r="54" spans="1:40" x14ac:dyDescent="0.25">
      <c r="A54" s="43"/>
      <c r="B54" s="43"/>
      <c r="C54" s="88" t="str">
        <f>IF(LEN(D54)&gt;0,1,"")</f>
        <v/>
      </c>
      <c r="D54" s="75" t="str">
        <f>IF(AND(LEN($D$21)&gt;1,LEN($D$6)&gt;1),$D$6,"")</f>
        <v/>
      </c>
      <c r="E54" s="70"/>
      <c r="F54" s="44"/>
      <c r="G54" s="63"/>
      <c r="H54" s="69"/>
      <c r="I54" s="44"/>
      <c r="J54" s="96"/>
      <c r="K54" s="44"/>
      <c r="L54" s="44"/>
      <c r="M54" s="44"/>
      <c r="N54" s="44"/>
      <c r="O54" s="44"/>
      <c r="P54" s="44"/>
      <c r="Q54" s="73">
        <f>IF(F54=Dict!$A$2,IF($J$19=0,"Ошибка: не заполнен параметр в п.4.1",SUM(W54:AB54)),0)</f>
        <v>0</v>
      </c>
      <c r="R54" s="74">
        <f>IF(G54=Dict!$A$2,IF($M$19=0,"Ошибка: не заполнен параметр в п.4.1",SUM(AC54:AH54)),0)</f>
        <v>0</v>
      </c>
      <c r="S54" s="72">
        <f>IFERROR(HLOOKUP("Ошибка: не заполнен параметр в п.4.1",Q54:R54,1,0),SUM(Q54:R54))</f>
        <v>0</v>
      </c>
      <c r="T54" s="74">
        <f>IF(E54=Dict!$A$2,IFERROR(SUM(AI54:AN54),"Ошибка: не заполнен параметр в п.4.1"),0)</f>
        <v>0</v>
      </c>
      <c r="U54" s="43"/>
      <c r="W54" s="297">
        <f t="shared" ref="W54:AB58" si="28">W$10*$W$21*$H54*J54</f>
        <v>0</v>
      </c>
      <c r="X54" s="297">
        <f t="shared" si="28"/>
        <v>0</v>
      </c>
      <c r="Y54" s="297">
        <f t="shared" si="28"/>
        <v>0</v>
      </c>
      <c r="Z54" s="297">
        <f t="shared" si="28"/>
        <v>0</v>
      </c>
      <c r="AA54" s="297">
        <f t="shared" si="28"/>
        <v>0</v>
      </c>
      <c r="AB54" s="297">
        <f t="shared" si="28"/>
        <v>0</v>
      </c>
      <c r="AC54" s="297">
        <f t="shared" ref="AC54:AH58" si="29">W$9*$X$21*$H54*J54</f>
        <v>0</v>
      </c>
      <c r="AD54" s="297">
        <f t="shared" si="29"/>
        <v>0</v>
      </c>
      <c r="AE54" s="297">
        <f t="shared" si="29"/>
        <v>0</v>
      </c>
      <c r="AF54" s="297">
        <f t="shared" si="29"/>
        <v>0</v>
      </c>
      <c r="AG54" s="297">
        <f t="shared" si="29"/>
        <v>0</v>
      </c>
      <c r="AH54" s="297">
        <f t="shared" si="29"/>
        <v>0</v>
      </c>
      <c r="AI54" s="297">
        <f>$Y$21*'Шаг 1. Основные исходные данные'!$E$9/100*$H54*J54</f>
        <v>0</v>
      </c>
      <c r="AJ54" s="297">
        <f>$Y$21*'Шаг 1. Основные исходные данные'!$E$9/100*$H54*K54</f>
        <v>0</v>
      </c>
      <c r="AK54" s="297">
        <f>$Y$21*'Шаг 1. Основные исходные данные'!$E$9/100*$H54*L54</f>
        <v>0</v>
      </c>
      <c r="AL54" s="297">
        <f>$Y$21*'Шаг 1. Основные исходные данные'!$E$9/100*$H54*M54</f>
        <v>0</v>
      </c>
      <c r="AM54" s="297">
        <f>$Y$21*'Шаг 1. Основные исходные данные'!$E$9/100*$H54*N54</f>
        <v>0</v>
      </c>
      <c r="AN54" s="297">
        <f>$Y$21*'Шаг 1. Основные исходные данные'!$E$9/100*$H54*O54</f>
        <v>0</v>
      </c>
    </row>
    <row r="55" spans="1:40" x14ac:dyDescent="0.25">
      <c r="A55" s="43"/>
      <c r="B55" s="43"/>
      <c r="C55" s="88" t="str">
        <f>IF(LEN(D55)&gt;0,C54+1,"")</f>
        <v/>
      </c>
      <c r="D55" s="75" t="str">
        <f>IF(AND(LEN($D$21)&gt;1,LEN($D$7)&gt;1),$D$7,"")</f>
        <v/>
      </c>
      <c r="E55" s="70"/>
      <c r="F55" s="44"/>
      <c r="G55" s="63"/>
      <c r="H55" s="69"/>
      <c r="I55" s="44"/>
      <c r="J55" s="96"/>
      <c r="K55" s="44"/>
      <c r="L55" s="44"/>
      <c r="M55" s="44"/>
      <c r="N55" s="44"/>
      <c r="O55" s="44"/>
      <c r="P55" s="44"/>
      <c r="Q55" s="73">
        <f>IF(F55=Dict!$A$2,IF($J$19=0,"Ошибка: не заполнен параметр в п.4.1",SUM(W55:AB55)),0)</f>
        <v>0</v>
      </c>
      <c r="R55" s="74">
        <f>IF(G55=Dict!$A$2,IF($M$19=0,"Ошибка: не заполнен параметр в п.4.1",SUM(AC55:AH55)),0)</f>
        <v>0</v>
      </c>
      <c r="S55" s="72">
        <f>IFERROR(HLOOKUP("Ошибка: не заполнен параметр в п.4.1",Q55:R55,1,0),SUM(Q55:R55))</f>
        <v>0</v>
      </c>
      <c r="T55" s="74">
        <f>IF(E55=Dict!$A$2,IFERROR(SUM(AI55:AN55),"Ошибка: не заполнен параметр в п.4.1"),0)</f>
        <v>0</v>
      </c>
      <c r="U55" s="43"/>
      <c r="W55" s="297">
        <f t="shared" si="28"/>
        <v>0</v>
      </c>
      <c r="X55" s="297">
        <f t="shared" si="28"/>
        <v>0</v>
      </c>
      <c r="Y55" s="297">
        <f t="shared" si="28"/>
        <v>0</v>
      </c>
      <c r="Z55" s="297">
        <f t="shared" si="28"/>
        <v>0</v>
      </c>
      <c r="AA55" s="297">
        <f t="shared" si="28"/>
        <v>0</v>
      </c>
      <c r="AB55" s="297">
        <f t="shared" si="28"/>
        <v>0</v>
      </c>
      <c r="AC55" s="297">
        <f t="shared" si="29"/>
        <v>0</v>
      </c>
      <c r="AD55" s="297">
        <f t="shared" si="29"/>
        <v>0</v>
      </c>
      <c r="AE55" s="297">
        <f t="shared" si="29"/>
        <v>0</v>
      </c>
      <c r="AF55" s="297">
        <f t="shared" si="29"/>
        <v>0</v>
      </c>
      <c r="AG55" s="297">
        <f t="shared" si="29"/>
        <v>0</v>
      </c>
      <c r="AH55" s="297">
        <f t="shared" si="29"/>
        <v>0</v>
      </c>
      <c r="AI55" s="297">
        <f>$Y$21*'Шаг 1. Основные исходные данные'!$E$9/100*$H55*J55</f>
        <v>0</v>
      </c>
      <c r="AJ55" s="297">
        <f>$Y$21*'Шаг 1. Основные исходные данные'!$E$9/100*$H55*K55</f>
        <v>0</v>
      </c>
      <c r="AK55" s="297">
        <f>$Y$21*'Шаг 1. Основные исходные данные'!$E$9/100*$H55*L55</f>
        <v>0</v>
      </c>
      <c r="AL55" s="297">
        <f>$Y$21*'Шаг 1. Основные исходные данные'!$E$9/100*$H55*M55</f>
        <v>0</v>
      </c>
      <c r="AM55" s="297">
        <f>$Y$21*'Шаг 1. Основные исходные данные'!$E$9/100*$H55*N55</f>
        <v>0</v>
      </c>
      <c r="AN55" s="297">
        <f>$Y$21*'Шаг 1. Основные исходные данные'!$E$9/100*$H55*O55</f>
        <v>0</v>
      </c>
    </row>
    <row r="56" spans="1:40" x14ac:dyDescent="0.25">
      <c r="A56" s="43"/>
      <c r="B56" s="43"/>
      <c r="C56" s="88" t="str">
        <f>IF(LEN(D56)&gt;0,C55+1,"")</f>
        <v/>
      </c>
      <c r="D56" s="75" t="str">
        <f>IF(AND(LEN($D$21)&gt;1,LEN($D$8)&gt;1),$D$8,"")</f>
        <v/>
      </c>
      <c r="E56" s="70"/>
      <c r="F56" s="44"/>
      <c r="G56" s="63"/>
      <c r="H56" s="69"/>
      <c r="I56" s="44"/>
      <c r="J56" s="96"/>
      <c r="K56" s="44"/>
      <c r="L56" s="44"/>
      <c r="M56" s="44"/>
      <c r="N56" s="44"/>
      <c r="O56" s="44"/>
      <c r="P56" s="44"/>
      <c r="Q56" s="73">
        <f>IF(F56=Dict!$A$2,IF($J$19=0,"Ошибка: не заполнен параметр в п.4.1",SUM(W56:AB56)),0)</f>
        <v>0</v>
      </c>
      <c r="R56" s="74">
        <f>IF(G56=Dict!$A$2,IF($M$19=0,"Ошибка: не заполнен параметр в п.4.1",SUM(AC56:AH56)),0)</f>
        <v>0</v>
      </c>
      <c r="S56" s="72">
        <f>IFERROR(HLOOKUP("Ошибка: не заполнен параметр в п.4.1",Q56:R56,1,0),SUM(Q56:R56))</f>
        <v>0</v>
      </c>
      <c r="T56" s="74">
        <f>IF(E56=Dict!$A$2,IFERROR(SUM(AI56:AN56),"Ошибка: не заполнен параметр в п.4.1"),0)</f>
        <v>0</v>
      </c>
      <c r="U56" s="43"/>
      <c r="W56" s="297">
        <f t="shared" si="28"/>
        <v>0</v>
      </c>
      <c r="X56" s="297">
        <f t="shared" si="28"/>
        <v>0</v>
      </c>
      <c r="Y56" s="297">
        <f t="shared" si="28"/>
        <v>0</v>
      </c>
      <c r="Z56" s="297">
        <f t="shared" si="28"/>
        <v>0</v>
      </c>
      <c r="AA56" s="297">
        <f t="shared" si="28"/>
        <v>0</v>
      </c>
      <c r="AB56" s="297">
        <f t="shared" si="28"/>
        <v>0</v>
      </c>
      <c r="AC56" s="297">
        <f t="shared" si="29"/>
        <v>0</v>
      </c>
      <c r="AD56" s="297">
        <f t="shared" si="29"/>
        <v>0</v>
      </c>
      <c r="AE56" s="297">
        <f t="shared" si="29"/>
        <v>0</v>
      </c>
      <c r="AF56" s="297">
        <f t="shared" si="29"/>
        <v>0</v>
      </c>
      <c r="AG56" s="297">
        <f t="shared" si="29"/>
        <v>0</v>
      </c>
      <c r="AH56" s="297">
        <f t="shared" si="29"/>
        <v>0</v>
      </c>
      <c r="AI56" s="297">
        <f>$Y$21*'Шаг 1. Основные исходные данные'!$E$9/100*$H56*J56</f>
        <v>0</v>
      </c>
      <c r="AJ56" s="297">
        <f>$Y$21*'Шаг 1. Основные исходные данные'!$E$9/100*$H56*K56</f>
        <v>0</v>
      </c>
      <c r="AK56" s="297">
        <f>$Y$21*'Шаг 1. Основные исходные данные'!$E$9/100*$H56*L56</f>
        <v>0</v>
      </c>
      <c r="AL56" s="297">
        <f>$Y$21*'Шаг 1. Основные исходные данные'!$E$9/100*$H56*M56</f>
        <v>0</v>
      </c>
      <c r="AM56" s="297">
        <f>$Y$21*'Шаг 1. Основные исходные данные'!$E$9/100*$H56*N56</f>
        <v>0</v>
      </c>
      <c r="AN56" s="297">
        <f>$Y$21*'Шаг 1. Основные исходные данные'!$E$9/100*$H56*O56</f>
        <v>0</v>
      </c>
    </row>
    <row r="57" spans="1:40" x14ac:dyDescent="0.25">
      <c r="A57" s="43"/>
      <c r="B57" s="43"/>
      <c r="C57" s="88" t="str">
        <f>IF(LEN(D57)&gt;0,C56+1,"")</f>
        <v/>
      </c>
      <c r="D57" s="75" t="str">
        <f>IF(AND(LEN($D$21)&gt;1,LEN($D$9)&gt;1),$D$9,"")</f>
        <v/>
      </c>
      <c r="E57" s="70"/>
      <c r="F57" s="44"/>
      <c r="G57" s="63"/>
      <c r="H57" s="69"/>
      <c r="I57" s="44"/>
      <c r="J57" s="96"/>
      <c r="K57" s="44"/>
      <c r="L57" s="44"/>
      <c r="M57" s="44"/>
      <c r="N57" s="44"/>
      <c r="O57" s="44"/>
      <c r="P57" s="44"/>
      <c r="Q57" s="73">
        <f>IF(F57=Dict!$A$2,IF($J$19=0,"Ошибка: не заполнен параметр в п.4.1",SUM(W57:AB57)),0)</f>
        <v>0</v>
      </c>
      <c r="R57" s="74">
        <f>IF(G57=Dict!$A$2,IF($M$19=0,"Ошибка: не заполнен параметр в п.4.1",SUM(AC57:AH57)),0)</f>
        <v>0</v>
      </c>
      <c r="S57" s="72">
        <f>IFERROR(HLOOKUP("Ошибка: не заполнен параметр в п.4.1",Q57:R57,1,0),SUM(Q57:R57))</f>
        <v>0</v>
      </c>
      <c r="T57" s="74">
        <f>IF(E57=Dict!$A$2,IFERROR(SUM(AI57:AN57),"Ошибка: не заполнен параметр в п.4.1"),0)</f>
        <v>0</v>
      </c>
      <c r="U57" s="43"/>
      <c r="W57" s="297">
        <f t="shared" si="28"/>
        <v>0</v>
      </c>
      <c r="X57" s="297">
        <f t="shared" si="28"/>
        <v>0</v>
      </c>
      <c r="Y57" s="297">
        <f t="shared" si="28"/>
        <v>0</v>
      </c>
      <c r="Z57" s="297">
        <f t="shared" si="28"/>
        <v>0</v>
      </c>
      <c r="AA57" s="297">
        <f t="shared" si="28"/>
        <v>0</v>
      </c>
      <c r="AB57" s="297">
        <f t="shared" si="28"/>
        <v>0</v>
      </c>
      <c r="AC57" s="297">
        <f t="shared" si="29"/>
        <v>0</v>
      </c>
      <c r="AD57" s="297">
        <f t="shared" si="29"/>
        <v>0</v>
      </c>
      <c r="AE57" s="297">
        <f t="shared" si="29"/>
        <v>0</v>
      </c>
      <c r="AF57" s="297">
        <f t="shared" si="29"/>
        <v>0</v>
      </c>
      <c r="AG57" s="297">
        <f t="shared" si="29"/>
        <v>0</v>
      </c>
      <c r="AH57" s="297">
        <f t="shared" si="29"/>
        <v>0</v>
      </c>
      <c r="AI57" s="297">
        <f>$Y$21*'Шаг 1. Основные исходные данные'!$E$9/100*$H57*J57</f>
        <v>0</v>
      </c>
      <c r="AJ57" s="297">
        <f>$Y$21*'Шаг 1. Основные исходные данные'!$E$9/100*$H57*K57</f>
        <v>0</v>
      </c>
      <c r="AK57" s="297">
        <f>$Y$21*'Шаг 1. Основные исходные данные'!$E$9/100*$H57*L57</f>
        <v>0</v>
      </c>
      <c r="AL57" s="297">
        <f>$Y$21*'Шаг 1. Основные исходные данные'!$E$9/100*$H57*M57</f>
        <v>0</v>
      </c>
      <c r="AM57" s="297">
        <f>$Y$21*'Шаг 1. Основные исходные данные'!$E$9/100*$H57*N57</f>
        <v>0</v>
      </c>
      <c r="AN57" s="297">
        <f>$Y$21*'Шаг 1. Основные исходные данные'!$E$9/100*$H57*O57</f>
        <v>0</v>
      </c>
    </row>
    <row r="58" spans="1:40" x14ac:dyDescent="0.25">
      <c r="A58" s="43"/>
      <c r="B58" s="43"/>
      <c r="C58" s="88" t="str">
        <f>IF(LEN(D58)&gt;0,C57+1,"")</f>
        <v/>
      </c>
      <c r="D58" s="75" t="str">
        <f>IF(AND(LEN($D$21)&gt;1,LEN($D$10)&gt;1),$D$10,"")</f>
        <v/>
      </c>
      <c r="E58" s="71"/>
      <c r="F58" s="65"/>
      <c r="G58" s="68"/>
      <c r="H58" s="69"/>
      <c r="I58" s="44"/>
      <c r="J58" s="96"/>
      <c r="K58" s="44"/>
      <c r="L58" s="44"/>
      <c r="M58" s="44"/>
      <c r="N58" s="44"/>
      <c r="O58" s="44"/>
      <c r="P58" s="44"/>
      <c r="Q58" s="73">
        <f>IF(F58=Dict!$A$2,IF($J$19=0,"Ошибка: не заполнен параметр в п.4.1",SUM(W58:AB58)),0)</f>
        <v>0</v>
      </c>
      <c r="R58" s="74">
        <f>IF(G58=Dict!$A$2,IF($M$19=0,"Ошибка: не заполнен параметр в п.4.1",SUM(AC58:AH58)),0)</f>
        <v>0</v>
      </c>
      <c r="S58" s="72">
        <f>IFERROR(HLOOKUP("Ошибка: не заполнен параметр в п.4.1",Q58:R58,1,0),SUM(Q58:R58))</f>
        <v>0</v>
      </c>
      <c r="T58" s="74">
        <f>IF(E58=Dict!$A$2,IFERROR(SUM(AI58:AN58),"Ошибка: не заполнен параметр в п.4.1"),0)</f>
        <v>0</v>
      </c>
      <c r="U58" s="43"/>
      <c r="W58" s="297">
        <f t="shared" si="28"/>
        <v>0</v>
      </c>
      <c r="X58" s="297">
        <f t="shared" si="28"/>
        <v>0</v>
      </c>
      <c r="Y58" s="297">
        <f t="shared" si="28"/>
        <v>0</v>
      </c>
      <c r="Z58" s="297">
        <f t="shared" si="28"/>
        <v>0</v>
      </c>
      <c r="AA58" s="297">
        <f t="shared" si="28"/>
        <v>0</v>
      </c>
      <c r="AB58" s="297">
        <f t="shared" si="28"/>
        <v>0</v>
      </c>
      <c r="AC58" s="297">
        <f t="shared" si="29"/>
        <v>0</v>
      </c>
      <c r="AD58" s="297">
        <f t="shared" si="29"/>
        <v>0</v>
      </c>
      <c r="AE58" s="297">
        <f t="shared" si="29"/>
        <v>0</v>
      </c>
      <c r="AF58" s="297">
        <f t="shared" si="29"/>
        <v>0</v>
      </c>
      <c r="AG58" s="297">
        <f t="shared" si="29"/>
        <v>0</v>
      </c>
      <c r="AH58" s="297">
        <f t="shared" si="29"/>
        <v>0</v>
      </c>
      <c r="AI58" s="297">
        <f>$Y$21*'Шаг 1. Основные исходные данные'!$E$9/100*$H58*J58</f>
        <v>0</v>
      </c>
      <c r="AJ58" s="297">
        <f>$Y$21*'Шаг 1. Основные исходные данные'!$E$9/100*$H58*K58</f>
        <v>0</v>
      </c>
      <c r="AK58" s="297">
        <f>$Y$21*'Шаг 1. Основные исходные данные'!$E$9/100*$H58*L58</f>
        <v>0</v>
      </c>
      <c r="AL58" s="297">
        <f>$Y$21*'Шаг 1. Основные исходные данные'!$E$9/100*$H58*M58</f>
        <v>0</v>
      </c>
      <c r="AM58" s="297">
        <f>$Y$21*'Шаг 1. Основные исходные данные'!$E$9/100*$H58*N58</f>
        <v>0</v>
      </c>
      <c r="AN58" s="297">
        <f>$Y$21*'Шаг 1. Основные исходные данные'!$E$9/100*$H58*O58</f>
        <v>0</v>
      </c>
    </row>
    <row r="59" spans="1:40" ht="19.899999999999999" customHeight="1" x14ac:dyDescent="0.25">
      <c r="A59" s="43"/>
      <c r="B59" s="43"/>
      <c r="C59" s="35" t="s">
        <v>95</v>
      </c>
      <c r="D59" s="35"/>
      <c r="E59" s="35"/>
      <c r="F59" s="35"/>
      <c r="G59" s="35"/>
      <c r="H59" s="35"/>
      <c r="I59" s="35"/>
      <c r="J59" s="35"/>
      <c r="K59" s="35"/>
      <c r="L59" s="35"/>
      <c r="M59" s="35"/>
      <c r="N59" s="35"/>
      <c r="O59" s="35"/>
      <c r="P59" s="35"/>
      <c r="Q59" s="57">
        <f t="shared" ref="Q59:T59" si="30">IFERROR(VLOOKUP("Ошибка: не заполнен параметр в п.4.1",Q54:Q58,1,0),SUM(Q54:Q58))</f>
        <v>0</v>
      </c>
      <c r="R59" s="57">
        <f t="shared" si="30"/>
        <v>0</v>
      </c>
      <c r="S59" s="57">
        <f t="shared" si="30"/>
        <v>0</v>
      </c>
      <c r="T59" s="57">
        <f t="shared" si="30"/>
        <v>0</v>
      </c>
      <c r="U59" s="43"/>
      <c r="W59" s="298">
        <f>SUM(W54:W58)</f>
        <v>0</v>
      </c>
      <c r="X59" s="298">
        <f t="shared" ref="X59" si="31">SUM(X54:X58)</f>
        <v>0</v>
      </c>
      <c r="Y59" s="298">
        <f t="shared" ref="Y59" si="32">SUM(Y54:Y58)</f>
        <v>0</v>
      </c>
      <c r="Z59" s="298">
        <f t="shared" ref="Z59" si="33">SUM(Z54:Z58)</f>
        <v>0</v>
      </c>
      <c r="AA59" s="298">
        <f t="shared" ref="AA59" si="34">SUM(AA54:AA58)</f>
        <v>0</v>
      </c>
      <c r="AB59" s="298">
        <f t="shared" ref="AB59" si="35">SUM(AB54:AB58)</f>
        <v>0</v>
      </c>
      <c r="AC59" s="299">
        <f>SUM(AC54:AC58)</f>
        <v>0</v>
      </c>
      <c r="AD59" s="299">
        <f t="shared" ref="AD59" si="36">SUM(AD54:AD58)</f>
        <v>0</v>
      </c>
      <c r="AE59" s="299">
        <f t="shared" ref="AE59" si="37">SUM(AE54:AE58)</f>
        <v>0</v>
      </c>
      <c r="AF59" s="299">
        <f t="shared" ref="AF59" si="38">SUM(AF54:AF58)</f>
        <v>0</v>
      </c>
      <c r="AG59" s="299">
        <f t="shared" ref="AG59" si="39">SUM(AG54:AG58)</f>
        <v>0</v>
      </c>
      <c r="AH59" s="299">
        <f t="shared" ref="AH59" si="40">SUM(AH54:AH58)</f>
        <v>0</v>
      </c>
      <c r="AI59" s="299">
        <f>SUM(AI54:AI58)</f>
        <v>0</v>
      </c>
      <c r="AJ59" s="299">
        <f t="shared" ref="AJ59" si="41">SUM(AJ54:AJ58)</f>
        <v>0</v>
      </c>
      <c r="AK59" s="299">
        <f t="shared" ref="AK59" si="42">SUM(AK54:AK58)</f>
        <v>0</v>
      </c>
      <c r="AL59" s="299">
        <f t="shared" ref="AL59" si="43">SUM(AL54:AL58)</f>
        <v>0</v>
      </c>
      <c r="AM59" s="299">
        <f t="shared" ref="AM59" si="44">SUM(AM54:AM58)</f>
        <v>0</v>
      </c>
      <c r="AN59" s="299">
        <f t="shared" ref="AN59" si="45">SUM(AN54:AN58)</f>
        <v>0</v>
      </c>
    </row>
    <row r="60" spans="1:40" x14ac:dyDescent="0.25">
      <c r="A60" s="43"/>
      <c r="B60" s="43"/>
      <c r="C60" s="43"/>
      <c r="D60" s="43"/>
      <c r="E60" s="43"/>
      <c r="F60" s="43"/>
      <c r="G60" s="43"/>
      <c r="H60" s="43"/>
      <c r="I60" s="43"/>
      <c r="J60" s="43"/>
      <c r="K60" s="43"/>
      <c r="L60" s="43"/>
      <c r="M60" s="43"/>
      <c r="N60" s="43"/>
      <c r="O60" s="43"/>
      <c r="P60" s="43"/>
      <c r="Q60" s="43"/>
      <c r="R60" s="43"/>
      <c r="S60" s="43"/>
      <c r="T60" s="43"/>
      <c r="U60" s="43"/>
      <c r="W60" s="300"/>
      <c r="X60" s="300"/>
      <c r="Y60" s="300"/>
      <c r="Z60" s="300"/>
      <c r="AA60" s="300"/>
      <c r="AB60" s="300"/>
      <c r="AC60" s="301"/>
      <c r="AD60" s="301"/>
      <c r="AE60" s="301"/>
      <c r="AF60" s="301"/>
      <c r="AG60" s="301"/>
      <c r="AH60" s="301"/>
      <c r="AI60" s="301"/>
      <c r="AJ60" s="301"/>
      <c r="AK60" s="301"/>
      <c r="AL60" s="301"/>
      <c r="AM60" s="301"/>
      <c r="AN60" s="301"/>
    </row>
    <row r="61" spans="1:40" x14ac:dyDescent="0.25">
      <c r="A61" s="43"/>
      <c r="B61" s="43"/>
      <c r="C61" s="43"/>
      <c r="D61" s="43"/>
      <c r="E61" s="43"/>
      <c r="F61" s="43"/>
      <c r="G61" s="43"/>
      <c r="H61" s="43"/>
      <c r="I61" s="43"/>
      <c r="J61" s="43"/>
      <c r="K61" s="43"/>
      <c r="L61" s="43"/>
      <c r="M61" s="43"/>
      <c r="N61" s="43"/>
      <c r="O61" s="43"/>
      <c r="P61" s="43"/>
      <c r="Q61" s="43"/>
      <c r="R61" s="43"/>
      <c r="S61" s="43"/>
      <c r="T61" s="43"/>
      <c r="U61" s="43"/>
      <c r="W61" s="302"/>
      <c r="X61" s="302"/>
      <c r="Y61" s="302"/>
      <c r="Z61" s="302"/>
      <c r="AA61" s="302"/>
      <c r="AB61" s="302"/>
      <c r="AC61" s="301"/>
      <c r="AD61" s="301"/>
      <c r="AE61" s="301"/>
      <c r="AF61" s="301"/>
      <c r="AG61" s="301"/>
      <c r="AH61" s="301"/>
      <c r="AI61" s="301"/>
      <c r="AJ61" s="301"/>
      <c r="AK61" s="301"/>
      <c r="AL61" s="301"/>
      <c r="AM61" s="301"/>
      <c r="AN61" s="301"/>
    </row>
    <row r="62" spans="1:40" x14ac:dyDescent="0.25">
      <c r="A62" s="43"/>
      <c r="B62" s="43"/>
      <c r="C62" s="36" t="str">
        <f>CONCATENATE("4.2.",$C$22,". Издержки простоя группы объектов ",$C$22," - """,$D$22,"""")</f>
        <v>4.2.. Издержки простоя группы объектов  - ""</v>
      </c>
      <c r="D62" s="43"/>
      <c r="E62" s="43"/>
      <c r="F62" s="43"/>
      <c r="G62" s="43"/>
      <c r="H62" s="43"/>
      <c r="I62" s="43"/>
      <c r="J62" s="43"/>
      <c r="K62" s="43"/>
      <c r="L62" s="43"/>
      <c r="M62" s="43"/>
      <c r="N62" s="43"/>
      <c r="O62" s="43"/>
      <c r="P62" s="43"/>
      <c r="Q62" s="43"/>
      <c r="R62" s="43"/>
      <c r="S62" s="43"/>
      <c r="T62" s="43"/>
      <c r="U62" s="43"/>
      <c r="W62" s="302"/>
      <c r="X62" s="302"/>
      <c r="Y62" s="302"/>
      <c r="Z62" s="302"/>
      <c r="AA62" s="302"/>
      <c r="AB62" s="302"/>
      <c r="AC62" s="301"/>
      <c r="AD62" s="301"/>
      <c r="AE62" s="301"/>
      <c r="AF62" s="301"/>
      <c r="AG62" s="301"/>
      <c r="AH62" s="301"/>
      <c r="AI62" s="301"/>
      <c r="AJ62" s="301"/>
      <c r="AK62" s="301"/>
      <c r="AL62" s="301"/>
      <c r="AM62" s="301"/>
      <c r="AN62" s="301"/>
    </row>
    <row r="63" spans="1:40" x14ac:dyDescent="0.25">
      <c r="A63" s="43"/>
      <c r="B63" s="43"/>
      <c r="C63" s="43"/>
      <c r="D63" s="43"/>
      <c r="E63" s="43"/>
      <c r="F63" s="43"/>
      <c r="G63" s="43"/>
      <c r="H63" s="43"/>
      <c r="I63" s="43"/>
      <c r="J63" s="43"/>
      <c r="K63" s="43"/>
      <c r="L63" s="43"/>
      <c r="M63" s="43"/>
      <c r="N63" s="43"/>
      <c r="O63" s="43"/>
      <c r="P63" s="43"/>
      <c r="Q63" s="43"/>
      <c r="R63" s="43"/>
      <c r="S63" s="43"/>
      <c r="T63" s="43"/>
      <c r="U63" s="43"/>
      <c r="W63" s="302"/>
      <c r="X63" s="302"/>
      <c r="Y63" s="302"/>
      <c r="Z63" s="302"/>
      <c r="AA63" s="302"/>
      <c r="AB63" s="302"/>
      <c r="AC63" s="303"/>
      <c r="AD63" s="301"/>
      <c r="AE63" s="301"/>
      <c r="AF63" s="301"/>
      <c r="AG63" s="301"/>
      <c r="AH63" s="301"/>
      <c r="AI63" s="303"/>
      <c r="AJ63" s="301"/>
      <c r="AK63" s="301"/>
      <c r="AL63" s="301"/>
      <c r="AM63" s="301"/>
      <c r="AN63" s="301"/>
    </row>
    <row r="64" spans="1:40" ht="19.899999999999999" customHeight="1" x14ac:dyDescent="0.25">
      <c r="A64" s="43"/>
      <c r="B64" s="43"/>
      <c r="C64" s="336" t="s">
        <v>62</v>
      </c>
      <c r="D64" s="336" t="s">
        <v>94</v>
      </c>
      <c r="E64" s="359" t="s">
        <v>1176</v>
      </c>
      <c r="F64" s="360"/>
      <c r="G64" s="361"/>
      <c r="H64" s="362" t="s">
        <v>1239</v>
      </c>
      <c r="I64" s="336" t="s">
        <v>1305</v>
      </c>
      <c r="J64" s="336" t="s">
        <v>1240</v>
      </c>
      <c r="K64" s="336"/>
      <c r="L64" s="336"/>
      <c r="M64" s="336"/>
      <c r="N64" s="336"/>
      <c r="O64" s="336"/>
      <c r="P64" s="336" t="s">
        <v>1306</v>
      </c>
      <c r="Q64" s="286" t="s">
        <v>1236</v>
      </c>
      <c r="R64" s="287"/>
      <c r="S64" s="362" t="s">
        <v>1241</v>
      </c>
      <c r="T64" s="336" t="s">
        <v>1271</v>
      </c>
      <c r="U64" s="43"/>
      <c r="W64" s="303" t="s">
        <v>1246</v>
      </c>
      <c r="X64" s="302"/>
      <c r="Y64" s="302"/>
      <c r="Z64" s="302"/>
      <c r="AA64" s="302"/>
      <c r="AB64" s="302"/>
      <c r="AC64" s="303" t="s">
        <v>1247</v>
      </c>
      <c r="AD64" s="301"/>
      <c r="AE64" s="301"/>
      <c r="AF64" s="301"/>
      <c r="AG64" s="301"/>
      <c r="AH64" s="301"/>
      <c r="AI64" s="303" t="s">
        <v>1248</v>
      </c>
      <c r="AJ64" s="301"/>
      <c r="AK64" s="301"/>
      <c r="AL64" s="301"/>
      <c r="AM64" s="301"/>
      <c r="AN64" s="301"/>
    </row>
    <row r="65" spans="1:40" s="61" customFormat="1" ht="94.5" x14ac:dyDescent="0.25">
      <c r="A65" s="60"/>
      <c r="B65" s="60"/>
      <c r="C65" s="336"/>
      <c r="D65" s="336"/>
      <c r="E65" s="288" t="s">
        <v>109</v>
      </c>
      <c r="F65" s="289" t="s">
        <v>1243</v>
      </c>
      <c r="G65" s="290" t="s">
        <v>1244</v>
      </c>
      <c r="H65" s="363"/>
      <c r="I65" s="336"/>
      <c r="J65" s="125" t="str">
        <f>IF(1&lt;='Шаг 1. Основные исходные данные'!$E$5,"1 год","-")</f>
        <v>1 год</v>
      </c>
      <c r="K65" s="125" t="str">
        <f>IF(2&lt;='Шаг 1. Основные исходные данные'!$E$5,"2 год","-")</f>
        <v>2 год</v>
      </c>
      <c r="L65" s="125" t="str">
        <f>IF(3&lt;='Шаг 1. Основные исходные данные'!$E$5,"3 год","-")</f>
        <v>3 год</v>
      </c>
      <c r="M65" s="125" t="str">
        <f>IF(4&lt;='Шаг 1. Основные исходные данные'!$E$5,"4 год","-")</f>
        <v>4 год</v>
      </c>
      <c r="N65" s="125" t="str">
        <f>IF(5&lt;='Шаг 1. Основные исходные данные'!$E$5,"5 год","-")</f>
        <v>5 год</v>
      </c>
      <c r="O65" s="125" t="str">
        <f>IF(6&lt;='Шаг 1. Основные исходные данные'!$E$5,"6 год","-")</f>
        <v>6 год</v>
      </c>
      <c r="P65" s="336"/>
      <c r="Q65" s="79" t="s">
        <v>92</v>
      </c>
      <c r="R65" s="78" t="s">
        <v>93</v>
      </c>
      <c r="S65" s="363"/>
      <c r="T65" s="349"/>
      <c r="U65" s="43"/>
      <c r="W65" s="304" t="s">
        <v>1221</v>
      </c>
      <c r="X65" s="304" t="s">
        <v>1223</v>
      </c>
      <c r="Y65" s="304" t="s">
        <v>1224</v>
      </c>
      <c r="Z65" s="304" t="s">
        <v>1225</v>
      </c>
      <c r="AA65" s="304" t="s">
        <v>1226</v>
      </c>
      <c r="AB65" s="304" t="s">
        <v>1227</v>
      </c>
      <c r="AC65" s="304" t="s">
        <v>1221</v>
      </c>
      <c r="AD65" s="304" t="s">
        <v>1223</v>
      </c>
      <c r="AE65" s="304" t="s">
        <v>1224</v>
      </c>
      <c r="AF65" s="304" t="s">
        <v>1225</v>
      </c>
      <c r="AG65" s="304" t="s">
        <v>1226</v>
      </c>
      <c r="AH65" s="304" t="s">
        <v>1227</v>
      </c>
      <c r="AI65" s="304" t="s">
        <v>1221</v>
      </c>
      <c r="AJ65" s="304" t="s">
        <v>1223</v>
      </c>
      <c r="AK65" s="304" t="s">
        <v>1224</v>
      </c>
      <c r="AL65" s="304" t="s">
        <v>1225</v>
      </c>
      <c r="AM65" s="304" t="s">
        <v>1226</v>
      </c>
      <c r="AN65" s="304" t="s">
        <v>1227</v>
      </c>
    </row>
    <row r="66" spans="1:40" x14ac:dyDescent="0.25">
      <c r="A66" s="43"/>
      <c r="B66" s="43"/>
      <c r="C66" s="88" t="str">
        <f>IF(LEN(D66)&gt;0,1,"")</f>
        <v/>
      </c>
      <c r="D66" s="75" t="str">
        <f>IF(AND(LEN($D$22)&gt;1,LEN($D$6)&gt;1),$D$6,"")</f>
        <v/>
      </c>
      <c r="E66" s="70"/>
      <c r="F66" s="44"/>
      <c r="G66" s="63"/>
      <c r="H66" s="69"/>
      <c r="I66" s="44"/>
      <c r="J66" s="96"/>
      <c r="K66" s="44"/>
      <c r="L66" s="44"/>
      <c r="M66" s="44"/>
      <c r="N66" s="44"/>
      <c r="O66" s="44"/>
      <c r="P66" s="44"/>
      <c r="Q66" s="73">
        <f>IF(F66=Dict!$A$2,IF($J$19=0,"Ошибка: не заполнен параметр в п.4.1",SUM(W66:AB66)),0)</f>
        <v>0</v>
      </c>
      <c r="R66" s="74">
        <f>IF(G66=Dict!$A$2,IF($M$19=0,"Ошибка: не заполнен параметр в п.4.1",SUM(AC66:AH66)),0)</f>
        <v>0</v>
      </c>
      <c r="S66" s="72">
        <f>IFERROR(HLOOKUP("Ошибка: не заполнен параметр в п.4.1",Q66:R66,1,0),SUM(Q66:R66))</f>
        <v>0</v>
      </c>
      <c r="T66" s="74">
        <f>IF(E66=Dict!$A$2,IFERROR(SUM(AI66:AN66),"Ошибка: не заполнен параметр в п.4.1"),0)</f>
        <v>0</v>
      </c>
      <c r="U66" s="43"/>
      <c r="W66" s="297">
        <f t="shared" ref="W66:AB70" si="46">W$10*$W$22*$H66*J66</f>
        <v>0</v>
      </c>
      <c r="X66" s="297">
        <f t="shared" si="46"/>
        <v>0</v>
      </c>
      <c r="Y66" s="297">
        <f t="shared" si="46"/>
        <v>0</v>
      </c>
      <c r="Z66" s="297">
        <f t="shared" si="46"/>
        <v>0</v>
      </c>
      <c r="AA66" s="297">
        <f t="shared" si="46"/>
        <v>0</v>
      </c>
      <c r="AB66" s="297">
        <f t="shared" si="46"/>
        <v>0</v>
      </c>
      <c r="AC66" s="297">
        <f t="shared" ref="AC66:AH70" si="47">W$9*$X$22*$H66*J66</f>
        <v>0</v>
      </c>
      <c r="AD66" s="297">
        <f t="shared" si="47"/>
        <v>0</v>
      </c>
      <c r="AE66" s="297">
        <f t="shared" si="47"/>
        <v>0</v>
      </c>
      <c r="AF66" s="297">
        <f t="shared" si="47"/>
        <v>0</v>
      </c>
      <c r="AG66" s="297">
        <f t="shared" si="47"/>
        <v>0</v>
      </c>
      <c r="AH66" s="297">
        <f t="shared" si="47"/>
        <v>0</v>
      </c>
      <c r="AI66" s="297">
        <f>$Y$22*'Шаг 1. Основные исходные данные'!$E$9/100*$H66*J66</f>
        <v>0</v>
      </c>
      <c r="AJ66" s="297">
        <f>$Y$22*'Шаг 1. Основные исходные данные'!$E$9/100*$H66*K66</f>
        <v>0</v>
      </c>
      <c r="AK66" s="297">
        <f>$Y$22*'Шаг 1. Основные исходные данные'!$E$9/100*$H66*L66</f>
        <v>0</v>
      </c>
      <c r="AL66" s="297">
        <f>$Y$22*'Шаг 1. Основные исходные данные'!$E$9/100*$H66*M66</f>
        <v>0</v>
      </c>
      <c r="AM66" s="297">
        <f>$Y$22*'Шаг 1. Основные исходные данные'!$E$9/100*$H66*N66</f>
        <v>0</v>
      </c>
      <c r="AN66" s="297">
        <f>$Y$22*'Шаг 1. Основные исходные данные'!$E$9/100*$H66*O66</f>
        <v>0</v>
      </c>
    </row>
    <row r="67" spans="1:40" x14ac:dyDescent="0.25">
      <c r="A67" s="43"/>
      <c r="B67" s="43"/>
      <c r="C67" s="88" t="str">
        <f>IF(LEN(D67)&gt;0,C66+1,"")</f>
        <v/>
      </c>
      <c r="D67" s="75" t="str">
        <f>IF(AND(LEN($D$22)&gt;1,LEN($D$7)&gt;1),$D$7,"")</f>
        <v/>
      </c>
      <c r="E67" s="70"/>
      <c r="F67" s="44"/>
      <c r="G67" s="63"/>
      <c r="H67" s="69"/>
      <c r="I67" s="44"/>
      <c r="J67" s="96"/>
      <c r="K67" s="44"/>
      <c r="L67" s="44"/>
      <c r="M67" s="44"/>
      <c r="N67" s="44"/>
      <c r="O67" s="44"/>
      <c r="P67" s="44"/>
      <c r="Q67" s="73">
        <f>IF(F67=Dict!$A$2,IF($J$19=0,"Ошибка: не заполнен параметр в п.4.1",SUM(W67:AB67)),0)</f>
        <v>0</v>
      </c>
      <c r="R67" s="74">
        <f>IF(G67=Dict!$A$2,IF($M$19=0,"Ошибка: не заполнен параметр в п.4.1",SUM(AC67:AH67)),0)</f>
        <v>0</v>
      </c>
      <c r="S67" s="72">
        <f>IFERROR(HLOOKUP("Ошибка: не заполнен параметр в п.4.1",Q67:R67,1,0),SUM(Q67:R67))</f>
        <v>0</v>
      </c>
      <c r="T67" s="74">
        <f>IF(E67=Dict!$A$2,IFERROR(SUM(AI67:AN67),"Ошибка: не заполнен параметр в п.4.1"),0)</f>
        <v>0</v>
      </c>
      <c r="U67" s="43"/>
      <c r="W67" s="297">
        <f t="shared" si="46"/>
        <v>0</v>
      </c>
      <c r="X67" s="297">
        <f t="shared" si="46"/>
        <v>0</v>
      </c>
      <c r="Y67" s="297">
        <f t="shared" si="46"/>
        <v>0</v>
      </c>
      <c r="Z67" s="297">
        <f t="shared" si="46"/>
        <v>0</v>
      </c>
      <c r="AA67" s="297">
        <f t="shared" si="46"/>
        <v>0</v>
      </c>
      <c r="AB67" s="297">
        <f t="shared" si="46"/>
        <v>0</v>
      </c>
      <c r="AC67" s="297">
        <f t="shared" si="47"/>
        <v>0</v>
      </c>
      <c r="AD67" s="297">
        <f t="shared" si="47"/>
        <v>0</v>
      </c>
      <c r="AE67" s="297">
        <f t="shared" si="47"/>
        <v>0</v>
      </c>
      <c r="AF67" s="297">
        <f t="shared" si="47"/>
        <v>0</v>
      </c>
      <c r="AG67" s="297">
        <f t="shared" si="47"/>
        <v>0</v>
      </c>
      <c r="AH67" s="297">
        <f t="shared" si="47"/>
        <v>0</v>
      </c>
      <c r="AI67" s="297">
        <f>$Y$22*'Шаг 1. Основные исходные данные'!$E$9/100*$H67*J67</f>
        <v>0</v>
      </c>
      <c r="AJ67" s="297">
        <f>$Y$22*'Шаг 1. Основные исходные данные'!$E$9/100*$H67*K67</f>
        <v>0</v>
      </c>
      <c r="AK67" s="297">
        <f>$Y$22*'Шаг 1. Основные исходные данные'!$E$9/100*$H67*L67</f>
        <v>0</v>
      </c>
      <c r="AL67" s="297">
        <f>$Y$22*'Шаг 1. Основные исходные данные'!$E$9/100*$H67*M67</f>
        <v>0</v>
      </c>
      <c r="AM67" s="297">
        <f>$Y$22*'Шаг 1. Основные исходные данные'!$E$9/100*$H67*N67</f>
        <v>0</v>
      </c>
      <c r="AN67" s="297">
        <f>$Y$22*'Шаг 1. Основные исходные данные'!$E$9/100*$H67*O67</f>
        <v>0</v>
      </c>
    </row>
    <row r="68" spans="1:40" x14ac:dyDescent="0.25">
      <c r="A68" s="43"/>
      <c r="B68" s="43"/>
      <c r="C68" s="88" t="str">
        <f>IF(LEN(D68)&gt;0,C67+1,"")</f>
        <v/>
      </c>
      <c r="D68" s="75" t="str">
        <f>IF(AND(LEN($D$22)&gt;1,LEN($D$8)&gt;1),$D$8,"")</f>
        <v/>
      </c>
      <c r="E68" s="70"/>
      <c r="F68" s="44"/>
      <c r="G68" s="63"/>
      <c r="H68" s="69"/>
      <c r="I68" s="44"/>
      <c r="J68" s="96"/>
      <c r="K68" s="44"/>
      <c r="L68" s="44"/>
      <c r="M68" s="44"/>
      <c r="N68" s="44"/>
      <c r="O68" s="44"/>
      <c r="P68" s="44"/>
      <c r="Q68" s="73">
        <f>IF(F68=Dict!$A$2,IF($J$19=0,"Ошибка: не заполнен параметр в п.4.1",SUM(W68:AB68)),0)</f>
        <v>0</v>
      </c>
      <c r="R68" s="74">
        <f>IF(G68=Dict!$A$2,IF($M$19=0,"Ошибка: не заполнен параметр в п.4.1",SUM(AC68:AH68)),0)</f>
        <v>0</v>
      </c>
      <c r="S68" s="72">
        <f>IFERROR(HLOOKUP("Ошибка: не заполнен параметр в п.4.1",Q68:R68,1,0),SUM(Q68:R68))</f>
        <v>0</v>
      </c>
      <c r="T68" s="74">
        <f>IF(E68=Dict!$A$2,IFERROR(SUM(AI68:AN68),"Ошибка: не заполнен параметр в п.4.1"),0)</f>
        <v>0</v>
      </c>
      <c r="U68" s="43"/>
      <c r="W68" s="297">
        <f t="shared" si="46"/>
        <v>0</v>
      </c>
      <c r="X68" s="297">
        <f t="shared" si="46"/>
        <v>0</v>
      </c>
      <c r="Y68" s="297">
        <f t="shared" si="46"/>
        <v>0</v>
      </c>
      <c r="Z68" s="297">
        <f t="shared" si="46"/>
        <v>0</v>
      </c>
      <c r="AA68" s="297">
        <f t="shared" si="46"/>
        <v>0</v>
      </c>
      <c r="AB68" s="297">
        <f t="shared" si="46"/>
        <v>0</v>
      </c>
      <c r="AC68" s="297">
        <f t="shared" si="47"/>
        <v>0</v>
      </c>
      <c r="AD68" s="297">
        <f t="shared" si="47"/>
        <v>0</v>
      </c>
      <c r="AE68" s="297">
        <f t="shared" si="47"/>
        <v>0</v>
      </c>
      <c r="AF68" s="297">
        <f t="shared" si="47"/>
        <v>0</v>
      </c>
      <c r="AG68" s="297">
        <f t="shared" si="47"/>
        <v>0</v>
      </c>
      <c r="AH68" s="297">
        <f t="shared" si="47"/>
        <v>0</v>
      </c>
      <c r="AI68" s="297">
        <f>$Y$22*'Шаг 1. Основные исходные данные'!$E$9/100*$H68*J68</f>
        <v>0</v>
      </c>
      <c r="AJ68" s="297">
        <f>$Y$22*'Шаг 1. Основные исходные данные'!$E$9/100*$H68*K68</f>
        <v>0</v>
      </c>
      <c r="AK68" s="297">
        <f>$Y$22*'Шаг 1. Основные исходные данные'!$E$9/100*$H68*L68</f>
        <v>0</v>
      </c>
      <c r="AL68" s="297">
        <f>$Y$22*'Шаг 1. Основные исходные данные'!$E$9/100*$H68*M68</f>
        <v>0</v>
      </c>
      <c r="AM68" s="297">
        <f>$Y$22*'Шаг 1. Основные исходные данные'!$E$9/100*$H68*N68</f>
        <v>0</v>
      </c>
      <c r="AN68" s="297">
        <f>$Y$22*'Шаг 1. Основные исходные данные'!$E$9/100*$H68*O68</f>
        <v>0</v>
      </c>
    </row>
    <row r="69" spans="1:40" x14ac:dyDescent="0.25">
      <c r="A69" s="43"/>
      <c r="B69" s="43"/>
      <c r="C69" s="88" t="str">
        <f>IF(LEN(D69)&gt;0,C68+1,"")</f>
        <v/>
      </c>
      <c r="D69" s="75" t="str">
        <f>IF(AND(LEN($D$22)&gt;1,LEN($D$9)&gt;1),$D$9,"")</f>
        <v/>
      </c>
      <c r="E69" s="70"/>
      <c r="F69" s="44"/>
      <c r="G69" s="63"/>
      <c r="H69" s="69"/>
      <c r="I69" s="44"/>
      <c r="J69" s="96"/>
      <c r="K69" s="44"/>
      <c r="L69" s="44"/>
      <c r="M69" s="44"/>
      <c r="N69" s="44"/>
      <c r="O69" s="44"/>
      <c r="P69" s="44"/>
      <c r="Q69" s="73">
        <f>IF(F69=Dict!$A$2,IF($J$19=0,"Ошибка: не заполнен параметр в п.4.1",SUM(W69:AB69)),0)</f>
        <v>0</v>
      </c>
      <c r="R69" s="74">
        <f>IF(G69=Dict!$A$2,IF($M$19=0,"Ошибка: не заполнен параметр в п.4.1",SUM(AC69:AH69)),0)</f>
        <v>0</v>
      </c>
      <c r="S69" s="72">
        <f>IFERROR(HLOOKUP("Ошибка: не заполнен параметр в п.4.1",Q69:R69,1,0),SUM(Q69:R69))</f>
        <v>0</v>
      </c>
      <c r="T69" s="74">
        <f>IF(E69=Dict!$A$2,IFERROR(SUM(AI69:AN69),"Ошибка: не заполнен параметр в п.4.1"),0)</f>
        <v>0</v>
      </c>
      <c r="U69" s="43"/>
      <c r="W69" s="297">
        <f t="shared" si="46"/>
        <v>0</v>
      </c>
      <c r="X69" s="297">
        <f t="shared" si="46"/>
        <v>0</v>
      </c>
      <c r="Y69" s="297">
        <f t="shared" si="46"/>
        <v>0</v>
      </c>
      <c r="Z69" s="297">
        <f t="shared" si="46"/>
        <v>0</v>
      </c>
      <c r="AA69" s="297">
        <f t="shared" si="46"/>
        <v>0</v>
      </c>
      <c r="AB69" s="297">
        <f t="shared" si="46"/>
        <v>0</v>
      </c>
      <c r="AC69" s="297">
        <f t="shared" si="47"/>
        <v>0</v>
      </c>
      <c r="AD69" s="297">
        <f t="shared" si="47"/>
        <v>0</v>
      </c>
      <c r="AE69" s="297">
        <f t="shared" si="47"/>
        <v>0</v>
      </c>
      <c r="AF69" s="297">
        <f t="shared" si="47"/>
        <v>0</v>
      </c>
      <c r="AG69" s="297">
        <f t="shared" si="47"/>
        <v>0</v>
      </c>
      <c r="AH69" s="297">
        <f t="shared" si="47"/>
        <v>0</v>
      </c>
      <c r="AI69" s="297">
        <f>$Y$22*'Шаг 1. Основные исходные данные'!$E$9/100*$H69*J69</f>
        <v>0</v>
      </c>
      <c r="AJ69" s="297">
        <f>$Y$22*'Шаг 1. Основные исходные данные'!$E$9/100*$H69*K69</f>
        <v>0</v>
      </c>
      <c r="AK69" s="297">
        <f>$Y$22*'Шаг 1. Основные исходные данные'!$E$9/100*$H69*L69</f>
        <v>0</v>
      </c>
      <c r="AL69" s="297">
        <f>$Y$22*'Шаг 1. Основные исходные данные'!$E$9/100*$H69*M69</f>
        <v>0</v>
      </c>
      <c r="AM69" s="297">
        <f>$Y$22*'Шаг 1. Основные исходные данные'!$E$9/100*$H69*N69</f>
        <v>0</v>
      </c>
      <c r="AN69" s="297">
        <f>$Y$22*'Шаг 1. Основные исходные данные'!$E$9/100*$H69*O69</f>
        <v>0</v>
      </c>
    </row>
    <row r="70" spans="1:40" x14ac:dyDescent="0.25">
      <c r="A70" s="43"/>
      <c r="B70" s="43"/>
      <c r="C70" s="88" t="str">
        <f>IF(LEN(D70)&gt;0,C69+1,"")</f>
        <v/>
      </c>
      <c r="D70" s="75" t="str">
        <f>IF(AND(LEN($D$22)&gt;1,LEN($D$10)&gt;1),$D$10,"")</f>
        <v/>
      </c>
      <c r="E70" s="71"/>
      <c r="F70" s="65"/>
      <c r="G70" s="68"/>
      <c r="H70" s="69"/>
      <c r="I70" s="44"/>
      <c r="J70" s="96"/>
      <c r="K70" s="44"/>
      <c r="L70" s="44"/>
      <c r="M70" s="44"/>
      <c r="N70" s="44"/>
      <c r="O70" s="44"/>
      <c r="P70" s="44"/>
      <c r="Q70" s="73">
        <f>IF(F70=Dict!$A$2,IF($J$19=0,"Ошибка: не заполнен параметр в п.4.1",SUM(W70:AB70)),0)</f>
        <v>0</v>
      </c>
      <c r="R70" s="74">
        <f>IF(G70=Dict!$A$2,IF($M$19=0,"Ошибка: не заполнен параметр в п.4.1",SUM(AC70:AH70)),0)</f>
        <v>0</v>
      </c>
      <c r="S70" s="72">
        <f>IFERROR(HLOOKUP("Ошибка: не заполнен параметр в п.4.1",Q70:R70,1,0),SUM(Q70:R70))</f>
        <v>0</v>
      </c>
      <c r="T70" s="74">
        <f>IF(E70=Dict!$A$2,IFERROR(SUM(AI70:AN70),"Ошибка: не заполнен параметр в п.4.1"),0)</f>
        <v>0</v>
      </c>
      <c r="U70" s="43"/>
      <c r="W70" s="297">
        <f t="shared" si="46"/>
        <v>0</v>
      </c>
      <c r="X70" s="297">
        <f t="shared" si="46"/>
        <v>0</v>
      </c>
      <c r="Y70" s="297">
        <f t="shared" si="46"/>
        <v>0</v>
      </c>
      <c r="Z70" s="297">
        <f t="shared" si="46"/>
        <v>0</v>
      </c>
      <c r="AA70" s="297">
        <f t="shared" si="46"/>
        <v>0</v>
      </c>
      <c r="AB70" s="297">
        <f t="shared" si="46"/>
        <v>0</v>
      </c>
      <c r="AC70" s="297">
        <f t="shared" si="47"/>
        <v>0</v>
      </c>
      <c r="AD70" s="297">
        <f t="shared" si="47"/>
        <v>0</v>
      </c>
      <c r="AE70" s="297">
        <f t="shared" si="47"/>
        <v>0</v>
      </c>
      <c r="AF70" s="297">
        <f t="shared" si="47"/>
        <v>0</v>
      </c>
      <c r="AG70" s="297">
        <f t="shared" si="47"/>
        <v>0</v>
      </c>
      <c r="AH70" s="297">
        <f t="shared" si="47"/>
        <v>0</v>
      </c>
      <c r="AI70" s="297">
        <f>$Y$22*'Шаг 1. Основные исходные данные'!$E$9/100*$H70*J70</f>
        <v>0</v>
      </c>
      <c r="AJ70" s="297">
        <f>$Y$22*'Шаг 1. Основные исходные данные'!$E$9/100*$H70*K70</f>
        <v>0</v>
      </c>
      <c r="AK70" s="297">
        <f>$Y$22*'Шаг 1. Основные исходные данные'!$E$9/100*$H70*L70</f>
        <v>0</v>
      </c>
      <c r="AL70" s="297">
        <f>$Y$22*'Шаг 1. Основные исходные данные'!$E$9/100*$H70*M70</f>
        <v>0</v>
      </c>
      <c r="AM70" s="297">
        <f>$Y$22*'Шаг 1. Основные исходные данные'!$E$9/100*$H70*N70</f>
        <v>0</v>
      </c>
      <c r="AN70" s="297">
        <f>$Y$22*'Шаг 1. Основные исходные данные'!$E$9/100*$H70*O70</f>
        <v>0</v>
      </c>
    </row>
    <row r="71" spans="1:40" ht="19.899999999999999" customHeight="1" x14ac:dyDescent="0.25">
      <c r="A71" s="43"/>
      <c r="B71" s="43"/>
      <c r="C71" s="35" t="s">
        <v>95</v>
      </c>
      <c r="D71" s="35"/>
      <c r="E71" s="35"/>
      <c r="F71" s="35"/>
      <c r="G71" s="35"/>
      <c r="H71" s="35"/>
      <c r="I71" s="35"/>
      <c r="J71" s="35"/>
      <c r="K71" s="35"/>
      <c r="L71" s="35"/>
      <c r="M71" s="35"/>
      <c r="N71" s="35"/>
      <c r="O71" s="35"/>
      <c r="P71" s="35"/>
      <c r="Q71" s="57">
        <f t="shared" ref="Q71:T71" si="48">IFERROR(VLOOKUP("Ошибка: не заполнен параметр в п.4.1",Q66:Q70,1,0),SUM(Q66:Q70))</f>
        <v>0</v>
      </c>
      <c r="R71" s="57">
        <f t="shared" si="48"/>
        <v>0</v>
      </c>
      <c r="S71" s="57">
        <f t="shared" si="48"/>
        <v>0</v>
      </c>
      <c r="T71" s="57">
        <f t="shared" si="48"/>
        <v>0</v>
      </c>
      <c r="U71" s="43"/>
      <c r="W71" s="298">
        <f>SUM(W66:W70)</f>
        <v>0</v>
      </c>
      <c r="X71" s="298">
        <f t="shared" ref="X71" si="49">SUM(X66:X70)</f>
        <v>0</v>
      </c>
      <c r="Y71" s="298">
        <f t="shared" ref="Y71" si="50">SUM(Y66:Y70)</f>
        <v>0</v>
      </c>
      <c r="Z71" s="298">
        <f t="shared" ref="Z71" si="51">SUM(Z66:Z70)</f>
        <v>0</v>
      </c>
      <c r="AA71" s="298">
        <f t="shared" ref="AA71" si="52">SUM(AA66:AA70)</f>
        <v>0</v>
      </c>
      <c r="AB71" s="298">
        <f t="shared" ref="AB71" si="53">SUM(AB66:AB70)</f>
        <v>0</v>
      </c>
      <c r="AC71" s="299">
        <f>SUM(AC66:AC70)</f>
        <v>0</v>
      </c>
      <c r="AD71" s="299">
        <f t="shared" ref="AD71" si="54">SUM(AD66:AD70)</f>
        <v>0</v>
      </c>
      <c r="AE71" s="299">
        <f t="shared" ref="AE71" si="55">SUM(AE66:AE70)</f>
        <v>0</v>
      </c>
      <c r="AF71" s="299">
        <f t="shared" ref="AF71" si="56">SUM(AF66:AF70)</f>
        <v>0</v>
      </c>
      <c r="AG71" s="299">
        <f t="shared" ref="AG71" si="57">SUM(AG66:AG70)</f>
        <v>0</v>
      </c>
      <c r="AH71" s="299">
        <f t="shared" ref="AH71" si="58">SUM(AH66:AH70)</f>
        <v>0</v>
      </c>
      <c r="AI71" s="299">
        <f>SUM(AI66:AI70)</f>
        <v>0</v>
      </c>
      <c r="AJ71" s="299">
        <f t="shared" ref="AJ71" si="59">SUM(AJ66:AJ70)</f>
        <v>0</v>
      </c>
      <c r="AK71" s="299">
        <f t="shared" ref="AK71" si="60">SUM(AK66:AK70)</f>
        <v>0</v>
      </c>
      <c r="AL71" s="299">
        <f t="shared" ref="AL71" si="61">SUM(AL66:AL70)</f>
        <v>0</v>
      </c>
      <c r="AM71" s="299">
        <f t="shared" ref="AM71" si="62">SUM(AM66:AM70)</f>
        <v>0</v>
      </c>
      <c r="AN71" s="299">
        <f t="shared" ref="AN71" si="63">SUM(AN66:AN70)</f>
        <v>0</v>
      </c>
    </row>
    <row r="72" spans="1:40" x14ac:dyDescent="0.25">
      <c r="A72" s="43"/>
      <c r="B72" s="43"/>
      <c r="C72" s="43"/>
      <c r="D72" s="43"/>
      <c r="E72" s="43"/>
      <c r="F72" s="43"/>
      <c r="G72" s="43"/>
      <c r="H72" s="43"/>
      <c r="I72" s="43"/>
      <c r="J72" s="43"/>
      <c r="K72" s="43"/>
      <c r="L72" s="43"/>
      <c r="M72" s="43"/>
      <c r="N72" s="43"/>
      <c r="O72" s="43"/>
      <c r="P72" s="43"/>
      <c r="Q72" s="43"/>
      <c r="R72" s="43"/>
      <c r="S72" s="43"/>
      <c r="T72" s="43"/>
      <c r="U72" s="43"/>
      <c r="W72" s="300"/>
      <c r="X72" s="300"/>
      <c r="Y72" s="300"/>
      <c r="Z72" s="300"/>
      <c r="AA72" s="300"/>
      <c r="AB72" s="300"/>
      <c r="AC72" s="301"/>
      <c r="AD72" s="301"/>
      <c r="AE72" s="301"/>
      <c r="AF72" s="301"/>
      <c r="AG72" s="301"/>
      <c r="AH72" s="301"/>
      <c r="AI72" s="301"/>
      <c r="AJ72" s="301"/>
      <c r="AK72" s="301"/>
      <c r="AL72" s="301"/>
      <c r="AM72" s="301"/>
      <c r="AN72" s="301"/>
    </row>
    <row r="73" spans="1:40" x14ac:dyDescent="0.25">
      <c r="A73" s="43"/>
      <c r="B73" s="43"/>
      <c r="C73" s="43"/>
      <c r="D73" s="43"/>
      <c r="E73" s="43"/>
      <c r="F73" s="43"/>
      <c r="G73" s="43"/>
      <c r="H73" s="43"/>
      <c r="I73" s="43"/>
      <c r="J73" s="43"/>
      <c r="K73" s="43"/>
      <c r="L73" s="43"/>
      <c r="M73" s="43"/>
      <c r="N73" s="43"/>
      <c r="O73" s="43"/>
      <c r="P73" s="43"/>
      <c r="Q73" s="43"/>
      <c r="R73" s="43"/>
      <c r="S73" s="43"/>
      <c r="T73" s="43"/>
      <c r="U73" s="43"/>
      <c r="W73" s="302"/>
      <c r="X73" s="302"/>
      <c r="Y73" s="302"/>
      <c r="Z73" s="302"/>
      <c r="AA73" s="302"/>
      <c r="AB73" s="302"/>
      <c r="AC73" s="301"/>
      <c r="AD73" s="301"/>
      <c r="AE73" s="301"/>
      <c r="AF73" s="301"/>
      <c r="AG73" s="301"/>
      <c r="AH73" s="301"/>
      <c r="AI73" s="301"/>
      <c r="AJ73" s="301"/>
      <c r="AK73" s="301"/>
      <c r="AL73" s="301"/>
      <c r="AM73" s="301"/>
      <c r="AN73" s="301"/>
    </row>
    <row r="74" spans="1:40" x14ac:dyDescent="0.25">
      <c r="A74" s="43"/>
      <c r="B74" s="43"/>
      <c r="C74" s="36" t="str">
        <f>CONCATENATE("4.2.",$C$23,". Издержки простоя группы объектов ",$C$23," - """,$D$23,"""")</f>
        <v>4.2.. Издержки простоя группы объектов  - ""</v>
      </c>
      <c r="D74" s="43"/>
      <c r="E74" s="43"/>
      <c r="F74" s="43"/>
      <c r="G74" s="43"/>
      <c r="H74" s="43"/>
      <c r="I74" s="43"/>
      <c r="J74" s="43"/>
      <c r="K74" s="43"/>
      <c r="L74" s="43"/>
      <c r="M74" s="43"/>
      <c r="N74" s="43"/>
      <c r="O74" s="43"/>
      <c r="P74" s="43"/>
      <c r="Q74" s="43"/>
      <c r="R74" s="43"/>
      <c r="S74" s="43"/>
      <c r="T74" s="43"/>
      <c r="U74" s="43"/>
      <c r="W74" s="302"/>
      <c r="X74" s="302"/>
      <c r="Y74" s="302"/>
      <c r="Z74" s="302"/>
      <c r="AA74" s="302"/>
      <c r="AB74" s="302"/>
      <c r="AC74" s="301"/>
      <c r="AD74" s="301"/>
      <c r="AE74" s="301"/>
      <c r="AF74" s="301"/>
      <c r="AG74" s="301"/>
      <c r="AH74" s="301"/>
      <c r="AI74" s="301"/>
      <c r="AJ74" s="301"/>
      <c r="AK74" s="301"/>
      <c r="AL74" s="301"/>
      <c r="AM74" s="301"/>
      <c r="AN74" s="301"/>
    </row>
    <row r="75" spans="1:40" x14ac:dyDescent="0.25">
      <c r="A75" s="43"/>
      <c r="B75" s="43"/>
      <c r="C75" s="43"/>
      <c r="D75" s="43"/>
      <c r="E75" s="43"/>
      <c r="F75" s="43"/>
      <c r="G75" s="43"/>
      <c r="H75" s="43"/>
      <c r="I75" s="43"/>
      <c r="J75" s="43"/>
      <c r="K75" s="43"/>
      <c r="L75" s="43"/>
      <c r="M75" s="43"/>
      <c r="N75" s="43"/>
      <c r="O75" s="43"/>
      <c r="P75" s="43"/>
      <c r="Q75" s="43"/>
      <c r="R75" s="43"/>
      <c r="S75" s="43"/>
      <c r="T75" s="43"/>
      <c r="U75" s="43"/>
      <c r="W75" s="302"/>
      <c r="X75" s="302"/>
      <c r="Y75" s="302"/>
      <c r="Z75" s="302"/>
      <c r="AA75" s="302"/>
      <c r="AB75" s="302"/>
      <c r="AC75" s="303"/>
      <c r="AD75" s="301"/>
      <c r="AE75" s="301"/>
      <c r="AF75" s="301"/>
      <c r="AG75" s="301"/>
      <c r="AH75" s="301"/>
      <c r="AI75" s="303"/>
      <c r="AJ75" s="301"/>
      <c r="AK75" s="301"/>
      <c r="AL75" s="301"/>
      <c r="AM75" s="301"/>
      <c r="AN75" s="301"/>
    </row>
    <row r="76" spans="1:40" ht="19.899999999999999" customHeight="1" x14ac:dyDescent="0.25">
      <c r="A76" s="43"/>
      <c r="B76" s="43"/>
      <c r="C76" s="336" t="s">
        <v>62</v>
      </c>
      <c r="D76" s="336" t="s">
        <v>94</v>
      </c>
      <c r="E76" s="359" t="s">
        <v>1176</v>
      </c>
      <c r="F76" s="360"/>
      <c r="G76" s="361"/>
      <c r="H76" s="362" t="s">
        <v>1239</v>
      </c>
      <c r="I76" s="336" t="s">
        <v>1305</v>
      </c>
      <c r="J76" s="336" t="s">
        <v>1240</v>
      </c>
      <c r="K76" s="336"/>
      <c r="L76" s="336"/>
      <c r="M76" s="336"/>
      <c r="N76" s="336"/>
      <c r="O76" s="336"/>
      <c r="P76" s="336" t="s">
        <v>1306</v>
      </c>
      <c r="Q76" s="286" t="s">
        <v>1236</v>
      </c>
      <c r="R76" s="287"/>
      <c r="S76" s="362" t="s">
        <v>1241</v>
      </c>
      <c r="T76" s="336" t="s">
        <v>1271</v>
      </c>
      <c r="U76" s="43"/>
      <c r="W76" s="303" t="s">
        <v>1246</v>
      </c>
      <c r="X76" s="302"/>
      <c r="Y76" s="302"/>
      <c r="Z76" s="302"/>
      <c r="AA76" s="302"/>
      <c r="AB76" s="302"/>
      <c r="AC76" s="303" t="s">
        <v>1247</v>
      </c>
      <c r="AD76" s="301"/>
      <c r="AE76" s="301"/>
      <c r="AF76" s="301"/>
      <c r="AG76" s="301"/>
      <c r="AH76" s="301"/>
      <c r="AI76" s="303" t="s">
        <v>1248</v>
      </c>
      <c r="AJ76" s="301"/>
      <c r="AK76" s="301"/>
      <c r="AL76" s="301"/>
      <c r="AM76" s="301"/>
      <c r="AN76" s="301"/>
    </row>
    <row r="77" spans="1:40" s="61" customFormat="1" ht="94.5" x14ac:dyDescent="0.25">
      <c r="A77" s="60"/>
      <c r="B77" s="60"/>
      <c r="C77" s="336"/>
      <c r="D77" s="336"/>
      <c r="E77" s="288" t="s">
        <v>109</v>
      </c>
      <c r="F77" s="289" t="s">
        <v>1243</v>
      </c>
      <c r="G77" s="290" t="s">
        <v>1244</v>
      </c>
      <c r="H77" s="363"/>
      <c r="I77" s="336"/>
      <c r="J77" s="125" t="str">
        <f>IF(1&lt;='Шаг 1. Основные исходные данные'!$E$5,"1 год","-")</f>
        <v>1 год</v>
      </c>
      <c r="K77" s="125" t="str">
        <f>IF(2&lt;='Шаг 1. Основные исходные данные'!$E$5,"2 год","-")</f>
        <v>2 год</v>
      </c>
      <c r="L77" s="125" t="str">
        <f>IF(3&lt;='Шаг 1. Основные исходные данные'!$E$5,"3 год","-")</f>
        <v>3 год</v>
      </c>
      <c r="M77" s="125" t="str">
        <f>IF(4&lt;='Шаг 1. Основные исходные данные'!$E$5,"4 год","-")</f>
        <v>4 год</v>
      </c>
      <c r="N77" s="125" t="str">
        <f>IF(5&lt;='Шаг 1. Основные исходные данные'!$E$5,"5 год","-")</f>
        <v>5 год</v>
      </c>
      <c r="O77" s="125" t="str">
        <f>IF(6&lt;='Шаг 1. Основные исходные данные'!$E$5,"6 год","-")</f>
        <v>6 год</v>
      </c>
      <c r="P77" s="336"/>
      <c r="Q77" s="79" t="s">
        <v>92</v>
      </c>
      <c r="R77" s="78" t="s">
        <v>93</v>
      </c>
      <c r="S77" s="363"/>
      <c r="T77" s="349"/>
      <c r="U77" s="43"/>
      <c r="W77" s="304" t="s">
        <v>1221</v>
      </c>
      <c r="X77" s="304" t="s">
        <v>1223</v>
      </c>
      <c r="Y77" s="304" t="s">
        <v>1224</v>
      </c>
      <c r="Z77" s="304" t="s">
        <v>1225</v>
      </c>
      <c r="AA77" s="304" t="s">
        <v>1226</v>
      </c>
      <c r="AB77" s="304" t="s">
        <v>1227</v>
      </c>
      <c r="AC77" s="304" t="s">
        <v>1221</v>
      </c>
      <c r="AD77" s="304" t="s">
        <v>1223</v>
      </c>
      <c r="AE77" s="304" t="s">
        <v>1224</v>
      </c>
      <c r="AF77" s="304" t="s">
        <v>1225</v>
      </c>
      <c r="AG77" s="304" t="s">
        <v>1226</v>
      </c>
      <c r="AH77" s="304" t="s">
        <v>1227</v>
      </c>
      <c r="AI77" s="304" t="s">
        <v>1221</v>
      </c>
      <c r="AJ77" s="304" t="s">
        <v>1223</v>
      </c>
      <c r="AK77" s="304" t="s">
        <v>1224</v>
      </c>
      <c r="AL77" s="304" t="s">
        <v>1225</v>
      </c>
      <c r="AM77" s="304" t="s">
        <v>1226</v>
      </c>
      <c r="AN77" s="304" t="s">
        <v>1227</v>
      </c>
    </row>
    <row r="78" spans="1:40" x14ac:dyDescent="0.25">
      <c r="A78" s="43"/>
      <c r="B78" s="43"/>
      <c r="C78" s="88" t="str">
        <f>IF(LEN(D78)&gt;0,1,"")</f>
        <v/>
      </c>
      <c r="D78" s="75" t="str">
        <f>IF(AND(LEN($D$23)&gt;1,LEN($D$6)&gt;1),$D$6,"")</f>
        <v/>
      </c>
      <c r="E78" s="70"/>
      <c r="F78" s="44"/>
      <c r="G78" s="63"/>
      <c r="H78" s="69"/>
      <c r="I78" s="44"/>
      <c r="J78" s="96"/>
      <c r="K78" s="44"/>
      <c r="L78" s="44"/>
      <c r="M78" s="44"/>
      <c r="N78" s="44"/>
      <c r="O78" s="44"/>
      <c r="P78" s="44"/>
      <c r="Q78" s="73">
        <f>IF(F78=Dict!$A$2,IF($J$19=0,"Ошибка: не заполнен параметр в п.4.1",SUM(W78:AB78)),0)</f>
        <v>0</v>
      </c>
      <c r="R78" s="74">
        <f>IF(G78=Dict!$A$2,IF($M$19=0,"Ошибка: не заполнен параметр в п.4.1",SUM(AC78:AH78)),0)</f>
        <v>0</v>
      </c>
      <c r="S78" s="72">
        <f>IFERROR(HLOOKUP("Ошибка: не заполнен параметр в п.4.1",Q78:R78,1,0),SUM(Q78:R78))</f>
        <v>0</v>
      </c>
      <c r="T78" s="74">
        <f>IF(E78=Dict!$A$2,IFERROR(SUM(AI78:AN78),"Ошибка: не заполнен параметр в п.4.1"),0)</f>
        <v>0</v>
      </c>
      <c r="U78" s="43"/>
      <c r="W78" s="297">
        <f t="shared" ref="W78:AB82" si="64">W$10*$W$23*$H78*J78</f>
        <v>0</v>
      </c>
      <c r="X78" s="297">
        <f t="shared" si="64"/>
        <v>0</v>
      </c>
      <c r="Y78" s="297">
        <f t="shared" si="64"/>
        <v>0</v>
      </c>
      <c r="Z78" s="297">
        <f t="shared" si="64"/>
        <v>0</v>
      </c>
      <c r="AA78" s="297">
        <f t="shared" si="64"/>
        <v>0</v>
      </c>
      <c r="AB78" s="297">
        <f t="shared" si="64"/>
        <v>0</v>
      </c>
      <c r="AC78" s="297">
        <f t="shared" ref="AC78:AH82" si="65">W$9*$X$23*$H78*J78</f>
        <v>0</v>
      </c>
      <c r="AD78" s="297">
        <f t="shared" si="65"/>
        <v>0</v>
      </c>
      <c r="AE78" s="297">
        <f t="shared" si="65"/>
        <v>0</v>
      </c>
      <c r="AF78" s="297">
        <f t="shared" si="65"/>
        <v>0</v>
      </c>
      <c r="AG78" s="297">
        <f t="shared" si="65"/>
        <v>0</v>
      </c>
      <c r="AH78" s="297">
        <f t="shared" si="65"/>
        <v>0</v>
      </c>
      <c r="AI78" s="297">
        <f>$Y$23*'Шаг 1. Основные исходные данные'!$E$9/100*$H78*J78</f>
        <v>0</v>
      </c>
      <c r="AJ78" s="297">
        <f>$Y$23*'Шаг 1. Основные исходные данные'!$E$9/100*$H78*K78</f>
        <v>0</v>
      </c>
      <c r="AK78" s="297">
        <f>$Y$23*'Шаг 1. Основные исходные данные'!$E$9/100*$H78*L78</f>
        <v>0</v>
      </c>
      <c r="AL78" s="297">
        <f>$Y$23*'Шаг 1. Основные исходные данные'!$E$9/100*$H78*M78</f>
        <v>0</v>
      </c>
      <c r="AM78" s="297">
        <f>$Y$23*'Шаг 1. Основные исходные данные'!$E$9/100*$H78*N78</f>
        <v>0</v>
      </c>
      <c r="AN78" s="297">
        <f>$Y$23*'Шаг 1. Основные исходные данные'!$E$9/100*$H78*O78</f>
        <v>0</v>
      </c>
    </row>
    <row r="79" spans="1:40" x14ac:dyDescent="0.25">
      <c r="A79" s="43"/>
      <c r="B79" s="43"/>
      <c r="C79" s="88" t="str">
        <f>IF(LEN(D79)&gt;0,C78+1,"")</f>
        <v/>
      </c>
      <c r="D79" s="75" t="str">
        <f>IF(AND(LEN($D$23)&gt;1,LEN($D$7)&gt;1),$D$7,"")</f>
        <v/>
      </c>
      <c r="E79" s="70"/>
      <c r="F79" s="44"/>
      <c r="G79" s="63"/>
      <c r="H79" s="69"/>
      <c r="I79" s="44"/>
      <c r="J79" s="96"/>
      <c r="K79" s="44"/>
      <c r="L79" s="44"/>
      <c r="M79" s="44"/>
      <c r="N79" s="44"/>
      <c r="O79" s="44"/>
      <c r="P79" s="44"/>
      <c r="Q79" s="73">
        <f>IF(F79=Dict!$A$2,IF($J$19=0,"Ошибка: не заполнен параметр в п.4.1",SUM(W79:AB79)),0)</f>
        <v>0</v>
      </c>
      <c r="R79" s="74">
        <f>IF(G79=Dict!$A$2,IF($M$19=0,"Ошибка: не заполнен параметр в п.4.1",SUM(AC79:AH79)),0)</f>
        <v>0</v>
      </c>
      <c r="S79" s="72">
        <f>IFERROR(HLOOKUP("Ошибка: не заполнен параметр в п.4.1",Q79:R79,1,0),SUM(Q79:R79))</f>
        <v>0</v>
      </c>
      <c r="T79" s="74">
        <f>IF(E79=Dict!$A$2,IFERROR(SUM(AI79:AN79),"Ошибка: не заполнен параметр в п.4.1"),0)</f>
        <v>0</v>
      </c>
      <c r="U79" s="43"/>
      <c r="W79" s="297">
        <f t="shared" si="64"/>
        <v>0</v>
      </c>
      <c r="X79" s="297">
        <f t="shared" si="64"/>
        <v>0</v>
      </c>
      <c r="Y79" s="297">
        <f t="shared" si="64"/>
        <v>0</v>
      </c>
      <c r="Z79" s="297">
        <f t="shared" si="64"/>
        <v>0</v>
      </c>
      <c r="AA79" s="297">
        <f t="shared" si="64"/>
        <v>0</v>
      </c>
      <c r="AB79" s="297">
        <f t="shared" si="64"/>
        <v>0</v>
      </c>
      <c r="AC79" s="297">
        <f t="shared" si="65"/>
        <v>0</v>
      </c>
      <c r="AD79" s="297">
        <f t="shared" si="65"/>
        <v>0</v>
      </c>
      <c r="AE79" s="297">
        <f t="shared" si="65"/>
        <v>0</v>
      </c>
      <c r="AF79" s="297">
        <f t="shared" si="65"/>
        <v>0</v>
      </c>
      <c r="AG79" s="297">
        <f t="shared" si="65"/>
        <v>0</v>
      </c>
      <c r="AH79" s="297">
        <f t="shared" si="65"/>
        <v>0</v>
      </c>
      <c r="AI79" s="297">
        <f>$Y$23*'Шаг 1. Основные исходные данные'!$E$9/100*$H79*J79</f>
        <v>0</v>
      </c>
      <c r="AJ79" s="297">
        <f>$Y$23*'Шаг 1. Основные исходные данные'!$E$9/100*$H79*K79</f>
        <v>0</v>
      </c>
      <c r="AK79" s="297">
        <f>$Y$23*'Шаг 1. Основные исходные данные'!$E$9/100*$H79*L79</f>
        <v>0</v>
      </c>
      <c r="AL79" s="297">
        <f>$Y$23*'Шаг 1. Основные исходные данные'!$E$9/100*$H79*M79</f>
        <v>0</v>
      </c>
      <c r="AM79" s="297">
        <f>$Y$23*'Шаг 1. Основные исходные данные'!$E$9/100*$H79*N79</f>
        <v>0</v>
      </c>
      <c r="AN79" s="297">
        <f>$Y$23*'Шаг 1. Основные исходные данные'!$E$9/100*$H79*O79</f>
        <v>0</v>
      </c>
    </row>
    <row r="80" spans="1:40" x14ac:dyDescent="0.25">
      <c r="A80" s="43"/>
      <c r="B80" s="43"/>
      <c r="C80" s="88" t="str">
        <f>IF(LEN(D80)&gt;0,C79+1,"")</f>
        <v/>
      </c>
      <c r="D80" s="75" t="str">
        <f>IF(AND(LEN($D$23)&gt;1,LEN($D$8)&gt;1),$D$8,"")</f>
        <v/>
      </c>
      <c r="E80" s="70"/>
      <c r="F80" s="44"/>
      <c r="G80" s="63"/>
      <c r="H80" s="69"/>
      <c r="I80" s="44"/>
      <c r="J80" s="96"/>
      <c r="K80" s="44"/>
      <c r="L80" s="44"/>
      <c r="M80" s="44"/>
      <c r="N80" s="44"/>
      <c r="O80" s="44"/>
      <c r="P80" s="44"/>
      <c r="Q80" s="73">
        <f>IF(F80=Dict!$A$2,IF($J$19=0,"Ошибка: не заполнен параметр в п.4.1",SUM(W80:AB80)),0)</f>
        <v>0</v>
      </c>
      <c r="R80" s="74">
        <f>IF(G80=Dict!$A$2,IF($M$19=0,"Ошибка: не заполнен параметр в п.4.1",SUM(AC80:AH80)),0)</f>
        <v>0</v>
      </c>
      <c r="S80" s="72">
        <f>IFERROR(HLOOKUP("Ошибка: не заполнен параметр в п.4.1",Q80:R80,1,0),SUM(Q80:R80))</f>
        <v>0</v>
      </c>
      <c r="T80" s="74">
        <f>IF(E80=Dict!$A$2,IFERROR(SUM(AI80:AN80),"Ошибка: не заполнен параметр в п.4.1"),0)</f>
        <v>0</v>
      </c>
      <c r="U80" s="43"/>
      <c r="W80" s="297">
        <f t="shared" si="64"/>
        <v>0</v>
      </c>
      <c r="X80" s="297">
        <f t="shared" si="64"/>
        <v>0</v>
      </c>
      <c r="Y80" s="297">
        <f t="shared" si="64"/>
        <v>0</v>
      </c>
      <c r="Z80" s="297">
        <f t="shared" si="64"/>
        <v>0</v>
      </c>
      <c r="AA80" s="297">
        <f t="shared" si="64"/>
        <v>0</v>
      </c>
      <c r="AB80" s="297">
        <f t="shared" si="64"/>
        <v>0</v>
      </c>
      <c r="AC80" s="297">
        <f t="shared" si="65"/>
        <v>0</v>
      </c>
      <c r="AD80" s="297">
        <f t="shared" si="65"/>
        <v>0</v>
      </c>
      <c r="AE80" s="297">
        <f t="shared" si="65"/>
        <v>0</v>
      </c>
      <c r="AF80" s="297">
        <f t="shared" si="65"/>
        <v>0</v>
      </c>
      <c r="AG80" s="297">
        <f t="shared" si="65"/>
        <v>0</v>
      </c>
      <c r="AH80" s="297">
        <f t="shared" si="65"/>
        <v>0</v>
      </c>
      <c r="AI80" s="297">
        <f>$Y$23*'Шаг 1. Основные исходные данные'!$E$9/100*$H80*J80</f>
        <v>0</v>
      </c>
      <c r="AJ80" s="297">
        <f>$Y$23*'Шаг 1. Основные исходные данные'!$E$9/100*$H80*K80</f>
        <v>0</v>
      </c>
      <c r="AK80" s="297">
        <f>$Y$23*'Шаг 1. Основные исходные данные'!$E$9/100*$H80*L80</f>
        <v>0</v>
      </c>
      <c r="AL80" s="297">
        <f>$Y$23*'Шаг 1. Основные исходные данные'!$E$9/100*$H80*M80</f>
        <v>0</v>
      </c>
      <c r="AM80" s="297">
        <f>$Y$23*'Шаг 1. Основные исходные данные'!$E$9/100*$H80*N80</f>
        <v>0</v>
      </c>
      <c r="AN80" s="297">
        <f>$Y$23*'Шаг 1. Основные исходные данные'!$E$9/100*$H80*O80</f>
        <v>0</v>
      </c>
    </row>
    <row r="81" spans="1:40" x14ac:dyDescent="0.25">
      <c r="A81" s="43"/>
      <c r="B81" s="43"/>
      <c r="C81" s="88" t="str">
        <f>IF(LEN(D81)&gt;0,C80+1,"")</f>
        <v/>
      </c>
      <c r="D81" s="75" t="str">
        <f>IF(AND(LEN($D$23)&gt;1,LEN($D$9)&gt;1),$D$9,"")</f>
        <v/>
      </c>
      <c r="E81" s="70"/>
      <c r="F81" s="44"/>
      <c r="G81" s="63"/>
      <c r="H81" s="69"/>
      <c r="I81" s="44"/>
      <c r="J81" s="96"/>
      <c r="K81" s="44"/>
      <c r="L81" s="44"/>
      <c r="M81" s="44"/>
      <c r="N81" s="44"/>
      <c r="O81" s="44"/>
      <c r="P81" s="44"/>
      <c r="Q81" s="73">
        <f>IF(F81=Dict!$A$2,IF($J$19=0,"Ошибка: не заполнен параметр в п.4.1",SUM(W81:AB81)),0)</f>
        <v>0</v>
      </c>
      <c r="R81" s="74">
        <f>IF(G81=Dict!$A$2,IF($M$19=0,"Ошибка: не заполнен параметр в п.4.1",SUM(AC81:AH81)),0)</f>
        <v>0</v>
      </c>
      <c r="S81" s="72">
        <f>IFERROR(HLOOKUP("Ошибка: не заполнен параметр в п.4.1",Q81:R81,1,0),SUM(Q81:R81))</f>
        <v>0</v>
      </c>
      <c r="T81" s="74">
        <f>IF(E81=Dict!$A$2,IFERROR(SUM(AI81:AN81),"Ошибка: не заполнен параметр в п.4.1"),0)</f>
        <v>0</v>
      </c>
      <c r="U81" s="43"/>
      <c r="W81" s="297">
        <f t="shared" si="64"/>
        <v>0</v>
      </c>
      <c r="X81" s="297">
        <f t="shared" si="64"/>
        <v>0</v>
      </c>
      <c r="Y81" s="297">
        <f t="shared" si="64"/>
        <v>0</v>
      </c>
      <c r="Z81" s="297">
        <f t="shared" si="64"/>
        <v>0</v>
      </c>
      <c r="AA81" s="297">
        <f t="shared" si="64"/>
        <v>0</v>
      </c>
      <c r="AB81" s="297">
        <f t="shared" si="64"/>
        <v>0</v>
      </c>
      <c r="AC81" s="297">
        <f t="shared" si="65"/>
        <v>0</v>
      </c>
      <c r="AD81" s="297">
        <f t="shared" si="65"/>
        <v>0</v>
      </c>
      <c r="AE81" s="297">
        <f t="shared" si="65"/>
        <v>0</v>
      </c>
      <c r="AF81" s="297">
        <f t="shared" si="65"/>
        <v>0</v>
      </c>
      <c r="AG81" s="297">
        <f t="shared" si="65"/>
        <v>0</v>
      </c>
      <c r="AH81" s="297">
        <f t="shared" si="65"/>
        <v>0</v>
      </c>
      <c r="AI81" s="297">
        <f>$Y$23*'Шаг 1. Основные исходные данные'!$E$9/100*$H81*J81</f>
        <v>0</v>
      </c>
      <c r="AJ81" s="297">
        <f>$Y$23*'Шаг 1. Основные исходные данные'!$E$9/100*$H81*K81</f>
        <v>0</v>
      </c>
      <c r="AK81" s="297">
        <f>$Y$23*'Шаг 1. Основные исходные данные'!$E$9/100*$H81*L81</f>
        <v>0</v>
      </c>
      <c r="AL81" s="297">
        <f>$Y$23*'Шаг 1. Основные исходные данные'!$E$9/100*$H81*M81</f>
        <v>0</v>
      </c>
      <c r="AM81" s="297">
        <f>$Y$23*'Шаг 1. Основные исходные данные'!$E$9/100*$H81*N81</f>
        <v>0</v>
      </c>
      <c r="AN81" s="297">
        <f>$Y$23*'Шаг 1. Основные исходные данные'!$E$9/100*$H81*O81</f>
        <v>0</v>
      </c>
    </row>
    <row r="82" spans="1:40" x14ac:dyDescent="0.25">
      <c r="A82" s="43"/>
      <c r="B82" s="43"/>
      <c r="C82" s="88" t="str">
        <f>IF(LEN(D82)&gt;0,C81+1,"")</f>
        <v/>
      </c>
      <c r="D82" s="75" t="str">
        <f>IF(AND(LEN($D$23)&gt;1,LEN($D$10)&gt;1),$D$10,"")</f>
        <v/>
      </c>
      <c r="E82" s="71"/>
      <c r="F82" s="65"/>
      <c r="G82" s="68"/>
      <c r="H82" s="69"/>
      <c r="I82" s="44"/>
      <c r="J82" s="96"/>
      <c r="K82" s="44"/>
      <c r="L82" s="44"/>
      <c r="M82" s="44"/>
      <c r="N82" s="44"/>
      <c r="O82" s="44"/>
      <c r="P82" s="44"/>
      <c r="Q82" s="73">
        <f>IF(F82=Dict!$A$2,IF($J$19=0,"Ошибка: не заполнен параметр в п.4.1",SUM(W82:AB82)),0)</f>
        <v>0</v>
      </c>
      <c r="R82" s="74">
        <f>IF(G82=Dict!$A$2,IF($M$19=0,"Ошибка: не заполнен параметр в п.4.1",SUM(AC82:AH82)),0)</f>
        <v>0</v>
      </c>
      <c r="S82" s="72">
        <f>IFERROR(HLOOKUP("Ошибка: не заполнен параметр в п.4.1",Q82:R82,1,0),SUM(Q82:R82))</f>
        <v>0</v>
      </c>
      <c r="T82" s="74">
        <f>IF(E82=Dict!$A$2,IFERROR(SUM(AI82:AN82),"Ошибка: не заполнен параметр в п.4.1"),0)</f>
        <v>0</v>
      </c>
      <c r="U82" s="43"/>
      <c r="W82" s="297">
        <f t="shared" si="64"/>
        <v>0</v>
      </c>
      <c r="X82" s="297">
        <f t="shared" si="64"/>
        <v>0</v>
      </c>
      <c r="Y82" s="297">
        <f t="shared" si="64"/>
        <v>0</v>
      </c>
      <c r="Z82" s="297">
        <f t="shared" si="64"/>
        <v>0</v>
      </c>
      <c r="AA82" s="297">
        <f t="shared" si="64"/>
        <v>0</v>
      </c>
      <c r="AB82" s="297">
        <f t="shared" si="64"/>
        <v>0</v>
      </c>
      <c r="AC82" s="297">
        <f t="shared" si="65"/>
        <v>0</v>
      </c>
      <c r="AD82" s="297">
        <f t="shared" si="65"/>
        <v>0</v>
      </c>
      <c r="AE82" s="297">
        <f t="shared" si="65"/>
        <v>0</v>
      </c>
      <c r="AF82" s="297">
        <f t="shared" si="65"/>
        <v>0</v>
      </c>
      <c r="AG82" s="297">
        <f t="shared" si="65"/>
        <v>0</v>
      </c>
      <c r="AH82" s="297">
        <f t="shared" si="65"/>
        <v>0</v>
      </c>
      <c r="AI82" s="297">
        <f>$Y$23*'Шаг 1. Основные исходные данные'!$E$9/100*$H82*J82</f>
        <v>0</v>
      </c>
      <c r="AJ82" s="297">
        <f>$Y$23*'Шаг 1. Основные исходные данные'!$E$9/100*$H82*K82</f>
        <v>0</v>
      </c>
      <c r="AK82" s="297">
        <f>$Y$23*'Шаг 1. Основные исходные данные'!$E$9/100*$H82*L82</f>
        <v>0</v>
      </c>
      <c r="AL82" s="297">
        <f>$Y$23*'Шаг 1. Основные исходные данные'!$E$9/100*$H82*M82</f>
        <v>0</v>
      </c>
      <c r="AM82" s="297">
        <f>$Y$23*'Шаг 1. Основные исходные данные'!$E$9/100*$H82*N82</f>
        <v>0</v>
      </c>
      <c r="AN82" s="297">
        <f>$Y$23*'Шаг 1. Основные исходные данные'!$E$9/100*$H82*O82</f>
        <v>0</v>
      </c>
    </row>
    <row r="83" spans="1:40" ht="19.899999999999999" customHeight="1" x14ac:dyDescent="0.25">
      <c r="A83" s="43"/>
      <c r="B83" s="43"/>
      <c r="C83" s="35" t="s">
        <v>95</v>
      </c>
      <c r="D83" s="35"/>
      <c r="E83" s="35"/>
      <c r="F83" s="35"/>
      <c r="G83" s="35"/>
      <c r="H83" s="35"/>
      <c r="I83" s="35"/>
      <c r="J83" s="35"/>
      <c r="K83" s="35"/>
      <c r="L83" s="35"/>
      <c r="M83" s="35"/>
      <c r="N83" s="35"/>
      <c r="O83" s="35"/>
      <c r="P83" s="35"/>
      <c r="Q83" s="57">
        <f t="shared" ref="Q83:T83" si="66">IFERROR(VLOOKUP("Ошибка: не заполнен параметр в п.4.1",Q78:Q82,1,0),SUM(Q78:Q82))</f>
        <v>0</v>
      </c>
      <c r="R83" s="57">
        <f t="shared" si="66"/>
        <v>0</v>
      </c>
      <c r="S83" s="57">
        <f t="shared" si="66"/>
        <v>0</v>
      </c>
      <c r="T83" s="57">
        <f t="shared" si="66"/>
        <v>0</v>
      </c>
      <c r="U83" s="43"/>
      <c r="W83" s="298">
        <f>SUM(W78:W82)</f>
        <v>0</v>
      </c>
      <c r="X83" s="298">
        <f t="shared" ref="X83" si="67">SUM(X78:X82)</f>
        <v>0</v>
      </c>
      <c r="Y83" s="298">
        <f t="shared" ref="Y83" si="68">SUM(Y78:Y82)</f>
        <v>0</v>
      </c>
      <c r="Z83" s="298">
        <f t="shared" ref="Z83" si="69">SUM(Z78:Z82)</f>
        <v>0</v>
      </c>
      <c r="AA83" s="298">
        <f t="shared" ref="AA83" si="70">SUM(AA78:AA82)</f>
        <v>0</v>
      </c>
      <c r="AB83" s="298">
        <f t="shared" ref="AB83" si="71">SUM(AB78:AB82)</f>
        <v>0</v>
      </c>
      <c r="AC83" s="299">
        <f>SUM(AC78:AC82)</f>
        <v>0</v>
      </c>
      <c r="AD83" s="299">
        <f t="shared" ref="AD83" si="72">SUM(AD78:AD82)</f>
        <v>0</v>
      </c>
      <c r="AE83" s="299">
        <f t="shared" ref="AE83" si="73">SUM(AE78:AE82)</f>
        <v>0</v>
      </c>
      <c r="AF83" s="299">
        <f t="shared" ref="AF83" si="74">SUM(AF78:AF82)</f>
        <v>0</v>
      </c>
      <c r="AG83" s="299">
        <f t="shared" ref="AG83" si="75">SUM(AG78:AG82)</f>
        <v>0</v>
      </c>
      <c r="AH83" s="299">
        <f t="shared" ref="AH83" si="76">SUM(AH78:AH82)</f>
        <v>0</v>
      </c>
      <c r="AI83" s="299">
        <f>SUM(AI78:AI82)</f>
        <v>0</v>
      </c>
      <c r="AJ83" s="299">
        <f t="shared" ref="AJ83" si="77">SUM(AJ78:AJ82)</f>
        <v>0</v>
      </c>
      <c r="AK83" s="299">
        <f t="shared" ref="AK83" si="78">SUM(AK78:AK82)</f>
        <v>0</v>
      </c>
      <c r="AL83" s="299">
        <f t="shared" ref="AL83" si="79">SUM(AL78:AL82)</f>
        <v>0</v>
      </c>
      <c r="AM83" s="299">
        <f t="shared" ref="AM83" si="80">SUM(AM78:AM82)</f>
        <v>0</v>
      </c>
      <c r="AN83" s="299">
        <f t="shared" ref="AN83" si="81">SUM(AN78:AN82)</f>
        <v>0</v>
      </c>
    </row>
    <row r="84" spans="1:40" x14ac:dyDescent="0.25">
      <c r="A84" s="43"/>
      <c r="B84" s="43"/>
      <c r="C84" s="43"/>
      <c r="D84" s="43"/>
      <c r="E84" s="43"/>
      <c r="F84" s="43"/>
      <c r="G84" s="43"/>
      <c r="H84" s="43"/>
      <c r="I84" s="43"/>
      <c r="J84" s="43"/>
      <c r="K84" s="43"/>
      <c r="L84" s="43"/>
      <c r="M84" s="43"/>
      <c r="N84" s="43"/>
      <c r="O84" s="43"/>
      <c r="P84" s="43"/>
      <c r="Q84" s="43"/>
      <c r="R84" s="43"/>
      <c r="S84" s="43"/>
      <c r="T84" s="43"/>
      <c r="U84" s="43"/>
      <c r="W84" s="272"/>
      <c r="X84" s="272"/>
      <c r="Y84" s="272"/>
      <c r="Z84" s="272"/>
      <c r="AA84" s="272"/>
      <c r="AB84" s="272"/>
    </row>
    <row r="85" spans="1:40" x14ac:dyDescent="0.25">
      <c r="W85" s="272"/>
      <c r="X85" s="272"/>
      <c r="Y85" s="272"/>
      <c r="Z85" s="272"/>
      <c r="AA85" s="272"/>
      <c r="AB85" s="272"/>
    </row>
    <row r="86" spans="1:40" x14ac:dyDescent="0.25">
      <c r="W86" s="272"/>
      <c r="X86" s="272"/>
      <c r="Y86" s="272"/>
      <c r="Z86" s="272"/>
      <c r="AA86" s="272"/>
      <c r="AB86" s="272"/>
    </row>
    <row r="87" spans="1:40" x14ac:dyDescent="0.25">
      <c r="W87" s="272"/>
      <c r="X87" s="272"/>
      <c r="Y87" s="272"/>
      <c r="Z87" s="272"/>
      <c r="AA87" s="272"/>
      <c r="AB87" s="272"/>
    </row>
    <row r="88" spans="1:40" x14ac:dyDescent="0.25">
      <c r="W88" s="272"/>
      <c r="X88" s="272"/>
      <c r="Y88" s="272"/>
      <c r="Z88" s="272"/>
      <c r="AA88" s="272"/>
      <c r="AB88" s="272"/>
    </row>
    <row r="89" spans="1:40" x14ac:dyDescent="0.25">
      <c r="W89" s="272"/>
      <c r="X89" s="272"/>
      <c r="Y89" s="272"/>
      <c r="Z89" s="272"/>
      <c r="AA89" s="272"/>
      <c r="AB89" s="272"/>
    </row>
    <row r="90" spans="1:40" x14ac:dyDescent="0.25">
      <c r="W90" s="272"/>
      <c r="X90" s="272"/>
      <c r="Y90" s="272"/>
      <c r="Z90" s="272"/>
      <c r="AA90" s="272"/>
      <c r="AB90" s="272"/>
    </row>
  </sheetData>
  <mergeCells count="61">
    <mergeCell ref="T52:T53"/>
    <mergeCell ref="E64:G64"/>
    <mergeCell ref="H64:H65"/>
    <mergeCell ref="J64:O64"/>
    <mergeCell ref="P64:P65"/>
    <mergeCell ref="S64:S65"/>
    <mergeCell ref="T64:T65"/>
    <mergeCell ref="T28:T29"/>
    <mergeCell ref="C40:C41"/>
    <mergeCell ref="D40:D41"/>
    <mergeCell ref="E40:G40"/>
    <mergeCell ref="H40:H41"/>
    <mergeCell ref="I40:I41"/>
    <mergeCell ref="J40:O40"/>
    <mergeCell ref="P40:P41"/>
    <mergeCell ref="S40:S41"/>
    <mergeCell ref="T40:T41"/>
    <mergeCell ref="J28:O28"/>
    <mergeCell ref="C28:C29"/>
    <mergeCell ref="D28:D29"/>
    <mergeCell ref="S28:S29"/>
    <mergeCell ref="E28:G28"/>
    <mergeCell ref="H28:H29"/>
    <mergeCell ref="N19:O19"/>
    <mergeCell ref="N20:O20"/>
    <mergeCell ref="N21:O21"/>
    <mergeCell ref="I28:I29"/>
    <mergeCell ref="J52:O52"/>
    <mergeCell ref="P28:P29"/>
    <mergeCell ref="P52:P53"/>
    <mergeCell ref="S52:S53"/>
    <mergeCell ref="N22:O22"/>
    <mergeCell ref="N23:O23"/>
    <mergeCell ref="T76:T77"/>
    <mergeCell ref="C76:C77"/>
    <mergeCell ref="D76:D77"/>
    <mergeCell ref="I76:I77"/>
    <mergeCell ref="E76:G76"/>
    <mergeCell ref="H76:H77"/>
    <mergeCell ref="J76:O76"/>
    <mergeCell ref="P76:P77"/>
    <mergeCell ref="S76:S77"/>
    <mergeCell ref="C64:C65"/>
    <mergeCell ref="D64:D65"/>
    <mergeCell ref="I64:I65"/>
    <mergeCell ref="C52:C53"/>
    <mergeCell ref="D52:D53"/>
    <mergeCell ref="I52:I53"/>
    <mergeCell ref="E52:G52"/>
    <mergeCell ref="H52:H53"/>
    <mergeCell ref="C3:H3"/>
    <mergeCell ref="J5:Q11"/>
    <mergeCell ref="C11:D11"/>
    <mergeCell ref="C12:H12"/>
    <mergeCell ref="C17:C18"/>
    <mergeCell ref="D17:D18"/>
    <mergeCell ref="E17:E18"/>
    <mergeCell ref="F17:F18"/>
    <mergeCell ref="G17:G18"/>
    <mergeCell ref="H17:O17"/>
    <mergeCell ref="N18:O18"/>
  </mergeCells>
  <conditionalFormatting sqref="K30:O34">
    <cfRule type="expression" dxfId="4" priority="17">
      <formula>K$29="-"</formula>
    </cfRule>
  </conditionalFormatting>
  <conditionalFormatting sqref="K42:O46">
    <cfRule type="expression" dxfId="3" priority="13">
      <formula>K$29="-"</formula>
    </cfRule>
  </conditionalFormatting>
  <conditionalFormatting sqref="K54:O58">
    <cfRule type="expression" dxfId="2" priority="9">
      <formula>K$29="-"</formula>
    </cfRule>
  </conditionalFormatting>
  <conditionalFormatting sqref="K66:O70">
    <cfRule type="expression" dxfId="1" priority="5">
      <formula>K$29="-"</formula>
    </cfRule>
  </conditionalFormatting>
  <conditionalFormatting sqref="K78:O82">
    <cfRule type="expression" dxfId="0" priority="1">
      <formula>K$29="-"</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Dict!$A$2:$A$3</xm:f>
          </x14:formula1>
          <xm:sqref>E30:G34 E42:G46 E54:G58 E66:G70 E78:G82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M30"/>
  <sheetViews>
    <sheetView zoomScale="80" zoomScaleNormal="80" workbookViewId="0"/>
  </sheetViews>
  <sheetFormatPr defaultRowHeight="15" x14ac:dyDescent="0.25"/>
  <cols>
    <col min="3" max="3" width="43.28515625" customWidth="1"/>
    <col min="4" max="10" width="27.7109375" customWidth="1"/>
    <col min="11" max="11" width="14.5703125" customWidth="1"/>
  </cols>
  <sheetData>
    <row r="1" spans="1:13" x14ac:dyDescent="0.25">
      <c r="A1" s="12"/>
      <c r="B1" s="12"/>
      <c r="C1" s="12"/>
      <c r="D1" s="12"/>
      <c r="E1" s="12"/>
      <c r="F1" s="12"/>
      <c r="G1" s="12"/>
      <c r="H1" s="12"/>
      <c r="I1" s="12"/>
      <c r="J1" s="12"/>
      <c r="K1" s="12"/>
      <c r="L1" s="12"/>
      <c r="M1" s="12"/>
    </row>
    <row r="2" spans="1:13" ht="18" x14ac:dyDescent="0.25">
      <c r="A2" s="12"/>
      <c r="B2" s="33" t="s">
        <v>97</v>
      </c>
      <c r="C2" s="12"/>
      <c r="D2" s="12"/>
      <c r="E2" s="12"/>
      <c r="F2" s="12"/>
      <c r="G2" s="12"/>
      <c r="H2" s="12"/>
      <c r="I2" s="12"/>
      <c r="J2" s="12"/>
      <c r="K2" s="12"/>
      <c r="L2" s="12"/>
      <c r="M2" s="12"/>
    </row>
    <row r="3" spans="1:13" ht="18.75" x14ac:dyDescent="0.3">
      <c r="A3" s="12"/>
      <c r="B3" s="58"/>
      <c r="C3" s="12"/>
      <c r="D3" s="12"/>
      <c r="E3" s="12"/>
      <c r="F3" s="12"/>
      <c r="G3" s="12"/>
      <c r="H3" s="12"/>
      <c r="I3" s="12"/>
      <c r="J3" s="12"/>
      <c r="K3" s="12"/>
      <c r="L3" s="12"/>
      <c r="M3" s="12"/>
    </row>
    <row r="4" spans="1:13" ht="31.5" x14ac:dyDescent="0.25">
      <c r="A4" s="12"/>
      <c r="B4" s="85"/>
      <c r="C4" s="85"/>
      <c r="D4" s="125" t="str">
        <f>IF(1&lt;='Шаг 1. Основные исходные данные'!$E$5,"1 год","-")</f>
        <v>1 год</v>
      </c>
      <c r="E4" s="125" t="str">
        <f>IF(2&lt;='Шаг 1. Основные исходные данные'!$E$5,"2 год","-")</f>
        <v>2 год</v>
      </c>
      <c r="F4" s="125" t="str">
        <f>IF(3&lt;='Шаг 1. Основные исходные данные'!$E$5,"3 год","-")</f>
        <v>3 год</v>
      </c>
      <c r="G4" s="125" t="str">
        <f>IF(4&lt;='Шаг 1. Основные исходные данные'!$E$5,"4 год","-")</f>
        <v>4 год</v>
      </c>
      <c r="H4" s="125" t="str">
        <f>IF(5&lt;='Шаг 1. Основные исходные данные'!$E$5,"5 год","-")</f>
        <v>5 год</v>
      </c>
      <c r="I4" s="125" t="str">
        <f>IF(6&lt;='Шаг 1. Основные исходные данные'!$E$5,"6 год","-")</f>
        <v>6 год</v>
      </c>
      <c r="J4" s="125" t="s">
        <v>95</v>
      </c>
      <c r="K4" s="125" t="s">
        <v>1172</v>
      </c>
      <c r="L4" s="12"/>
      <c r="M4" s="12"/>
    </row>
    <row r="5" spans="1:13" ht="40.15" customHeight="1" x14ac:dyDescent="0.25">
      <c r="A5" s="12"/>
      <c r="B5" s="87">
        <v>1</v>
      </c>
      <c r="C5" s="85" t="s">
        <v>37</v>
      </c>
      <c r="D5" s="41">
        <f>SUM('Шаг 2. Информационные'!X31,'Шаг 2. Информационные'!X41,'Шаг 2. Информационные'!X55,'Шаг 2. Информационные'!X65,'Шаг 2. Информационные'!X79,'Шаг 2. Информационные'!X89,'Шаг 2. Информационные'!X103,'Шаг 2. Информационные'!X113,'Шаг 2. Информационные'!X127,'Шаг 2. Информационные'!X137)</f>
        <v>0</v>
      </c>
      <c r="E5" s="41">
        <f>SUM('Шаг 2. Информационные'!Y31,'Шаг 2. Информационные'!Y41,'Шаг 2. Информационные'!Y55,'Шаг 2. Информационные'!Y65,'Шаг 2. Информационные'!Y79,'Шаг 2. Информационные'!Y89,'Шаг 2. Информационные'!Y103,'Шаг 2. Информационные'!Y113,'Шаг 2. Информационные'!Y127,'Шаг 2. Информационные'!Y137)</f>
        <v>0</v>
      </c>
      <c r="F5" s="41">
        <f>SUM('Шаг 2. Информационные'!Z31,'Шаг 2. Информационные'!Z41,'Шаг 2. Информационные'!Z55,'Шаг 2. Информационные'!Z65,'Шаг 2. Информационные'!Z79,'Шаг 2. Информационные'!Z89,'Шаг 2. Информационные'!Z103,'Шаг 2. Информационные'!Z113,'Шаг 2. Информационные'!Z127,'Шаг 2. Информационные'!Z137)</f>
        <v>0</v>
      </c>
      <c r="G5" s="41">
        <f>SUM('Шаг 2. Информационные'!AA31,'Шаг 2. Информационные'!AA41,'Шаг 2. Информационные'!AA55,'Шаг 2. Информационные'!AA65,'Шаг 2. Информационные'!AA79,'Шаг 2. Информационные'!AA89,'Шаг 2. Информационные'!AA103,'Шаг 2. Информационные'!AA113,'Шаг 2. Информационные'!AA127,'Шаг 2. Информационные'!AA137)</f>
        <v>0</v>
      </c>
      <c r="H5" s="41">
        <f>SUM('Шаг 2. Информационные'!AB31,'Шаг 2. Информационные'!AB41,'Шаг 2. Информационные'!AB55,'Шаг 2. Информационные'!AB65,'Шаг 2. Информационные'!AB79,'Шаг 2. Информационные'!AB89,'Шаг 2. Информационные'!AB103,'Шаг 2. Информационные'!AB113,'Шаг 2. Информационные'!AB127,'Шаг 2. Информационные'!AB137)</f>
        <v>0</v>
      </c>
      <c r="I5" s="41">
        <f>SUM('Шаг 2. Информационные'!AC31,'Шаг 2. Информационные'!AC41,'Шаг 2. Информационные'!AC55,'Шаг 2. Информационные'!AC65,'Шаг 2. Информационные'!AC79,'Шаг 2. Информационные'!AC89,'Шаг 2. Информационные'!AC103,'Шаг 2. Информационные'!AC113,'Шаг 2. Информационные'!AC127,'Шаг 2. Информационные'!AC137)</f>
        <v>0</v>
      </c>
      <c r="J5" s="41">
        <f>SUM(D5:I5)</f>
        <v>0</v>
      </c>
      <c r="K5" s="82" t="s">
        <v>0</v>
      </c>
      <c r="L5" s="12"/>
      <c r="M5" s="12"/>
    </row>
    <row r="6" spans="1:13" ht="40.15" customHeight="1" x14ac:dyDescent="0.25">
      <c r="A6" s="12"/>
      <c r="B6" s="87">
        <v>2</v>
      </c>
      <c r="C6" s="85" t="s">
        <v>38</v>
      </c>
      <c r="D6" s="41">
        <f>SUM('Шаг 3. Содержательные'!X31,'Шаг 3. Содержательные'!X41,'Шаг 3. Содержательные'!X55,'Шаг 3. Содержательные'!X65,'Шаг 3. Содержательные'!X79,'Шаг 3. Содержательные'!X89,'Шаг 3. Содержательные'!X103,'Шаг 3. Содержательные'!X113,'Шаг 3. Содержательные'!X127,'Шаг 3. Содержательные'!X137)</f>
        <v>0</v>
      </c>
      <c r="E6" s="41">
        <f>SUM('Шаг 3. Содержательные'!Y31,'Шаг 3. Содержательные'!Y41,'Шаг 3. Содержательные'!Y55,'Шаг 3. Содержательные'!Y65,'Шаг 3. Содержательные'!Y79,'Шаг 3. Содержательные'!Y89,'Шаг 3. Содержательные'!Y103,'Шаг 3. Содержательные'!Y113,'Шаг 3. Содержательные'!Y127,'Шаг 3. Содержательные'!Y137)</f>
        <v>0</v>
      </c>
      <c r="F6" s="41">
        <f>SUM('Шаг 3. Содержательные'!Z31,'Шаг 3. Содержательные'!Z41,'Шаг 3. Содержательные'!Z55,'Шаг 3. Содержательные'!Z65,'Шаг 3. Содержательные'!Z79,'Шаг 3. Содержательные'!Z89,'Шаг 3. Содержательные'!Z103,'Шаг 3. Содержательные'!Z113,'Шаг 3. Содержательные'!Z127,'Шаг 3. Содержательные'!Z137)</f>
        <v>0</v>
      </c>
      <c r="G6" s="41">
        <f>SUM('Шаг 3. Содержательные'!AA31,'Шаг 3. Содержательные'!AA41,'Шаг 3. Содержательные'!AA55,'Шаг 3. Содержательные'!AA65,'Шаг 3. Содержательные'!AA79,'Шаг 3. Содержательные'!AA89,'Шаг 3. Содержательные'!AA103,'Шаг 3. Содержательные'!AA113,'Шаг 3. Содержательные'!AA127,'Шаг 3. Содержательные'!AA137)</f>
        <v>0</v>
      </c>
      <c r="H6" s="41">
        <f>SUM('Шаг 3. Содержательные'!AB31,'Шаг 3. Содержательные'!AB41,'Шаг 3. Содержательные'!AB55,'Шаг 3. Содержательные'!AB65,'Шаг 3. Содержательные'!AB79,'Шаг 3. Содержательные'!AB89,'Шаг 3. Содержательные'!AB103,'Шаг 3. Содержательные'!AB113,'Шаг 3. Содержательные'!AB127,'Шаг 3. Содержательные'!AB137)</f>
        <v>0</v>
      </c>
      <c r="I6" s="41">
        <f>SUM('Шаг 3. Содержательные'!AC31,'Шаг 3. Содержательные'!AC41,'Шаг 3. Содержательные'!AC55,'Шаг 3. Содержательные'!AC65,'Шаг 3. Содержательные'!AC79,'Шаг 3. Содержательные'!AC89,'Шаг 3. Содержательные'!AC103,'Шаг 3. Содержательные'!AC113,'Шаг 3. Содержательные'!AC127,'Шаг 3. Содержательные'!AC137)</f>
        <v>0</v>
      </c>
      <c r="J6" s="41">
        <f t="shared" ref="J6:J9" si="0">SUM(D6:I6)</f>
        <v>0</v>
      </c>
      <c r="K6" s="82" t="s">
        <v>0</v>
      </c>
      <c r="L6" s="12"/>
      <c r="M6" s="12"/>
    </row>
    <row r="7" spans="1:13" ht="40.15" customHeight="1" x14ac:dyDescent="0.25">
      <c r="A7" s="12"/>
      <c r="B7" s="87">
        <v>3</v>
      </c>
      <c r="C7" s="85" t="s">
        <v>1173</v>
      </c>
      <c r="D7" s="41">
        <f>SUM('Шаг 4. Издержки простоя, НП'!W35,'Шаг 4. Издержки простоя, НП'!AC35,'Шаг 4. Издержки простоя, НП'!W47,'Шаг 4. Издержки простоя, НП'!AC47,'Шаг 4. Издержки простоя, НП'!W59,'Шаг 4. Издержки простоя, НП'!AC59,'Шаг 4. Издержки простоя, НП'!W71,'Шаг 4. Издержки простоя, НП'!AC71,'Шаг 4. Издержки простоя, НП'!W83,'Шаг 4. Издержки простоя, НП'!AC83)</f>
        <v>0</v>
      </c>
      <c r="E7" s="41">
        <f>SUM('Шаг 4. Издержки простоя, НП'!X35,'Шаг 4. Издержки простоя, НП'!AD35,'Шаг 4. Издержки простоя, НП'!X47,'Шаг 4. Издержки простоя, НП'!AD47,'Шаг 4. Издержки простоя, НП'!X59,'Шаг 4. Издержки простоя, НП'!AD59,'Шаг 4. Издержки простоя, НП'!X71,'Шаг 4. Издержки простоя, НП'!AD71,'Шаг 4. Издержки простоя, НП'!X83,'Шаг 4. Издержки простоя, НП'!AD83)</f>
        <v>0</v>
      </c>
      <c r="F7" s="41">
        <f>SUM('Шаг 4. Издержки простоя, НП'!Y35,'Шаг 4. Издержки простоя, НП'!AE35,'Шаг 4. Издержки простоя, НП'!Y47,'Шаг 4. Издержки простоя, НП'!AE47,'Шаг 4. Издержки простоя, НП'!Y59,'Шаг 4. Издержки простоя, НП'!AE59,'Шаг 4. Издержки простоя, НП'!Y71,'Шаг 4. Издержки простоя, НП'!AE71,'Шаг 4. Издержки простоя, НП'!Y83,'Шаг 4. Издержки простоя, НП'!AE83)</f>
        <v>0</v>
      </c>
      <c r="G7" s="41">
        <f>SUM('Шаг 4. Издержки простоя, НП'!Z35,'Шаг 4. Издержки простоя, НП'!AF35,'Шаг 4. Издержки простоя, НП'!Z47,'Шаг 4. Издержки простоя, НП'!AF47,'Шаг 4. Издержки простоя, НП'!Z59,'Шаг 4. Издержки простоя, НП'!AF59,'Шаг 4. Издержки простоя, НП'!Z71,'Шаг 4. Издержки простоя, НП'!AF71,'Шаг 4. Издержки простоя, НП'!Z83,'Шаг 4. Издержки простоя, НП'!AF83)</f>
        <v>0</v>
      </c>
      <c r="H7" s="41">
        <f>SUM('Шаг 4. Издержки простоя, НП'!AA35,'Шаг 4. Издержки простоя, НП'!AG35,'Шаг 4. Издержки простоя, НП'!AA47,'Шаг 4. Издержки простоя, НП'!AG47,'Шаг 4. Издержки простоя, НП'!AA59,'Шаг 4. Издержки простоя, НП'!AG59,'Шаг 4. Издержки простоя, НП'!AA71,'Шаг 4. Издержки простоя, НП'!AG71,'Шаг 4. Издержки простоя, НП'!AA83,'Шаг 4. Издержки простоя, НП'!AG83)</f>
        <v>0</v>
      </c>
      <c r="I7" s="41">
        <f>SUM('Шаг 4. Издержки простоя, НП'!AB35,'Шаг 4. Издержки простоя, НП'!AH35,'Шаг 4. Издержки простоя, НП'!AB47,'Шаг 4. Издержки простоя, НП'!AH47,'Шаг 4. Издержки простоя, НП'!AB59,'Шаг 4. Издержки простоя, НП'!AH59,'Шаг 4. Издержки простоя, НП'!AB71,'Шаг 4. Издержки простоя, НП'!AH71,'Шаг 4. Издержки простоя, НП'!AB83,'Шаг 4. Издержки простоя, НП'!AH83)</f>
        <v>0</v>
      </c>
      <c r="J7" s="41">
        <f t="shared" si="0"/>
        <v>0</v>
      </c>
      <c r="K7" s="82" t="s">
        <v>0</v>
      </c>
      <c r="L7" s="12"/>
      <c r="M7" s="12"/>
    </row>
    <row r="8" spans="1:13" ht="40.15" customHeight="1" x14ac:dyDescent="0.25">
      <c r="A8" s="12"/>
      <c r="B8" s="87">
        <v>4</v>
      </c>
      <c r="C8" s="85" t="s">
        <v>1250</v>
      </c>
      <c r="D8" s="41">
        <f>SUM('Шаг 4. Издержки простоя, НП'!AI35,'Шаг 4. Издержки простоя, НП'!AI47,'Шаг 4. Издержки простоя, НП'!AI59,'Шаг 4. Издержки простоя, НП'!AI71,'Шаг 4. Издержки простоя, НП'!AI83)</f>
        <v>0</v>
      </c>
      <c r="E8" s="41">
        <f>SUM('Шаг 4. Издержки простоя, НП'!AJ35,'Шаг 4. Издержки простоя, НП'!AJ47,'Шаг 4. Издержки простоя, НП'!AJ59,'Шаг 4. Издержки простоя, НП'!AJ71,'Шаг 4. Издержки простоя, НП'!AJ83)</f>
        <v>0</v>
      </c>
      <c r="F8" s="41">
        <f>SUM('Шаг 4. Издержки простоя, НП'!AK35,'Шаг 4. Издержки простоя, НП'!AK47,'Шаг 4. Издержки простоя, НП'!AK59,'Шаг 4. Издержки простоя, НП'!AK71,'Шаг 4. Издержки простоя, НП'!AK83)</f>
        <v>0</v>
      </c>
      <c r="G8" s="41">
        <f>SUM('Шаг 4. Издержки простоя, НП'!AL35,'Шаг 4. Издержки простоя, НП'!AL47,'Шаг 4. Издержки простоя, НП'!AL59,'Шаг 4. Издержки простоя, НП'!AL71,'Шаг 4. Издержки простоя, НП'!AL83)</f>
        <v>0</v>
      </c>
      <c r="H8" s="41">
        <f>SUM('Шаг 4. Издержки простоя, НП'!AM35,'Шаг 4. Издержки простоя, НП'!AM47,'Шаг 4. Издержки простоя, НП'!AM59,'Шаг 4. Издержки простоя, НП'!AM71,'Шаг 4. Издержки простоя, НП'!AM83)</f>
        <v>0</v>
      </c>
      <c r="I8" s="41">
        <f>SUM('Шаг 4. Издержки простоя, НП'!AN35,'Шаг 4. Издержки простоя, НП'!AN47,'Шаг 4. Издержки простоя, НП'!AN59,'Шаг 4. Издержки простоя, НП'!AN71,'Шаг 4. Издержки простоя, НП'!AN83)</f>
        <v>0</v>
      </c>
      <c r="J8" s="41">
        <f t="shared" si="0"/>
        <v>0</v>
      </c>
      <c r="K8" s="82" t="s">
        <v>0</v>
      </c>
      <c r="L8" s="12"/>
      <c r="M8" s="12"/>
    </row>
    <row r="9" spans="1:13" ht="40.15" customHeight="1" x14ac:dyDescent="0.25">
      <c r="A9" s="12"/>
      <c r="B9" s="87">
        <v>5</v>
      </c>
      <c r="C9" s="85" t="s">
        <v>39</v>
      </c>
      <c r="D9" s="41">
        <f>SUM(D5:D7)</f>
        <v>0</v>
      </c>
      <c r="E9" s="41">
        <f t="shared" ref="E9:I9" si="1">SUM(E5:E7)</f>
        <v>0</v>
      </c>
      <c r="F9" s="41">
        <f t="shared" si="1"/>
        <v>0</v>
      </c>
      <c r="G9" s="41">
        <f t="shared" si="1"/>
        <v>0</v>
      </c>
      <c r="H9" s="41">
        <f t="shared" si="1"/>
        <v>0</v>
      </c>
      <c r="I9" s="41">
        <f t="shared" si="1"/>
        <v>0</v>
      </c>
      <c r="J9" s="41">
        <f t="shared" si="0"/>
        <v>0</v>
      </c>
      <c r="K9" s="82" t="s">
        <v>0</v>
      </c>
      <c r="L9" s="12"/>
      <c r="M9" s="12"/>
    </row>
    <row r="10" spans="1:13" ht="40.15" customHeight="1" x14ac:dyDescent="0.25">
      <c r="A10" s="12"/>
      <c r="B10" s="87">
        <v>6</v>
      </c>
      <c r="C10" s="85" t="s">
        <v>36</v>
      </c>
      <c r="D10" s="83">
        <f>'Шаг 1. Основные исходные данные'!$E$9</f>
        <v>0</v>
      </c>
      <c r="E10" s="83">
        <f>'Шаг 1. Основные исходные данные'!$E$9</f>
        <v>0</v>
      </c>
      <c r="F10" s="83">
        <f>'Шаг 1. Основные исходные данные'!$E$9</f>
        <v>0</v>
      </c>
      <c r="G10" s="83">
        <f>'Шаг 1. Основные исходные данные'!$E$9</f>
        <v>0</v>
      </c>
      <c r="H10" s="83">
        <f>'Шаг 1. Основные исходные данные'!$E$9</f>
        <v>0</v>
      </c>
      <c r="I10" s="83">
        <f>'Шаг 1. Основные исходные данные'!$E$9</f>
        <v>0</v>
      </c>
      <c r="J10" s="83" t="s">
        <v>73</v>
      </c>
      <c r="K10" s="82" t="s">
        <v>35</v>
      </c>
      <c r="L10" s="12"/>
      <c r="M10" s="12"/>
    </row>
    <row r="11" spans="1:13" ht="40.15" customHeight="1" x14ac:dyDescent="0.25">
      <c r="A11" s="12"/>
      <c r="B11" s="87">
        <v>7</v>
      </c>
      <c r="C11" s="85" t="s">
        <v>98</v>
      </c>
      <c r="D11" s="83">
        <f>IF(D4="-",0,(1+$D$10/100)^(VALUE(LEFT(D4,1))-1))</f>
        <v>1</v>
      </c>
      <c r="E11" s="83">
        <f t="shared" ref="E11:I11" si="2">IF(E4="-",0,(1+$D$10/100)^(VALUE(LEFT(E4,1))-1))</f>
        <v>1</v>
      </c>
      <c r="F11" s="83">
        <f t="shared" si="2"/>
        <v>1</v>
      </c>
      <c r="G11" s="83">
        <f t="shared" si="2"/>
        <v>1</v>
      </c>
      <c r="H11" s="83">
        <f t="shared" si="2"/>
        <v>1</v>
      </c>
      <c r="I11" s="83">
        <f t="shared" si="2"/>
        <v>1</v>
      </c>
      <c r="J11" s="83" t="s">
        <v>73</v>
      </c>
      <c r="K11" s="82" t="s">
        <v>73</v>
      </c>
      <c r="L11" s="12"/>
      <c r="M11" s="12"/>
    </row>
    <row r="12" spans="1:13" ht="40.15" customHeight="1" x14ac:dyDescent="0.25">
      <c r="A12" s="12"/>
      <c r="B12" s="34">
        <v>8</v>
      </c>
      <c r="C12" s="86" t="s">
        <v>40</v>
      </c>
      <c r="D12" s="42">
        <f>SUM(D5:D7)*D11*(1-C30)*(D10/100)</f>
        <v>0</v>
      </c>
      <c r="E12" s="42">
        <f>SUM(E5:E7,D8)*E11*(1-D30)*(E10/100)</f>
        <v>0</v>
      </c>
      <c r="F12" s="42">
        <f>SUM(F5:F7,E8)*F11*(1-E30)*(F10/100)</f>
        <v>0</v>
      </c>
      <c r="G12" s="42">
        <f>SUM(G5:G7,F8)*G11*(1-F30)*(G10/100)</f>
        <v>0</v>
      </c>
      <c r="H12" s="42">
        <f>SUM(H5:H7,G8)*H11*(1-G30)*(H10/100)</f>
        <v>0</v>
      </c>
      <c r="I12" s="42">
        <f>SUM(I5:I7,H8)*I11*(1-H30)*(I10/100)</f>
        <v>0</v>
      </c>
      <c r="J12" s="42">
        <f>SUM(D12:I12)</f>
        <v>0</v>
      </c>
      <c r="K12" s="84" t="s">
        <v>0</v>
      </c>
      <c r="L12" s="12"/>
      <c r="M12" s="12"/>
    </row>
    <row r="13" spans="1:13" x14ac:dyDescent="0.25">
      <c r="A13" s="12"/>
      <c r="B13" s="12"/>
      <c r="C13" s="12"/>
      <c r="D13" s="12"/>
      <c r="E13" s="12"/>
      <c r="F13" s="12"/>
      <c r="G13" s="12"/>
      <c r="H13" s="12"/>
      <c r="I13" s="12"/>
      <c r="J13" s="12"/>
      <c r="K13" s="12"/>
      <c r="L13" s="12"/>
      <c r="M13" s="12"/>
    </row>
    <row r="14" spans="1:13" x14ac:dyDescent="0.25">
      <c r="A14" s="12"/>
      <c r="B14" s="12"/>
      <c r="C14" s="12"/>
      <c r="D14" s="12"/>
      <c r="E14" s="12"/>
      <c r="F14" s="12"/>
      <c r="G14" s="12"/>
      <c r="H14" s="12"/>
      <c r="I14" s="12"/>
      <c r="J14" s="12"/>
      <c r="K14" s="12"/>
      <c r="L14" s="12"/>
      <c r="M14" s="12"/>
    </row>
    <row r="16" spans="1:13" s="270" customFormat="1" hidden="1" x14ac:dyDescent="0.25">
      <c r="B16" s="270" t="s">
        <v>1251</v>
      </c>
    </row>
    <row r="17" spans="1:10" s="270" customFormat="1" hidden="1" x14ac:dyDescent="0.25">
      <c r="B17" s="270" t="s">
        <v>1252</v>
      </c>
      <c r="C17" s="270" t="s">
        <v>1253</v>
      </c>
    </row>
    <row r="18" spans="1:10" s="270" customFormat="1" hidden="1" x14ac:dyDescent="0.25">
      <c r="C18" s="270" t="s">
        <v>1254</v>
      </c>
      <c r="D18" s="270" t="s">
        <v>1255</v>
      </c>
      <c r="E18" s="270" t="s">
        <v>1256</v>
      </c>
      <c r="F18" s="270" t="s">
        <v>1257</v>
      </c>
      <c r="G18" s="270" t="s">
        <v>1258</v>
      </c>
      <c r="H18" s="270" t="s">
        <v>1259</v>
      </c>
      <c r="I18" s="270" t="s">
        <v>1260</v>
      </c>
      <c r="J18" s="270" t="s">
        <v>1261</v>
      </c>
    </row>
    <row r="19" spans="1:10" s="270" customFormat="1" hidden="1" x14ac:dyDescent="0.25">
      <c r="A19" s="270">
        <v>1</v>
      </c>
      <c r="B19" s="270" t="str">
        <f>'Шаг 4. Издержки простоя, НП'!C19</f>
        <v/>
      </c>
      <c r="C19" s="270">
        <f>SUMPRODUCT('Шаг 4. Издержки простоя, НП'!$H$30:$H$34,'Шаг 4. Издержки простоя, НП'!J30:J34)</f>
        <v>0</v>
      </c>
      <c r="D19" s="270">
        <f>SUMPRODUCT('Шаг 4. Издержки простоя, НП'!$H$30:$H$34,'Шаг 4. Издержки простоя, НП'!K30:K34)</f>
        <v>0</v>
      </c>
      <c r="E19" s="270">
        <f>SUMPRODUCT('Шаг 4. Издержки простоя, НП'!$H$30:$H$34,'Шаг 4. Издержки простоя, НП'!L30:L34)</f>
        <v>0</v>
      </c>
      <c r="F19" s="270">
        <f>SUMPRODUCT('Шаг 4. Издержки простоя, НП'!$H$30:$H$34,'Шаг 4. Издержки простоя, НП'!M30:M34)</f>
        <v>0</v>
      </c>
      <c r="G19" s="270">
        <f>SUMPRODUCT('Шаг 4. Издержки простоя, НП'!$H$30:$H$34,'Шаг 4. Издержки простоя, НП'!N30:N34)</f>
        <v>0</v>
      </c>
      <c r="H19" s="270">
        <f>SUMPRODUCT('Шаг 4. Издержки простоя, НП'!$H$30:$H$34,'Шаг 4. Издержки простоя, НП'!O30:O34)</f>
        <v>0</v>
      </c>
      <c r="I19" s="270">
        <f>'Шаг 4. Издержки простоя, НП'!F19</f>
        <v>0</v>
      </c>
      <c r="J19" s="270">
        <f>8*'Шаг 1. Основные исходные данные'!$E$10</f>
        <v>1976</v>
      </c>
    </row>
    <row r="20" spans="1:10" s="270" customFormat="1" hidden="1" x14ac:dyDescent="0.25">
      <c r="A20" s="270">
        <v>2</v>
      </c>
      <c r="B20" s="270" t="str">
        <f>'Шаг 4. Издержки простоя, НП'!C20</f>
        <v/>
      </c>
      <c r="C20" s="270">
        <f>SUMPRODUCT('Шаг 4. Издержки простоя, НП'!$H$42:$H$46,'Шаг 4. Издержки простоя, НП'!J42:J46)</f>
        <v>0</v>
      </c>
      <c r="D20" s="270">
        <f>SUMPRODUCT('Шаг 4. Издержки простоя, НП'!$H$42:$H$46,'Шаг 4. Издержки простоя, НП'!K42:K46)</f>
        <v>0</v>
      </c>
      <c r="E20" s="270">
        <f>SUMPRODUCT('Шаг 4. Издержки простоя, НП'!$H$42:$H$46,'Шаг 4. Издержки простоя, НП'!L42:L46)</f>
        <v>0</v>
      </c>
      <c r="F20" s="270">
        <f>SUMPRODUCT('Шаг 4. Издержки простоя, НП'!$H$42:$H$46,'Шаг 4. Издержки простоя, НП'!M42:M46)</f>
        <v>0</v>
      </c>
      <c r="G20" s="270">
        <f>SUMPRODUCT('Шаг 4. Издержки простоя, НП'!$H$42:$H$46,'Шаг 4. Издержки простоя, НП'!N42:N46)</f>
        <v>0</v>
      </c>
      <c r="H20" s="270">
        <f>SUMPRODUCT('Шаг 4. Издержки простоя, НП'!$H$42:$H$46,'Шаг 4. Издержки простоя, НП'!O42:O46)</f>
        <v>0</v>
      </c>
      <c r="I20" s="270">
        <f>'Шаг 4. Издержки простоя, НП'!F20</f>
        <v>0</v>
      </c>
      <c r="J20" s="270">
        <f>8*'Шаг 1. Основные исходные данные'!$E$10</f>
        <v>1976</v>
      </c>
    </row>
    <row r="21" spans="1:10" s="270" customFormat="1" hidden="1" x14ac:dyDescent="0.25">
      <c r="A21" s="270">
        <v>3</v>
      </c>
      <c r="B21" s="270" t="str">
        <f>'Шаг 4. Издержки простоя, НП'!C21</f>
        <v/>
      </c>
      <c r="C21" s="270">
        <f>SUMPRODUCT('Шаг 4. Издержки простоя, НП'!$H$54:$H$58,'Шаг 4. Издержки простоя, НП'!J54:J58)</f>
        <v>0</v>
      </c>
      <c r="D21" s="270">
        <f>SUMPRODUCT('Шаг 4. Издержки простоя, НП'!$H$54:$H$58,'Шаг 4. Издержки простоя, НП'!K54:K58)</f>
        <v>0</v>
      </c>
      <c r="E21" s="270">
        <f>SUMPRODUCT('Шаг 4. Издержки простоя, НП'!$H$54:$H$58,'Шаг 4. Издержки простоя, НП'!L54:L58)</f>
        <v>0</v>
      </c>
      <c r="F21" s="270">
        <f>SUMPRODUCT('Шаг 4. Издержки простоя, НП'!$H$54:$H$58,'Шаг 4. Издержки простоя, НП'!M54:M58)</f>
        <v>0</v>
      </c>
      <c r="G21" s="270">
        <f>SUMPRODUCT('Шаг 4. Издержки простоя, НП'!$H$54:$H$58,'Шаг 4. Издержки простоя, НП'!N54:N58)</f>
        <v>0</v>
      </c>
      <c r="H21" s="270">
        <f>SUMPRODUCT('Шаг 4. Издержки простоя, НП'!$H$54:$H$58,'Шаг 4. Издержки простоя, НП'!O54:O58)</f>
        <v>0</v>
      </c>
      <c r="I21" s="270">
        <f>'Шаг 4. Издержки простоя, НП'!F21</f>
        <v>0</v>
      </c>
      <c r="J21" s="270">
        <f>8*'Шаг 1. Основные исходные данные'!$E$10</f>
        <v>1976</v>
      </c>
    </row>
    <row r="22" spans="1:10" s="270" customFormat="1" hidden="1" x14ac:dyDescent="0.25">
      <c r="A22" s="270">
        <v>4</v>
      </c>
      <c r="B22" s="270" t="str">
        <f>'Шаг 4. Издержки простоя, НП'!C22</f>
        <v/>
      </c>
      <c r="C22" s="270">
        <f>SUMPRODUCT('Шаг 4. Издержки простоя, НП'!$H$66:$H$70,'Шаг 4. Издержки простоя, НП'!J66:J70)</f>
        <v>0</v>
      </c>
      <c r="D22" s="270">
        <f>SUMPRODUCT('Шаг 4. Издержки простоя, НП'!$H$66:$H$70,'Шаг 4. Издержки простоя, НП'!K66:K70)</f>
        <v>0</v>
      </c>
      <c r="E22" s="270">
        <f>SUMPRODUCT('Шаг 4. Издержки простоя, НП'!$H$66:$H$70,'Шаг 4. Издержки простоя, НП'!L66:L70)</f>
        <v>0</v>
      </c>
      <c r="F22" s="270">
        <f>SUMPRODUCT('Шаг 4. Издержки простоя, НП'!$H$66:$H$70,'Шаг 4. Издержки простоя, НП'!M66:M70)</f>
        <v>0</v>
      </c>
      <c r="G22" s="270">
        <f>SUMPRODUCT('Шаг 4. Издержки простоя, НП'!$H$66:$H$70,'Шаг 4. Издержки простоя, НП'!N66:N70)</f>
        <v>0</v>
      </c>
      <c r="H22" s="270">
        <f>SUMPRODUCT('Шаг 4. Издержки простоя, НП'!$H$66:$H$70,'Шаг 4. Издержки простоя, НП'!O66:O70)</f>
        <v>0</v>
      </c>
      <c r="I22" s="270">
        <f>'Шаг 4. Издержки простоя, НП'!F22</f>
        <v>0</v>
      </c>
      <c r="J22" s="270">
        <f>8*'Шаг 1. Основные исходные данные'!$E$10</f>
        <v>1976</v>
      </c>
    </row>
    <row r="23" spans="1:10" s="270" customFormat="1" hidden="1" x14ac:dyDescent="0.25">
      <c r="A23" s="270">
        <v>5</v>
      </c>
      <c r="B23" s="270" t="str">
        <f>'Шаг 4. Издержки простоя, НП'!C23</f>
        <v/>
      </c>
      <c r="C23" s="270">
        <f>SUMPRODUCT('Шаг 4. Издержки простоя, НП'!$H$78:$H$82,'Шаг 4. Издержки простоя, НП'!J78:J82)</f>
        <v>0</v>
      </c>
      <c r="D23" s="270">
        <f>SUMPRODUCT('Шаг 4. Издержки простоя, НП'!$H$78:$H$82,'Шаг 4. Издержки простоя, НП'!K78:K82)</f>
        <v>0</v>
      </c>
      <c r="E23" s="270">
        <f>SUMPRODUCT('Шаг 4. Издержки простоя, НП'!$H$78:$H$82,'Шаг 4. Издержки простоя, НП'!L78:L82)</f>
        <v>0</v>
      </c>
      <c r="F23" s="270">
        <f>SUMPRODUCT('Шаг 4. Издержки простоя, НП'!$H$78:$H$82,'Шаг 4. Издержки простоя, НП'!M78:M82)</f>
        <v>0</v>
      </c>
      <c r="G23" s="270">
        <f>SUMPRODUCT('Шаг 4. Издержки простоя, НП'!$H$78:$H$82,'Шаг 4. Издержки простоя, НП'!N78:N82)</f>
        <v>0</v>
      </c>
      <c r="H23" s="270">
        <f>SUMPRODUCT('Шаг 4. Издержки простоя, НП'!$H$78:$H$82,'Шаг 4. Издержки простоя, НП'!O78:O82)</f>
        <v>0</v>
      </c>
      <c r="I23" s="270">
        <f>'Шаг 4. Издержки простоя, НП'!F23</f>
        <v>0</v>
      </c>
      <c r="J23" s="270">
        <f>8*'Шаг 1. Основные исходные данные'!$E$10</f>
        <v>1976</v>
      </c>
    </row>
    <row r="24" spans="1:10" s="270" customFormat="1" hidden="1" x14ac:dyDescent="0.25">
      <c r="A24" s="293" t="s">
        <v>1263</v>
      </c>
      <c r="B24" s="293"/>
      <c r="C24" s="270" t="s">
        <v>1251</v>
      </c>
      <c r="D24" s="293"/>
      <c r="E24" s="293"/>
      <c r="F24" s="293"/>
      <c r="G24" s="293"/>
      <c r="H24" s="293"/>
      <c r="I24" s="293"/>
      <c r="J24" s="293"/>
    </row>
    <row r="25" spans="1:10" s="270" customFormat="1" hidden="1" x14ac:dyDescent="0.25">
      <c r="A25" s="270">
        <f>A19</f>
        <v>1</v>
      </c>
      <c r="B25" s="270" t="str">
        <f>B19</f>
        <v/>
      </c>
      <c r="C25" s="270">
        <f>C19*$I19</f>
        <v>0</v>
      </c>
      <c r="D25" s="270">
        <f t="shared" ref="D25:H29" si="3">D19*$I19</f>
        <v>0</v>
      </c>
      <c r="E25" s="270">
        <f t="shared" si="3"/>
        <v>0</v>
      </c>
      <c r="F25" s="270">
        <f t="shared" si="3"/>
        <v>0</v>
      </c>
      <c r="G25" s="270">
        <f t="shared" si="3"/>
        <v>0</v>
      </c>
      <c r="H25" s="270">
        <f t="shared" si="3"/>
        <v>0</v>
      </c>
      <c r="J25" s="270">
        <f>J19*I19</f>
        <v>0</v>
      </c>
    </row>
    <row r="26" spans="1:10" s="270" customFormat="1" hidden="1" x14ac:dyDescent="0.25">
      <c r="A26" s="270">
        <f t="shared" ref="A26:B26" si="4">A20</f>
        <v>2</v>
      </c>
      <c r="B26" s="270" t="str">
        <f t="shared" si="4"/>
        <v/>
      </c>
      <c r="C26" s="270">
        <f>C20*$I20</f>
        <v>0</v>
      </c>
      <c r="D26" s="270">
        <f t="shared" si="3"/>
        <v>0</v>
      </c>
      <c r="E26" s="270">
        <f t="shared" si="3"/>
        <v>0</v>
      </c>
      <c r="F26" s="270">
        <f t="shared" si="3"/>
        <v>0</v>
      </c>
      <c r="G26" s="270">
        <f t="shared" si="3"/>
        <v>0</v>
      </c>
      <c r="H26" s="270">
        <f t="shared" si="3"/>
        <v>0</v>
      </c>
      <c r="J26" s="270">
        <f>J20*I20</f>
        <v>0</v>
      </c>
    </row>
    <row r="27" spans="1:10" s="270" customFormat="1" hidden="1" x14ac:dyDescent="0.25">
      <c r="A27" s="270">
        <f t="shared" ref="A27:B27" si="5">A21</f>
        <v>3</v>
      </c>
      <c r="B27" s="270" t="str">
        <f t="shared" si="5"/>
        <v/>
      </c>
      <c r="C27" s="270">
        <f>C21*$I21</f>
        <v>0</v>
      </c>
      <c r="D27" s="270">
        <f t="shared" si="3"/>
        <v>0</v>
      </c>
      <c r="E27" s="270">
        <f t="shared" si="3"/>
        <v>0</v>
      </c>
      <c r="F27" s="270">
        <f t="shared" si="3"/>
        <v>0</v>
      </c>
      <c r="G27" s="270">
        <f t="shared" si="3"/>
        <v>0</v>
      </c>
      <c r="H27" s="270">
        <f t="shared" si="3"/>
        <v>0</v>
      </c>
      <c r="J27" s="270">
        <f>J21*I21</f>
        <v>0</v>
      </c>
    </row>
    <row r="28" spans="1:10" s="270" customFormat="1" hidden="1" x14ac:dyDescent="0.25">
      <c r="A28" s="270">
        <f t="shared" ref="A28:B28" si="6">A22</f>
        <v>4</v>
      </c>
      <c r="B28" s="270" t="str">
        <f t="shared" si="6"/>
        <v/>
      </c>
      <c r="C28" s="270">
        <f>C22*$I22</f>
        <v>0</v>
      </c>
      <c r="D28" s="270">
        <f t="shared" si="3"/>
        <v>0</v>
      </c>
      <c r="E28" s="270">
        <f t="shared" si="3"/>
        <v>0</v>
      </c>
      <c r="F28" s="270">
        <f t="shared" si="3"/>
        <v>0</v>
      </c>
      <c r="G28" s="270">
        <f t="shared" si="3"/>
        <v>0</v>
      </c>
      <c r="H28" s="270">
        <f t="shared" si="3"/>
        <v>0</v>
      </c>
      <c r="J28" s="270">
        <f>J22*I22</f>
        <v>0</v>
      </c>
    </row>
    <row r="29" spans="1:10" s="270" customFormat="1" hidden="1" x14ac:dyDescent="0.25">
      <c r="A29" s="270">
        <f t="shared" ref="A29:B29" si="7">A23</f>
        <v>5</v>
      </c>
      <c r="B29" s="270" t="str">
        <f t="shared" si="7"/>
        <v/>
      </c>
      <c r="C29" s="270">
        <f>C23*$I23</f>
        <v>0</v>
      </c>
      <c r="D29" s="270">
        <f t="shared" si="3"/>
        <v>0</v>
      </c>
      <c r="E29" s="270">
        <f t="shared" si="3"/>
        <v>0</v>
      </c>
      <c r="F29" s="270">
        <f t="shared" si="3"/>
        <v>0</v>
      </c>
      <c r="G29" s="270">
        <f t="shared" si="3"/>
        <v>0</v>
      </c>
      <c r="H29" s="270">
        <f t="shared" si="3"/>
        <v>0</v>
      </c>
      <c r="J29" s="270">
        <f>J23*I23</f>
        <v>0</v>
      </c>
    </row>
    <row r="30" spans="1:10" s="270" customFormat="1" hidden="1" x14ac:dyDescent="0.25">
      <c r="B30" s="293" t="s">
        <v>1262</v>
      </c>
      <c r="C30" s="293">
        <f t="shared" ref="C30:H30" si="8">IFERROR(SUM(C25:C29)/SUM($J$25:$J$29),0)</f>
        <v>0</v>
      </c>
      <c r="D30" s="293">
        <f t="shared" si="8"/>
        <v>0</v>
      </c>
      <c r="E30" s="293">
        <f t="shared" si="8"/>
        <v>0</v>
      </c>
      <c r="F30" s="293">
        <f t="shared" si="8"/>
        <v>0</v>
      </c>
      <c r="G30" s="293">
        <f t="shared" si="8"/>
        <v>0</v>
      </c>
      <c r="H30" s="293">
        <f t="shared" si="8"/>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11"/>
  <sheetViews>
    <sheetView workbookViewId="0">
      <selection activeCell="I3" sqref="I3"/>
    </sheetView>
  </sheetViews>
  <sheetFormatPr defaultRowHeight="15" x14ac:dyDescent="0.25"/>
  <sheetData>
    <row r="1" spans="1:10" x14ac:dyDescent="0.25">
      <c r="A1" t="s">
        <v>50</v>
      </c>
      <c r="B1" t="s">
        <v>53</v>
      </c>
      <c r="C1" t="s">
        <v>56</v>
      </c>
      <c r="D1" t="s">
        <v>65</v>
      </c>
      <c r="E1" t="s">
        <v>70</v>
      </c>
      <c r="F1" t="s">
        <v>76</v>
      </c>
      <c r="G1" t="s">
        <v>81</v>
      </c>
      <c r="H1" t="s">
        <v>82</v>
      </c>
      <c r="I1" t="s">
        <v>1160</v>
      </c>
      <c r="J1" t="s">
        <v>1163</v>
      </c>
    </row>
    <row r="2" spans="1:10" x14ac:dyDescent="0.25">
      <c r="A2" t="s">
        <v>51</v>
      </c>
      <c r="B2">
        <v>1</v>
      </c>
      <c r="C2" t="s">
        <v>0</v>
      </c>
      <c r="D2" t="s">
        <v>1181</v>
      </c>
      <c r="E2">
        <f>1/8/'Шаг 1. Основные исходные данные'!$E$10*12/60</f>
        <v>1.0121457489878542E-4</v>
      </c>
      <c r="F2" t="s">
        <v>77</v>
      </c>
      <c r="G2" t="s">
        <v>0</v>
      </c>
      <c r="H2">
        <v>1</v>
      </c>
      <c r="I2" t="s">
        <v>1270</v>
      </c>
      <c r="J2" t="s">
        <v>1164</v>
      </c>
    </row>
    <row r="3" spans="1:10" x14ac:dyDescent="0.25">
      <c r="A3" t="s">
        <v>52</v>
      </c>
      <c r="B3">
        <v>2</v>
      </c>
      <c r="C3" t="s">
        <v>59</v>
      </c>
      <c r="D3" t="s">
        <v>69</v>
      </c>
      <c r="E3">
        <f>1/8/'Шаг 1. Основные исходные данные'!$E$10*12</f>
        <v>6.0728744939271256E-3</v>
      </c>
      <c r="F3" t="s">
        <v>78</v>
      </c>
      <c r="G3" t="s">
        <v>59</v>
      </c>
      <c r="H3">
        <f>1/1000</f>
        <v>1E-3</v>
      </c>
      <c r="I3" t="s">
        <v>1161</v>
      </c>
      <c r="J3" t="s">
        <v>1165</v>
      </c>
    </row>
    <row r="4" spans="1:10" x14ac:dyDescent="0.25">
      <c r="B4">
        <v>3</v>
      </c>
      <c r="C4" t="s">
        <v>60</v>
      </c>
      <c r="D4" t="s">
        <v>66</v>
      </c>
      <c r="E4">
        <f>1/'Шаг 1. Основные исходные данные'!$E$10*12</f>
        <v>4.8582995951417005E-2</v>
      </c>
      <c r="G4" t="s">
        <v>60</v>
      </c>
      <c r="H4">
        <f>1/1000000</f>
        <v>9.9999999999999995E-7</v>
      </c>
      <c r="I4" t="s">
        <v>1162</v>
      </c>
    </row>
    <row r="5" spans="1:10" x14ac:dyDescent="0.25">
      <c r="B5">
        <v>4</v>
      </c>
      <c r="C5" t="s">
        <v>57</v>
      </c>
      <c r="D5" t="s">
        <v>67</v>
      </c>
      <c r="E5">
        <v>1</v>
      </c>
    </row>
    <row r="6" spans="1:10" x14ac:dyDescent="0.25">
      <c r="B6">
        <v>5</v>
      </c>
      <c r="C6" t="s">
        <v>58</v>
      </c>
      <c r="D6" t="s">
        <v>68</v>
      </c>
      <c r="E6">
        <v>12</v>
      </c>
    </row>
    <row r="7" spans="1:10" x14ac:dyDescent="0.25">
      <c r="B7">
        <v>6</v>
      </c>
      <c r="C7" t="s">
        <v>14</v>
      </c>
    </row>
    <row r="8" spans="1:10" x14ac:dyDescent="0.25">
      <c r="B8">
        <v>7</v>
      </c>
      <c r="C8" t="s">
        <v>45</v>
      </c>
    </row>
    <row r="9" spans="1:10" x14ac:dyDescent="0.25">
      <c r="B9">
        <v>8</v>
      </c>
      <c r="C9" t="s">
        <v>61</v>
      </c>
    </row>
    <row r="10" spans="1:10" x14ac:dyDescent="0.25">
      <c r="B10">
        <v>9</v>
      </c>
      <c r="C10" t="s">
        <v>24</v>
      </c>
    </row>
    <row r="11" spans="1:10" x14ac:dyDescent="0.25">
      <c r="B11">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O5"/>
  <sheetViews>
    <sheetView workbookViewId="0">
      <selection sqref="A1:A2"/>
    </sheetView>
  </sheetViews>
  <sheetFormatPr defaultRowHeight="15" x14ac:dyDescent="0.25"/>
  <cols>
    <col min="2" max="2" width="18.28515625" customWidth="1"/>
    <col min="3" max="3" width="20.85546875" customWidth="1"/>
    <col min="4" max="4" width="14.28515625" customWidth="1"/>
    <col min="5" max="5" width="15.85546875" customWidth="1"/>
    <col min="6" max="7" width="16.42578125" customWidth="1"/>
    <col min="8" max="8" width="17.42578125" customWidth="1"/>
    <col min="9" max="9" width="18.42578125" customWidth="1"/>
    <col min="10" max="10" width="17.140625" customWidth="1"/>
    <col min="11" max="11" width="18.85546875" customWidth="1"/>
    <col min="12" max="13" width="15" customWidth="1"/>
    <col min="14" max="15" width="15.5703125" customWidth="1"/>
  </cols>
  <sheetData>
    <row r="1" spans="1:15" ht="63.75" customHeight="1" x14ac:dyDescent="0.25">
      <c r="A1" s="370" t="s">
        <v>1289</v>
      </c>
      <c r="B1" s="370" t="s">
        <v>1290</v>
      </c>
      <c r="C1" s="370" t="s">
        <v>1294</v>
      </c>
      <c r="D1" s="370" t="s">
        <v>116</v>
      </c>
      <c r="E1" s="370"/>
      <c r="F1" s="370" t="s">
        <v>117</v>
      </c>
      <c r="G1" s="370"/>
      <c r="H1" s="370" t="s">
        <v>1185</v>
      </c>
      <c r="I1" s="370" t="s">
        <v>1186</v>
      </c>
      <c r="J1" s="370" t="s">
        <v>1264</v>
      </c>
      <c r="K1" s="370"/>
      <c r="L1" s="370" t="s">
        <v>1188</v>
      </c>
      <c r="M1" s="370"/>
      <c r="N1" s="370" t="s">
        <v>1274</v>
      </c>
      <c r="O1" s="370"/>
    </row>
    <row r="2" spans="1:15" ht="126" x14ac:dyDescent="0.25">
      <c r="A2" s="370"/>
      <c r="B2" s="370"/>
      <c r="C2" s="370"/>
      <c r="D2" s="266" t="s">
        <v>1190</v>
      </c>
      <c r="E2" s="266" t="s">
        <v>1191</v>
      </c>
      <c r="F2" s="266" t="s">
        <v>1190</v>
      </c>
      <c r="G2" s="266" t="s">
        <v>1191</v>
      </c>
      <c r="H2" s="370"/>
      <c r="I2" s="370"/>
      <c r="J2" s="266" t="s">
        <v>1192</v>
      </c>
      <c r="K2" s="266" t="s">
        <v>1275</v>
      </c>
      <c r="L2" s="266" t="s">
        <v>1268</v>
      </c>
      <c r="M2" s="266" t="s">
        <v>1265</v>
      </c>
      <c r="N2" s="266" t="s">
        <v>1268</v>
      </c>
      <c r="O2" s="266" t="s">
        <v>1266</v>
      </c>
    </row>
    <row r="3" spans="1:15" ht="15.75" x14ac:dyDescent="0.25">
      <c r="A3" s="266" t="s">
        <v>1197</v>
      </c>
      <c r="B3" s="266" t="s">
        <v>1198</v>
      </c>
      <c r="C3" s="266" t="s">
        <v>1199</v>
      </c>
      <c r="D3" s="266" t="s">
        <v>1200</v>
      </c>
      <c r="E3" s="266" t="s">
        <v>1201</v>
      </c>
      <c r="F3" s="266" t="s">
        <v>1202</v>
      </c>
      <c r="G3" s="266" t="s">
        <v>1203</v>
      </c>
      <c r="H3" s="266" t="s">
        <v>1204</v>
      </c>
      <c r="I3" s="266" t="s">
        <v>1205</v>
      </c>
      <c r="J3" s="266" t="s">
        <v>1206</v>
      </c>
      <c r="K3" s="266" t="s">
        <v>1207</v>
      </c>
      <c r="L3" s="266" t="s">
        <v>1208</v>
      </c>
      <c r="M3" s="266" t="s">
        <v>1209</v>
      </c>
      <c r="N3" s="266" t="s">
        <v>1210</v>
      </c>
      <c r="O3" s="266" t="s">
        <v>1211</v>
      </c>
    </row>
    <row r="4" spans="1:15" ht="15.75" x14ac:dyDescent="0.25">
      <c r="A4" s="266">
        <v>1</v>
      </c>
      <c r="B4" s="305"/>
      <c r="C4" s="305"/>
      <c r="D4" s="306">
        <f>'Шаг 2. Информационные'!E6</f>
        <v>0</v>
      </c>
      <c r="E4" s="306">
        <f>'Шаг 2. Информационные'!E7</f>
        <v>0</v>
      </c>
      <c r="F4" s="306">
        <f>'Шаг 3. Содержательные'!E6</f>
        <v>0</v>
      </c>
      <c r="G4" s="306">
        <f>'Шаг 3. Содержательные'!E7</f>
        <v>0</v>
      </c>
      <c r="H4" s="306">
        <f>'Шаг 4. Издержки простоя, НП'!E11+'Шаг 4. Издержки простоя, НП'!F11</f>
        <v>0</v>
      </c>
      <c r="I4" s="306">
        <f>'Шаг 5. Альтернативные'!J12</f>
        <v>0</v>
      </c>
      <c r="J4" s="306">
        <f>SUM('Шаг 5. Альтернативные'!D5:D8)</f>
        <v>0</v>
      </c>
      <c r="K4" s="306">
        <f>SUM(D4:H4)</f>
        <v>0</v>
      </c>
      <c r="L4" s="305"/>
      <c r="M4" s="305"/>
      <c r="N4" s="305"/>
      <c r="O4" s="305"/>
    </row>
    <row r="5" spans="1:15" ht="15.75" x14ac:dyDescent="0.25">
      <c r="A5" s="368" t="s">
        <v>1267</v>
      </c>
      <c r="B5" s="368"/>
      <c r="C5" s="368"/>
      <c r="D5" s="369"/>
      <c r="E5" s="369"/>
      <c r="F5" s="369"/>
      <c r="G5" s="369"/>
      <c r="H5" s="369"/>
      <c r="I5" s="369"/>
      <c r="J5" s="369"/>
      <c r="K5" s="369"/>
      <c r="L5" s="370" t="s">
        <v>73</v>
      </c>
      <c r="M5" s="370"/>
      <c r="N5" s="370"/>
      <c r="O5" s="370"/>
    </row>
  </sheetData>
  <mergeCells count="13">
    <mergeCell ref="A5:C5"/>
    <mergeCell ref="D5:K5"/>
    <mergeCell ref="L5:O5"/>
    <mergeCell ref="I1:I2"/>
    <mergeCell ref="A1:A2"/>
    <mergeCell ref="L1:M1"/>
    <mergeCell ref="N1:O1"/>
    <mergeCell ref="B1:B2"/>
    <mergeCell ref="C1:C2"/>
    <mergeCell ref="D1:E1"/>
    <mergeCell ref="F1:G1"/>
    <mergeCell ref="H1:H2"/>
    <mergeCell ref="J1:K1"/>
  </mergeCell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Dict!$A$2:$A$3</xm:f>
          </x14:formula1>
          <xm:sqref>L4 N4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FF3F4"/>
  </sheetPr>
  <dimension ref="A1:U44"/>
  <sheetViews>
    <sheetView topLeftCell="A22" workbookViewId="0">
      <selection activeCell="D14" sqref="D14"/>
    </sheetView>
  </sheetViews>
  <sheetFormatPr defaultRowHeight="15" x14ac:dyDescent="0.25"/>
  <cols>
    <col min="2" max="2" width="38.28515625" customWidth="1"/>
    <col min="3" max="3" width="16.5703125" customWidth="1"/>
    <col min="4" max="4" width="15" customWidth="1"/>
    <col min="5" max="5" width="77.28515625" customWidth="1"/>
  </cols>
  <sheetData>
    <row r="1" spans="1:21" ht="35.450000000000003" customHeight="1" x14ac:dyDescent="0.25">
      <c r="A1" s="374" t="s">
        <v>136</v>
      </c>
      <c r="B1" s="374"/>
      <c r="C1" s="374"/>
      <c r="D1" s="374"/>
      <c r="E1" s="374"/>
      <c r="F1" s="80"/>
      <c r="G1" s="80"/>
      <c r="H1" s="80"/>
      <c r="I1" s="80"/>
      <c r="J1" s="80"/>
      <c r="K1" s="80"/>
      <c r="L1" s="80"/>
      <c r="M1" s="80"/>
      <c r="N1" s="80"/>
      <c r="O1" s="80"/>
      <c r="P1" s="80"/>
      <c r="Q1" s="80"/>
      <c r="R1" s="80"/>
      <c r="S1" s="80"/>
      <c r="T1" s="81"/>
      <c r="U1" s="80"/>
    </row>
    <row r="2" spans="1:21" x14ac:dyDescent="0.25">
      <c r="A2" s="12"/>
      <c r="B2" s="12"/>
      <c r="C2" s="12"/>
      <c r="D2" s="12"/>
      <c r="E2" s="104"/>
      <c r="F2" s="12"/>
    </row>
    <row r="3" spans="1:21" ht="15.75" x14ac:dyDescent="0.25">
      <c r="A3" s="12"/>
      <c r="B3" s="36" t="s">
        <v>155</v>
      </c>
      <c r="C3" s="12"/>
      <c r="D3" s="12"/>
      <c r="E3" s="104"/>
      <c r="F3" s="12"/>
    </row>
    <row r="4" spans="1:21" x14ac:dyDescent="0.25">
      <c r="A4" s="12"/>
      <c r="B4" s="12"/>
      <c r="C4" s="12"/>
      <c r="D4" s="12"/>
      <c r="E4" s="104"/>
      <c r="F4" s="12"/>
    </row>
    <row r="5" spans="1:21" ht="15.75" x14ac:dyDescent="0.25">
      <c r="A5" s="12"/>
      <c r="B5" s="39" t="s">
        <v>1298</v>
      </c>
      <c r="C5" s="12"/>
      <c r="D5" s="12"/>
      <c r="E5" s="12"/>
      <c r="F5" s="12"/>
    </row>
    <row r="6" spans="1:21" ht="15.75" thickBot="1" x14ac:dyDescent="0.3">
      <c r="A6" s="12"/>
      <c r="B6" s="12"/>
      <c r="C6" s="12"/>
      <c r="D6" s="12"/>
      <c r="E6" s="12"/>
      <c r="F6" s="12"/>
    </row>
    <row r="7" spans="1:21" x14ac:dyDescent="0.25">
      <c r="A7" s="12"/>
      <c r="B7" s="107" t="s">
        <v>143</v>
      </c>
      <c r="C7" s="375"/>
      <c r="D7" s="375"/>
      <c r="E7" s="376"/>
      <c r="F7" s="12"/>
    </row>
    <row r="8" spans="1:21" x14ac:dyDescent="0.25">
      <c r="A8" s="12"/>
      <c r="B8" s="113"/>
      <c r="C8" s="106" t="s">
        <v>132</v>
      </c>
      <c r="D8" s="106" t="s">
        <v>8</v>
      </c>
      <c r="E8" s="109" t="s">
        <v>147</v>
      </c>
      <c r="F8" s="12"/>
    </row>
    <row r="9" spans="1:21" x14ac:dyDescent="0.25">
      <c r="A9" s="12"/>
      <c r="B9" s="108" t="s">
        <v>137</v>
      </c>
      <c r="C9" s="117"/>
      <c r="D9" s="106" t="s">
        <v>142</v>
      </c>
      <c r="E9" s="228"/>
      <c r="F9" s="12"/>
    </row>
    <row r="10" spans="1:21" x14ac:dyDescent="0.25">
      <c r="A10" s="12"/>
      <c r="B10" s="108" t="s">
        <v>138</v>
      </c>
      <c r="C10" s="117"/>
      <c r="D10" s="106" t="s">
        <v>142</v>
      </c>
      <c r="E10" s="228"/>
      <c r="F10" s="12"/>
    </row>
    <row r="11" spans="1:21" x14ac:dyDescent="0.25">
      <c r="A11" s="12"/>
      <c r="B11" s="108" t="s">
        <v>1297</v>
      </c>
      <c r="C11" s="117"/>
      <c r="D11" s="106" t="s">
        <v>142</v>
      </c>
      <c r="E11" s="228"/>
      <c r="F11" s="12"/>
    </row>
    <row r="12" spans="1:21" ht="15.75" thickBot="1" x14ac:dyDescent="0.3">
      <c r="A12" s="12"/>
      <c r="B12" s="110" t="s">
        <v>144</v>
      </c>
      <c r="C12" s="123" t="e">
        <f>AVERAGE(C9:C11)</f>
        <v>#DIV/0!</v>
      </c>
      <c r="D12" s="111" t="s">
        <v>142</v>
      </c>
      <c r="E12" s="112" t="s">
        <v>158</v>
      </c>
      <c r="F12" s="12"/>
    </row>
    <row r="13" spans="1:21" x14ac:dyDescent="0.25">
      <c r="A13" s="12"/>
      <c r="B13" s="12"/>
      <c r="C13" s="12"/>
      <c r="D13" s="12"/>
      <c r="E13" s="12"/>
      <c r="F13" s="12"/>
    </row>
    <row r="14" spans="1:21" ht="15.75" thickBot="1" x14ac:dyDescent="0.3">
      <c r="A14" s="12"/>
      <c r="B14" s="12"/>
      <c r="C14" s="12"/>
      <c r="D14" s="12"/>
      <c r="E14" s="12"/>
      <c r="F14" s="12"/>
    </row>
    <row r="15" spans="1:21" x14ac:dyDescent="0.25">
      <c r="A15" s="12"/>
      <c r="B15" s="107" t="s">
        <v>146</v>
      </c>
      <c r="C15" s="375"/>
      <c r="D15" s="375"/>
      <c r="E15" s="376"/>
      <c r="F15" s="12"/>
    </row>
    <row r="16" spans="1:21" x14ac:dyDescent="0.25">
      <c r="A16" s="12"/>
      <c r="B16" s="108"/>
      <c r="C16" s="106" t="s">
        <v>132</v>
      </c>
      <c r="D16" s="106" t="s">
        <v>8</v>
      </c>
      <c r="E16" s="109" t="s">
        <v>147</v>
      </c>
      <c r="F16" s="12"/>
    </row>
    <row r="17" spans="1:6" x14ac:dyDescent="0.25">
      <c r="A17" s="12"/>
      <c r="B17" s="108" t="s">
        <v>139</v>
      </c>
      <c r="C17" s="118"/>
      <c r="D17" s="106" t="s">
        <v>0</v>
      </c>
      <c r="E17" s="228"/>
      <c r="F17" s="12"/>
    </row>
    <row r="18" spans="1:6" x14ac:dyDescent="0.25">
      <c r="A18" s="12"/>
      <c r="B18" s="108" t="s">
        <v>140</v>
      </c>
      <c r="C18" s="118"/>
      <c r="D18" s="106" t="s">
        <v>0</v>
      </c>
      <c r="E18" s="228"/>
      <c r="F18" s="12"/>
    </row>
    <row r="19" spans="1:6" x14ac:dyDescent="0.25">
      <c r="A19" s="12"/>
      <c r="B19" s="108" t="s">
        <v>141</v>
      </c>
      <c r="C19" s="118"/>
      <c r="D19" s="106" t="s">
        <v>0</v>
      </c>
      <c r="E19" s="228"/>
      <c r="F19" s="12"/>
    </row>
    <row r="20" spans="1:6" ht="15.75" thickBot="1" x14ac:dyDescent="0.3">
      <c r="A20" s="12"/>
      <c r="B20" s="110" t="s">
        <v>145</v>
      </c>
      <c r="C20" s="124" t="e">
        <f>AVERAGE(C17:C19)</f>
        <v>#DIV/0!</v>
      </c>
      <c r="D20" s="111" t="s">
        <v>0</v>
      </c>
      <c r="E20" s="112" t="s">
        <v>158</v>
      </c>
      <c r="F20" s="12"/>
    </row>
    <row r="21" spans="1:6" x14ac:dyDescent="0.25">
      <c r="A21" s="12"/>
      <c r="B21" s="12"/>
      <c r="C21" s="12"/>
      <c r="D21" s="12"/>
      <c r="E21" s="12"/>
      <c r="F21" s="12"/>
    </row>
    <row r="22" spans="1:6" ht="15.75" x14ac:dyDescent="0.25">
      <c r="A22" s="12"/>
      <c r="B22" s="39" t="s">
        <v>1310</v>
      </c>
      <c r="C22" s="12"/>
      <c r="D22" s="12"/>
      <c r="E22" s="12"/>
      <c r="F22" s="12"/>
    </row>
    <row r="23" spans="1:6" ht="15.75" thickBot="1" x14ac:dyDescent="0.3">
      <c r="A23" s="12"/>
      <c r="B23" s="105" t="s">
        <v>74</v>
      </c>
      <c r="C23" s="12"/>
      <c r="D23" s="12"/>
      <c r="E23" s="12"/>
      <c r="F23" s="12"/>
    </row>
    <row r="24" spans="1:6" x14ac:dyDescent="0.25">
      <c r="A24" s="12"/>
      <c r="B24" s="114"/>
      <c r="C24" s="115" t="s">
        <v>132</v>
      </c>
      <c r="D24" s="115" t="s">
        <v>8</v>
      </c>
      <c r="E24" s="116" t="s">
        <v>147</v>
      </c>
      <c r="F24" s="12"/>
    </row>
    <row r="25" spans="1:6" x14ac:dyDescent="0.25">
      <c r="A25" s="12"/>
      <c r="B25" s="113" t="s">
        <v>149</v>
      </c>
      <c r="C25" s="377"/>
      <c r="D25" s="377"/>
      <c r="E25" s="378"/>
      <c r="F25" s="12"/>
    </row>
    <row r="26" spans="1:6" x14ac:dyDescent="0.25">
      <c r="A26" s="12"/>
      <c r="B26" s="108" t="s">
        <v>139</v>
      </c>
      <c r="C26" s="118"/>
      <c r="D26" s="106" t="s">
        <v>0</v>
      </c>
      <c r="E26" s="228"/>
      <c r="F26" s="12"/>
    </row>
    <row r="27" spans="1:6" x14ac:dyDescent="0.25">
      <c r="A27" s="12"/>
      <c r="B27" s="108" t="s">
        <v>140</v>
      </c>
      <c r="C27" s="118"/>
      <c r="D27" s="106" t="s">
        <v>0</v>
      </c>
      <c r="E27" s="228"/>
      <c r="F27" s="12"/>
    </row>
    <row r="28" spans="1:6" x14ac:dyDescent="0.25">
      <c r="A28" s="12"/>
      <c r="B28" s="108" t="s">
        <v>141</v>
      </c>
      <c r="C28" s="118"/>
      <c r="D28" s="106" t="s">
        <v>0</v>
      </c>
      <c r="E28" s="228"/>
      <c r="F28" s="12"/>
    </row>
    <row r="29" spans="1:6" x14ac:dyDescent="0.25">
      <c r="A29" s="12"/>
      <c r="B29" s="108" t="s">
        <v>148</v>
      </c>
      <c r="C29" s="119" t="e">
        <f>AVERAGE(C26:C28)</f>
        <v>#DIV/0!</v>
      </c>
      <c r="D29" s="106" t="s">
        <v>0</v>
      </c>
      <c r="E29" s="109"/>
      <c r="F29" s="12"/>
    </row>
    <row r="30" spans="1:6" x14ac:dyDescent="0.25">
      <c r="A30" s="12"/>
      <c r="B30" s="108" t="s">
        <v>152</v>
      </c>
      <c r="C30" s="120"/>
      <c r="D30" s="106" t="s">
        <v>153</v>
      </c>
      <c r="E30" s="228"/>
      <c r="F30" s="12"/>
    </row>
    <row r="31" spans="1:6" x14ac:dyDescent="0.25">
      <c r="A31" s="12"/>
      <c r="B31" s="113" t="s">
        <v>150</v>
      </c>
      <c r="C31" s="377"/>
      <c r="D31" s="377"/>
      <c r="E31" s="378"/>
      <c r="F31" s="12"/>
    </row>
    <row r="32" spans="1:6" x14ac:dyDescent="0.25">
      <c r="A32" s="12"/>
      <c r="B32" s="108" t="s">
        <v>139</v>
      </c>
      <c r="C32" s="118"/>
      <c r="D32" s="106" t="s">
        <v>0</v>
      </c>
      <c r="E32" s="228"/>
      <c r="F32" s="12"/>
    </row>
    <row r="33" spans="1:6" x14ac:dyDescent="0.25">
      <c r="A33" s="12"/>
      <c r="B33" s="108" t="s">
        <v>140</v>
      </c>
      <c r="C33" s="118"/>
      <c r="D33" s="106" t="s">
        <v>0</v>
      </c>
      <c r="E33" s="228"/>
      <c r="F33" s="12"/>
    </row>
    <row r="34" spans="1:6" x14ac:dyDescent="0.25">
      <c r="A34" s="12"/>
      <c r="B34" s="108" t="s">
        <v>141</v>
      </c>
      <c r="C34" s="118"/>
      <c r="D34" s="106" t="s">
        <v>0</v>
      </c>
      <c r="E34" s="228"/>
      <c r="F34" s="12"/>
    </row>
    <row r="35" spans="1:6" x14ac:dyDescent="0.25">
      <c r="A35" s="12"/>
      <c r="B35" s="108" t="s">
        <v>148</v>
      </c>
      <c r="C35" s="119" t="e">
        <f>AVERAGE(C32:C34)</f>
        <v>#DIV/0!</v>
      </c>
      <c r="D35" s="106" t="s">
        <v>0</v>
      </c>
      <c r="E35" s="109"/>
      <c r="F35" s="12"/>
    </row>
    <row r="36" spans="1:6" x14ac:dyDescent="0.25">
      <c r="A36" s="12"/>
      <c r="B36" s="108" t="s">
        <v>157</v>
      </c>
      <c r="C36" s="120"/>
      <c r="D36" s="106" t="s">
        <v>153</v>
      </c>
      <c r="E36" s="228"/>
      <c r="F36" s="12"/>
    </row>
    <row r="37" spans="1:6" x14ac:dyDescent="0.25">
      <c r="A37" s="12"/>
      <c r="B37" s="113" t="s">
        <v>151</v>
      </c>
      <c r="C37" s="371"/>
      <c r="D37" s="372"/>
      <c r="E37" s="373"/>
      <c r="F37" s="12"/>
    </row>
    <row r="38" spans="1:6" x14ac:dyDescent="0.25">
      <c r="A38" s="12"/>
      <c r="B38" s="108" t="s">
        <v>139</v>
      </c>
      <c r="C38" s="118"/>
      <c r="D38" s="106" t="s">
        <v>0</v>
      </c>
      <c r="E38" s="228"/>
      <c r="F38" s="12"/>
    </row>
    <row r="39" spans="1:6" x14ac:dyDescent="0.25">
      <c r="A39" s="12"/>
      <c r="B39" s="108" t="s">
        <v>140</v>
      </c>
      <c r="C39" s="118"/>
      <c r="D39" s="106" t="s">
        <v>0</v>
      </c>
      <c r="E39" s="228"/>
      <c r="F39" s="12"/>
    </row>
    <row r="40" spans="1:6" x14ac:dyDescent="0.25">
      <c r="A40" s="12"/>
      <c r="B40" s="108" t="s">
        <v>141</v>
      </c>
      <c r="C40" s="118"/>
      <c r="D40" s="106" t="s">
        <v>0</v>
      </c>
      <c r="E40" s="228"/>
      <c r="F40" s="12"/>
    </row>
    <row r="41" spans="1:6" x14ac:dyDescent="0.25">
      <c r="A41" s="12"/>
      <c r="B41" s="108" t="s">
        <v>148</v>
      </c>
      <c r="C41" s="119" t="e">
        <f>AVERAGE(C38:C40)</f>
        <v>#DIV/0!</v>
      </c>
      <c r="D41" s="106" t="s">
        <v>0</v>
      </c>
      <c r="E41" s="109"/>
      <c r="F41" s="12"/>
    </row>
    <row r="42" spans="1:6" x14ac:dyDescent="0.25">
      <c r="A42" s="12"/>
      <c r="B42" s="108" t="s">
        <v>152</v>
      </c>
      <c r="C42" s="120"/>
      <c r="D42" s="106" t="s">
        <v>153</v>
      </c>
      <c r="E42" s="228"/>
      <c r="F42" s="12"/>
    </row>
    <row r="43" spans="1:6" ht="15.75" thickBot="1" x14ac:dyDescent="0.3">
      <c r="A43" s="12"/>
      <c r="B43" s="110" t="s">
        <v>154</v>
      </c>
      <c r="C43" s="121" t="e">
        <f>C29*C30/100+C35*C36/100+C41*C42/100</f>
        <v>#DIV/0!</v>
      </c>
      <c r="D43" s="111" t="s">
        <v>0</v>
      </c>
      <c r="E43" s="112" t="s">
        <v>158</v>
      </c>
      <c r="F43" s="12"/>
    </row>
    <row r="44" spans="1:6" x14ac:dyDescent="0.25">
      <c r="A44" s="12"/>
      <c r="B44" s="12"/>
      <c r="C44" s="12"/>
      <c r="D44" s="12"/>
      <c r="E44" s="12"/>
      <c r="F44" s="12"/>
    </row>
  </sheetData>
  <mergeCells count="6">
    <mergeCell ref="C37:E37"/>
    <mergeCell ref="A1:E1"/>
    <mergeCell ref="C7:E7"/>
    <mergeCell ref="C15:E15"/>
    <mergeCell ref="C25:E25"/>
    <mergeCell ref="C31:E3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26</vt:i4>
      </vt:variant>
      <vt:variant>
        <vt:lpstr>Именованные диапазоны</vt:lpstr>
      </vt:variant>
      <vt:variant>
        <vt:i4>3</vt:i4>
      </vt:variant>
    </vt:vector>
  </HeadingPairs>
  <TitlesOfParts>
    <vt:vector size="29" baseType="lpstr">
      <vt:lpstr>Оглавление</vt:lpstr>
      <vt:lpstr>Шаг 1. Основные исходные данные</vt:lpstr>
      <vt:lpstr>Шаг 2. Информационные</vt:lpstr>
      <vt:lpstr>Шаг 3. Содержательные</vt:lpstr>
      <vt:lpstr>Шаг 4. Издержки простоя, НП</vt:lpstr>
      <vt:lpstr>Шаг 5. Альтернативные</vt:lpstr>
      <vt:lpstr>Dict</vt:lpstr>
      <vt:lpstr>Приложение № 1 к св. отчету</vt:lpstr>
      <vt:lpstr>Дополнительные расчеты</vt:lpstr>
      <vt:lpstr>Сводные результаты оценки</vt:lpstr>
      <vt:lpstr>Выгрузка в сводный отчет</vt:lpstr>
      <vt:lpstr>DEPR Выгрузка в сводный отчет</vt:lpstr>
      <vt:lpstr>С0.Справочник типовых оценок</vt:lpstr>
      <vt:lpstr>С1.Типовые операции</vt:lpstr>
      <vt:lpstr>С2.Средняя стоимость часа</vt:lpstr>
      <vt:lpstr>С3.Оборудование - норматив срок</vt:lpstr>
      <vt:lpstr>С4.Оборудование - цены</vt:lpstr>
      <vt:lpstr>С5.Оборудование - обслуживание</vt:lpstr>
      <vt:lpstr>С6.Работы - цена</vt:lpstr>
      <vt:lpstr>С7.Объекты - кол-во всего</vt:lpstr>
      <vt:lpstr>В1.Группы действий</vt:lpstr>
      <vt:lpstr>В2.Расчет стоимости часа</vt:lpstr>
      <vt:lpstr>В3.Группы оборудования</vt:lpstr>
      <vt:lpstr>В4.Группы работ услуг</vt:lpstr>
      <vt:lpstr>B5.Сферы объектов</vt:lpstr>
      <vt:lpstr>Шаг 2. Типы издержек</vt:lpstr>
      <vt:lpstr>'Приложение № 1 к св. отчету'!sub_21001</vt:lpstr>
      <vt:lpstr>'С1.Типовые операции'!Размещение_информации_об_организации__продукции__услугах</vt:lpstr>
      <vt:lpstr>'С1.Типовые операции'!Размещение_информации_по_пожарной_безопасности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Олег</dc:creator>
  <cp:lastModifiedBy>Трифонова Анна Михайловна</cp:lastModifiedBy>
  <dcterms:created xsi:type="dcterms:W3CDTF">2023-07-24T21:56:23Z</dcterms:created>
  <dcterms:modified xsi:type="dcterms:W3CDTF">2025-04-15T19:48:40Z</dcterms:modified>
</cp:coreProperties>
</file>