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ichael\Desktop\models\"/>
    </mc:Choice>
  </mc:AlternateContent>
  <xr:revisionPtr revIDLastSave="0" documentId="13_ncr:1_{4284480E-AB3B-4728-A675-5984A231611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0" i="2" l="1"/>
  <c r="P50" i="2"/>
  <c r="G50" i="2"/>
  <c r="F50" i="2"/>
  <c r="E50" i="2"/>
  <c r="D50" i="2"/>
  <c r="O50" i="2"/>
  <c r="N50" i="2"/>
  <c r="M50" i="2"/>
  <c r="L50" i="2"/>
  <c r="K50" i="2"/>
  <c r="J50" i="2"/>
  <c r="I50" i="2"/>
  <c r="H50" i="2"/>
  <c r="R28" i="2"/>
  <c r="R27" i="2"/>
  <c r="C28" i="2"/>
  <c r="C27" i="2"/>
  <c r="E16" i="2"/>
  <c r="D16" i="2"/>
  <c r="C16" i="2"/>
  <c r="F16" i="2"/>
  <c r="E15" i="2"/>
  <c r="D15" i="2"/>
  <c r="C15" i="2"/>
  <c r="F15" i="2"/>
  <c r="E14" i="2"/>
  <c r="D14" i="2"/>
  <c r="C14" i="2"/>
  <c r="F14" i="2"/>
  <c r="E13" i="2"/>
  <c r="D13" i="2"/>
  <c r="C13" i="2"/>
  <c r="F13" i="2"/>
  <c r="G40" i="2"/>
  <c r="F40" i="2"/>
  <c r="E40" i="2"/>
  <c r="D40" i="2"/>
  <c r="C40" i="2"/>
  <c r="H40" i="2"/>
  <c r="G39" i="2"/>
  <c r="F39" i="2"/>
  <c r="E39" i="2"/>
  <c r="D39" i="2"/>
  <c r="C39" i="2"/>
  <c r="H39" i="2"/>
  <c r="G38" i="2"/>
  <c r="F38" i="2"/>
  <c r="E38" i="2"/>
  <c r="D38" i="2"/>
  <c r="C38" i="2"/>
  <c r="H38" i="2"/>
  <c r="G37" i="2"/>
  <c r="F37" i="2"/>
  <c r="E37" i="2"/>
  <c r="D37" i="2"/>
  <c r="C37" i="2"/>
  <c r="H37" i="2"/>
  <c r="O31" i="2"/>
  <c r="F28" i="2"/>
  <c r="F27" i="2"/>
  <c r="J28" i="2"/>
  <c r="J27" i="2"/>
  <c r="N28" i="2"/>
  <c r="N27" i="2"/>
  <c r="W1048576" i="2"/>
  <c r="V31" i="2"/>
  <c r="H41" i="2"/>
  <c r="E27" i="2"/>
  <c r="D27" i="2"/>
  <c r="I27" i="2"/>
  <c r="H27" i="2"/>
  <c r="G27" i="2"/>
  <c r="M27" i="2"/>
  <c r="L27" i="2"/>
  <c r="K27" i="2"/>
  <c r="Q27" i="2"/>
  <c r="P27" i="2"/>
  <c r="O27" i="2"/>
  <c r="S27" i="2"/>
  <c r="T27" i="2"/>
  <c r="G41" i="2"/>
  <c r="C41" i="2"/>
  <c r="D28" i="2"/>
  <c r="D41" i="2"/>
  <c r="I31" i="2"/>
  <c r="E28" i="2"/>
  <c r="I28" i="2"/>
  <c r="F18" i="2"/>
  <c r="F19" i="2" s="1"/>
  <c r="E18" i="2"/>
  <c r="E19" i="2" s="1"/>
  <c r="F10" i="2"/>
  <c r="I9" i="2"/>
  <c r="I10" i="2" s="1"/>
  <c r="S50" i="2"/>
  <c r="R50" i="2"/>
  <c r="T50" i="2"/>
  <c r="K31" i="2"/>
  <c r="K30" i="2" s="1"/>
  <c r="J31" i="2"/>
  <c r="J30" i="2" s="1"/>
  <c r="L10" i="2"/>
  <c r="N31" i="2"/>
  <c r="N30" i="2" s="1"/>
  <c r="Q31" i="2"/>
  <c r="Q30" i="2" s="1"/>
  <c r="J41" i="2"/>
  <c r="I41" i="2"/>
  <c r="I30" i="2"/>
  <c r="H30" i="2"/>
  <c r="G30" i="2"/>
  <c r="F30" i="2"/>
  <c r="E30" i="2"/>
  <c r="D30" i="2"/>
  <c r="C30" i="2"/>
  <c r="J18" i="2"/>
  <c r="J19" i="2" s="1"/>
  <c r="I18" i="2"/>
  <c r="I19" i="2" s="1"/>
  <c r="H18" i="2"/>
  <c r="H19" i="2" s="1"/>
  <c r="H28" i="2" s="1"/>
  <c r="G18" i="2"/>
  <c r="G19" i="2" s="1"/>
  <c r="G28" i="2" s="1"/>
  <c r="D18" i="2"/>
  <c r="D19" i="2" s="1"/>
  <c r="C18" i="2"/>
  <c r="C19" i="2" s="1"/>
  <c r="J10" i="2"/>
  <c r="H10" i="2"/>
  <c r="G10" i="2"/>
  <c r="E10" i="2"/>
  <c r="D10" i="2"/>
  <c r="C10" i="2"/>
  <c r="S17" i="2"/>
  <c r="S18" i="2" s="1"/>
  <c r="S41" i="2"/>
  <c r="R41" i="2"/>
  <c r="Q41" i="2"/>
  <c r="P41" i="2"/>
  <c r="O41" i="2"/>
  <c r="N41" i="2"/>
  <c r="V41" i="2"/>
  <c r="K41" i="2"/>
  <c r="T41" i="2"/>
  <c r="S30" i="2"/>
  <c r="R30" i="2"/>
  <c r="P30" i="2"/>
  <c r="O30" i="2"/>
  <c r="V30" i="2"/>
  <c r="T30" i="2"/>
  <c r="R18" i="2"/>
  <c r="R19" i="2" s="1"/>
  <c r="Q18" i="2"/>
  <c r="Q19" i="2" s="1"/>
  <c r="Q28" i="2" s="1"/>
  <c r="P18" i="2"/>
  <c r="O18" i="2"/>
  <c r="N18" i="2"/>
  <c r="M18" i="2"/>
  <c r="L18" i="2"/>
  <c r="L19" i="2" s="1"/>
  <c r="L28" i="2" s="1"/>
  <c r="K18" i="2"/>
  <c r="K19" i="2" s="1"/>
  <c r="K28" i="2" s="1"/>
  <c r="T18" i="2"/>
  <c r="S10" i="2"/>
  <c r="R10" i="2"/>
  <c r="Q10" i="2"/>
  <c r="P10" i="2"/>
  <c r="O10" i="2"/>
  <c r="N10" i="2"/>
  <c r="M10" i="2"/>
  <c r="K10" i="2"/>
  <c r="T10" i="2"/>
  <c r="N4" i="1"/>
  <c r="N7" i="1" s="1"/>
  <c r="M19" i="2" l="1"/>
  <c r="M28" i="2" s="1"/>
  <c r="S19" i="2"/>
  <c r="S28" i="2" s="1"/>
  <c r="T19" i="2"/>
  <c r="T28" i="2" s="1"/>
  <c r="P19" i="2"/>
  <c r="P28" i="2" s="1"/>
  <c r="N19" i="2"/>
  <c r="O19" i="2"/>
  <c r="O28" i="2" s="1"/>
</calcChain>
</file>

<file path=xl/sharedStrings.xml><?xml version="1.0" encoding="utf-8"?>
<sst xmlns="http://schemas.openxmlformats.org/spreadsheetml/2006/main" count="68" uniqueCount="63">
  <si>
    <t>Shares</t>
  </si>
  <si>
    <t>Price</t>
  </si>
  <si>
    <t>MC</t>
  </si>
  <si>
    <t>Cash</t>
  </si>
  <si>
    <t>Debt</t>
  </si>
  <si>
    <t>EV</t>
  </si>
  <si>
    <t>Q222</t>
  </si>
  <si>
    <t>Q221</t>
  </si>
  <si>
    <t>Q220</t>
  </si>
  <si>
    <t>Oil</t>
  </si>
  <si>
    <t>NGL</t>
  </si>
  <si>
    <t>Gas</t>
  </si>
  <si>
    <t>Other</t>
  </si>
  <si>
    <t>Chemical</t>
  </si>
  <si>
    <t>Midstream</t>
  </si>
  <si>
    <t>Eliminations</t>
  </si>
  <si>
    <t>Revenue</t>
  </si>
  <si>
    <t>Q120</t>
  </si>
  <si>
    <t>Q121</t>
  </si>
  <si>
    <t>Q122</t>
  </si>
  <si>
    <t>OpEx</t>
  </si>
  <si>
    <t>SG&amp;A</t>
  </si>
  <si>
    <t>Oil&amp;Gas OpEx</t>
  </si>
  <si>
    <t>Transport Costs</t>
  </si>
  <si>
    <t>Chemical COGS</t>
  </si>
  <si>
    <t>PreTax</t>
  </si>
  <si>
    <t>Taxes</t>
  </si>
  <si>
    <t>Net Income</t>
  </si>
  <si>
    <t>EPS</t>
  </si>
  <si>
    <t>Total Revenues</t>
  </si>
  <si>
    <t>Net Cash</t>
  </si>
  <si>
    <t>Trade Recievables</t>
  </si>
  <si>
    <t>Inventories</t>
  </si>
  <si>
    <t>Assets Held</t>
  </si>
  <si>
    <t>Total Current Assets</t>
  </si>
  <si>
    <t>Investments</t>
  </si>
  <si>
    <t>PPE</t>
  </si>
  <si>
    <t>Oil and Gas</t>
  </si>
  <si>
    <t>Corporate</t>
  </si>
  <si>
    <t>Total Assets</t>
  </si>
  <si>
    <t>AP</t>
  </si>
  <si>
    <t>SE</t>
  </si>
  <si>
    <t>L+SE</t>
  </si>
  <si>
    <t>Q421</t>
  </si>
  <si>
    <t>Q321</t>
  </si>
  <si>
    <t>Q420</t>
  </si>
  <si>
    <t>Q320</t>
  </si>
  <si>
    <t>Q322</t>
  </si>
  <si>
    <t>Q419</t>
  </si>
  <si>
    <t>Q319</t>
  </si>
  <si>
    <t>Q219</t>
  </si>
  <si>
    <t>Q119</t>
  </si>
  <si>
    <t>Q418</t>
  </si>
  <si>
    <t>Q318</t>
  </si>
  <si>
    <t>Q218</t>
  </si>
  <si>
    <t>Q118</t>
  </si>
  <si>
    <t>Net Cash Y/Y</t>
  </si>
  <si>
    <t>Tax Rate (%)</t>
  </si>
  <si>
    <t>Debt Y/Y</t>
  </si>
  <si>
    <t>Debt Q/Q</t>
  </si>
  <si>
    <t>Main</t>
  </si>
  <si>
    <t>PPE Y/Y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</si>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</sst>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iArial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2" fillId="0" borderId="0" xfId="0" applyFont="1"/>
    <xf numFmtId="14" fontId="2" fillId="0" borderId="0" xfId="0" applyNumberFormat="1" applyFont="1"/>
    <xf numFmtId="0" fontId="1" fillId="0" borderId="0" xfId="0" applyFont="1"/>
    <xf numFmtId="0" fontId="4" fillId="0" borderId="0" xfId="0" applyFont="1"/>
    <xf numFmtId="9" fontId="2" fillId="0" borderId="0" xfId="0" applyNumberFormat="1" applyFont="1"/>
    <xf numFmtId="0" fontId="6" fillId="0" borderId="0" xfId="1" applyFont="1"/>
    <xf numFmtId="3" fontId="2" fillId="0" borderId="0" xfId="0" applyNumberFormat="1" applyFont="1"/>
    <xf numFmtId="3" fontId="1" fillId="0" borderId="0" xfId="0" applyNumberFormat="1" applyFont="1"/>
    <xf numFmtId="2" fontId="2" fillId="0" borderId="0" xfId="0" applyNumberFormat="1" applyFon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617220</xdr:colOff>
      <xdr:row>0</xdr:row>
      <xdr:rowOff>76200</xdr:rowOff>
    </xdr:from>
    <xdr:to>
      <xdr:col>20</xdr:col>
      <xdr:colOff>0</xdr:colOff>
      <xdr:row>52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7E75EDC-2977-85A5-6988-DFE6C6D396FA}"/>
            </a:ext>
          </a:extLst>
        </xdr:cNvPr>
        <xdr:cNvCxnSpPr/>
      </xdr:nvCxnSpPr>
      <xdr:spPr>
        <a:xfrm flipH="1">
          <a:off x="12915900" y="76200"/>
          <a:ext cx="7620" cy="8755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2:N7"/>
  <sheetViews>
    <sheetView workbookViewId="0">
      <selection activeCell="N3" sqref="N3"/>
    </sheetView>
  </sheetViews>
  <sheetFormatPr defaultColWidth="9.109375" defaultRowHeight="13.2"/>
  <cols>
    <col min="1" max="2" width="9.109375" style="1"/>
    <col min="3" max="3" width="9.33203125" style="1" customWidth="1"/>
    <col min="4" max="16384" width="9.109375" style="1"/>
  </cols>
  <sheetData>
    <row r="2" spans="13:14">
      <c r="M2" s="1" t="s">
        <v>1</v>
      </c>
      <c r="N2" s="1">
        <v>63.51</v>
      </c>
    </row>
    <row r="3" spans="13:14">
      <c r="M3" s="1" t="s">
        <v>0</v>
      </c>
      <c r="N3" s="2">
        <v>931.49099999999999</v>
      </c>
    </row>
    <row r="4" spans="13:14">
      <c r="M4" s="1" t="s">
        <v>2</v>
      </c>
      <c r="N4" s="2">
        <f>N3*N2</f>
        <v>59158.993409999995</v>
      </c>
    </row>
    <row r="5" spans="13:14">
      <c r="M5" s="1" t="s">
        <v>3</v>
      </c>
      <c r="N5" s="2">
        <v>1362</v>
      </c>
    </row>
    <row r="6" spans="13:14">
      <c r="M6" s="1" t="s">
        <v>4</v>
      </c>
      <c r="N6" s="2">
        <v>21743</v>
      </c>
    </row>
    <row r="7" spans="13:14">
      <c r="M7" s="1" t="s">
        <v>5</v>
      </c>
      <c r="N7" s="2">
        <f>N4-N5+N6</f>
        <v>79539.993409999995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9DB0-8571-4B43-9BC5-196479CE57DE}">
  <dimension ref="A1:AK1048576"/>
  <sheetViews>
    <sheetView tabSelected="1" zoomScaleNormal="70" workbookViewId="0">
      <pane xSplit="2" ySplit="2" topLeftCell="C23" activePane="bottomRight" state="frozen"/>
      <selection pane="topRight" activeCell="C1" sqref="C1"/>
      <selection pane="bottomLeft" activeCell="A3" sqref="A3"/>
      <selection pane="bottomRight" activeCell="T52" sqref="T52"/>
    </sheetView>
  </sheetViews>
  <sheetFormatPr defaultColWidth="9.109375" defaultRowHeight="13.2"/>
  <cols>
    <col min="1" max="1" width="5" style="3" bestFit="1" customWidth="1"/>
    <col min="2" max="2" width="14.88671875" style="3" bestFit="1" customWidth="1"/>
    <col min="3" max="9" width="9.33203125" style="3" customWidth="1"/>
    <col min="10" max="10" width="10.109375" style="3" bestFit="1" customWidth="1"/>
    <col min="11" max="13" width="9.109375" style="3"/>
    <col min="14" max="14" width="10.109375" style="3" bestFit="1" customWidth="1"/>
    <col min="15" max="17" width="9.109375" style="3"/>
    <col min="18" max="18" width="10.109375" style="3" bestFit="1" customWidth="1"/>
    <col min="19" max="19" width="9.109375" style="3"/>
    <col min="20" max="20" width="9.109375" style="3" customWidth="1"/>
    <col min="21" max="24" width="9.109375" style="3"/>
    <col min="25" max="25" width="9.33203125" style="3" customWidth="1"/>
    <col min="26" max="16384" width="9.109375" style="3"/>
  </cols>
  <sheetData>
    <row r="1" spans="1:27">
      <c r="A1" s="8" t="s">
        <v>60</v>
      </c>
      <c r="C1" s="4">
        <v>43190</v>
      </c>
      <c r="D1" s="4">
        <v>43281</v>
      </c>
      <c r="E1" s="4">
        <v>43373</v>
      </c>
      <c r="G1" s="4">
        <v>43555</v>
      </c>
      <c r="H1" s="4">
        <v>43646</v>
      </c>
      <c r="I1" s="4">
        <v>43738</v>
      </c>
      <c r="J1" s="4">
        <v>43830</v>
      </c>
      <c r="K1" s="4">
        <v>43921</v>
      </c>
      <c r="L1" s="4">
        <v>44012</v>
      </c>
      <c r="M1" s="4">
        <v>44104</v>
      </c>
      <c r="N1" s="4">
        <v>44196</v>
      </c>
      <c r="O1" s="4">
        <v>44286</v>
      </c>
      <c r="P1" s="4">
        <v>44377</v>
      </c>
      <c r="Q1" s="4">
        <v>44469</v>
      </c>
      <c r="R1" s="4">
        <v>44561</v>
      </c>
      <c r="S1" s="4">
        <v>44651</v>
      </c>
      <c r="T1" s="4">
        <v>44742</v>
      </c>
      <c r="U1" s="4">
        <v>44469</v>
      </c>
    </row>
    <row r="2" spans="1:27">
      <c r="C2" s="5" t="s">
        <v>55</v>
      </c>
      <c r="D2" s="5" t="s">
        <v>54</v>
      </c>
      <c r="E2" s="5" t="s">
        <v>53</v>
      </c>
      <c r="F2" s="5" t="s">
        <v>52</v>
      </c>
      <c r="G2" s="5" t="s">
        <v>51</v>
      </c>
      <c r="H2" s="5" t="s">
        <v>50</v>
      </c>
      <c r="I2" s="5" t="s">
        <v>49</v>
      </c>
      <c r="J2" s="5" t="s">
        <v>48</v>
      </c>
      <c r="K2" s="3" t="s">
        <v>17</v>
      </c>
      <c r="L2" s="3" t="s">
        <v>8</v>
      </c>
      <c r="M2" s="5" t="s">
        <v>46</v>
      </c>
      <c r="N2" s="5" t="s">
        <v>45</v>
      </c>
      <c r="O2" s="3" t="s">
        <v>18</v>
      </c>
      <c r="P2" s="3" t="s">
        <v>7</v>
      </c>
      <c r="Q2" s="5" t="s">
        <v>44</v>
      </c>
      <c r="R2" s="5" t="s">
        <v>43</v>
      </c>
      <c r="S2" s="3" t="s">
        <v>19</v>
      </c>
      <c r="T2" s="3" t="s">
        <v>6</v>
      </c>
      <c r="U2" s="5" t="s">
        <v>47</v>
      </c>
    </row>
    <row r="3" spans="1:27">
      <c r="B3" s="3" t="s">
        <v>9</v>
      </c>
      <c r="C3" s="3">
        <v>2190</v>
      </c>
      <c r="D3" s="3">
        <v>2232</v>
      </c>
      <c r="E3" s="3">
        <v>2539</v>
      </c>
      <c r="F3" s="3">
        <v>2284</v>
      </c>
      <c r="G3" s="3">
        <v>2098</v>
      </c>
      <c r="H3" s="3">
        <v>2484</v>
      </c>
      <c r="I3" s="3">
        <v>3313</v>
      </c>
      <c r="J3" s="3">
        <v>4455</v>
      </c>
      <c r="K3" s="3">
        <v>3351</v>
      </c>
      <c r="L3" s="3">
        <v>1621</v>
      </c>
      <c r="M3" s="3">
        <v>2319</v>
      </c>
      <c r="N3" s="3">
        <v>2597</v>
      </c>
      <c r="O3" s="3">
        <v>3013</v>
      </c>
      <c r="P3" s="3">
        <v>3711</v>
      </c>
      <c r="Q3" s="3">
        <v>3822</v>
      </c>
      <c r="R3" s="3">
        <v>8395</v>
      </c>
      <c r="S3" s="3">
        <v>4799</v>
      </c>
      <c r="T3" s="3">
        <v>6040</v>
      </c>
      <c r="Y3" s="5"/>
    </row>
    <row r="4" spans="1:27">
      <c r="B4" s="3" t="s">
        <v>10</v>
      </c>
      <c r="C4" s="3">
        <v>140</v>
      </c>
      <c r="D4" s="3">
        <v>175</v>
      </c>
      <c r="E4" s="3">
        <v>216</v>
      </c>
      <c r="F4" s="3">
        <v>160</v>
      </c>
      <c r="G4" s="3">
        <v>143</v>
      </c>
      <c r="H4" s="3">
        <v>152</v>
      </c>
      <c r="I4" s="3">
        <v>240</v>
      </c>
      <c r="J4" s="3">
        <v>406</v>
      </c>
      <c r="K4" s="3">
        <v>268</v>
      </c>
      <c r="L4" s="3">
        <v>167</v>
      </c>
      <c r="M4" s="3">
        <v>305</v>
      </c>
      <c r="N4" s="3">
        <v>315</v>
      </c>
      <c r="O4" s="3">
        <v>436</v>
      </c>
      <c r="P4" s="3">
        <v>550</v>
      </c>
      <c r="Q4" s="3">
        <v>732</v>
      </c>
      <c r="R4" s="3">
        <v>3528</v>
      </c>
      <c r="S4" s="3">
        <v>760</v>
      </c>
      <c r="T4" s="3">
        <v>896</v>
      </c>
      <c r="Y4" s="5"/>
    </row>
    <row r="5" spans="1:27">
      <c r="B5" s="3" t="s">
        <v>11</v>
      </c>
      <c r="C5" s="3">
        <v>121</v>
      </c>
      <c r="D5" s="3">
        <v>118</v>
      </c>
      <c r="E5" s="3">
        <v>132</v>
      </c>
      <c r="F5" s="3">
        <v>124</v>
      </c>
      <c r="G5" s="3">
        <v>130</v>
      </c>
      <c r="H5" s="3">
        <v>89</v>
      </c>
      <c r="I5" s="3">
        <v>208</v>
      </c>
      <c r="J5" s="3">
        <v>336</v>
      </c>
      <c r="K5" s="3">
        <v>268</v>
      </c>
      <c r="L5" s="3">
        <v>224</v>
      </c>
      <c r="M5" s="3">
        <v>235</v>
      </c>
      <c r="N5" s="3">
        <v>259</v>
      </c>
      <c r="O5" s="3">
        <v>317</v>
      </c>
      <c r="P5" s="3">
        <v>387</v>
      </c>
      <c r="Q5" s="3">
        <v>475</v>
      </c>
      <c r="R5" s="3">
        <v>1584</v>
      </c>
      <c r="S5" s="3">
        <v>513</v>
      </c>
      <c r="T5" s="3">
        <v>754</v>
      </c>
      <c r="Y5" s="5"/>
    </row>
    <row r="6" spans="1:27">
      <c r="B6" s="3" t="s">
        <v>12</v>
      </c>
      <c r="C6" s="3">
        <v>3</v>
      </c>
      <c r="D6" s="3">
        <v>6</v>
      </c>
      <c r="E6" s="3">
        <v>2</v>
      </c>
      <c r="F6" s="3">
        <v>-1</v>
      </c>
      <c r="G6" s="3">
        <v>-20</v>
      </c>
      <c r="H6" s="3">
        <v>-7</v>
      </c>
      <c r="I6" s="3">
        <v>-15</v>
      </c>
      <c r="J6" s="3">
        <v>36</v>
      </c>
      <c r="K6" s="3">
        <v>11</v>
      </c>
      <c r="L6" s="3">
        <v>21</v>
      </c>
      <c r="M6" s="3">
        <v>23</v>
      </c>
      <c r="N6" s="3">
        <v>11</v>
      </c>
      <c r="O6" s="3">
        <v>-31</v>
      </c>
      <c r="P6" s="3">
        <v>24</v>
      </c>
      <c r="Q6" s="3">
        <v>27</v>
      </c>
      <c r="R6" s="3">
        <v>-20</v>
      </c>
      <c r="S6" s="3">
        <v>3</v>
      </c>
      <c r="T6" s="3">
        <v>6</v>
      </c>
      <c r="Y6" s="5"/>
    </row>
    <row r="7" spans="1:27">
      <c r="B7" s="3" t="s">
        <v>13</v>
      </c>
      <c r="C7" s="3">
        <v>1122</v>
      </c>
      <c r="D7" s="3">
        <v>1170</v>
      </c>
      <c r="E7" s="3">
        <v>1184</v>
      </c>
      <c r="F7" s="3">
        <v>1172</v>
      </c>
      <c r="G7" s="3">
        <v>1055</v>
      </c>
      <c r="H7" s="3">
        <v>993</v>
      </c>
      <c r="I7" s="3">
        <v>1061</v>
      </c>
      <c r="J7" s="3">
        <v>971</v>
      </c>
      <c r="K7" s="3">
        <v>961</v>
      </c>
      <c r="L7" s="3">
        <v>839</v>
      </c>
      <c r="M7" s="3">
        <v>939</v>
      </c>
      <c r="N7" s="3">
        <v>987</v>
      </c>
      <c r="O7" s="3">
        <v>1087</v>
      </c>
      <c r="P7" s="3">
        <v>1187</v>
      </c>
      <c r="Q7" s="3">
        <v>1395</v>
      </c>
      <c r="R7" s="3">
        <v>-2125</v>
      </c>
      <c r="S7" s="3">
        <v>1683</v>
      </c>
      <c r="T7" s="3">
        <v>1908</v>
      </c>
      <c r="Y7" s="5"/>
    </row>
    <row r="8" spans="1:27">
      <c r="B8" s="3" t="s">
        <v>14</v>
      </c>
      <c r="C8" s="3">
        <v>352</v>
      </c>
      <c r="D8" s="3">
        <v>357</v>
      </c>
      <c r="E8" s="3">
        <v>409</v>
      </c>
      <c r="F8" s="3">
        <v>283</v>
      </c>
      <c r="G8" s="3">
        <v>251</v>
      </c>
      <c r="H8" s="3">
        <v>225</v>
      </c>
      <c r="I8" s="3">
        <v>409</v>
      </c>
      <c r="J8" s="3">
        <v>1443</v>
      </c>
      <c r="K8" s="3">
        <v>387</v>
      </c>
      <c r="L8" s="3">
        <v>598</v>
      </c>
      <c r="M8" s="3">
        <v>379</v>
      </c>
      <c r="N8" s="3">
        <v>803</v>
      </c>
      <c r="O8" s="3">
        <v>628</v>
      </c>
      <c r="P8" s="3">
        <v>474</v>
      </c>
      <c r="Q8" s="3">
        <v>690</v>
      </c>
      <c r="R8" s="3">
        <v>-1535</v>
      </c>
      <c r="S8" s="3">
        <v>747</v>
      </c>
      <c r="T8" s="3">
        <v>1150</v>
      </c>
      <c r="Y8" s="5"/>
    </row>
    <row r="9" spans="1:27">
      <c r="B9" s="3" t="s">
        <v>15</v>
      </c>
      <c r="C9" s="3">
        <v>-234</v>
      </c>
      <c r="D9" s="3">
        <v>-227</v>
      </c>
      <c r="E9" s="3">
        <v>-225</v>
      </c>
      <c r="F9" s="3">
        <v>-244</v>
      </c>
      <c r="G9" s="3">
        <v>-222</v>
      </c>
      <c r="H9" s="3">
        <v>-205</v>
      </c>
      <c r="I9" s="3">
        <f>-368+383</f>
        <v>15</v>
      </c>
      <c r="J9" s="3">
        <v>-852</v>
      </c>
      <c r="K9" s="3">
        <v>-199</v>
      </c>
      <c r="L9" s="3">
        <v>-162</v>
      </c>
      <c r="M9" s="3">
        <v>-182</v>
      </c>
      <c r="N9" s="3">
        <v>-215</v>
      </c>
      <c r="O9" s="3">
        <v>-266</v>
      </c>
      <c r="P9" s="3">
        <v>-231</v>
      </c>
      <c r="Q9" s="3">
        <v>-261</v>
      </c>
      <c r="R9" s="3">
        <v>-336</v>
      </c>
      <c r="S9" s="3">
        <v>-292</v>
      </c>
      <c r="T9" s="3">
        <v>-403</v>
      </c>
      <c r="Y9" s="5"/>
    </row>
    <row r="10" spans="1:27" s="5" customFormat="1">
      <c r="B10" s="5" t="s">
        <v>16</v>
      </c>
      <c r="C10" s="5">
        <f t="shared" ref="C10" si="0">SUM(C3:C9)</f>
        <v>3694</v>
      </c>
      <c r="D10" s="5">
        <f t="shared" ref="D10:F10" si="1">SUM(D3:D9)</f>
        <v>3831</v>
      </c>
      <c r="E10" s="5">
        <f>SUM(E3:E9)</f>
        <v>4257</v>
      </c>
      <c r="F10" s="5">
        <f t="shared" si="1"/>
        <v>3778</v>
      </c>
      <c r="G10" s="5">
        <f t="shared" ref="G10" si="2">SUM(G3:G9)</f>
        <v>3435</v>
      </c>
      <c r="H10" s="5">
        <f t="shared" ref="H10" si="3">SUM(H3:H9)</f>
        <v>3731</v>
      </c>
      <c r="I10" s="5">
        <f t="shared" ref="I10" si="4">SUM(I3:I9)</f>
        <v>5231</v>
      </c>
      <c r="J10" s="5">
        <f t="shared" ref="J10" si="5">SUM(J3:J9)</f>
        <v>6795</v>
      </c>
      <c r="K10" s="5">
        <f t="shared" ref="K10:S10" si="6">SUM(K3:K9)</f>
        <v>5047</v>
      </c>
      <c r="L10" s="5">
        <f>SUM(L3:L9)</f>
        <v>3308</v>
      </c>
      <c r="M10" s="5">
        <f t="shared" si="6"/>
        <v>4018</v>
      </c>
      <c r="N10" s="5">
        <f t="shared" si="6"/>
        <v>4757</v>
      </c>
      <c r="O10" s="5">
        <f t="shared" si="6"/>
        <v>5184</v>
      </c>
      <c r="P10" s="5">
        <f t="shared" si="6"/>
        <v>6102</v>
      </c>
      <c r="Q10" s="5">
        <f t="shared" si="6"/>
        <v>6880</v>
      </c>
      <c r="R10" s="5">
        <f t="shared" si="6"/>
        <v>9491</v>
      </c>
      <c r="S10" s="5">
        <f t="shared" si="6"/>
        <v>8213</v>
      </c>
      <c r="T10" s="5">
        <f>SUM(T3:T9)</f>
        <v>10351</v>
      </c>
      <c r="W10" s="3"/>
    </row>
    <row r="11" spans="1:27" s="6" customFormat="1">
      <c r="B11" s="6" t="s">
        <v>29</v>
      </c>
      <c r="C11" s="6">
        <v>3825</v>
      </c>
      <c r="D11" s="6">
        <v>4131</v>
      </c>
      <c r="E11" s="6">
        <v>6176</v>
      </c>
      <c r="F11" s="6">
        <v>4802</v>
      </c>
      <c r="G11" s="6">
        <v>4089</v>
      </c>
      <c r="H11" s="6">
        <v>4476</v>
      </c>
      <c r="I11" s="6">
        <v>5871</v>
      </c>
      <c r="J11" s="6">
        <v>7314</v>
      </c>
      <c r="K11" s="6">
        <v>6451</v>
      </c>
      <c r="L11" s="6">
        <v>2976</v>
      </c>
      <c r="M11" s="6">
        <v>3283</v>
      </c>
      <c r="N11" s="6">
        <v>3551</v>
      </c>
      <c r="O11" s="6">
        <v>5479</v>
      </c>
      <c r="P11" s="6">
        <v>6010</v>
      </c>
      <c r="Q11" s="6">
        <v>6815</v>
      </c>
      <c r="R11" s="6">
        <v>8010</v>
      </c>
      <c r="S11" s="6">
        <v>8533</v>
      </c>
      <c r="T11" s="6">
        <v>10735</v>
      </c>
      <c r="W11" s="3"/>
      <c r="Y11" s="5"/>
      <c r="AA11" s="3"/>
    </row>
    <row r="12" spans="1:27" s="5" customFormat="1"/>
    <row r="13" spans="1:27">
      <c r="B13" s="5" t="s">
        <v>22</v>
      </c>
      <c r="C13" s="9">
        <f t="shared" ref="C13:F13" si="7">0.13*C17</f>
        <v>369.33000000000004</v>
      </c>
      <c r="D13" s="9">
        <f t="shared" si="7"/>
        <v>397.67</v>
      </c>
      <c r="E13" s="9">
        <f t="shared" si="7"/>
        <v>478.92</v>
      </c>
      <c r="F13" s="9">
        <f>0.13*F17</f>
        <v>529.49</v>
      </c>
      <c r="G13" s="3">
        <v>645</v>
      </c>
      <c r="H13" s="3">
        <v>717</v>
      </c>
      <c r="I13" s="3">
        <v>962</v>
      </c>
      <c r="J13" s="3">
        <v>958</v>
      </c>
      <c r="K13" s="3">
        <v>1046</v>
      </c>
      <c r="L13" s="3">
        <v>631</v>
      </c>
      <c r="M13" s="3">
        <v>626</v>
      </c>
      <c r="N13" s="3">
        <v>762</v>
      </c>
      <c r="O13" s="3">
        <v>776</v>
      </c>
      <c r="P13" s="3">
        <v>712</v>
      </c>
      <c r="Q13" s="3">
        <v>829</v>
      </c>
      <c r="R13" s="3">
        <v>843</v>
      </c>
      <c r="S13" s="3">
        <v>864</v>
      </c>
      <c r="T13" s="3">
        <v>1005</v>
      </c>
      <c r="Y13" s="5"/>
    </row>
    <row r="14" spans="1:27">
      <c r="B14" s="5" t="s">
        <v>23</v>
      </c>
      <c r="C14" s="10">
        <f t="shared" ref="C14:F14" si="8">C17*0.044</f>
        <v>125.00399999999999</v>
      </c>
      <c r="D14" s="10">
        <f t="shared" si="8"/>
        <v>134.596</v>
      </c>
      <c r="E14" s="10">
        <f t="shared" si="8"/>
        <v>162.096</v>
      </c>
      <c r="F14" s="10">
        <f>F17*0.044</f>
        <v>179.21199999999999</v>
      </c>
      <c r="G14" s="3">
        <v>31</v>
      </c>
      <c r="H14" s="3">
        <v>33</v>
      </c>
      <c r="I14" s="3">
        <v>217</v>
      </c>
      <c r="J14" s="3">
        <v>354</v>
      </c>
      <c r="K14" s="3">
        <v>558</v>
      </c>
      <c r="L14" s="3">
        <v>367</v>
      </c>
      <c r="M14" s="3">
        <v>343</v>
      </c>
      <c r="N14" s="3">
        <v>332</v>
      </c>
      <c r="O14" s="3">
        <v>329</v>
      </c>
      <c r="P14" s="3">
        <v>364</v>
      </c>
      <c r="Q14" s="3">
        <v>360</v>
      </c>
      <c r="R14" s="3">
        <v>366</v>
      </c>
      <c r="S14" s="3">
        <v>347</v>
      </c>
      <c r="T14" s="3">
        <v>364</v>
      </c>
      <c r="Y14" s="5"/>
    </row>
    <row r="15" spans="1:27">
      <c r="B15" s="5" t="s">
        <v>24</v>
      </c>
      <c r="C15" s="9">
        <f t="shared" ref="C15:F15" si="9">0.11*C17</f>
        <v>312.51</v>
      </c>
      <c r="D15" s="9">
        <f t="shared" si="9"/>
        <v>336.49</v>
      </c>
      <c r="E15" s="9">
        <f t="shared" si="9"/>
        <v>405.24</v>
      </c>
      <c r="F15" s="9">
        <f>0.11*F17</f>
        <v>448.03000000000003</v>
      </c>
      <c r="G15" s="3">
        <v>669</v>
      </c>
      <c r="H15" s="3">
        <v>636</v>
      </c>
      <c r="I15" s="3">
        <v>741</v>
      </c>
      <c r="J15" s="3">
        <v>745</v>
      </c>
      <c r="K15" s="3">
        <v>612</v>
      </c>
      <c r="L15" s="3">
        <v>577</v>
      </c>
      <c r="M15" s="3">
        <v>618</v>
      </c>
      <c r="N15" s="3">
        <v>601</v>
      </c>
      <c r="O15" s="3">
        <v>594</v>
      </c>
      <c r="P15" s="3">
        <v>676</v>
      </c>
      <c r="Q15" s="3">
        <v>731</v>
      </c>
      <c r="R15" s="3">
        <v>771</v>
      </c>
      <c r="S15" s="3">
        <v>818</v>
      </c>
      <c r="T15" s="3">
        <v>835</v>
      </c>
      <c r="Y15" s="5"/>
    </row>
    <row r="16" spans="1:27">
      <c r="B16" s="5" t="s">
        <v>21</v>
      </c>
      <c r="C16" s="10">
        <f t="shared" ref="C16:E16" si="10">0.04*C17</f>
        <v>113.64</v>
      </c>
      <c r="D16" s="10">
        <f t="shared" si="10"/>
        <v>122.36</v>
      </c>
      <c r="E16" s="10">
        <f t="shared" si="10"/>
        <v>147.36000000000001</v>
      </c>
      <c r="F16" s="10">
        <f>0.04*F17</f>
        <v>162.92000000000002</v>
      </c>
      <c r="G16" s="3">
        <v>140</v>
      </c>
      <c r="H16" s="3">
        <v>163</v>
      </c>
      <c r="I16" s="3">
        <v>242</v>
      </c>
      <c r="J16" s="3">
        <v>348</v>
      </c>
      <c r="K16" s="3">
        <v>260</v>
      </c>
      <c r="L16" s="3">
        <v>225</v>
      </c>
      <c r="M16" s="3">
        <v>166</v>
      </c>
      <c r="N16" s="3">
        <v>213</v>
      </c>
      <c r="O16" s="3">
        <v>558</v>
      </c>
      <c r="P16" s="3">
        <v>177</v>
      </c>
      <c r="Q16" s="3">
        <v>240</v>
      </c>
      <c r="R16" s="3">
        <v>-112</v>
      </c>
      <c r="S16" s="3">
        <v>196</v>
      </c>
      <c r="T16" s="3">
        <v>244</v>
      </c>
      <c r="Y16" s="5"/>
    </row>
    <row r="17" spans="2:37">
      <c r="B17" s="5" t="s">
        <v>20</v>
      </c>
      <c r="C17" s="3">
        <v>2841</v>
      </c>
      <c r="D17" s="3">
        <v>3059</v>
      </c>
      <c r="E17" s="3">
        <v>3684</v>
      </c>
      <c r="F17" s="3">
        <v>4073</v>
      </c>
      <c r="G17" s="3">
        <v>3306</v>
      </c>
      <c r="H17" s="3">
        <v>3632</v>
      </c>
      <c r="I17" s="3">
        <v>6563</v>
      </c>
      <c r="J17" s="3">
        <v>8501</v>
      </c>
      <c r="K17" s="3">
        <v>7828</v>
      </c>
      <c r="L17" s="3">
        <v>11277</v>
      </c>
      <c r="M17" s="3">
        <v>7552</v>
      </c>
      <c r="N17" s="3">
        <v>5256</v>
      </c>
      <c r="O17" s="3">
        <v>5684</v>
      </c>
      <c r="P17" s="3">
        <v>5823</v>
      </c>
      <c r="Q17" s="3">
        <v>5735</v>
      </c>
      <c r="R17" s="3">
        <v>6120</v>
      </c>
      <c r="S17" s="3">
        <f>5774-324</f>
        <v>5450</v>
      </c>
      <c r="T17" s="3">
        <v>6077</v>
      </c>
      <c r="Y17" s="5"/>
    </row>
    <row r="18" spans="2:37">
      <c r="B18" s="5" t="s">
        <v>25</v>
      </c>
      <c r="C18" s="3">
        <f t="shared" ref="C18" si="11">C11-C17</f>
        <v>984</v>
      </c>
      <c r="D18" s="3">
        <f t="shared" ref="D18:F18" si="12">D11-D17</f>
        <v>1072</v>
      </c>
      <c r="E18" s="3">
        <f>E11-E17</f>
        <v>2492</v>
      </c>
      <c r="F18" s="3">
        <f t="shared" si="12"/>
        <v>729</v>
      </c>
      <c r="G18" s="3">
        <f t="shared" ref="G18" si="13">G11-G17</f>
        <v>783</v>
      </c>
      <c r="H18" s="3">
        <f t="shared" ref="H18" si="14">H11-H17</f>
        <v>844</v>
      </c>
      <c r="I18" s="3">
        <f t="shared" ref="I18" si="15">I11-I17</f>
        <v>-692</v>
      </c>
      <c r="J18" s="3">
        <f t="shared" ref="J18" si="16">J11-J17</f>
        <v>-1187</v>
      </c>
      <c r="K18" s="3">
        <f t="shared" ref="K18:S18" si="17">K11-K17</f>
        <v>-1377</v>
      </c>
      <c r="L18" s="3">
        <f t="shared" si="17"/>
        <v>-8301</v>
      </c>
      <c r="M18" s="3">
        <f t="shared" si="17"/>
        <v>-4269</v>
      </c>
      <c r="N18" s="3">
        <f t="shared" si="17"/>
        <v>-1705</v>
      </c>
      <c r="O18" s="3">
        <f t="shared" si="17"/>
        <v>-205</v>
      </c>
      <c r="P18" s="3">
        <f t="shared" si="17"/>
        <v>187</v>
      </c>
      <c r="Q18" s="3">
        <f t="shared" si="17"/>
        <v>1080</v>
      </c>
      <c r="R18" s="3">
        <f t="shared" si="17"/>
        <v>1890</v>
      </c>
      <c r="S18" s="3">
        <f t="shared" si="17"/>
        <v>3083</v>
      </c>
      <c r="T18" s="3">
        <f>T11-T17</f>
        <v>4658</v>
      </c>
    </row>
    <row r="19" spans="2:37">
      <c r="B19" s="5" t="s">
        <v>26</v>
      </c>
      <c r="C19" s="3">
        <f t="shared" ref="C19" si="18">C18-C20</f>
        <v>276</v>
      </c>
      <c r="D19" s="3">
        <f t="shared" ref="D19:F19" si="19">D18-D20</f>
        <v>224</v>
      </c>
      <c r="E19" s="3">
        <f t="shared" ref="E19" si="20">E18-E20</f>
        <v>623</v>
      </c>
      <c r="F19" s="3">
        <f t="shared" si="19"/>
        <v>23</v>
      </c>
      <c r="G19" s="3">
        <f t="shared" ref="G19" si="21">G18-G20</f>
        <v>152</v>
      </c>
      <c r="H19" s="3">
        <f t="shared" ref="H19" si="22">H18-H20</f>
        <v>209</v>
      </c>
      <c r="I19" s="3">
        <f t="shared" ref="I19" si="23">I18-I20</f>
        <v>60</v>
      </c>
      <c r="J19" s="3">
        <f t="shared" ref="J19" si="24">J18-J20</f>
        <v>-151</v>
      </c>
      <c r="K19" s="3">
        <f t="shared" ref="K19:S19" si="25">K18-K20</f>
        <v>636</v>
      </c>
      <c r="L19" s="3">
        <f t="shared" si="25"/>
        <v>52</v>
      </c>
      <c r="M19" s="3">
        <f t="shared" si="25"/>
        <v>-694</v>
      </c>
      <c r="N19" s="3">
        <f t="shared" si="25"/>
        <v>-815</v>
      </c>
      <c r="O19" s="3">
        <f t="shared" si="25"/>
        <v>-59</v>
      </c>
      <c r="P19" s="3">
        <f t="shared" si="25"/>
        <v>44</v>
      </c>
      <c r="Q19" s="3">
        <f t="shared" si="25"/>
        <v>252</v>
      </c>
      <c r="R19" s="3">
        <f t="shared" si="25"/>
        <v>393</v>
      </c>
      <c r="S19" s="3">
        <f t="shared" si="25"/>
        <v>-1593</v>
      </c>
      <c r="T19" s="3">
        <f>T18-T20</f>
        <v>903</v>
      </c>
    </row>
    <row r="20" spans="2:37">
      <c r="B20" s="5" t="s">
        <v>27</v>
      </c>
      <c r="C20" s="3">
        <v>708</v>
      </c>
      <c r="D20" s="3">
        <v>848</v>
      </c>
      <c r="E20" s="3">
        <v>1869</v>
      </c>
      <c r="F20" s="3">
        <v>706</v>
      </c>
      <c r="G20" s="3">
        <v>631</v>
      </c>
      <c r="H20" s="3">
        <v>635</v>
      </c>
      <c r="I20" s="3">
        <v>-752</v>
      </c>
      <c r="J20" s="3">
        <v>-1036</v>
      </c>
      <c r="K20" s="3">
        <v>-2013</v>
      </c>
      <c r="L20" s="3">
        <v>-8353</v>
      </c>
      <c r="M20" s="3">
        <v>-3575</v>
      </c>
      <c r="N20" s="3">
        <v>-890</v>
      </c>
      <c r="O20" s="3">
        <v>-146</v>
      </c>
      <c r="P20" s="3">
        <v>143</v>
      </c>
      <c r="Q20" s="3">
        <v>828</v>
      </c>
      <c r="R20" s="3">
        <v>1497</v>
      </c>
      <c r="S20" s="3">
        <v>4676</v>
      </c>
      <c r="T20" s="3">
        <v>3755</v>
      </c>
      <c r="Y20" s="5"/>
    </row>
    <row r="21" spans="2:37">
      <c r="B21" s="5" t="s">
        <v>28</v>
      </c>
      <c r="C21" s="3">
        <v>0.92</v>
      </c>
      <c r="D21" s="11">
        <v>1.1000000000000001</v>
      </c>
      <c r="E21" s="3">
        <v>2.44</v>
      </c>
      <c r="F21" s="3">
        <v>0.94</v>
      </c>
      <c r="G21" s="3">
        <v>0.84</v>
      </c>
      <c r="H21" s="3">
        <v>0.84</v>
      </c>
      <c r="I21" s="3">
        <v>-1.06</v>
      </c>
      <c r="J21" s="3">
        <v>-1.82</v>
      </c>
      <c r="K21" s="3">
        <v>-2.4900000000000002</v>
      </c>
      <c r="L21" s="3">
        <v>-7.58</v>
      </c>
      <c r="M21" s="3">
        <v>-4.16</v>
      </c>
      <c r="N21" s="3">
        <v>-1.42</v>
      </c>
      <c r="O21" s="3">
        <v>-0.36</v>
      </c>
      <c r="P21" s="3">
        <v>-0.11</v>
      </c>
      <c r="Q21" s="3">
        <v>0.67</v>
      </c>
      <c r="R21" s="3">
        <v>1.86</v>
      </c>
      <c r="S21" s="3">
        <v>4.6500000000000004</v>
      </c>
      <c r="T21" s="3">
        <v>3.76</v>
      </c>
      <c r="Y21" s="5"/>
    </row>
    <row r="22" spans="2:37">
      <c r="B22" s="5" t="s">
        <v>0</v>
      </c>
      <c r="C22" s="3">
        <v>765</v>
      </c>
      <c r="D22" s="3">
        <v>764</v>
      </c>
      <c r="E22" s="3">
        <v>755</v>
      </c>
      <c r="F22" s="3">
        <v>749</v>
      </c>
      <c r="G22" s="3">
        <v>747</v>
      </c>
      <c r="H22" s="3">
        <v>748</v>
      </c>
      <c r="I22" s="3">
        <v>893</v>
      </c>
      <c r="J22" s="3">
        <v>895</v>
      </c>
      <c r="K22" s="3">
        <v>900</v>
      </c>
      <c r="L22" s="3">
        <v>930</v>
      </c>
      <c r="M22" s="3">
        <v>931</v>
      </c>
      <c r="N22" s="3">
        <v>931</v>
      </c>
      <c r="O22" s="3">
        <v>933</v>
      </c>
      <c r="R22" s="3">
        <v>934</v>
      </c>
      <c r="T22" s="3">
        <v>931</v>
      </c>
    </row>
    <row r="23" spans="2:37">
      <c r="B23" s="5"/>
    </row>
    <row r="24" spans="2:37">
      <c r="B24" s="5"/>
    </row>
    <row r="25" spans="2:37">
      <c r="B25" s="5"/>
    </row>
    <row r="26" spans="2:37">
      <c r="B26" s="5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2:37">
      <c r="B27" s="5" t="s">
        <v>62</v>
      </c>
      <c r="C27" s="7">
        <f t="shared" ref="C27" si="26">C18/C11</f>
        <v>0.25725490196078432</v>
      </c>
      <c r="D27" s="7">
        <f t="shared" ref="D27:F27" si="27">D18/D11</f>
        <v>0.25950133139675624</v>
      </c>
      <c r="E27" s="7">
        <f t="shared" si="27"/>
        <v>0.40349740932642486</v>
      </c>
      <c r="F27" s="7">
        <f t="shared" si="27"/>
        <v>0.15181174510620574</v>
      </c>
      <c r="G27" s="7">
        <f t="shared" ref="G27:J27" si="28">G18/G11</f>
        <v>0.19148936170212766</v>
      </c>
      <c r="H27" s="7">
        <f t="shared" si="28"/>
        <v>0.18856121537086684</v>
      </c>
      <c r="I27" s="7">
        <f t="shared" si="28"/>
        <v>-0.11786748424459206</v>
      </c>
      <c r="J27" s="7">
        <f t="shared" si="28"/>
        <v>-0.16229149576155319</v>
      </c>
      <c r="K27" s="7">
        <f t="shared" ref="K27:N27" si="29">K18/K11</f>
        <v>-0.2134552782514339</v>
      </c>
      <c r="L27" s="7">
        <f t="shared" si="29"/>
        <v>-2.7893145161290325</v>
      </c>
      <c r="M27" s="7">
        <f t="shared" si="29"/>
        <v>-1.300335059396893</v>
      </c>
      <c r="N27" s="7">
        <f t="shared" si="29"/>
        <v>-0.48014643762320475</v>
      </c>
      <c r="O27" s="7">
        <f t="shared" ref="O27:Q27" si="30">O18/O11</f>
        <v>-3.7415586785909838E-2</v>
      </c>
      <c r="P27" s="7">
        <f t="shared" si="30"/>
        <v>3.1114808652246258E-2</v>
      </c>
      <c r="Q27" s="7">
        <f t="shared" si="30"/>
        <v>0.15847395451210564</v>
      </c>
      <c r="R27" s="7">
        <f t="shared" ref="R27" si="31">R18/R11</f>
        <v>0.23595505617977527</v>
      </c>
      <c r="S27" s="7">
        <f t="shared" ref="S27" si="32">S18/S11</f>
        <v>0.3613031759053088</v>
      </c>
      <c r="T27" s="7">
        <f>T18/T11</f>
        <v>0.43390777829529575</v>
      </c>
    </row>
    <row r="28" spans="2:37">
      <c r="B28" s="5" t="s">
        <v>57</v>
      </c>
      <c r="C28" s="7">
        <f t="shared" ref="C28" si="33">C19/C18</f>
        <v>0.28048780487804881</v>
      </c>
      <c r="D28" s="7">
        <f t="shared" ref="D28:J28" si="34">D19/D18</f>
        <v>0.20895522388059701</v>
      </c>
      <c r="E28" s="7">
        <f t="shared" si="34"/>
        <v>0.25</v>
      </c>
      <c r="F28" s="7">
        <f t="shared" si="34"/>
        <v>3.1550068587105622E-2</v>
      </c>
      <c r="G28" s="7">
        <f t="shared" si="34"/>
        <v>0.19412515964240101</v>
      </c>
      <c r="H28" s="7">
        <f t="shared" ref="H28" si="35">H19/H18</f>
        <v>0.24763033175355451</v>
      </c>
      <c r="I28" s="7">
        <f t="shared" si="34"/>
        <v>-8.6705202312138727E-2</v>
      </c>
      <c r="J28" s="7">
        <f t="shared" si="34"/>
        <v>0.12721145745577084</v>
      </c>
      <c r="K28" s="7">
        <f t="shared" ref="K28:S28" si="36">K19/K18</f>
        <v>-0.46187363834422657</v>
      </c>
      <c r="L28" s="7">
        <f t="shared" si="36"/>
        <v>-6.2643055053607996E-3</v>
      </c>
      <c r="M28" s="7">
        <f t="shared" si="36"/>
        <v>0.16256734598266573</v>
      </c>
      <c r="N28" s="7">
        <f t="shared" ref="N28" si="37">N19/N18</f>
        <v>0.47800586510263932</v>
      </c>
      <c r="O28" s="7">
        <f t="shared" si="36"/>
        <v>0.28780487804878047</v>
      </c>
      <c r="P28" s="7">
        <f t="shared" si="36"/>
        <v>0.23529411764705882</v>
      </c>
      <c r="Q28" s="7">
        <f t="shared" si="36"/>
        <v>0.23333333333333334</v>
      </c>
      <c r="R28" s="7">
        <f t="shared" ref="R28" si="38">R19/R18</f>
        <v>0.20793650793650795</v>
      </c>
      <c r="S28" s="7">
        <f t="shared" si="36"/>
        <v>-0.51670450859552386</v>
      </c>
      <c r="T28" s="7">
        <f>T19/T18</f>
        <v>0.19386002576212966</v>
      </c>
    </row>
    <row r="30" spans="2:37">
      <c r="B30" s="5" t="s">
        <v>30</v>
      </c>
      <c r="C30" s="9">
        <f t="shared" ref="C30" si="39">C31-C44</f>
        <v>-8703</v>
      </c>
      <c r="D30" s="9">
        <f t="shared" ref="D30" si="40">D31-D44</f>
        <v>-8950</v>
      </c>
      <c r="E30" s="9">
        <f t="shared" ref="E30" si="41">E31-E44</f>
        <v>-7244</v>
      </c>
      <c r="F30" s="9">
        <f t="shared" ref="F30" si="42">F31-F44</f>
        <v>-7168</v>
      </c>
      <c r="G30" s="9">
        <f t="shared" ref="G30" si="43">G31-G44</f>
        <v>-8451</v>
      </c>
      <c r="H30" s="9">
        <f t="shared" ref="H30" si="44">H31-H44</f>
        <v>-8404</v>
      </c>
      <c r="I30" s="9">
        <f t="shared" ref="I30" si="45">I31-I44</f>
        <v>-42289</v>
      </c>
      <c r="J30" s="9">
        <f t="shared" ref="J30" si="46">J31-J44</f>
        <v>-35020</v>
      </c>
      <c r="K30" s="9">
        <f t="shared" ref="K30:S30" si="47">K31-K44</f>
        <v>-33795</v>
      </c>
      <c r="M30" s="9"/>
      <c r="N30" s="9">
        <f t="shared" si="47"/>
        <v>-33567</v>
      </c>
      <c r="O30" s="9">
        <f t="shared" si="47"/>
        <v>-33013</v>
      </c>
      <c r="P30" s="9">
        <f t="shared" si="47"/>
        <v>0</v>
      </c>
      <c r="Q30" s="9">
        <f t="shared" si="47"/>
        <v>-28636</v>
      </c>
      <c r="R30" s="9">
        <f t="shared" si="47"/>
        <v>-26667</v>
      </c>
      <c r="S30" s="9">
        <f t="shared" si="47"/>
        <v>-23956</v>
      </c>
      <c r="T30" s="9">
        <f>T31-T44</f>
        <v>-20381</v>
      </c>
      <c r="V30" s="9">
        <f>V31-V44</f>
        <v>-34899</v>
      </c>
    </row>
    <row r="31" spans="2:37">
      <c r="B31" s="5" t="s">
        <v>3</v>
      </c>
      <c r="C31" s="9">
        <v>1606</v>
      </c>
      <c r="D31" s="9">
        <v>1362</v>
      </c>
      <c r="E31" s="9">
        <v>2954</v>
      </c>
      <c r="F31" s="9">
        <v>3033</v>
      </c>
      <c r="G31" s="9">
        <v>1752</v>
      </c>
      <c r="H31" s="9">
        <v>1751</v>
      </c>
      <c r="I31" s="9">
        <f>4840+454</f>
        <v>5294</v>
      </c>
      <c r="J31" s="9">
        <f>3032+485</f>
        <v>3517</v>
      </c>
      <c r="K31" s="9">
        <f>2021+242</f>
        <v>2263</v>
      </c>
      <c r="M31" s="9"/>
      <c r="N31" s="9">
        <f>2008+170</f>
        <v>2178</v>
      </c>
      <c r="O31" s="9">
        <f>2270+183</f>
        <v>2453</v>
      </c>
      <c r="P31" s="9"/>
      <c r="Q31" s="9">
        <f>2059+220</f>
        <v>2279</v>
      </c>
      <c r="R31" s="9">
        <v>2764</v>
      </c>
      <c r="S31" s="9">
        <v>1909</v>
      </c>
      <c r="T31" s="9">
        <v>1362</v>
      </c>
      <c r="V31" s="10">
        <f>1011+124</f>
        <v>1135</v>
      </c>
    </row>
    <row r="32" spans="2:37">
      <c r="B32" s="5" t="s">
        <v>31</v>
      </c>
      <c r="C32" s="9">
        <v>5184</v>
      </c>
      <c r="D32" s="9">
        <v>5521</v>
      </c>
      <c r="E32" s="9">
        <v>6000</v>
      </c>
      <c r="F32" s="9">
        <v>4893</v>
      </c>
      <c r="G32" s="9">
        <v>5310</v>
      </c>
      <c r="H32" s="9">
        <v>5273</v>
      </c>
      <c r="I32" s="9">
        <v>5854</v>
      </c>
      <c r="J32" s="9">
        <v>6373</v>
      </c>
      <c r="K32" s="9">
        <v>2458</v>
      </c>
      <c r="M32" s="9"/>
      <c r="N32" s="9">
        <v>2115</v>
      </c>
      <c r="O32" s="9">
        <v>3046</v>
      </c>
      <c r="P32" s="9"/>
      <c r="Q32" s="9">
        <v>3477</v>
      </c>
      <c r="R32" s="9">
        <v>4208</v>
      </c>
      <c r="S32" s="9">
        <v>5434</v>
      </c>
      <c r="T32" s="9">
        <v>6350</v>
      </c>
      <c r="V32" s="9">
        <v>2359</v>
      </c>
    </row>
    <row r="33" spans="2:22">
      <c r="B33" s="5" t="s">
        <v>32</v>
      </c>
      <c r="C33" s="9">
        <v>1057</v>
      </c>
      <c r="D33" s="9">
        <v>1347</v>
      </c>
      <c r="E33" s="9">
        <v>1009</v>
      </c>
      <c r="F33" s="9">
        <v>1260</v>
      </c>
      <c r="G33" s="9">
        <v>1484</v>
      </c>
      <c r="H33" s="9">
        <v>1582</v>
      </c>
      <c r="I33" s="9">
        <v>1601</v>
      </c>
      <c r="J33" s="9">
        <v>1581</v>
      </c>
      <c r="K33" s="9">
        <v>1436</v>
      </c>
      <c r="M33" s="9"/>
      <c r="N33" s="9">
        <v>1898</v>
      </c>
      <c r="O33" s="9">
        <v>2173</v>
      </c>
      <c r="P33" s="9"/>
      <c r="Q33" s="9">
        <v>1773</v>
      </c>
      <c r="R33" s="9">
        <v>1846</v>
      </c>
      <c r="S33" s="9">
        <v>1406</v>
      </c>
      <c r="T33" s="9">
        <v>1564</v>
      </c>
      <c r="V33" s="9">
        <v>1477</v>
      </c>
    </row>
    <row r="34" spans="2:22">
      <c r="B34" s="5" t="s">
        <v>33</v>
      </c>
      <c r="C34" s="9">
        <v>335</v>
      </c>
      <c r="D34" s="9">
        <v>1664</v>
      </c>
      <c r="E34" s="9">
        <v>0</v>
      </c>
      <c r="F34" s="9">
        <v>0</v>
      </c>
      <c r="G34" s="9">
        <v>0</v>
      </c>
      <c r="H34" s="9">
        <v>0</v>
      </c>
      <c r="I34" s="9">
        <v>6445</v>
      </c>
      <c r="J34" s="9">
        <v>3870</v>
      </c>
      <c r="K34" s="9">
        <v>5732</v>
      </c>
      <c r="M34" s="9"/>
      <c r="N34" s="9">
        <v>1433</v>
      </c>
      <c r="O34" s="9">
        <v>1249</v>
      </c>
      <c r="P34" s="9"/>
      <c r="Q34" s="9">
        <v>1098</v>
      </c>
      <c r="R34" s="9">
        <v>72</v>
      </c>
      <c r="S34" s="9">
        <v>0</v>
      </c>
      <c r="T34" s="9">
        <v>0</v>
      </c>
      <c r="V34" s="9">
        <v>1412</v>
      </c>
    </row>
    <row r="35" spans="2:22">
      <c r="B35" s="5" t="s">
        <v>34</v>
      </c>
      <c r="C35" s="9">
        <v>8894</v>
      </c>
      <c r="D35" s="9">
        <v>10990</v>
      </c>
      <c r="E35" s="9">
        <v>11112</v>
      </c>
      <c r="F35" s="9">
        <v>9932</v>
      </c>
      <c r="G35" s="9">
        <v>9270</v>
      </c>
      <c r="H35" s="9">
        <v>9425</v>
      </c>
      <c r="I35" s="9">
        <v>20944</v>
      </c>
      <c r="J35" s="9">
        <v>16773</v>
      </c>
      <c r="K35" s="9">
        <v>14109</v>
      </c>
      <c r="M35" s="9"/>
      <c r="N35" s="9">
        <v>8819</v>
      </c>
      <c r="O35" s="9">
        <v>10074</v>
      </c>
      <c r="P35" s="9"/>
      <c r="Q35" s="9">
        <v>9899</v>
      </c>
      <c r="R35" s="9">
        <v>10211</v>
      </c>
      <c r="S35" s="9">
        <v>10058</v>
      </c>
      <c r="T35" s="9">
        <v>10408</v>
      </c>
      <c r="V35" s="9">
        <v>8437</v>
      </c>
    </row>
    <row r="36" spans="2:22">
      <c r="B36" s="5" t="s">
        <v>35</v>
      </c>
      <c r="C36" s="9">
        <v>1509</v>
      </c>
      <c r="D36" s="9">
        <v>1551</v>
      </c>
      <c r="E36" s="9">
        <v>1568</v>
      </c>
      <c r="F36" s="9">
        <v>1670</v>
      </c>
      <c r="G36" s="9">
        <v>1725</v>
      </c>
      <c r="H36" s="9">
        <v>1777</v>
      </c>
      <c r="I36" s="9">
        <v>3684</v>
      </c>
      <c r="J36" s="9">
        <v>6389</v>
      </c>
      <c r="K36" s="9">
        <v>6050</v>
      </c>
      <c r="M36" s="9"/>
      <c r="N36" s="9">
        <v>3250</v>
      </c>
      <c r="O36" s="9">
        <v>3170</v>
      </c>
      <c r="P36" s="9"/>
      <c r="Q36" s="9">
        <v>3266</v>
      </c>
      <c r="R36" s="9">
        <v>2938</v>
      </c>
      <c r="S36" s="9">
        <v>3015</v>
      </c>
      <c r="T36" s="9">
        <v>3328</v>
      </c>
      <c r="V36" s="9">
        <v>6128</v>
      </c>
    </row>
    <row r="37" spans="2:22">
      <c r="B37" s="5" t="s">
        <v>37</v>
      </c>
      <c r="C37" s="9">
        <f t="shared" ref="C37:G37" si="48">0.84*C41</f>
        <v>59860.079999999994</v>
      </c>
      <c r="D37" s="9">
        <f t="shared" si="48"/>
        <v>59819.759999999995</v>
      </c>
      <c r="E37" s="9">
        <f t="shared" si="48"/>
        <v>61303.199999999997</v>
      </c>
      <c r="F37" s="9">
        <f t="shared" si="48"/>
        <v>62496</v>
      </c>
      <c r="G37" s="9">
        <f t="shared" si="48"/>
        <v>63682.92</v>
      </c>
      <c r="H37" s="9">
        <f>0.84*H41</f>
        <v>64683.360000000001</v>
      </c>
      <c r="I37" s="9">
        <v>110668</v>
      </c>
      <c r="J37" s="9">
        <v>107801</v>
      </c>
      <c r="K37" s="9">
        <v>107014</v>
      </c>
      <c r="M37" s="9"/>
      <c r="N37" s="9">
        <v>102454</v>
      </c>
      <c r="O37" s="9">
        <v>102718</v>
      </c>
      <c r="P37" s="9"/>
      <c r="Q37" s="9">
        <v>100483</v>
      </c>
      <c r="R37" s="9">
        <v>101251</v>
      </c>
      <c r="S37" s="9">
        <v>101511</v>
      </c>
      <c r="T37" s="9">
        <v>102122</v>
      </c>
      <c r="V37" s="9">
        <v>109026</v>
      </c>
    </row>
    <row r="38" spans="2:22">
      <c r="B38" s="5" t="s">
        <v>13</v>
      </c>
      <c r="C38" s="9">
        <f t="shared" ref="C38:G38" si="49">0.06*C41</f>
        <v>4275.72</v>
      </c>
      <c r="D38" s="9">
        <f t="shared" si="49"/>
        <v>4272.84</v>
      </c>
      <c r="E38" s="9">
        <f t="shared" si="49"/>
        <v>4378.8</v>
      </c>
      <c r="F38" s="9">
        <f t="shared" si="49"/>
        <v>4464</v>
      </c>
      <c r="G38" s="9">
        <f t="shared" si="49"/>
        <v>4548.78</v>
      </c>
      <c r="H38" s="9">
        <f>0.06*H41</f>
        <v>4620.24</v>
      </c>
      <c r="I38" s="9">
        <v>7092</v>
      </c>
      <c r="J38" s="9">
        <v>7172</v>
      </c>
      <c r="K38" s="9">
        <v>7187</v>
      </c>
      <c r="M38" s="9"/>
      <c r="N38" s="9">
        <v>7356</v>
      </c>
      <c r="O38" s="9">
        <v>7387</v>
      </c>
      <c r="P38" s="9"/>
      <c r="Q38" s="9">
        <v>7468</v>
      </c>
      <c r="R38" s="9">
        <v>7571</v>
      </c>
      <c r="S38" s="9">
        <v>7588</v>
      </c>
      <c r="T38" s="9">
        <v>7629</v>
      </c>
      <c r="V38" s="9">
        <v>7204</v>
      </c>
    </row>
    <row r="39" spans="2:22">
      <c r="B39" s="5" t="s">
        <v>14</v>
      </c>
      <c r="C39" s="9">
        <f t="shared" ref="C39:G39" si="50">0.07*C41</f>
        <v>4988.34</v>
      </c>
      <c r="D39" s="9">
        <f t="shared" si="50"/>
        <v>4984.9800000000005</v>
      </c>
      <c r="E39" s="9">
        <f t="shared" si="50"/>
        <v>5108.6000000000004</v>
      </c>
      <c r="F39" s="9">
        <f t="shared" si="50"/>
        <v>5208.0000000000009</v>
      </c>
      <c r="G39" s="9">
        <f t="shared" si="50"/>
        <v>5306.9100000000008</v>
      </c>
      <c r="H39" s="9">
        <f>0.07*H41</f>
        <v>5390.2800000000007</v>
      </c>
      <c r="I39" s="9">
        <v>8133</v>
      </c>
      <c r="J39" s="9">
        <v>8176</v>
      </c>
      <c r="K39" s="9">
        <v>8189</v>
      </c>
      <c r="M39" s="9"/>
      <c r="N39" s="9">
        <v>8232</v>
      </c>
      <c r="O39" s="9">
        <v>8249</v>
      </c>
      <c r="P39" s="9"/>
      <c r="Q39" s="9">
        <v>8304</v>
      </c>
      <c r="R39" s="9">
        <v>8371</v>
      </c>
      <c r="S39" s="9">
        <v>7483</v>
      </c>
      <c r="T39" s="9">
        <v>7577</v>
      </c>
      <c r="V39" s="9">
        <v>8210</v>
      </c>
    </row>
    <row r="40" spans="2:22">
      <c r="B40" s="5" t="s">
        <v>38</v>
      </c>
      <c r="C40" s="9">
        <f t="shared" ref="C40:G40" si="51">0.01*C41</f>
        <v>712.62</v>
      </c>
      <c r="D40" s="9">
        <f t="shared" si="51"/>
        <v>712.14</v>
      </c>
      <c r="E40" s="9">
        <f t="shared" si="51"/>
        <v>729.80000000000007</v>
      </c>
      <c r="F40" s="9">
        <f t="shared" si="51"/>
        <v>744</v>
      </c>
      <c r="G40" s="9">
        <f t="shared" si="51"/>
        <v>758.13</v>
      </c>
      <c r="H40" s="9">
        <f>0.01*H41</f>
        <v>770.04</v>
      </c>
      <c r="I40" s="9">
        <v>1397</v>
      </c>
      <c r="J40" s="9">
        <v>1118</v>
      </c>
      <c r="K40" s="9">
        <v>1072</v>
      </c>
      <c r="M40" s="9"/>
      <c r="N40" s="9">
        <v>922</v>
      </c>
      <c r="O40" s="9">
        <v>924</v>
      </c>
      <c r="P40" s="9"/>
      <c r="Q40" s="9">
        <v>937</v>
      </c>
      <c r="R40" s="9">
        <v>964</v>
      </c>
      <c r="S40" s="9">
        <v>960</v>
      </c>
      <c r="T40" s="9">
        <v>973</v>
      </c>
      <c r="V40" s="9">
        <v>1083</v>
      </c>
    </row>
    <row r="41" spans="2:22">
      <c r="B41" s="5" t="s">
        <v>36</v>
      </c>
      <c r="C41" s="9">
        <f>31344+39918</f>
        <v>71262</v>
      </c>
      <c r="D41" s="9">
        <f>30432+40782</f>
        <v>71214</v>
      </c>
      <c r="E41" s="9">
        <v>72980</v>
      </c>
      <c r="F41" s="9">
        <v>74400</v>
      </c>
      <c r="G41" s="9">
        <f>31900+43913</f>
        <v>75813</v>
      </c>
      <c r="H41" s="9">
        <f>32115+44889</f>
        <v>77004</v>
      </c>
      <c r="I41" s="9">
        <f t="shared" ref="I41" si="52">SUM(I37:I40)</f>
        <v>127290</v>
      </c>
      <c r="J41" s="9">
        <f t="shared" ref="J41" si="53">SUM(J37:J40)</f>
        <v>124267</v>
      </c>
      <c r="K41" s="9">
        <f t="shared" ref="K41:S41" si="54">SUM(K37:K40)</f>
        <v>123462</v>
      </c>
      <c r="M41" s="9"/>
      <c r="N41" s="9">
        <f t="shared" si="54"/>
        <v>118964</v>
      </c>
      <c r="O41" s="9">
        <f t="shared" si="54"/>
        <v>119278</v>
      </c>
      <c r="P41" s="9">
        <f t="shared" si="54"/>
        <v>0</v>
      </c>
      <c r="Q41" s="9">
        <f t="shared" si="54"/>
        <v>117192</v>
      </c>
      <c r="R41" s="9">
        <f t="shared" si="54"/>
        <v>118157</v>
      </c>
      <c r="S41" s="9">
        <f t="shared" si="54"/>
        <v>117542</v>
      </c>
      <c r="T41" s="9">
        <f>SUM(T37:T40)</f>
        <v>118301</v>
      </c>
      <c r="V41" s="9">
        <f>SUM(V37:V40)</f>
        <v>125523</v>
      </c>
    </row>
    <row r="42" spans="2:22">
      <c r="B42" s="5" t="s">
        <v>39</v>
      </c>
      <c r="C42" s="10">
        <v>42208</v>
      </c>
      <c r="D42" s="10">
        <v>44067</v>
      </c>
      <c r="E42" s="10">
        <v>44957</v>
      </c>
      <c r="F42" s="10">
        <v>43854</v>
      </c>
      <c r="G42" s="10">
        <v>44380</v>
      </c>
      <c r="H42" s="10">
        <v>44770</v>
      </c>
      <c r="I42" s="10">
        <v>125443</v>
      </c>
      <c r="J42" s="10">
        <v>109330</v>
      </c>
      <c r="K42" s="9">
        <v>101643</v>
      </c>
      <c r="M42" s="9"/>
      <c r="N42" s="9">
        <v>80064</v>
      </c>
      <c r="O42" s="9">
        <v>79355</v>
      </c>
      <c r="P42" s="9"/>
      <c r="Q42" s="9">
        <v>75758</v>
      </c>
      <c r="R42" s="9">
        <v>75036</v>
      </c>
      <c r="S42" s="9">
        <v>74222</v>
      </c>
      <c r="T42" s="9">
        <v>74221</v>
      </c>
      <c r="V42" s="9">
        <v>89452</v>
      </c>
    </row>
    <row r="43" spans="2:22">
      <c r="B43" s="5" t="s">
        <v>40</v>
      </c>
      <c r="C43" s="10">
        <v>0</v>
      </c>
      <c r="D43" s="10">
        <v>0</v>
      </c>
      <c r="E43" s="10">
        <v>5443</v>
      </c>
      <c r="F43" s="10">
        <v>4885</v>
      </c>
      <c r="G43" s="10">
        <v>5261</v>
      </c>
      <c r="H43" s="10">
        <v>5445</v>
      </c>
      <c r="I43" s="10">
        <v>6789</v>
      </c>
      <c r="J43" s="10">
        <v>7050</v>
      </c>
      <c r="K43" s="9">
        <v>3845</v>
      </c>
      <c r="M43" s="9"/>
      <c r="N43" s="9">
        <v>2987</v>
      </c>
      <c r="O43" s="9">
        <v>3416</v>
      </c>
      <c r="P43" s="9"/>
      <c r="Q43" s="9">
        <v>3713</v>
      </c>
      <c r="R43" s="9">
        <v>3899</v>
      </c>
      <c r="S43" s="9">
        <v>4664</v>
      </c>
      <c r="T43" s="9">
        <v>5197</v>
      </c>
      <c r="V43" s="9">
        <v>3034</v>
      </c>
    </row>
    <row r="44" spans="2:22">
      <c r="B44" s="5" t="s">
        <v>4</v>
      </c>
      <c r="C44" s="10">
        <v>10309</v>
      </c>
      <c r="D44" s="10">
        <v>10312</v>
      </c>
      <c r="E44" s="10">
        <v>10198</v>
      </c>
      <c r="F44" s="10">
        <v>10201</v>
      </c>
      <c r="G44" s="10">
        <v>10203</v>
      </c>
      <c r="H44" s="10">
        <v>10155</v>
      </c>
      <c r="I44" s="10">
        <v>47583</v>
      </c>
      <c r="J44" s="10">
        <v>38537</v>
      </c>
      <c r="K44" s="9">
        <v>36058</v>
      </c>
      <c r="M44" s="9"/>
      <c r="N44" s="9">
        <v>35745</v>
      </c>
      <c r="O44" s="9">
        <v>35466</v>
      </c>
      <c r="P44" s="9"/>
      <c r="Q44" s="9">
        <v>30915</v>
      </c>
      <c r="R44" s="9">
        <v>29431</v>
      </c>
      <c r="S44" s="9">
        <v>25865</v>
      </c>
      <c r="T44" s="9">
        <v>21743</v>
      </c>
      <c r="V44" s="9">
        <v>36034</v>
      </c>
    </row>
    <row r="45" spans="2:22">
      <c r="B45" s="5" t="s">
        <v>41</v>
      </c>
      <c r="C45" s="10">
        <v>20722</v>
      </c>
      <c r="D45" s="10">
        <v>20931</v>
      </c>
      <c r="E45" s="10">
        <v>21493</v>
      </c>
      <c r="F45" s="10">
        <v>21330</v>
      </c>
      <c r="G45" s="10">
        <v>21236</v>
      </c>
      <c r="H45" s="10">
        <v>21347</v>
      </c>
      <c r="I45" s="10">
        <v>36080</v>
      </c>
      <c r="J45" s="10">
        <v>34232</v>
      </c>
      <c r="K45" s="9">
        <v>31295</v>
      </c>
      <c r="M45" s="9"/>
      <c r="N45" s="9">
        <v>18573</v>
      </c>
      <c r="O45" s="9">
        <v>18300</v>
      </c>
      <c r="P45" s="9"/>
      <c r="Q45" s="9">
        <v>18873</v>
      </c>
      <c r="R45" s="9">
        <v>20327</v>
      </c>
      <c r="S45" s="9">
        <v>24907</v>
      </c>
      <c r="T45" s="9">
        <v>27830</v>
      </c>
      <c r="V45" s="9">
        <v>23346</v>
      </c>
    </row>
    <row r="46" spans="2:22">
      <c r="B46" s="5" t="s">
        <v>42</v>
      </c>
      <c r="C46" s="10">
        <v>42808</v>
      </c>
      <c r="D46" s="10">
        <v>44067</v>
      </c>
      <c r="E46" s="10">
        <v>44957</v>
      </c>
      <c r="F46" s="10">
        <v>43854</v>
      </c>
      <c r="G46" s="10">
        <v>44380</v>
      </c>
      <c r="H46" s="10">
        <v>44770</v>
      </c>
      <c r="I46" s="10">
        <v>125443</v>
      </c>
      <c r="J46" s="10">
        <v>109330</v>
      </c>
      <c r="K46" s="9">
        <v>101643</v>
      </c>
      <c r="M46" s="9"/>
      <c r="N46" s="9">
        <v>80064</v>
      </c>
      <c r="O46" s="9">
        <v>79355</v>
      </c>
      <c r="P46" s="9"/>
      <c r="Q46" s="9">
        <v>75758</v>
      </c>
      <c r="R46" s="9">
        <v>75036</v>
      </c>
      <c r="S46" s="9">
        <v>74222</v>
      </c>
      <c r="T46" s="9">
        <v>74221</v>
      </c>
      <c r="V46" s="9">
        <v>89452</v>
      </c>
    </row>
    <row r="48" spans="2:22">
      <c r="B48" s="5" t="s">
        <v>56</v>
      </c>
    </row>
    <row r="49" spans="2:20">
      <c r="B49" s="5" t="s">
        <v>58</v>
      </c>
    </row>
    <row r="50" spans="2:20" s="7" customFormat="1">
      <c r="B50" s="12" t="s">
        <v>59</v>
      </c>
      <c r="D50" s="7">
        <f t="shared" ref="D50" si="55">D44/C44-1</f>
        <v>2.9100785721225542E-4</v>
      </c>
      <c r="E50" s="7">
        <f t="shared" ref="E50" si="56">E44/D44-1</f>
        <v>-1.1055081458494986E-2</v>
      </c>
      <c r="F50" s="7">
        <f t="shared" ref="F50" si="57">F44/E44-1</f>
        <v>2.9417532849573824E-4</v>
      </c>
      <c r="G50" s="7">
        <f t="shared" ref="G50" si="58">G44/F44-1</f>
        <v>1.9605920988130521E-4</v>
      </c>
      <c r="H50" s="7">
        <f t="shared" ref="H50" si="59">H44/G44-1</f>
        <v>-4.7044986768597363E-3</v>
      </c>
      <c r="I50" s="7">
        <f t="shared" ref="I50" si="60">I44/H44-1</f>
        <v>3.6856720827178728</v>
      </c>
      <c r="J50" s="7">
        <f t="shared" ref="J50" si="61">J44/I44-1</f>
        <v>-0.1901099132042956</v>
      </c>
      <c r="K50" s="7">
        <f t="shared" ref="K50" si="62">K44/J44-1</f>
        <v>-6.4327788878220882E-2</v>
      </c>
      <c r="L50" s="7">
        <f>V44/K44-1</f>
        <v>-6.6559432026180865E-4</v>
      </c>
      <c r="M50" s="7">
        <f>M44/V44-1</f>
        <v>-1</v>
      </c>
      <c r="N50" s="7" t="e">
        <f t="shared" ref="N50" si="63">N44/M44-1</f>
        <v>#DIV/0!</v>
      </c>
      <c r="O50" s="7">
        <f t="shared" ref="O50" si="64">O44/N44-1</f>
        <v>-7.8052874527906324E-3</v>
      </c>
      <c r="P50" s="7">
        <f t="shared" ref="P50" si="65">P44/O44-1</f>
        <v>-1</v>
      </c>
      <c r="Q50" s="7" t="e">
        <f t="shared" ref="Q50" si="66">Q44/P44-1</f>
        <v>#DIV/0!</v>
      </c>
      <c r="R50" s="7">
        <f t="shared" ref="R50:S50" si="67">R44/Q44-1</f>
        <v>-4.8002587740578972E-2</v>
      </c>
      <c r="S50" s="7">
        <f t="shared" si="67"/>
        <v>-0.12116475824810569</v>
      </c>
      <c r="T50" s="7">
        <f>T44/S44-1</f>
        <v>-0.1593659385269669</v>
      </c>
    </row>
    <row r="51" spans="2:20">
      <c r="B51" s="5" t="s">
        <v>61</v>
      </c>
    </row>
    <row r="53" spans="2:20">
      <c r="I53" s="7"/>
      <c r="J53" s="7"/>
      <c r="K53" s="7"/>
      <c r="L53" s="7"/>
      <c r="M53" s="7"/>
      <c r="N53" s="7"/>
      <c r="O53" s="7"/>
    </row>
    <row r="54" spans="2:20">
      <c r="I54" s="7"/>
      <c r="J54" s="7"/>
      <c r="K54" s="7"/>
      <c r="L54" s="7"/>
      <c r="M54" s="7"/>
      <c r="N54" s="7"/>
      <c r="O54" s="7"/>
    </row>
    <row r="55" spans="2:20">
      <c r="I55" s="7"/>
      <c r="J55" s="7"/>
      <c r="K55" s="7"/>
      <c r="L55" s="7"/>
      <c r="M55" s="7"/>
      <c r="N55" s="7"/>
      <c r="O55" s="7"/>
    </row>
    <row r="56" spans="2:20">
      <c r="I56" s="7"/>
      <c r="J56" s="7"/>
      <c r="K56" s="7"/>
      <c r="L56" s="7"/>
      <c r="M56" s="7"/>
      <c r="N56" s="7"/>
      <c r="O56" s="7"/>
    </row>
    <row r="1048576" spans="23:23">
      <c r="W1048576" s="3">
        <f>X1048576-SUM(C1048576:E1048576)</f>
        <v>0</v>
      </c>
    </row>
  </sheetData>
  <hyperlinks>
    <hyperlink ref="A1" location="Main!A1" display="Main" xr:uid="{E5E96F06-33C3-41D8-A9BD-1B4357904D6C}"/>
  </hyperlinks>
  <pageMargins left="0.7" right="0.7" top="0.75" bottom="0.75" header="0.3" footer="0.3"/>
  <pageSetup orientation="portrait" r:id="rId1"/>
  <ignoredErrors>
    <ignoredError sqref="T4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2022-08-17T20:46:40Z</dcterms:modified>
</cp:coreProperties>
</file>