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C8018A92-4DD7-4286-8467-3CFD9EDE70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4" i="2" l="1"/>
  <c r="AJ14" i="2" s="1"/>
  <c r="S23" i="2"/>
  <c r="R23" i="2"/>
  <c r="Q23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Y16" i="2"/>
  <c r="X16" i="2"/>
  <c r="W16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23" i="2"/>
  <c r="AB23" i="2"/>
  <c r="AA23" i="2"/>
  <c r="AA16" i="2"/>
  <c r="Z16" i="2"/>
  <c r="AB16" i="2"/>
  <c r="CN2" i="2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M2" i="2"/>
  <c r="AN2" i="2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AF23" i="2"/>
  <c r="AE23" i="2"/>
  <c r="AD23" i="2"/>
  <c r="AH23" i="2"/>
  <c r="AG23" i="2"/>
  <c r="O23" i="2"/>
  <c r="N23" i="2"/>
  <c r="M23" i="2"/>
  <c r="L23" i="2"/>
  <c r="K23" i="2"/>
  <c r="J23" i="2"/>
  <c r="I23" i="2"/>
  <c r="H23" i="2"/>
  <c r="G23" i="2"/>
  <c r="P23" i="2"/>
  <c r="AI16" i="2"/>
  <c r="AI15" i="2"/>
  <c r="AI11" i="2"/>
  <c r="AI10" i="2"/>
  <c r="AI9" i="2"/>
  <c r="AI8" i="2"/>
  <c r="AI7" i="2"/>
  <c r="AI5" i="2"/>
  <c r="AI4" i="2"/>
  <c r="AI6" i="2" s="1"/>
  <c r="AI3" i="2"/>
  <c r="AI18" i="2" s="1"/>
  <c r="AD22" i="2"/>
  <c r="AE20" i="2"/>
  <c r="AD19" i="2"/>
  <c r="AG18" i="2"/>
  <c r="AE18" i="2"/>
  <c r="AD18" i="2"/>
  <c r="AG16" i="2"/>
  <c r="AH16" i="2"/>
  <c r="AF16" i="2"/>
  <c r="AD16" i="2"/>
  <c r="AC16" i="2"/>
  <c r="AE16" i="2"/>
  <c r="Q16" i="2"/>
  <c r="R16" i="2" s="1"/>
  <c r="S16" i="2" s="1"/>
  <c r="Q10" i="2"/>
  <c r="R10" i="2" s="1"/>
  <c r="S10" i="2" s="1"/>
  <c r="Q9" i="2"/>
  <c r="R9" i="2" s="1"/>
  <c r="S9" i="2" s="1"/>
  <c r="R8" i="2"/>
  <c r="S8" i="2" s="1"/>
  <c r="Q8" i="2"/>
  <c r="Q7" i="2"/>
  <c r="R7" i="2" s="1"/>
  <c r="S7" i="2" s="1"/>
  <c r="Q6" i="2"/>
  <c r="R5" i="2"/>
  <c r="S5" i="2" s="1"/>
  <c r="Q5" i="2"/>
  <c r="Q4" i="2"/>
  <c r="R4" i="2" s="1"/>
  <c r="S4" i="2" s="1"/>
  <c r="Q3" i="2"/>
  <c r="R3" i="2" s="1"/>
  <c r="P18" i="2"/>
  <c r="O18" i="2"/>
  <c r="N18" i="2"/>
  <c r="M18" i="2"/>
  <c r="L18" i="2"/>
  <c r="K18" i="2"/>
  <c r="J18" i="2"/>
  <c r="I18" i="2"/>
  <c r="H18" i="2"/>
  <c r="G18" i="2"/>
  <c r="AH15" i="2"/>
  <c r="AG15" i="2"/>
  <c r="AF15" i="2"/>
  <c r="AH14" i="2"/>
  <c r="AG14" i="2"/>
  <c r="AF14" i="2"/>
  <c r="AG5" i="2"/>
  <c r="AF5" i="2"/>
  <c r="AG4" i="2"/>
  <c r="AF4" i="2"/>
  <c r="AG3" i="2"/>
  <c r="AF3" i="2"/>
  <c r="AF18" i="2" s="1"/>
  <c r="AG10" i="2"/>
  <c r="AF10" i="2"/>
  <c r="AG9" i="2"/>
  <c r="AF9" i="2"/>
  <c r="AG8" i="2"/>
  <c r="AF8" i="2"/>
  <c r="AG7" i="2"/>
  <c r="AF7" i="2"/>
  <c r="AF11" i="2"/>
  <c r="AG11" i="2"/>
  <c r="AH11" i="2"/>
  <c r="AH10" i="2"/>
  <c r="AH9" i="2"/>
  <c r="AH8" i="2"/>
  <c r="AH7" i="2"/>
  <c r="AH5" i="2"/>
  <c r="AH4" i="2"/>
  <c r="AH3" i="2"/>
  <c r="AH18" i="2" s="1"/>
  <c r="Z12" i="2"/>
  <c r="Z13" i="2" s="1"/>
  <c r="AE6" i="2"/>
  <c r="AE12" i="2" s="1"/>
  <c r="AE13" i="2" s="1"/>
  <c r="AE22" i="2" s="1"/>
  <c r="AD6" i="2"/>
  <c r="AD12" i="2" s="1"/>
  <c r="AD13" i="2" s="1"/>
  <c r="AC6" i="2"/>
  <c r="AC12" i="2" s="1"/>
  <c r="AC13" i="2" s="1"/>
  <c r="AB6" i="2"/>
  <c r="AB12" i="2" s="1"/>
  <c r="AB13" i="2" s="1"/>
  <c r="AA6" i="2"/>
  <c r="AA12" i="2" s="1"/>
  <c r="AA13" i="2" s="1"/>
  <c r="Z6" i="2"/>
  <c r="Y6" i="2"/>
  <c r="Y12" i="2" s="1"/>
  <c r="Y13" i="2" s="1"/>
  <c r="X6" i="2"/>
  <c r="X12" i="2" s="1"/>
  <c r="X13" i="2" s="1"/>
  <c r="W6" i="2"/>
  <c r="W12" i="2" s="1"/>
  <c r="W13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X2" i="2"/>
  <c r="P39" i="2"/>
  <c r="O39" i="2"/>
  <c r="N39" i="2"/>
  <c r="M39" i="2"/>
  <c r="L39" i="2"/>
  <c r="K39" i="2"/>
  <c r="J39" i="2"/>
  <c r="I39" i="2"/>
  <c r="H39" i="2"/>
  <c r="G39" i="2"/>
  <c r="P38" i="2"/>
  <c r="O38" i="2"/>
  <c r="N38" i="2"/>
  <c r="M38" i="2"/>
  <c r="L38" i="2"/>
  <c r="K38" i="2"/>
  <c r="J38" i="2"/>
  <c r="I38" i="2"/>
  <c r="H38" i="2"/>
  <c r="G38" i="2"/>
  <c r="F31" i="2"/>
  <c r="O31" i="2"/>
  <c r="N31" i="2"/>
  <c r="M31" i="2"/>
  <c r="L31" i="2"/>
  <c r="K31" i="2"/>
  <c r="J31" i="2"/>
  <c r="I31" i="2"/>
  <c r="H31" i="2"/>
  <c r="G31" i="2"/>
  <c r="E31" i="2"/>
  <c r="D31" i="2"/>
  <c r="C31" i="2"/>
  <c r="P31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I23" i="2" l="1"/>
  <c r="AK14" i="2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AI21" i="2"/>
  <c r="AI12" i="2"/>
  <c r="AI13" i="2" s="1"/>
  <c r="AI22" i="2" s="1"/>
  <c r="AI20" i="2"/>
  <c r="S3" i="2"/>
  <c r="R18" i="2"/>
  <c r="R6" i="2"/>
  <c r="Q20" i="2"/>
  <c r="AD20" i="2"/>
  <c r="Q18" i="2"/>
  <c r="AE19" i="2"/>
  <c r="Q11" i="2"/>
  <c r="Q21" i="2" s="1"/>
  <c r="AG6" i="2"/>
  <c r="Q12" i="2"/>
  <c r="Q13" i="2" s="1"/>
  <c r="Q22" i="2" s="1"/>
  <c r="Q19" i="2"/>
  <c r="AD21" i="2"/>
  <c r="AE21" i="2"/>
  <c r="AF6" i="2"/>
  <c r="AH6" i="2"/>
  <c r="AG12" i="2"/>
  <c r="AG13" i="2" s="1"/>
  <c r="AG22" i="2" s="1"/>
  <c r="O6" i="2"/>
  <c r="O21" i="2" s="1"/>
  <c r="N6" i="2"/>
  <c r="N21" i="2" s="1"/>
  <c r="M6" i="2"/>
  <c r="M21" i="2" s="1"/>
  <c r="L6" i="2"/>
  <c r="L21" i="2" s="1"/>
  <c r="K6" i="2"/>
  <c r="K21" i="2" s="1"/>
  <c r="J6" i="2"/>
  <c r="J21" i="2" s="1"/>
  <c r="I6" i="2"/>
  <c r="I21" i="2" s="1"/>
  <c r="H6" i="2"/>
  <c r="H21" i="2" s="1"/>
  <c r="G6" i="2"/>
  <c r="G21" i="2" s="1"/>
  <c r="F6" i="2"/>
  <c r="E6" i="2"/>
  <c r="D6" i="2"/>
  <c r="C6" i="2"/>
  <c r="P6" i="2"/>
  <c r="P21" i="2" s="1"/>
  <c r="M4" i="1"/>
  <c r="M7" i="1" s="1"/>
  <c r="AK28" i="2" l="1"/>
  <c r="AK29" i="2" s="1"/>
  <c r="AK31" i="2" s="1"/>
  <c r="AH12" i="2"/>
  <c r="AH13" i="2" s="1"/>
  <c r="AH22" i="2" s="1"/>
  <c r="AH21" i="2"/>
  <c r="AH20" i="2"/>
  <c r="AH19" i="2"/>
  <c r="AI19" i="2"/>
  <c r="D12" i="2"/>
  <c r="D13" i="2" s="1"/>
  <c r="D22" i="2" s="1"/>
  <c r="D21" i="2"/>
  <c r="F12" i="2"/>
  <c r="F13" i="2" s="1"/>
  <c r="F22" i="2" s="1"/>
  <c r="F21" i="2"/>
  <c r="E12" i="2"/>
  <c r="E13" i="2" s="1"/>
  <c r="E22" i="2" s="1"/>
  <c r="E21" i="2"/>
  <c r="Q14" i="2"/>
  <c r="AG19" i="2"/>
  <c r="AG21" i="2"/>
  <c r="AG20" i="2"/>
  <c r="R19" i="2"/>
  <c r="R11" i="2"/>
  <c r="R21" i="2" s="1"/>
  <c r="R20" i="2"/>
  <c r="C12" i="2"/>
  <c r="C13" i="2" s="1"/>
  <c r="C22" i="2" s="1"/>
  <c r="C21" i="2"/>
  <c r="S18" i="2"/>
  <c r="S6" i="2"/>
  <c r="AF12" i="2"/>
  <c r="AF13" i="2" s="1"/>
  <c r="AF22" i="2" s="1"/>
  <c r="AF19" i="2"/>
  <c r="AF20" i="2"/>
  <c r="AF21" i="2"/>
  <c r="P20" i="2"/>
  <c r="P19" i="2"/>
  <c r="P12" i="2"/>
  <c r="P13" i="2" s="1"/>
  <c r="P22" i="2" s="1"/>
  <c r="O19" i="2"/>
  <c r="O12" i="2"/>
  <c r="O13" i="2" s="1"/>
  <c r="O22" i="2" s="1"/>
  <c r="O20" i="2"/>
  <c r="H12" i="2"/>
  <c r="H13" i="2" s="1"/>
  <c r="H22" i="2" s="1"/>
  <c r="H20" i="2"/>
  <c r="H19" i="2"/>
  <c r="J12" i="2"/>
  <c r="J13" i="2" s="1"/>
  <c r="J22" i="2" s="1"/>
  <c r="J20" i="2"/>
  <c r="J19" i="2"/>
  <c r="M12" i="2"/>
  <c r="M13" i="2" s="1"/>
  <c r="M22" i="2" s="1"/>
  <c r="M20" i="2"/>
  <c r="M19" i="2"/>
  <c r="N12" i="2"/>
  <c r="N13" i="2" s="1"/>
  <c r="N22" i="2" s="1"/>
  <c r="N20" i="2"/>
  <c r="N19" i="2"/>
  <c r="I12" i="2"/>
  <c r="I13" i="2" s="1"/>
  <c r="I22" i="2" s="1"/>
  <c r="I19" i="2"/>
  <c r="I20" i="2"/>
  <c r="K12" i="2"/>
  <c r="K13" i="2" s="1"/>
  <c r="K22" i="2" s="1"/>
  <c r="K20" i="2"/>
  <c r="K19" i="2"/>
  <c r="G12" i="2"/>
  <c r="G13" i="2" s="1"/>
  <c r="G22" i="2" s="1"/>
  <c r="G20" i="2"/>
  <c r="G19" i="2"/>
  <c r="L19" i="2"/>
  <c r="L12" i="2"/>
  <c r="L13" i="2" s="1"/>
  <c r="L22" i="2" s="1"/>
  <c r="L20" i="2"/>
  <c r="Q15" i="2" l="1"/>
  <c r="Q26" i="2"/>
  <c r="S11" i="2"/>
  <c r="S21" i="2" s="1"/>
  <c r="S20" i="2"/>
  <c r="S19" i="2"/>
  <c r="R12" i="2"/>
  <c r="R13" i="2" s="1"/>
  <c r="S12" i="2" l="1"/>
  <c r="R14" i="2"/>
  <c r="R15" i="2" s="1"/>
  <c r="R22" i="2"/>
  <c r="R26" i="2" l="1"/>
  <c r="S13" i="2"/>
  <c r="S22" i="2" s="1"/>
  <c r="S14" i="2" l="1"/>
  <c r="S15" i="2" s="1"/>
  <c r="S26" i="2"/>
</calcChain>
</file>

<file path=xl/sharedStrings.xml><?xml version="1.0" encoding="utf-8"?>
<sst xmlns="http://schemas.openxmlformats.org/spreadsheetml/2006/main" count="63" uniqueCount="59">
  <si>
    <t>Price</t>
  </si>
  <si>
    <t>Shares</t>
  </si>
  <si>
    <t>MC</t>
  </si>
  <si>
    <t>Cash</t>
  </si>
  <si>
    <t>Debt</t>
  </si>
  <si>
    <t>EV</t>
  </si>
  <si>
    <t>Revenue</t>
  </si>
  <si>
    <t>Sales</t>
  </si>
  <si>
    <t>EquityInc</t>
  </si>
  <si>
    <t>Other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</si>
  <si>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</si>
  <si>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</si>
  <si>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</si>
  <si>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</si>
  <si>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</si>
  <si>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</si>
  <si>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</si>
  <si>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</si>
  <si>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</si>
  <si>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</si>
  <si>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</si>
  <si>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</si>
  <si>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</si>
  <si>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</si>
  <si>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COGS</t>
  </si>
  <si>
    <t>P&amp;M</t>
  </si>
  <si>
    <t>SG&amp;A</t>
  </si>
  <si>
    <t>Exploration</t>
  </si>
  <si>
    <t>Costs</t>
  </si>
  <si>
    <t>PreTax</t>
  </si>
  <si>
    <t>Taxes</t>
  </si>
  <si>
    <t>Net Income</t>
  </si>
  <si>
    <t>EPS</t>
  </si>
  <si>
    <t>Net Cash</t>
  </si>
  <si>
    <t>AR</t>
  </si>
  <si>
    <t>Products</t>
  </si>
  <si>
    <t>Materials</t>
  </si>
  <si>
    <t>Current Assets</t>
  </si>
  <si>
    <t>PPE</t>
  </si>
  <si>
    <t>AP</t>
  </si>
  <si>
    <t>SE</t>
  </si>
  <si>
    <t>L+SE</t>
  </si>
  <si>
    <t>Cash Y/Y</t>
  </si>
  <si>
    <t>Debt Y/Y</t>
  </si>
  <si>
    <t>Sales Y/Y</t>
  </si>
  <si>
    <t>Revenue Y/Y</t>
  </si>
  <si>
    <t>COGS Y/Y</t>
  </si>
  <si>
    <t>Tax Rate</t>
  </si>
  <si>
    <t>Costs %</t>
  </si>
  <si>
    <t>Q322</t>
  </si>
  <si>
    <t>Q422</t>
  </si>
  <si>
    <t>Q123</t>
  </si>
  <si>
    <t>Discount</t>
  </si>
  <si>
    <t>Terminal</t>
  </si>
  <si>
    <t>NPV</t>
  </si>
  <si>
    <t>Share</t>
  </si>
  <si>
    <t>Return</t>
  </si>
  <si>
    <t>Net Income Y/Y</t>
  </si>
  <si>
    <t>Current share price expects a 3%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</si>
</sst>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9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1" fillId="0" borderId="6" xfId="0" applyNumberFormat="1" applyFont="1" applyBorder="1"/>
    <xf numFmtId="2" fontId="1" fillId="0" borderId="4" xfId="0" applyNumberFormat="1" applyFont="1" applyBorder="1"/>
    <xf numFmtId="38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9525</xdr:rowOff>
    </xdr:from>
    <xdr:to>
      <xdr:col>16</xdr:col>
      <xdr:colOff>0</xdr:colOff>
      <xdr:row>46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96B6C2-5B78-75BE-CB5F-BF4901FE967F}"/>
            </a:ext>
          </a:extLst>
        </xdr:cNvPr>
        <xdr:cNvCxnSpPr/>
      </xdr:nvCxnSpPr>
      <xdr:spPr>
        <a:xfrm>
          <a:off x="10239375" y="9525"/>
          <a:ext cx="9525" cy="7381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9525</xdr:colOff>
      <xdr:row>46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EFCE2D-3EC3-41A9-96DF-C173AA20A816}"/>
            </a:ext>
          </a:extLst>
        </xdr:cNvPr>
        <xdr:cNvCxnSpPr/>
      </xdr:nvCxnSpPr>
      <xdr:spPr>
        <a:xfrm>
          <a:off x="21221700" y="0"/>
          <a:ext cx="9525" cy="7381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M7"/>
  <sheetViews>
    <sheetView workbookViewId="0">
      <selection activeCell="A18" sqref="A18:M31"/>
    </sheetView>
  </sheetViews>
  <sheetFormatPr defaultColWidth="9.109375" defaultRowHeight="13.2" x14ac:dyDescent="0.25"/>
  <cols>
    <col min="1" max="16384" width="9.109375" style="1"/>
  </cols>
  <sheetData>
    <row r="2" spans="12:13" x14ac:dyDescent="0.25">
      <c r="L2" s="1" t="s">
        <v>0</v>
      </c>
      <c r="M2" s="3">
        <v>94</v>
      </c>
    </row>
    <row r="3" spans="12:13" x14ac:dyDescent="0.25">
      <c r="L3" s="1" t="s">
        <v>1</v>
      </c>
      <c r="M3" s="2">
        <v>4167</v>
      </c>
    </row>
    <row r="4" spans="12:13" x14ac:dyDescent="0.25">
      <c r="L4" s="1" t="s">
        <v>2</v>
      </c>
      <c r="M4" s="2">
        <f>M2*M3</f>
        <v>391698</v>
      </c>
    </row>
    <row r="5" spans="12:13" x14ac:dyDescent="0.25">
      <c r="L5" s="1" t="s">
        <v>3</v>
      </c>
      <c r="M5" s="2">
        <v>18861</v>
      </c>
    </row>
    <row r="6" spans="12:13" x14ac:dyDescent="0.25">
      <c r="L6" s="1" t="s">
        <v>4</v>
      </c>
      <c r="M6" s="2">
        <v>39516</v>
      </c>
    </row>
    <row r="7" spans="12:13" x14ac:dyDescent="0.25">
      <c r="L7" s="1" t="s">
        <v>5</v>
      </c>
      <c r="M7" s="2">
        <f>M4-M5+M6</f>
        <v>412353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B01C-4BE6-482F-A15F-7236667BC6E5}">
  <dimension ref="B1:CZ39"/>
  <sheetViews>
    <sheetView tabSelected="1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H14" sqref="AH14"/>
    </sheetView>
  </sheetViews>
  <sheetFormatPr defaultColWidth="9.109375" defaultRowHeight="13.2" x14ac:dyDescent="0.25"/>
  <cols>
    <col min="1" max="1" width="9.109375" style="1"/>
    <col min="2" max="2" width="14.33203125" style="1" bestFit="1" customWidth="1"/>
    <col min="3" max="5" width="9.109375" style="1"/>
    <col min="6" max="6" width="10.109375" style="1" bestFit="1" customWidth="1"/>
    <col min="7" max="9" width="9.109375" style="1"/>
    <col min="10" max="10" width="10.109375" style="1" bestFit="1" customWidth="1"/>
    <col min="11" max="13" width="9.109375" style="1"/>
    <col min="14" max="14" width="10.109375" style="1" bestFit="1" customWidth="1"/>
    <col min="15" max="36" width="9.109375" style="1"/>
    <col min="37" max="37" width="9.6640625" style="1" bestFit="1" customWidth="1"/>
    <col min="38" max="16384" width="9.109375" style="1"/>
  </cols>
  <sheetData>
    <row r="1" spans="2:104" x14ac:dyDescent="0.25">
      <c r="C1" s="4">
        <v>43555</v>
      </c>
      <c r="D1" s="4">
        <v>43646</v>
      </c>
      <c r="E1" s="4">
        <v>43738</v>
      </c>
      <c r="F1" s="4">
        <v>43830</v>
      </c>
      <c r="G1" s="4">
        <v>43921</v>
      </c>
      <c r="H1" s="4">
        <v>44012</v>
      </c>
      <c r="I1" s="4">
        <v>44104</v>
      </c>
      <c r="J1" s="4">
        <v>44196</v>
      </c>
      <c r="K1" s="4">
        <v>44286</v>
      </c>
      <c r="L1" s="4">
        <v>44377</v>
      </c>
      <c r="M1" s="4">
        <v>44469</v>
      </c>
      <c r="N1" s="4">
        <v>44561</v>
      </c>
      <c r="O1" s="4">
        <v>44651</v>
      </c>
      <c r="P1" s="4">
        <v>44742</v>
      </c>
      <c r="Q1" s="4">
        <v>44834</v>
      </c>
    </row>
    <row r="2" spans="2:104" x14ac:dyDescent="0.25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49</v>
      </c>
      <c r="R2" s="1" t="s">
        <v>50</v>
      </c>
      <c r="S2" s="1" t="s">
        <v>51</v>
      </c>
      <c r="W2" s="1">
        <v>2010</v>
      </c>
      <c r="X2" s="1">
        <f>W2+1</f>
        <v>2011</v>
      </c>
      <c r="Y2" s="1">
        <f t="shared" ref="Y2:CJ2" si="0">X2+1</f>
        <v>2012</v>
      </c>
      <c r="Z2" s="1">
        <f t="shared" si="0"/>
        <v>2013</v>
      </c>
      <c r="AA2" s="1">
        <f t="shared" si="0"/>
        <v>2014</v>
      </c>
      <c r="AB2" s="1">
        <f t="shared" si="0"/>
        <v>2015</v>
      </c>
      <c r="AC2" s="1">
        <f t="shared" si="0"/>
        <v>2016</v>
      </c>
      <c r="AD2" s="1">
        <f t="shared" si="0"/>
        <v>2017</v>
      </c>
      <c r="AE2" s="1">
        <f t="shared" si="0"/>
        <v>2018</v>
      </c>
      <c r="AF2" s="1">
        <f t="shared" si="0"/>
        <v>2019</v>
      </c>
      <c r="AG2" s="1">
        <f t="shared" si="0"/>
        <v>2020</v>
      </c>
      <c r="AH2" s="1">
        <f t="shared" si="0"/>
        <v>2021</v>
      </c>
      <c r="AI2" s="1">
        <f t="shared" si="0"/>
        <v>2022</v>
      </c>
      <c r="AJ2" s="1">
        <f t="shared" si="0"/>
        <v>2023</v>
      </c>
      <c r="AK2" s="1">
        <f t="shared" si="0"/>
        <v>2024</v>
      </c>
      <c r="AL2" s="1">
        <f t="shared" si="0"/>
        <v>2025</v>
      </c>
      <c r="AM2" s="1">
        <f t="shared" si="0"/>
        <v>2026</v>
      </c>
      <c r="AN2" s="1">
        <f t="shared" si="0"/>
        <v>2027</v>
      </c>
      <c r="AO2" s="1">
        <f t="shared" si="0"/>
        <v>2028</v>
      </c>
      <c r="AP2" s="1">
        <f t="shared" si="0"/>
        <v>2029</v>
      </c>
      <c r="AQ2" s="1">
        <f t="shared" si="0"/>
        <v>2030</v>
      </c>
      <c r="AR2" s="1">
        <f t="shared" si="0"/>
        <v>2031</v>
      </c>
      <c r="AS2" s="1">
        <f t="shared" si="0"/>
        <v>2032</v>
      </c>
      <c r="AT2" s="1">
        <f t="shared" si="0"/>
        <v>2033</v>
      </c>
      <c r="AU2" s="1">
        <f t="shared" si="0"/>
        <v>2034</v>
      </c>
      <c r="AV2" s="1">
        <f t="shared" si="0"/>
        <v>2035</v>
      </c>
      <c r="AW2" s="1">
        <f t="shared" si="0"/>
        <v>2036</v>
      </c>
      <c r="AX2" s="1">
        <f t="shared" si="0"/>
        <v>2037</v>
      </c>
      <c r="AY2" s="1">
        <f t="shared" si="0"/>
        <v>2038</v>
      </c>
      <c r="AZ2" s="1">
        <f t="shared" si="0"/>
        <v>2039</v>
      </c>
      <c r="BA2" s="1">
        <f t="shared" si="0"/>
        <v>2040</v>
      </c>
      <c r="BB2" s="1">
        <f t="shared" si="0"/>
        <v>2041</v>
      </c>
      <c r="BC2" s="1">
        <f t="shared" si="0"/>
        <v>2042</v>
      </c>
      <c r="BD2" s="1">
        <f t="shared" si="0"/>
        <v>2043</v>
      </c>
      <c r="BE2" s="1">
        <f t="shared" si="0"/>
        <v>2044</v>
      </c>
      <c r="BF2" s="1">
        <f t="shared" si="0"/>
        <v>2045</v>
      </c>
      <c r="BG2" s="1">
        <f t="shared" si="0"/>
        <v>2046</v>
      </c>
      <c r="BH2" s="1">
        <f t="shared" si="0"/>
        <v>2047</v>
      </c>
      <c r="BI2" s="1">
        <f t="shared" si="0"/>
        <v>2048</v>
      </c>
      <c r="BJ2" s="1">
        <f t="shared" si="0"/>
        <v>2049</v>
      </c>
      <c r="BK2" s="1">
        <f t="shared" si="0"/>
        <v>2050</v>
      </c>
      <c r="BL2" s="1">
        <f t="shared" si="0"/>
        <v>2051</v>
      </c>
      <c r="BM2" s="1">
        <f t="shared" si="0"/>
        <v>2052</v>
      </c>
      <c r="BN2" s="1">
        <f t="shared" si="0"/>
        <v>2053</v>
      </c>
      <c r="BO2" s="1">
        <f t="shared" si="0"/>
        <v>2054</v>
      </c>
      <c r="BP2" s="1">
        <f t="shared" si="0"/>
        <v>2055</v>
      </c>
      <c r="BQ2" s="1">
        <f t="shared" si="0"/>
        <v>2056</v>
      </c>
      <c r="BR2" s="1">
        <f t="shared" si="0"/>
        <v>2057</v>
      </c>
      <c r="BS2" s="1">
        <f t="shared" si="0"/>
        <v>2058</v>
      </c>
      <c r="BT2" s="1">
        <f t="shared" si="0"/>
        <v>2059</v>
      </c>
      <c r="BU2" s="1">
        <f t="shared" si="0"/>
        <v>2060</v>
      </c>
      <c r="BV2" s="1">
        <f t="shared" si="0"/>
        <v>2061</v>
      </c>
      <c r="BW2" s="1">
        <f t="shared" si="0"/>
        <v>2062</v>
      </c>
      <c r="BX2" s="1">
        <f t="shared" si="0"/>
        <v>2063</v>
      </c>
      <c r="BY2" s="1">
        <f t="shared" si="0"/>
        <v>2064</v>
      </c>
      <c r="BZ2" s="1">
        <f t="shared" si="0"/>
        <v>2065</v>
      </c>
      <c r="CA2" s="1">
        <f t="shared" si="0"/>
        <v>2066</v>
      </c>
      <c r="CB2" s="1">
        <f t="shared" si="0"/>
        <v>2067</v>
      </c>
      <c r="CC2" s="1">
        <f t="shared" si="0"/>
        <v>2068</v>
      </c>
      <c r="CD2" s="1">
        <f t="shared" si="0"/>
        <v>2069</v>
      </c>
      <c r="CE2" s="1">
        <f t="shared" si="0"/>
        <v>2070</v>
      </c>
      <c r="CF2" s="1">
        <f t="shared" si="0"/>
        <v>2071</v>
      </c>
      <c r="CG2" s="1">
        <f t="shared" si="0"/>
        <v>2072</v>
      </c>
      <c r="CH2" s="1">
        <f t="shared" si="0"/>
        <v>2073</v>
      </c>
      <c r="CI2" s="1">
        <f t="shared" si="0"/>
        <v>2074</v>
      </c>
      <c r="CJ2" s="1">
        <f t="shared" si="0"/>
        <v>2075</v>
      </c>
      <c r="CK2" s="1">
        <f t="shared" ref="CK2:CZ2" si="1">CJ2+1</f>
        <v>2076</v>
      </c>
      <c r="CL2" s="1">
        <f t="shared" si="1"/>
        <v>2077</v>
      </c>
      <c r="CM2" s="1">
        <f t="shared" si="1"/>
        <v>2078</v>
      </c>
      <c r="CN2" s="1">
        <f t="shared" si="1"/>
        <v>2079</v>
      </c>
      <c r="CO2" s="1">
        <f t="shared" si="1"/>
        <v>2080</v>
      </c>
      <c r="CP2" s="1">
        <f t="shared" si="1"/>
        <v>2081</v>
      </c>
      <c r="CQ2" s="1">
        <f t="shared" si="1"/>
        <v>2082</v>
      </c>
      <c r="CR2" s="1">
        <f t="shared" si="1"/>
        <v>2083</v>
      </c>
      <c r="CS2" s="1">
        <f t="shared" si="1"/>
        <v>2084</v>
      </c>
      <c r="CT2" s="1">
        <f t="shared" si="1"/>
        <v>2085</v>
      </c>
      <c r="CU2" s="1">
        <f t="shared" si="1"/>
        <v>2086</v>
      </c>
      <c r="CV2" s="1">
        <f t="shared" si="1"/>
        <v>2087</v>
      </c>
      <c r="CW2" s="1">
        <f t="shared" si="1"/>
        <v>2088</v>
      </c>
      <c r="CX2" s="1">
        <f t="shared" si="1"/>
        <v>2089</v>
      </c>
      <c r="CY2" s="1">
        <f t="shared" si="1"/>
        <v>2090</v>
      </c>
      <c r="CZ2" s="1">
        <f t="shared" si="1"/>
        <v>2091</v>
      </c>
    </row>
    <row r="3" spans="2:104" x14ac:dyDescent="0.25">
      <c r="B3" s="1" t="s">
        <v>7</v>
      </c>
      <c r="C3" s="2">
        <v>61646</v>
      </c>
      <c r="D3" s="2">
        <v>67491</v>
      </c>
      <c r="E3" s="2">
        <v>63422</v>
      </c>
      <c r="F3" s="2">
        <v>63024</v>
      </c>
      <c r="G3" s="2">
        <v>55134</v>
      </c>
      <c r="H3" s="2">
        <v>32277</v>
      </c>
      <c r="I3" s="2">
        <v>45425</v>
      </c>
      <c r="J3" s="2">
        <v>45738</v>
      </c>
      <c r="K3" s="2">
        <v>57552</v>
      </c>
      <c r="L3" s="2">
        <v>65943</v>
      </c>
      <c r="M3" s="2">
        <v>71892</v>
      </c>
      <c r="N3" s="2">
        <v>81305</v>
      </c>
      <c r="O3" s="2">
        <v>87734</v>
      </c>
      <c r="P3" s="2">
        <v>111265</v>
      </c>
      <c r="Q3" s="2">
        <f>P3*1.13</f>
        <v>125729.44999999998</v>
      </c>
      <c r="R3" s="2">
        <f t="shared" ref="R3:S3" si="2">Q3*1.13</f>
        <v>142074.27849999996</v>
      </c>
      <c r="S3" s="2">
        <f t="shared" si="2"/>
        <v>160543.93470499993</v>
      </c>
      <c r="T3" s="2"/>
      <c r="V3" s="2"/>
      <c r="W3" s="2">
        <v>370125</v>
      </c>
      <c r="X3" s="2">
        <v>467029</v>
      </c>
      <c r="Y3" s="2">
        <v>453123</v>
      </c>
      <c r="Z3" s="2">
        <v>420836</v>
      </c>
      <c r="AA3" s="2">
        <v>394105</v>
      </c>
      <c r="AB3" s="2">
        <v>259488</v>
      </c>
      <c r="AC3" s="2">
        <v>200628</v>
      </c>
      <c r="AD3" s="2">
        <v>237162</v>
      </c>
      <c r="AE3" s="2">
        <v>279332</v>
      </c>
      <c r="AF3" s="2">
        <f t="shared" ref="AF3:AF5" si="3">SUM(C3:F3)</f>
        <v>255583</v>
      </c>
      <c r="AG3" s="2">
        <f t="shared" ref="AG3:AG5" si="4">SUM(H3:J3)</f>
        <v>123440</v>
      </c>
      <c r="AH3" s="2">
        <f>SUM(K3:N3)</f>
        <v>276692</v>
      </c>
      <c r="AI3" s="2">
        <f>SUM(L3:O3)</f>
        <v>306874</v>
      </c>
    </row>
    <row r="4" spans="2:104" x14ac:dyDescent="0.25">
      <c r="B4" s="1" t="s">
        <v>8</v>
      </c>
      <c r="C4" s="2">
        <v>1709</v>
      </c>
      <c r="D4" s="2">
        <v>1359</v>
      </c>
      <c r="E4" s="2">
        <v>1196</v>
      </c>
      <c r="F4" s="2">
        <v>1177</v>
      </c>
      <c r="G4" s="2">
        <v>775</v>
      </c>
      <c r="H4" s="2">
        <v>103</v>
      </c>
      <c r="I4" s="2">
        <v>517</v>
      </c>
      <c r="J4" s="2">
        <v>337</v>
      </c>
      <c r="K4" s="2">
        <v>1473</v>
      </c>
      <c r="L4" s="2">
        <v>1436</v>
      </c>
      <c r="M4" s="2">
        <v>1670</v>
      </c>
      <c r="N4" s="2">
        <v>2078</v>
      </c>
      <c r="O4" s="2">
        <v>2538</v>
      </c>
      <c r="P4" s="2">
        <v>3688</v>
      </c>
      <c r="Q4" s="2">
        <f>P4*1.1</f>
        <v>4056.8</v>
      </c>
      <c r="R4" s="2">
        <f t="shared" ref="R4:S4" si="5">Q4*1.1</f>
        <v>4462.4800000000005</v>
      </c>
      <c r="S4" s="2">
        <f t="shared" si="5"/>
        <v>4908.728000000001</v>
      </c>
      <c r="T4" s="2"/>
      <c r="V4" s="2"/>
      <c r="W4" s="2">
        <v>10667</v>
      </c>
      <c r="X4" s="2">
        <v>15289</v>
      </c>
      <c r="Y4" s="2">
        <v>15010</v>
      </c>
      <c r="Z4" s="2">
        <v>13927</v>
      </c>
      <c r="AA4" s="2">
        <v>13323</v>
      </c>
      <c r="AB4" s="2">
        <v>7644</v>
      </c>
      <c r="AC4" s="2">
        <v>4806</v>
      </c>
      <c r="AD4" s="2">
        <v>5380</v>
      </c>
      <c r="AE4" s="2">
        <v>7355</v>
      </c>
      <c r="AF4" s="2">
        <f t="shared" si="3"/>
        <v>5441</v>
      </c>
      <c r="AG4" s="2">
        <f t="shared" si="4"/>
        <v>957</v>
      </c>
      <c r="AH4" s="2">
        <f t="shared" ref="AH4:AI5" si="6">SUM(K4:N4)</f>
        <v>6657</v>
      </c>
      <c r="AI4" s="2">
        <f t="shared" si="6"/>
        <v>7722</v>
      </c>
    </row>
    <row r="5" spans="2:104" x14ac:dyDescent="0.25">
      <c r="B5" s="1" t="s">
        <v>9</v>
      </c>
      <c r="C5" s="2">
        <v>270</v>
      </c>
      <c r="D5" s="2">
        <v>241</v>
      </c>
      <c r="E5" s="2">
        <v>431</v>
      </c>
      <c r="F5" s="2">
        <v>2972</v>
      </c>
      <c r="G5" s="2">
        <v>249</v>
      </c>
      <c r="H5" s="2">
        <v>225</v>
      </c>
      <c r="I5" s="2">
        <v>257</v>
      </c>
      <c r="J5" s="2">
        <v>465</v>
      </c>
      <c r="K5" s="2">
        <v>122</v>
      </c>
      <c r="L5" s="2">
        <v>363</v>
      </c>
      <c r="M5" s="2">
        <v>224</v>
      </c>
      <c r="N5" s="2">
        <v>1582</v>
      </c>
      <c r="O5" s="2">
        <v>228</v>
      </c>
      <c r="P5" s="2">
        <v>728</v>
      </c>
      <c r="Q5" s="2">
        <f>P5*1.1</f>
        <v>800.80000000000007</v>
      </c>
      <c r="R5" s="2">
        <f t="shared" ref="R5:S5" si="7">Q5*1.1</f>
        <v>880.88000000000011</v>
      </c>
      <c r="S5" s="2">
        <f t="shared" si="7"/>
        <v>968.96800000000019</v>
      </c>
      <c r="T5" s="2"/>
      <c r="V5" s="2"/>
      <c r="W5" s="2">
        <v>2419</v>
      </c>
      <c r="X5" s="2">
        <v>4111</v>
      </c>
      <c r="Y5" s="2">
        <v>14162</v>
      </c>
      <c r="Z5" s="2">
        <v>3492</v>
      </c>
      <c r="AA5" s="2">
        <v>4511</v>
      </c>
      <c r="AB5" s="2">
        <v>1750</v>
      </c>
      <c r="AC5" s="2">
        <v>2680</v>
      </c>
      <c r="AD5" s="2">
        <v>1821</v>
      </c>
      <c r="AE5" s="2">
        <v>3525</v>
      </c>
      <c r="AF5" s="2">
        <f t="shared" si="3"/>
        <v>3914</v>
      </c>
      <c r="AG5" s="2">
        <f t="shared" si="4"/>
        <v>947</v>
      </c>
      <c r="AH5" s="2">
        <f t="shared" si="6"/>
        <v>2291</v>
      </c>
      <c r="AI5" s="2">
        <f t="shared" si="6"/>
        <v>2397</v>
      </c>
    </row>
    <row r="6" spans="2:104" x14ac:dyDescent="0.25">
      <c r="B6" s="1" t="s">
        <v>6</v>
      </c>
      <c r="C6" s="2">
        <f t="shared" ref="C6:O6" si="8">SUM(C3:C5)</f>
        <v>63625</v>
      </c>
      <c r="D6" s="2">
        <f t="shared" si="8"/>
        <v>69091</v>
      </c>
      <c r="E6" s="2">
        <f t="shared" si="8"/>
        <v>65049</v>
      </c>
      <c r="F6" s="2">
        <f t="shared" si="8"/>
        <v>67173</v>
      </c>
      <c r="G6" s="2">
        <f t="shared" si="8"/>
        <v>56158</v>
      </c>
      <c r="H6" s="2">
        <f t="shared" si="8"/>
        <v>32605</v>
      </c>
      <c r="I6" s="2">
        <f t="shared" si="8"/>
        <v>46199</v>
      </c>
      <c r="J6" s="2">
        <f t="shared" si="8"/>
        <v>46540</v>
      </c>
      <c r="K6" s="2">
        <f t="shared" si="8"/>
        <v>59147</v>
      </c>
      <c r="L6" s="2">
        <f t="shared" si="8"/>
        <v>67742</v>
      </c>
      <c r="M6" s="2">
        <f t="shared" si="8"/>
        <v>73786</v>
      </c>
      <c r="N6" s="2">
        <f t="shared" si="8"/>
        <v>84965</v>
      </c>
      <c r="O6" s="2">
        <f t="shared" si="8"/>
        <v>90500</v>
      </c>
      <c r="P6" s="2">
        <f>SUM(P3:P5)</f>
        <v>115681</v>
      </c>
      <c r="Q6" s="2">
        <f t="shared" ref="Q6:S6" si="9">SUM(Q3:Q5)</f>
        <v>130587.04999999999</v>
      </c>
      <c r="R6" s="2">
        <f t="shared" si="9"/>
        <v>147417.63849999997</v>
      </c>
      <c r="S6" s="2">
        <f t="shared" si="9"/>
        <v>166421.63070499993</v>
      </c>
      <c r="W6" s="2">
        <f t="shared" ref="W6" si="10">SUM(W3:W5)</f>
        <v>383211</v>
      </c>
      <c r="X6" s="2">
        <f t="shared" ref="X6" si="11">SUM(X3:X5)</f>
        <v>486429</v>
      </c>
      <c r="Y6" s="2">
        <f t="shared" ref="Y6" si="12">SUM(Y3:Y5)</f>
        <v>482295</v>
      </c>
      <c r="Z6" s="2">
        <f t="shared" ref="Z6" si="13">SUM(Z3:Z5)</f>
        <v>438255</v>
      </c>
      <c r="AA6" s="2">
        <f t="shared" ref="AA6" si="14">SUM(AA3:AA5)</f>
        <v>411939</v>
      </c>
      <c r="AB6" s="2">
        <f t="shared" ref="AB6" si="15">SUM(AB3:AB5)</f>
        <v>268882</v>
      </c>
      <c r="AC6" s="2">
        <f t="shared" ref="AC6" si="16">SUM(AC3:AC5)</f>
        <v>208114</v>
      </c>
      <c r="AD6" s="2">
        <f t="shared" ref="AD6" si="17">SUM(AD3:AD5)</f>
        <v>244363</v>
      </c>
      <c r="AE6" s="2">
        <f t="shared" ref="AE6" si="18">SUM(AE3:AE5)</f>
        <v>290212</v>
      </c>
      <c r="AF6" s="2">
        <f t="shared" ref="AF6" si="19">SUM(AF3:AF5)</f>
        <v>264938</v>
      </c>
      <c r="AG6" s="2">
        <f t="shared" ref="AG6" si="20">SUM(AG3:AG5)</f>
        <v>125344</v>
      </c>
      <c r="AH6" s="2">
        <f t="shared" ref="AH6:AI6" si="21">SUM(AH3:AH5)</f>
        <v>285640</v>
      </c>
      <c r="AI6" s="2">
        <f t="shared" si="21"/>
        <v>316993</v>
      </c>
    </row>
    <row r="7" spans="2:104" x14ac:dyDescent="0.25">
      <c r="B7" s="1" t="s">
        <v>24</v>
      </c>
      <c r="C7" s="2">
        <v>34801</v>
      </c>
      <c r="D7" s="2">
        <v>38942</v>
      </c>
      <c r="E7" s="2">
        <v>35290</v>
      </c>
      <c r="F7" s="2">
        <v>34768</v>
      </c>
      <c r="G7" s="2">
        <v>32083</v>
      </c>
      <c r="H7" s="2">
        <v>14069</v>
      </c>
      <c r="I7" s="2">
        <v>23950</v>
      </c>
      <c r="J7" s="2">
        <v>26905</v>
      </c>
      <c r="K7" s="2">
        <v>32601</v>
      </c>
      <c r="L7" s="2">
        <v>37329</v>
      </c>
      <c r="M7" s="2">
        <v>39745</v>
      </c>
      <c r="N7" s="2">
        <v>45489</v>
      </c>
      <c r="O7" s="2">
        <v>52388</v>
      </c>
      <c r="P7" s="2">
        <v>65613</v>
      </c>
      <c r="Q7" s="2">
        <f>P7*1.15</f>
        <v>75454.95</v>
      </c>
      <c r="R7" s="2">
        <f t="shared" ref="R7:S7" si="22">Q7*1.15</f>
        <v>86773.19249999999</v>
      </c>
      <c r="S7" s="2">
        <f t="shared" si="22"/>
        <v>99789.171374999976</v>
      </c>
      <c r="T7" s="2"/>
      <c r="V7" s="2"/>
      <c r="W7" s="2">
        <v>197959</v>
      </c>
      <c r="X7" s="2">
        <v>266534</v>
      </c>
      <c r="Y7" s="2">
        <v>265149</v>
      </c>
      <c r="Z7" s="2">
        <v>244156</v>
      </c>
      <c r="AA7" s="2">
        <v>225972</v>
      </c>
      <c r="AB7" s="2">
        <v>130003</v>
      </c>
      <c r="AC7" s="2">
        <v>104171</v>
      </c>
      <c r="AD7" s="2">
        <v>128217</v>
      </c>
      <c r="AE7" s="2">
        <v>156172</v>
      </c>
      <c r="AF7" s="2">
        <f t="shared" ref="AF7:AF10" si="23">SUM(C7:F7)</f>
        <v>143801</v>
      </c>
      <c r="AG7" s="2">
        <f t="shared" ref="AG7:AG10" si="24">SUM(H7:J7)</f>
        <v>64924</v>
      </c>
      <c r="AH7" s="2">
        <f t="shared" ref="AH7:AI11" si="25">SUM(K7:N7)</f>
        <v>155164</v>
      </c>
      <c r="AI7" s="2">
        <f t="shared" si="25"/>
        <v>174951</v>
      </c>
    </row>
    <row r="8" spans="2:104" x14ac:dyDescent="0.25">
      <c r="B8" s="1" t="s">
        <v>25</v>
      </c>
      <c r="C8" s="2">
        <v>8970</v>
      </c>
      <c r="D8" s="2">
        <v>9522</v>
      </c>
      <c r="E8" s="2">
        <v>8848</v>
      </c>
      <c r="F8" s="2">
        <v>9486</v>
      </c>
      <c r="G8" s="2">
        <v>8297</v>
      </c>
      <c r="H8" s="2">
        <v>6895</v>
      </c>
      <c r="I8" s="2">
        <v>7103</v>
      </c>
      <c r="J8" s="2">
        <v>8136</v>
      </c>
      <c r="K8" s="2">
        <v>8062</v>
      </c>
      <c r="L8" s="2">
        <v>8471</v>
      </c>
      <c r="M8" s="2">
        <v>8719</v>
      </c>
      <c r="N8" s="2">
        <v>10783</v>
      </c>
      <c r="O8" s="2">
        <v>10241</v>
      </c>
      <c r="P8" s="2">
        <v>10686</v>
      </c>
      <c r="Q8" s="2">
        <f>P8*1.05</f>
        <v>11220.300000000001</v>
      </c>
      <c r="R8" s="2">
        <f t="shared" ref="R8:S8" si="26">Q8*1.05</f>
        <v>11781.315000000002</v>
      </c>
      <c r="S8" s="2">
        <f t="shared" si="26"/>
        <v>12370.380750000002</v>
      </c>
      <c r="T8" s="2"/>
      <c r="V8" s="2"/>
      <c r="W8" s="2">
        <v>35792</v>
      </c>
      <c r="X8" s="2">
        <v>40268</v>
      </c>
      <c r="Y8" s="2">
        <v>38521</v>
      </c>
      <c r="Z8" s="2">
        <v>40525</v>
      </c>
      <c r="AA8" s="2">
        <v>40859</v>
      </c>
      <c r="AB8" s="2">
        <v>35587</v>
      </c>
      <c r="AC8" s="2">
        <v>30448</v>
      </c>
      <c r="AD8" s="2">
        <v>32690</v>
      </c>
      <c r="AE8" s="2">
        <v>36682</v>
      </c>
      <c r="AF8" s="2">
        <f t="shared" si="23"/>
        <v>36826</v>
      </c>
      <c r="AG8" s="2">
        <f t="shared" si="24"/>
        <v>22134</v>
      </c>
      <c r="AH8" s="2">
        <f t="shared" si="25"/>
        <v>36035</v>
      </c>
      <c r="AI8" s="2">
        <f t="shared" si="25"/>
        <v>38214</v>
      </c>
    </row>
    <row r="9" spans="2:104" x14ac:dyDescent="0.25">
      <c r="B9" s="1" t="s">
        <v>26</v>
      </c>
      <c r="C9" s="2">
        <v>2770</v>
      </c>
      <c r="D9" s="2">
        <v>2827</v>
      </c>
      <c r="E9" s="2">
        <v>2753</v>
      </c>
      <c r="F9" s="2">
        <v>3048</v>
      </c>
      <c r="G9" s="2">
        <v>2579</v>
      </c>
      <c r="H9" s="2">
        <v>2409</v>
      </c>
      <c r="I9" s="2">
        <v>2444</v>
      </c>
      <c r="J9" s="2">
        <v>2736</v>
      </c>
      <c r="K9" s="2">
        <v>2428</v>
      </c>
      <c r="L9" s="2">
        <v>2345</v>
      </c>
      <c r="M9" s="2">
        <v>2297</v>
      </c>
      <c r="N9" s="2">
        <v>2504</v>
      </c>
      <c r="O9" s="2">
        <v>2049</v>
      </c>
      <c r="P9" s="2">
        <v>2530</v>
      </c>
      <c r="Q9" s="2">
        <f t="shared" ref="Q9:S9" si="27">P9*1.05</f>
        <v>2656.5</v>
      </c>
      <c r="R9" s="2">
        <f t="shared" si="27"/>
        <v>2789.3250000000003</v>
      </c>
      <c r="S9" s="2">
        <f t="shared" si="27"/>
        <v>2928.7912500000002</v>
      </c>
      <c r="T9" s="2"/>
      <c r="V9" s="2"/>
      <c r="W9" s="2">
        <v>14683</v>
      </c>
      <c r="X9" s="2">
        <v>14983</v>
      </c>
      <c r="Y9" s="2">
        <v>13877</v>
      </c>
      <c r="Z9" s="2">
        <v>12877</v>
      </c>
      <c r="AA9" s="2">
        <v>12598</v>
      </c>
      <c r="AB9" s="2">
        <v>11501</v>
      </c>
      <c r="AC9" s="2">
        <v>10443</v>
      </c>
      <c r="AD9" s="2">
        <v>10649</v>
      </c>
      <c r="AE9" s="2">
        <v>11840</v>
      </c>
      <c r="AF9" s="2">
        <f t="shared" si="23"/>
        <v>11398</v>
      </c>
      <c r="AG9" s="2">
        <f t="shared" si="24"/>
        <v>7589</v>
      </c>
      <c r="AH9" s="2">
        <f t="shared" si="25"/>
        <v>9574</v>
      </c>
      <c r="AI9" s="2">
        <f t="shared" si="25"/>
        <v>9195</v>
      </c>
    </row>
    <row r="10" spans="2:104" x14ac:dyDescent="0.25">
      <c r="B10" s="1" t="s">
        <v>27</v>
      </c>
      <c r="C10" s="2">
        <v>280</v>
      </c>
      <c r="D10" s="2">
        <v>333</v>
      </c>
      <c r="E10" s="2">
        <v>299</v>
      </c>
      <c r="F10" s="2">
        <v>357</v>
      </c>
      <c r="G10" s="2">
        <v>288</v>
      </c>
      <c r="H10" s="2">
        <v>214</v>
      </c>
      <c r="I10" s="2">
        <v>188</v>
      </c>
      <c r="J10" s="2">
        <v>595</v>
      </c>
      <c r="K10" s="2">
        <v>164</v>
      </c>
      <c r="L10" s="2">
        <v>176</v>
      </c>
      <c r="M10" s="2">
        <v>190</v>
      </c>
      <c r="N10" s="2">
        <v>524</v>
      </c>
      <c r="O10" s="2">
        <v>173</v>
      </c>
      <c r="P10" s="2">
        <v>286</v>
      </c>
      <c r="Q10" s="2">
        <f>P10*1.03</f>
        <v>294.58</v>
      </c>
      <c r="R10" s="2">
        <f t="shared" ref="R10:S10" si="28">Q10*1.03</f>
        <v>303.41739999999999</v>
      </c>
      <c r="S10" s="2">
        <f t="shared" si="28"/>
        <v>312.51992200000001</v>
      </c>
      <c r="T10" s="2"/>
      <c r="V10" s="2"/>
      <c r="W10" s="2">
        <v>259</v>
      </c>
      <c r="X10" s="2">
        <v>247</v>
      </c>
      <c r="Y10" s="2">
        <v>327</v>
      </c>
      <c r="Z10" s="2">
        <v>1976</v>
      </c>
      <c r="AA10" s="2">
        <v>1669</v>
      </c>
      <c r="AB10" s="2">
        <v>18048</v>
      </c>
      <c r="AC10" s="2">
        <v>1467</v>
      </c>
      <c r="AD10" s="2">
        <v>601</v>
      </c>
      <c r="AE10" s="2">
        <v>1466</v>
      </c>
      <c r="AF10" s="2">
        <f t="shared" si="23"/>
        <v>1269</v>
      </c>
      <c r="AG10" s="2">
        <f t="shared" si="24"/>
        <v>997</v>
      </c>
      <c r="AH10" s="2">
        <f t="shared" si="25"/>
        <v>1054</v>
      </c>
      <c r="AI10" s="2">
        <f t="shared" si="25"/>
        <v>1063</v>
      </c>
    </row>
    <row r="11" spans="2:104" x14ac:dyDescent="0.25">
      <c r="B11" s="1" t="s">
        <v>28</v>
      </c>
      <c r="C11" s="2">
        <v>59336</v>
      </c>
      <c r="D11" s="2">
        <v>64459</v>
      </c>
      <c r="E11" s="2">
        <v>60328</v>
      </c>
      <c r="F11" s="2">
        <v>60759</v>
      </c>
      <c r="G11" s="2">
        <v>56416</v>
      </c>
      <c r="H11" s="2">
        <v>34245</v>
      </c>
      <c r="I11" s="2">
        <v>46571</v>
      </c>
      <c r="J11" s="2">
        <v>73153</v>
      </c>
      <c r="K11" s="2">
        <v>55555</v>
      </c>
      <c r="L11" s="2">
        <v>61435</v>
      </c>
      <c r="M11" s="2">
        <v>64180</v>
      </c>
      <c r="N11" s="2">
        <v>73236</v>
      </c>
      <c r="O11" s="2">
        <v>81944</v>
      </c>
      <c r="P11" s="2">
        <v>90748</v>
      </c>
      <c r="Q11" s="2">
        <f>Q6*0.87</f>
        <v>113610.73349999999</v>
      </c>
      <c r="R11" s="2">
        <f t="shared" ref="R11:S11" si="29">R6*0.87</f>
        <v>128253.34549499997</v>
      </c>
      <c r="S11" s="2">
        <f t="shared" si="29"/>
        <v>144786.81871334993</v>
      </c>
      <c r="T11" s="2"/>
      <c r="V11" s="2"/>
      <c r="W11" s="2">
        <v>330262</v>
      </c>
      <c r="X11" s="2">
        <v>413172</v>
      </c>
      <c r="Y11" s="2">
        <v>403569</v>
      </c>
      <c r="Z11" s="2">
        <v>380544</v>
      </c>
      <c r="AA11" s="2">
        <v>360309</v>
      </c>
      <c r="AB11" s="2">
        <v>246916</v>
      </c>
      <c r="AC11" s="2">
        <v>200145</v>
      </c>
      <c r="AD11" s="2">
        <v>225689</v>
      </c>
      <c r="AE11" s="2">
        <v>259259</v>
      </c>
      <c r="AF11" s="2">
        <f>SUM(C11:F11)</f>
        <v>244882</v>
      </c>
      <c r="AG11" s="2">
        <f>SUM(H11:J11)</f>
        <v>153969</v>
      </c>
      <c r="AH11" s="2">
        <f t="shared" si="25"/>
        <v>254406</v>
      </c>
      <c r="AI11" s="2">
        <f t="shared" si="25"/>
        <v>280795</v>
      </c>
    </row>
    <row r="12" spans="2:104" x14ac:dyDescent="0.25">
      <c r="B12" s="1" t="s">
        <v>29</v>
      </c>
      <c r="C12" s="2">
        <f t="shared" ref="C12:N12" si="30">C6-C11</f>
        <v>4289</v>
      </c>
      <c r="D12" s="2">
        <f t="shared" si="30"/>
        <v>4632</v>
      </c>
      <c r="E12" s="2">
        <f t="shared" si="30"/>
        <v>4721</v>
      </c>
      <c r="F12" s="2">
        <f t="shared" si="30"/>
        <v>6414</v>
      </c>
      <c r="G12" s="2">
        <f t="shared" si="30"/>
        <v>-258</v>
      </c>
      <c r="H12" s="2">
        <f t="shared" si="30"/>
        <v>-1640</v>
      </c>
      <c r="I12" s="2">
        <f t="shared" si="30"/>
        <v>-372</v>
      </c>
      <c r="J12" s="2">
        <f t="shared" si="30"/>
        <v>-26613</v>
      </c>
      <c r="K12" s="2">
        <f t="shared" si="30"/>
        <v>3592</v>
      </c>
      <c r="L12" s="2">
        <f t="shared" si="30"/>
        <v>6307</v>
      </c>
      <c r="M12" s="2">
        <f t="shared" si="30"/>
        <v>9606</v>
      </c>
      <c r="N12" s="2">
        <f t="shared" si="30"/>
        <v>11729</v>
      </c>
      <c r="O12" s="2">
        <f>O6-O11</f>
        <v>8556</v>
      </c>
      <c r="P12" s="2">
        <f t="shared" ref="P12" si="31">P6-P11</f>
        <v>24933</v>
      </c>
      <c r="Q12" s="2">
        <f>Q6-Q11</f>
        <v>16976.316500000001</v>
      </c>
      <c r="R12" s="2">
        <f t="shared" ref="R12:S12" si="32">R6-R11</f>
        <v>19164.293005</v>
      </c>
      <c r="S12" s="2">
        <f t="shared" si="32"/>
        <v>21634.81199165</v>
      </c>
      <c r="W12" s="2">
        <f t="shared" ref="W12" si="33">W6-W11</f>
        <v>52949</v>
      </c>
      <c r="X12" s="2">
        <f t="shared" ref="X12" si="34">X6-X11</f>
        <v>73257</v>
      </c>
      <c r="Y12" s="2">
        <f t="shared" ref="Y12" si="35">Y6-Y11</f>
        <v>78726</v>
      </c>
      <c r="Z12" s="2">
        <f t="shared" ref="Z12" si="36">Z6-Z11</f>
        <v>57711</v>
      </c>
      <c r="AA12" s="2">
        <f t="shared" ref="AA12" si="37">AA6-AA11</f>
        <v>51630</v>
      </c>
      <c r="AB12" s="2">
        <f t="shared" ref="AB12" si="38">AB6-AB11</f>
        <v>21966</v>
      </c>
      <c r="AC12" s="2">
        <f t="shared" ref="AC12" si="39">AC6-AC11</f>
        <v>7969</v>
      </c>
      <c r="AD12" s="2">
        <f t="shared" ref="AD12" si="40">AD6-AD11</f>
        <v>18674</v>
      </c>
      <c r="AE12" s="2">
        <f t="shared" ref="AE12" si="41">AE6-AE11</f>
        <v>30953</v>
      </c>
      <c r="AF12" s="2">
        <f t="shared" ref="AF12" si="42">AF6-AF11</f>
        <v>20056</v>
      </c>
      <c r="AG12" s="2">
        <f t="shared" ref="AG12" si="43">AG6-AG11</f>
        <v>-28625</v>
      </c>
      <c r="AH12" s="2">
        <f t="shared" ref="AH12:AI12" si="44">AH6-AH11</f>
        <v>31234</v>
      </c>
      <c r="AI12" s="2">
        <f t="shared" si="44"/>
        <v>36198</v>
      </c>
    </row>
    <row r="13" spans="2:104" x14ac:dyDescent="0.25">
      <c r="B13" s="1" t="s">
        <v>30</v>
      </c>
      <c r="C13" s="2">
        <f t="shared" ref="C13:O13" si="45">C12-C14</f>
        <v>1883</v>
      </c>
      <c r="D13" s="2">
        <f t="shared" si="45"/>
        <v>1241</v>
      </c>
      <c r="E13" s="2">
        <f t="shared" si="45"/>
        <v>1474</v>
      </c>
      <c r="F13" s="2">
        <f t="shared" si="45"/>
        <v>684</v>
      </c>
      <c r="G13" s="2">
        <f t="shared" si="45"/>
        <v>512</v>
      </c>
      <c r="H13" s="2">
        <f t="shared" si="45"/>
        <v>-471</v>
      </c>
      <c r="I13" s="2">
        <f t="shared" si="45"/>
        <v>337</v>
      </c>
      <c r="J13" s="2">
        <f t="shared" si="45"/>
        <v>-6821</v>
      </c>
      <c r="K13" s="2">
        <f t="shared" si="45"/>
        <v>796</v>
      </c>
      <c r="L13" s="2">
        <f t="shared" si="45"/>
        <v>1526</v>
      </c>
      <c r="M13" s="2">
        <f t="shared" si="45"/>
        <v>2664</v>
      </c>
      <c r="N13" s="2">
        <f t="shared" si="45"/>
        <v>2650</v>
      </c>
      <c r="O13" s="2">
        <f t="shared" si="45"/>
        <v>2806</v>
      </c>
      <c r="P13" s="2">
        <f>P12-P14</f>
        <v>6359</v>
      </c>
      <c r="Q13" s="2">
        <f>Q12*0.26</f>
        <v>4413.8422900000005</v>
      </c>
      <c r="R13" s="2">
        <f t="shared" ref="R13:S13" si="46">R12*0.26</f>
        <v>4982.7161813000002</v>
      </c>
      <c r="S13" s="2">
        <f t="shared" si="46"/>
        <v>5625.0511178289998</v>
      </c>
      <c r="W13" s="2">
        <f t="shared" ref="W13" si="47">W12-W14</f>
        <v>21551</v>
      </c>
      <c r="X13" s="2">
        <f t="shared" ref="X13" si="48">X12-X14</f>
        <v>31051</v>
      </c>
      <c r="Y13" s="2">
        <f t="shared" ref="Y13" si="49">Y12-Y14</f>
        <v>31045</v>
      </c>
      <c r="Z13" s="2">
        <f t="shared" ref="Z13" si="50">Z12-Z14</f>
        <v>24262</v>
      </c>
      <c r="AA13" s="2">
        <f t="shared" ref="AA13" si="51">AA12-AA14</f>
        <v>18015</v>
      </c>
      <c r="AB13" s="2">
        <f t="shared" ref="AB13" si="52">AB12-AB14</f>
        <v>5415</v>
      </c>
      <c r="AC13" s="2">
        <f t="shared" ref="AC13" si="53">AC12-AC14</f>
        <v>-406</v>
      </c>
      <c r="AD13" s="2">
        <f t="shared" ref="AD13" si="54">AD12-AD14</f>
        <v>-1174</v>
      </c>
      <c r="AE13" s="2">
        <f t="shared" ref="AE13" si="55">AE12-AE14</f>
        <v>9532</v>
      </c>
      <c r="AF13" s="2">
        <f t="shared" ref="AF13" si="56">AF12-AF14</f>
        <v>5282</v>
      </c>
      <c r="AG13" s="2">
        <f t="shared" ref="AG13" si="57">AG12-AG14</f>
        <v>-6955</v>
      </c>
      <c r="AH13" s="2">
        <f t="shared" ref="AH13:AI13" si="58">AH12-AH14</f>
        <v>7636</v>
      </c>
      <c r="AI13" s="2">
        <f t="shared" si="58"/>
        <v>13307.940000000002</v>
      </c>
    </row>
    <row r="14" spans="2:104" s="6" customFormat="1" x14ac:dyDescent="0.25">
      <c r="B14" s="6" t="s">
        <v>31</v>
      </c>
      <c r="C14" s="6">
        <v>2406</v>
      </c>
      <c r="D14" s="6">
        <v>3391</v>
      </c>
      <c r="E14" s="6">
        <v>3247</v>
      </c>
      <c r="F14" s="6">
        <v>5730</v>
      </c>
      <c r="G14" s="6">
        <v>-770</v>
      </c>
      <c r="H14" s="6">
        <v>-1169</v>
      </c>
      <c r="I14" s="6">
        <v>-709</v>
      </c>
      <c r="J14" s="6">
        <v>-19792</v>
      </c>
      <c r="K14" s="6">
        <v>2796</v>
      </c>
      <c r="L14" s="6">
        <v>4781</v>
      </c>
      <c r="M14" s="6">
        <v>6942</v>
      </c>
      <c r="N14" s="6">
        <v>9079</v>
      </c>
      <c r="O14" s="6">
        <v>5750</v>
      </c>
      <c r="P14" s="6">
        <v>18574</v>
      </c>
      <c r="Q14" s="6">
        <f>Q12-Q13</f>
        <v>12562.47421</v>
      </c>
      <c r="R14" s="6">
        <f t="shared" ref="R14:S14" si="59">R12-R13</f>
        <v>14181.576823699999</v>
      </c>
      <c r="S14" s="6">
        <f t="shared" si="59"/>
        <v>16009.760873821</v>
      </c>
      <c r="W14" s="6">
        <v>31398</v>
      </c>
      <c r="X14" s="6">
        <v>42206</v>
      </c>
      <c r="Y14" s="6">
        <v>47681</v>
      </c>
      <c r="Z14" s="6">
        <v>33449</v>
      </c>
      <c r="AA14" s="6">
        <v>33615</v>
      </c>
      <c r="AB14" s="6">
        <v>16551</v>
      </c>
      <c r="AC14" s="6">
        <v>8375</v>
      </c>
      <c r="AD14" s="6">
        <v>19848</v>
      </c>
      <c r="AE14" s="6">
        <v>21421</v>
      </c>
      <c r="AF14" s="6">
        <f t="shared" ref="AF14:AF15" si="60">SUM(C14:F14)</f>
        <v>14774</v>
      </c>
      <c r="AG14" s="6">
        <f t="shared" ref="AG14:AG15" si="61">SUM(H14:J14)</f>
        <v>-21670</v>
      </c>
      <c r="AH14" s="6">
        <f t="shared" ref="AH14:AI15" si="62">SUM(K14:N14)</f>
        <v>23598</v>
      </c>
      <c r="AI14" s="6">
        <f>AH14*(1+$AK$26)</f>
        <v>22890.059999999998</v>
      </c>
      <c r="AJ14" s="6">
        <f>AI14*(1+$AK$26)</f>
        <v>22203.358199999999</v>
      </c>
      <c r="AK14" s="6">
        <f t="shared" ref="AK14:CV14" si="63">AJ14*(1+$AK$26)</f>
        <v>21537.257453999999</v>
      </c>
      <c r="AL14" s="6">
        <f t="shared" si="63"/>
        <v>20891.139730379997</v>
      </c>
      <c r="AM14" s="6">
        <f t="shared" si="63"/>
        <v>20264.405538468596</v>
      </c>
      <c r="AN14" s="6">
        <f t="shared" si="63"/>
        <v>19656.473372314536</v>
      </c>
      <c r="AO14" s="6">
        <f t="shared" si="63"/>
        <v>19066.779171145099</v>
      </c>
      <c r="AP14" s="6">
        <f t="shared" si="63"/>
        <v>18494.775796010745</v>
      </c>
      <c r="AQ14" s="6">
        <f t="shared" si="63"/>
        <v>17939.932522130421</v>
      </c>
      <c r="AR14" s="6">
        <f t="shared" si="63"/>
        <v>17401.734546466509</v>
      </c>
      <c r="AS14" s="6">
        <f t="shared" si="63"/>
        <v>16879.682510072515</v>
      </c>
      <c r="AT14" s="6">
        <f t="shared" si="63"/>
        <v>16373.292034770338</v>
      </c>
      <c r="AU14" s="6">
        <f t="shared" si="63"/>
        <v>15882.093273727229</v>
      </c>
      <c r="AV14" s="6">
        <f t="shared" si="63"/>
        <v>15405.630475515411</v>
      </c>
      <c r="AW14" s="6">
        <f t="shared" si="63"/>
        <v>14943.461561249947</v>
      </c>
      <c r="AX14" s="6">
        <f t="shared" si="63"/>
        <v>14495.157714412449</v>
      </c>
      <c r="AY14" s="6">
        <f t="shared" si="63"/>
        <v>14060.302982980076</v>
      </c>
      <c r="AZ14" s="6">
        <f t="shared" si="63"/>
        <v>13638.493893490673</v>
      </c>
      <c r="BA14" s="6">
        <f t="shared" si="63"/>
        <v>13229.339076685952</v>
      </c>
      <c r="BB14" s="6">
        <f t="shared" si="63"/>
        <v>12832.458904385374</v>
      </c>
      <c r="BC14" s="6">
        <f t="shared" si="63"/>
        <v>12447.485137253812</v>
      </c>
      <c r="BD14" s="6">
        <f t="shared" si="63"/>
        <v>12074.060583136197</v>
      </c>
      <c r="BE14" s="6">
        <f t="shared" si="63"/>
        <v>11711.838765642111</v>
      </c>
      <c r="BF14" s="6">
        <f t="shared" si="63"/>
        <v>11360.483602672848</v>
      </c>
      <c r="BG14" s="6">
        <f t="shared" si="63"/>
        <v>11019.669094592662</v>
      </c>
      <c r="BH14" s="6">
        <f t="shared" si="63"/>
        <v>10689.079021754882</v>
      </c>
      <c r="BI14" s="6">
        <f t="shared" si="63"/>
        <v>10368.406651102236</v>
      </c>
      <c r="BJ14" s="6">
        <f t="shared" si="63"/>
        <v>10057.354451569168</v>
      </c>
      <c r="BK14" s="6">
        <f t="shared" si="63"/>
        <v>9755.6338180220937</v>
      </c>
      <c r="BL14" s="6">
        <f t="shared" si="63"/>
        <v>9462.9648034814309</v>
      </c>
      <c r="BM14" s="6">
        <f t="shared" si="63"/>
        <v>9179.0758593769879</v>
      </c>
      <c r="BN14" s="6">
        <f t="shared" si="63"/>
        <v>8903.7035835956776</v>
      </c>
      <c r="BO14" s="6">
        <f t="shared" si="63"/>
        <v>8636.5924760878079</v>
      </c>
      <c r="BP14" s="6">
        <f t="shared" si="63"/>
        <v>8377.4947018051735</v>
      </c>
      <c r="BQ14" s="6">
        <f t="shared" si="63"/>
        <v>8126.1698607510179</v>
      </c>
      <c r="BR14" s="6">
        <f t="shared" si="63"/>
        <v>7882.3847649284871</v>
      </c>
      <c r="BS14" s="6">
        <f t="shared" si="63"/>
        <v>7645.9132219806324</v>
      </c>
      <c r="BT14" s="6">
        <f t="shared" si="63"/>
        <v>7416.5358253212135</v>
      </c>
      <c r="BU14" s="6">
        <f t="shared" si="63"/>
        <v>7194.0397505615765</v>
      </c>
      <c r="BV14" s="6">
        <f t="shared" si="63"/>
        <v>6978.2185580447294</v>
      </c>
      <c r="BW14" s="6">
        <f t="shared" si="63"/>
        <v>6768.8720013033872</v>
      </c>
      <c r="BX14" s="6">
        <f t="shared" si="63"/>
        <v>6565.8058412642849</v>
      </c>
      <c r="BY14" s="6">
        <f t="shared" si="63"/>
        <v>6368.8316660263563</v>
      </c>
      <c r="BZ14" s="6">
        <f t="shared" si="63"/>
        <v>6177.7667160455658</v>
      </c>
      <c r="CA14" s="6">
        <f t="shared" si="63"/>
        <v>5992.4337145641985</v>
      </c>
      <c r="CB14" s="6">
        <f t="shared" si="63"/>
        <v>5812.6607031272724</v>
      </c>
      <c r="CC14" s="6">
        <f t="shared" si="63"/>
        <v>5638.280882033454</v>
      </c>
      <c r="CD14" s="6">
        <f t="shared" si="63"/>
        <v>5469.1324555724505</v>
      </c>
      <c r="CE14" s="6">
        <f t="shared" si="63"/>
        <v>5305.0584819052765</v>
      </c>
      <c r="CF14" s="6">
        <f t="shared" si="63"/>
        <v>5145.9067274481176</v>
      </c>
      <c r="CG14" s="6">
        <f t="shared" si="63"/>
        <v>4991.5295256246736</v>
      </c>
      <c r="CH14" s="6">
        <f t="shared" si="63"/>
        <v>4841.783639855933</v>
      </c>
      <c r="CI14" s="6">
        <f t="shared" si="63"/>
        <v>4696.5301306602551</v>
      </c>
      <c r="CJ14" s="6">
        <f t="shared" si="63"/>
        <v>4555.634226740447</v>
      </c>
      <c r="CK14" s="6">
        <f t="shared" si="63"/>
        <v>4418.9651999382331</v>
      </c>
      <c r="CL14" s="6">
        <f t="shared" si="63"/>
        <v>4286.3962439400857</v>
      </c>
      <c r="CM14" s="6">
        <f t="shared" si="63"/>
        <v>4157.804356621883</v>
      </c>
      <c r="CN14" s="6">
        <f t="shared" si="63"/>
        <v>4033.0702259232262</v>
      </c>
      <c r="CO14" s="6">
        <f t="shared" si="63"/>
        <v>3912.0781191455294</v>
      </c>
      <c r="CP14" s="6">
        <f t="shared" si="63"/>
        <v>3794.7157755711632</v>
      </c>
      <c r="CQ14" s="6">
        <f t="shared" si="63"/>
        <v>3680.8743023040283</v>
      </c>
      <c r="CR14" s="6">
        <f t="shared" si="63"/>
        <v>3570.4480732349075</v>
      </c>
      <c r="CS14" s="6">
        <f t="shared" si="63"/>
        <v>3463.3346310378602</v>
      </c>
      <c r="CT14" s="6">
        <f t="shared" si="63"/>
        <v>3359.4345921067243</v>
      </c>
      <c r="CU14" s="6">
        <f t="shared" si="63"/>
        <v>3258.6515543435225</v>
      </c>
      <c r="CV14" s="6">
        <f t="shared" si="63"/>
        <v>3160.8920077132166</v>
      </c>
      <c r="CW14" s="6">
        <f t="shared" ref="CW14:CZ14" si="64">CV14*(1+$AK$26)</f>
        <v>3066.0652474818198</v>
      </c>
      <c r="CX14" s="6">
        <f t="shared" si="64"/>
        <v>2974.083290057365</v>
      </c>
      <c r="CY14" s="6">
        <f t="shared" si="64"/>
        <v>2884.8607913556439</v>
      </c>
      <c r="CZ14" s="6">
        <f t="shared" si="64"/>
        <v>2798.3149676149746</v>
      </c>
    </row>
    <row r="15" spans="2:104" s="3" customFormat="1" x14ac:dyDescent="0.25">
      <c r="B15" s="3" t="s">
        <v>32</v>
      </c>
      <c r="C15" s="3">
        <v>0.55000000000000004</v>
      </c>
      <c r="D15" s="3">
        <v>0.73</v>
      </c>
      <c r="E15" s="3">
        <v>0.75</v>
      </c>
      <c r="F15" s="3">
        <v>1.33</v>
      </c>
      <c r="G15" s="3">
        <v>-0.14000000000000001</v>
      </c>
      <c r="H15" s="3">
        <v>-0.26</v>
      </c>
      <c r="I15" s="3">
        <v>0.15</v>
      </c>
      <c r="J15" s="3">
        <v>-5</v>
      </c>
      <c r="K15" s="3">
        <v>0.64</v>
      </c>
      <c r="L15" s="3">
        <v>1.1000000000000001</v>
      </c>
      <c r="M15" s="3">
        <v>1.57</v>
      </c>
      <c r="N15" s="3">
        <v>2.08</v>
      </c>
      <c r="O15" s="3">
        <v>1.28</v>
      </c>
      <c r="P15" s="3">
        <v>4.21</v>
      </c>
      <c r="Q15" s="3">
        <f>Q14/Q16</f>
        <v>3.0207942186268384</v>
      </c>
      <c r="R15" s="3">
        <f t="shared" ref="R15:S15" si="65">R14/R16</f>
        <v>3.4169603467397156</v>
      </c>
      <c r="S15" s="3">
        <f t="shared" si="65"/>
        <v>3.8651799755120937</v>
      </c>
      <c r="W15" s="3">
        <v>6.24</v>
      </c>
      <c r="X15" s="3">
        <v>8.43</v>
      </c>
      <c r="Y15" s="3">
        <v>9.6999999999999993</v>
      </c>
      <c r="Z15" s="3">
        <v>7.37</v>
      </c>
      <c r="AA15" s="3">
        <v>7.6</v>
      </c>
      <c r="AB15" s="3">
        <v>3.85</v>
      </c>
      <c r="AC15" s="3">
        <v>1.88</v>
      </c>
      <c r="AD15" s="3">
        <v>4.63</v>
      </c>
      <c r="AE15" s="3">
        <v>4.88</v>
      </c>
      <c r="AF15" s="3">
        <f t="shared" si="60"/>
        <v>3.3600000000000003</v>
      </c>
      <c r="AG15" s="3">
        <f t="shared" si="61"/>
        <v>-5.1100000000000003</v>
      </c>
      <c r="AH15" s="3">
        <f t="shared" si="62"/>
        <v>5.3900000000000006</v>
      </c>
      <c r="AI15" s="3">
        <f t="shared" si="62"/>
        <v>6.03</v>
      </c>
    </row>
    <row r="16" spans="2:104" s="2" customFormat="1" x14ac:dyDescent="0.25">
      <c r="B16" s="2" t="s">
        <v>1</v>
      </c>
      <c r="C16" s="2">
        <v>4231</v>
      </c>
      <c r="D16" s="2">
        <v>4231</v>
      </c>
      <c r="E16" s="2">
        <v>4231</v>
      </c>
      <c r="F16" s="2">
        <v>4232</v>
      </c>
      <c r="G16" s="2">
        <v>4228</v>
      </c>
      <c r="H16" s="2">
        <v>4228</v>
      </c>
      <c r="I16" s="2">
        <v>4228</v>
      </c>
      <c r="J16" s="2">
        <v>4233</v>
      </c>
      <c r="K16" s="2">
        <v>4233</v>
      </c>
      <c r="L16" s="2">
        <v>4233</v>
      </c>
      <c r="M16" s="2">
        <v>4233</v>
      </c>
      <c r="N16" s="2">
        <v>4233</v>
      </c>
      <c r="O16" s="2">
        <v>4212</v>
      </c>
      <c r="P16" s="2">
        <v>4167</v>
      </c>
      <c r="Q16" s="2">
        <f>P16*0.998</f>
        <v>4158.6660000000002</v>
      </c>
      <c r="R16" s="2">
        <f t="shared" ref="R16:S16" si="66">Q16*0.998</f>
        <v>4150.3486680000005</v>
      </c>
      <c r="S16" s="2">
        <f t="shared" si="66"/>
        <v>4142.0479706640008</v>
      </c>
      <c r="W16" s="2">
        <f t="shared" ref="W16" si="67">W14/W15</f>
        <v>5031.7307692307695</v>
      </c>
      <c r="X16" s="2">
        <f t="shared" ref="X16" si="68">X14/X15</f>
        <v>5006.6429418742591</v>
      </c>
      <c r="Y16" s="2">
        <f t="shared" ref="Y16" si="69">Y14/Y15</f>
        <v>4915.5670103092789</v>
      </c>
      <c r="Z16" s="2">
        <f t="shared" ref="Z16" si="70">Z14/Z15</f>
        <v>4538.5345997286295</v>
      </c>
      <c r="AA16" s="2">
        <f t="shared" ref="AA16" si="71">AA14/AA15</f>
        <v>4423.0263157894742</v>
      </c>
      <c r="AB16" s="2">
        <f t="shared" ref="AB16" si="72">AB14/AB15</f>
        <v>4298.9610389610389</v>
      </c>
      <c r="AC16" s="2">
        <f t="shared" ref="AC16:AD16" si="73">AC14/AC15</f>
        <v>4454.7872340425538</v>
      </c>
      <c r="AD16" s="2">
        <f t="shared" si="73"/>
        <v>4286.8250539956807</v>
      </c>
      <c r="AE16" s="2">
        <f>AE14/AE15</f>
        <v>4389.5491803278692</v>
      </c>
      <c r="AF16" s="2">
        <f>F16</f>
        <v>4232</v>
      </c>
      <c r="AG16" s="2">
        <f>J16</f>
        <v>4233</v>
      </c>
      <c r="AH16" s="2">
        <f>N16</f>
        <v>4233</v>
      </c>
      <c r="AI16" s="2">
        <f>O16</f>
        <v>4212</v>
      </c>
    </row>
    <row r="18" spans="2:39" x14ac:dyDescent="0.25">
      <c r="B18" s="1" t="s">
        <v>44</v>
      </c>
      <c r="G18" s="7">
        <f>G3/C3-1</f>
        <v>-0.10563540213476952</v>
      </c>
      <c r="H18" s="7">
        <f t="shared" ref="H18:P18" si="74">H3/D3-1</f>
        <v>-0.52175845668311327</v>
      </c>
      <c r="I18" s="7">
        <f t="shared" si="74"/>
        <v>-0.28376588565482008</v>
      </c>
      <c r="J18" s="7">
        <f t="shared" si="74"/>
        <v>-0.27427646610814926</v>
      </c>
      <c r="K18" s="7">
        <f t="shared" si="74"/>
        <v>4.3856785286755962E-2</v>
      </c>
      <c r="L18" s="7">
        <f t="shared" si="74"/>
        <v>1.0430337391950926</v>
      </c>
      <c r="M18" s="7">
        <f t="shared" si="74"/>
        <v>0.58265272427077597</v>
      </c>
      <c r="N18" s="7">
        <f t="shared" si="74"/>
        <v>0.77762473217018679</v>
      </c>
      <c r="O18" s="7">
        <f t="shared" si="74"/>
        <v>0.5244300806227411</v>
      </c>
      <c r="P18" s="7">
        <f t="shared" si="74"/>
        <v>0.68729053879865942</v>
      </c>
      <c r="Q18" s="7">
        <f t="shared" ref="Q18" si="75">Q3/M3-1</f>
        <v>0.74886565960051166</v>
      </c>
      <c r="R18" s="7">
        <f t="shared" ref="R18" si="76">R3/N3-1</f>
        <v>0.74742363323288807</v>
      </c>
      <c r="S18" s="7">
        <f t="shared" ref="S18" si="77">S3/O3-1</f>
        <v>0.82989416537488236</v>
      </c>
      <c r="X18" s="7">
        <f t="shared" ref="X18:Z18" si="78">X3/W3-1</f>
        <v>0.26181425194191155</v>
      </c>
      <c r="Y18" s="7">
        <f t="shared" si="78"/>
        <v>-2.9775452916200096E-2</v>
      </c>
      <c r="Z18" s="7">
        <f t="shared" si="78"/>
        <v>-7.1254383467623583E-2</v>
      </c>
      <c r="AA18" s="7">
        <f t="shared" ref="AA18:AC18" si="79">AA3/Z3-1</f>
        <v>-6.3518805425391345E-2</v>
      </c>
      <c r="AB18" s="7">
        <f t="shared" si="79"/>
        <v>-0.34157648342446811</v>
      </c>
      <c r="AC18" s="7">
        <f t="shared" si="79"/>
        <v>-0.22683129855715867</v>
      </c>
      <c r="AD18" s="7">
        <f t="shared" ref="AD18:AG18" si="80">AD3/AC3-1</f>
        <v>0.18209821161552719</v>
      </c>
      <c r="AE18" s="7">
        <f t="shared" si="80"/>
        <v>0.17781094779096152</v>
      </c>
      <c r="AF18" s="7">
        <f t="shared" si="80"/>
        <v>-8.5020692222874561E-2</v>
      </c>
      <c r="AG18" s="7">
        <f t="shared" si="80"/>
        <v>-0.51702578027490098</v>
      </c>
      <c r="AH18" s="7">
        <f>AH3/AG3-1</f>
        <v>1.2415100453661698</v>
      </c>
      <c r="AI18" s="7">
        <f>AI3/AH3-1</f>
        <v>0.10908157807236929</v>
      </c>
    </row>
    <row r="19" spans="2:39" x14ac:dyDescent="0.25">
      <c r="B19" s="1" t="s">
        <v>45</v>
      </c>
      <c r="G19" s="7">
        <f t="shared" ref="G19:P19" si="81">G6/C6-1</f>
        <v>-0.11735952848722986</v>
      </c>
      <c r="H19" s="7">
        <f t="shared" si="81"/>
        <v>-0.52808614725506942</v>
      </c>
      <c r="I19" s="7">
        <f t="shared" si="81"/>
        <v>-0.28978154929360944</v>
      </c>
      <c r="J19" s="7">
        <f t="shared" si="81"/>
        <v>-0.30716210382147591</v>
      </c>
      <c r="K19" s="7">
        <f t="shared" si="81"/>
        <v>5.3224829944086283E-2</v>
      </c>
      <c r="L19" s="7">
        <f t="shared" si="81"/>
        <v>1.077656801104125</v>
      </c>
      <c r="M19" s="7">
        <f t="shared" si="81"/>
        <v>0.59713413710253471</v>
      </c>
      <c r="N19" s="7">
        <f t="shared" si="81"/>
        <v>0.82563386334336064</v>
      </c>
      <c r="O19" s="7">
        <f t="shared" si="81"/>
        <v>0.53008605677380083</v>
      </c>
      <c r="P19" s="7">
        <f t="shared" si="81"/>
        <v>0.70767027840925856</v>
      </c>
      <c r="Q19" s="7">
        <f t="shared" ref="Q19:S19" si="82">Q6/M6-1</f>
        <v>0.7698079581492423</v>
      </c>
      <c r="R19" s="7">
        <f t="shared" si="82"/>
        <v>0.73503958688871851</v>
      </c>
      <c r="S19" s="7">
        <f t="shared" si="82"/>
        <v>0.83891304646408771</v>
      </c>
      <c r="U19" s="7"/>
      <c r="X19" s="7">
        <f t="shared" ref="X19:Z19" si="83">X6/W6-1</f>
        <v>0.26935030570625584</v>
      </c>
      <c r="Y19" s="7">
        <f t="shared" si="83"/>
        <v>-8.4986709262810933E-3</v>
      </c>
      <c r="Z19" s="7">
        <f t="shared" si="83"/>
        <v>-9.1313407769104016E-2</v>
      </c>
      <c r="AA19" s="7">
        <f t="shared" ref="AA19:AC19" si="84">AA6/Z6-1</f>
        <v>-6.0047232775438997E-2</v>
      </c>
      <c r="AB19" s="7">
        <f t="shared" si="84"/>
        <v>-0.34727714540259602</v>
      </c>
      <c r="AC19" s="7">
        <f t="shared" si="84"/>
        <v>-0.22600248436116954</v>
      </c>
      <c r="AD19" s="7">
        <f t="shared" ref="AD19:AG19" si="85">AD6/AC6-1</f>
        <v>0.17417857520397484</v>
      </c>
      <c r="AE19" s="7">
        <f t="shared" si="85"/>
        <v>0.18762660468237824</v>
      </c>
      <c r="AF19" s="7">
        <f t="shared" si="85"/>
        <v>-8.7088059763207548E-2</v>
      </c>
      <c r="AG19" s="7">
        <f t="shared" si="85"/>
        <v>-0.52689308441975102</v>
      </c>
      <c r="AH19" s="7">
        <f>AH6/AG6-1</f>
        <v>1.2788486086290529</v>
      </c>
      <c r="AI19" s="7">
        <f>AI6/AH6-1</f>
        <v>0.10976403865004891</v>
      </c>
    </row>
    <row r="20" spans="2:39" x14ac:dyDescent="0.25">
      <c r="B20" s="1" t="s">
        <v>46</v>
      </c>
      <c r="G20" s="7">
        <f t="shared" ref="G20:P20" si="86">G6/C6-1</f>
        <v>-0.11735952848722986</v>
      </c>
      <c r="H20" s="7">
        <f t="shared" si="86"/>
        <v>-0.52808614725506942</v>
      </c>
      <c r="I20" s="7">
        <f t="shared" si="86"/>
        <v>-0.28978154929360944</v>
      </c>
      <c r="J20" s="7">
        <f t="shared" si="86"/>
        <v>-0.30716210382147591</v>
      </c>
      <c r="K20" s="7">
        <f t="shared" si="86"/>
        <v>5.3224829944086283E-2</v>
      </c>
      <c r="L20" s="7">
        <f t="shared" si="86"/>
        <v>1.077656801104125</v>
      </c>
      <c r="M20" s="7">
        <f t="shared" si="86"/>
        <v>0.59713413710253471</v>
      </c>
      <c r="N20" s="7">
        <f t="shared" si="86"/>
        <v>0.82563386334336064</v>
      </c>
      <c r="O20" s="7">
        <f t="shared" si="86"/>
        <v>0.53008605677380083</v>
      </c>
      <c r="P20" s="7">
        <f t="shared" si="86"/>
        <v>0.70767027840925856</v>
      </c>
      <c r="Q20" s="7">
        <f t="shared" ref="Q20:S20" si="87">Q6/M6-1</f>
        <v>0.7698079581492423</v>
      </c>
      <c r="R20" s="7">
        <f t="shared" si="87"/>
        <v>0.73503958688871851</v>
      </c>
      <c r="S20" s="7">
        <f t="shared" si="87"/>
        <v>0.83891304646408771</v>
      </c>
      <c r="X20" s="7">
        <f t="shared" ref="X20:Z20" si="88">X6/W6-1</f>
        <v>0.26935030570625584</v>
      </c>
      <c r="Y20" s="7">
        <f t="shared" si="88"/>
        <v>-8.4986709262810933E-3</v>
      </c>
      <c r="Z20" s="7">
        <f t="shared" si="88"/>
        <v>-9.1313407769104016E-2</v>
      </c>
      <c r="AA20" s="7">
        <f t="shared" ref="AA20:AC20" si="89">AA6/Z6-1</f>
        <v>-6.0047232775438997E-2</v>
      </c>
      <c r="AB20" s="7">
        <f t="shared" si="89"/>
        <v>-0.34727714540259602</v>
      </c>
      <c r="AC20" s="7">
        <f t="shared" si="89"/>
        <v>-0.22600248436116954</v>
      </c>
      <c r="AD20" s="7">
        <f t="shared" ref="AD20:AG20" si="90">AD6/AC6-1</f>
        <v>0.17417857520397484</v>
      </c>
      <c r="AE20" s="7">
        <f t="shared" si="90"/>
        <v>0.18762660468237824</v>
      </c>
      <c r="AF20" s="7">
        <f t="shared" si="90"/>
        <v>-8.7088059763207548E-2</v>
      </c>
      <c r="AG20" s="7">
        <f t="shared" si="90"/>
        <v>-0.52689308441975102</v>
      </c>
      <c r="AH20" s="7">
        <f>AH6/AG6-1</f>
        <v>1.2788486086290529</v>
      </c>
      <c r="AI20" s="7">
        <f>AI6/AH6-1</f>
        <v>0.10976403865004891</v>
      </c>
    </row>
    <row r="21" spans="2:39" x14ac:dyDescent="0.25">
      <c r="B21" s="1" t="s">
        <v>48</v>
      </c>
      <c r="C21" s="7">
        <f>C11/C6</f>
        <v>0.9325893909626719</v>
      </c>
      <c r="D21" s="7">
        <f t="shared" ref="D21:P21" si="91">D11/D6</f>
        <v>0.93295798295002241</v>
      </c>
      <c r="E21" s="7">
        <f t="shared" si="91"/>
        <v>0.92742394195145195</v>
      </c>
      <c r="F21" s="7">
        <f t="shared" si="91"/>
        <v>0.90451520700281363</v>
      </c>
      <c r="G21" s="7">
        <f t="shared" si="91"/>
        <v>1.004594180704441</v>
      </c>
      <c r="H21" s="7">
        <f t="shared" si="91"/>
        <v>1.0502990338905076</v>
      </c>
      <c r="I21" s="7">
        <f t="shared" si="91"/>
        <v>1.0080521223403105</v>
      </c>
      <c r="J21" s="7">
        <f t="shared" si="91"/>
        <v>1.5718306832831972</v>
      </c>
      <c r="K21" s="7">
        <f t="shared" si="91"/>
        <v>0.93926995452009399</v>
      </c>
      <c r="L21" s="7">
        <f t="shared" si="91"/>
        <v>0.90689675533642344</v>
      </c>
      <c r="M21" s="7">
        <f t="shared" si="91"/>
        <v>0.86981270159650881</v>
      </c>
      <c r="N21" s="7">
        <f t="shared" si="91"/>
        <v>0.86195492261519446</v>
      </c>
      <c r="O21" s="7">
        <f t="shared" si="91"/>
        <v>0.90545856353591159</v>
      </c>
      <c r="P21" s="7">
        <f t="shared" si="91"/>
        <v>0.78446763081232007</v>
      </c>
      <c r="Q21" s="7">
        <f t="shared" ref="Q21:S21" si="92">Q11/Q6</f>
        <v>0.87</v>
      </c>
      <c r="R21" s="7">
        <f t="shared" si="92"/>
        <v>0.87</v>
      </c>
      <c r="S21" s="7">
        <f t="shared" si="92"/>
        <v>0.87</v>
      </c>
      <c r="X21" s="7">
        <f t="shared" ref="X21:Z21" si="93">X11/X6</f>
        <v>0.84939837057412282</v>
      </c>
      <c r="Y21" s="7">
        <f t="shared" si="93"/>
        <v>0.83676795322364939</v>
      </c>
      <c r="Z21" s="7">
        <f t="shared" si="93"/>
        <v>0.86831639114214332</v>
      </c>
      <c r="AA21" s="7">
        <f t="shared" ref="AA21:AC21" si="94">AA11/AA6</f>
        <v>0.87466590927297483</v>
      </c>
      <c r="AB21" s="7">
        <f t="shared" si="94"/>
        <v>0.91830617148042637</v>
      </c>
      <c r="AC21" s="7">
        <f t="shared" si="94"/>
        <v>0.96170848669479225</v>
      </c>
      <c r="AD21" s="7">
        <f t="shared" ref="AD21:AG21" si="95">AD11/AD6</f>
        <v>0.92358090218240896</v>
      </c>
      <c r="AE21" s="7">
        <f t="shared" si="95"/>
        <v>0.89334348683031717</v>
      </c>
      <c r="AF21" s="7">
        <f t="shared" si="95"/>
        <v>0.92429927001789103</v>
      </c>
      <c r="AG21" s="7">
        <f t="shared" si="95"/>
        <v>1.2283715215726321</v>
      </c>
      <c r="AH21" s="7">
        <f>AH11/AH6</f>
        <v>0.89065256966811368</v>
      </c>
      <c r="AI21" s="7">
        <f>AI11/AI6</f>
        <v>0.88580820396664905</v>
      </c>
    </row>
    <row r="22" spans="2:39" x14ac:dyDescent="0.25">
      <c r="B22" s="1" t="s">
        <v>47</v>
      </c>
      <c r="C22" s="7">
        <f>C13/C12</f>
        <v>0.43903007694101187</v>
      </c>
      <c r="D22" s="7">
        <f t="shared" ref="D22:P22" si="96">D13/D12</f>
        <v>0.26791882556131263</v>
      </c>
      <c r="E22" s="7">
        <f t="shared" si="96"/>
        <v>0.31222198686718916</v>
      </c>
      <c r="F22" s="7">
        <f t="shared" si="96"/>
        <v>0.10664172123479888</v>
      </c>
      <c r="G22" s="7">
        <f t="shared" si="96"/>
        <v>-1.9844961240310077</v>
      </c>
      <c r="H22" s="7">
        <f t="shared" si="96"/>
        <v>0.28719512195121949</v>
      </c>
      <c r="I22" s="7">
        <f t="shared" si="96"/>
        <v>-0.90591397849462363</v>
      </c>
      <c r="J22" s="7">
        <f t="shared" si="96"/>
        <v>0.25630331041220455</v>
      </c>
      <c r="K22" s="7">
        <f t="shared" si="96"/>
        <v>0.22160356347438753</v>
      </c>
      <c r="L22" s="7">
        <f t="shared" si="96"/>
        <v>0.24195338512763595</v>
      </c>
      <c r="M22" s="7">
        <f t="shared" si="96"/>
        <v>0.27732667083073081</v>
      </c>
      <c r="N22" s="7">
        <f t="shared" si="96"/>
        <v>0.22593571489470543</v>
      </c>
      <c r="O22" s="7">
        <f t="shared" si="96"/>
        <v>0.32795698924731181</v>
      </c>
      <c r="P22" s="7">
        <f t="shared" si="96"/>
        <v>0.25504351662455382</v>
      </c>
      <c r="Q22" s="7">
        <f t="shared" ref="Q22:S22" si="97">Q13/Q12</f>
        <v>0.26</v>
      </c>
      <c r="R22" s="7">
        <f t="shared" si="97"/>
        <v>0.26</v>
      </c>
      <c r="S22" s="7">
        <f t="shared" si="97"/>
        <v>0.26</v>
      </c>
      <c r="X22" s="7">
        <f t="shared" ref="X22:Z22" si="98">X13/X12</f>
        <v>0.42386393109190929</v>
      </c>
      <c r="Y22" s="7">
        <f t="shared" si="98"/>
        <v>0.394342402764017</v>
      </c>
      <c r="Z22" s="7">
        <f t="shared" si="98"/>
        <v>0.42040512207378145</v>
      </c>
      <c r="AA22" s="7">
        <f t="shared" ref="AA22:AC22" si="99">AA13/AA12</f>
        <v>0.34892504357931436</v>
      </c>
      <c r="AB22" s="7">
        <f t="shared" si="99"/>
        <v>0.24651734498770828</v>
      </c>
      <c r="AC22" s="7">
        <f t="shared" si="99"/>
        <v>-5.0947421257372318E-2</v>
      </c>
      <c r="AD22" s="7">
        <f t="shared" ref="AD22:AG22" si="100">AD13/AD12</f>
        <v>-6.2868158937560245E-2</v>
      </c>
      <c r="AE22" s="7">
        <f t="shared" si="100"/>
        <v>0.30795076406164185</v>
      </c>
      <c r="AF22" s="7">
        <f t="shared" si="100"/>
        <v>0.26336258476266455</v>
      </c>
      <c r="AG22" s="7">
        <f t="shared" si="100"/>
        <v>0.24296943231441048</v>
      </c>
      <c r="AH22" s="7">
        <f>AH13/AH12</f>
        <v>0.24447717231222385</v>
      </c>
      <c r="AI22" s="7">
        <f>AI13/AI12</f>
        <v>0.36764296369965199</v>
      </c>
    </row>
    <row r="23" spans="2:39" x14ac:dyDescent="0.25">
      <c r="B23" s="1" t="s">
        <v>57</v>
      </c>
      <c r="C23" s="7"/>
      <c r="D23" s="7"/>
      <c r="E23" s="7"/>
      <c r="F23" s="7"/>
      <c r="G23" s="7">
        <f t="shared" ref="G23:O23" si="101">G14/C14-1</f>
        <v>-1.3200332502078138</v>
      </c>
      <c r="H23" s="7">
        <f t="shared" si="101"/>
        <v>-1.3447360660572103</v>
      </c>
      <c r="I23" s="7">
        <f t="shared" si="101"/>
        <v>-1.2183554049892209</v>
      </c>
      <c r="J23" s="7">
        <f t="shared" si="101"/>
        <v>-4.4541012216404887</v>
      </c>
      <c r="K23" s="7">
        <f t="shared" si="101"/>
        <v>-4.6311688311688313</v>
      </c>
      <c r="L23" s="7">
        <f t="shared" si="101"/>
        <v>-5.0898203592814371</v>
      </c>
      <c r="M23" s="7">
        <f t="shared" si="101"/>
        <v>-10.791255289139633</v>
      </c>
      <c r="N23" s="7">
        <f t="shared" si="101"/>
        <v>-1.4587206952303962</v>
      </c>
      <c r="O23" s="7">
        <f t="shared" si="101"/>
        <v>1.0565092989985696</v>
      </c>
      <c r="P23" s="7">
        <f>P14/L14-1</f>
        <v>2.884961305166283</v>
      </c>
      <c r="Q23" s="7">
        <f t="shared" ref="Q23:S23" si="102">Q14/M14-1</f>
        <v>0.80963327715355815</v>
      </c>
      <c r="R23" s="7">
        <f t="shared" si="102"/>
        <v>0.56201969640929605</v>
      </c>
      <c r="S23" s="7">
        <f t="shared" si="102"/>
        <v>1.7843062389253914</v>
      </c>
      <c r="X23" s="7">
        <f t="shared" ref="X23:Z23" si="103">X14/W14-1</f>
        <v>0.34422574686285756</v>
      </c>
      <c r="Y23" s="7">
        <f t="shared" si="103"/>
        <v>0.12972089276406207</v>
      </c>
      <c r="Z23" s="7">
        <f t="shared" si="103"/>
        <v>-0.29848367274176302</v>
      </c>
      <c r="AA23" s="7">
        <f t="shared" ref="AA23:AC23" si="104">AA14/Z14-1</f>
        <v>4.9627791563275903E-3</v>
      </c>
      <c r="AB23" s="7">
        <f t="shared" si="104"/>
        <v>-0.50763052208835346</v>
      </c>
      <c r="AC23" s="7">
        <f t="shared" si="104"/>
        <v>-0.49398827865385775</v>
      </c>
      <c r="AD23" s="7">
        <f t="shared" ref="AD23:AF23" si="105">AD14/AC14-1</f>
        <v>1.3699104477611939</v>
      </c>
      <c r="AE23" s="7">
        <f t="shared" si="105"/>
        <v>7.9252317613865308E-2</v>
      </c>
      <c r="AF23" s="7">
        <f t="shared" si="105"/>
        <v>-0.31030297371738014</v>
      </c>
      <c r="AG23" s="7">
        <f>AG14/AF14-1</f>
        <v>-2.4667659401651552</v>
      </c>
      <c r="AH23" s="7">
        <f t="shared" ref="AH23:AI23" si="106">AH14/AG14-1</f>
        <v>-2.0889709275496076</v>
      </c>
      <c r="AI23" s="7">
        <f t="shared" si="106"/>
        <v>-3.0000000000000138E-2</v>
      </c>
    </row>
    <row r="25" spans="2:39" x14ac:dyDescent="0.25">
      <c r="B25" s="1" t="s">
        <v>33</v>
      </c>
      <c r="C25" s="2">
        <f>C26-C34</f>
        <v>-14445</v>
      </c>
      <c r="D25" s="2">
        <f t="shared" ref="D25:P25" si="107">D26-D34</f>
        <v>-14788</v>
      </c>
      <c r="E25" s="2">
        <f t="shared" si="107"/>
        <v>-20599</v>
      </c>
      <c r="F25" s="2">
        <f t="shared" si="107"/>
        <v>-23253</v>
      </c>
      <c r="G25" s="2">
        <f t="shared" si="107"/>
        <v>-20445</v>
      </c>
      <c r="H25" s="2">
        <f t="shared" si="107"/>
        <v>-34077</v>
      </c>
      <c r="I25" s="2">
        <f t="shared" si="107"/>
        <v>-38056</v>
      </c>
      <c r="J25" s="2">
        <f t="shared" si="107"/>
        <v>-42818</v>
      </c>
      <c r="K25" s="2">
        <f t="shared" si="107"/>
        <v>-41622</v>
      </c>
      <c r="L25" s="2">
        <f t="shared" si="107"/>
        <v>-41854</v>
      </c>
      <c r="M25" s="2">
        <f t="shared" si="107"/>
        <v>-38871</v>
      </c>
      <c r="N25" s="2">
        <f t="shared" si="107"/>
        <v>-36626</v>
      </c>
      <c r="O25" s="2">
        <f t="shared" si="107"/>
        <v>-31577</v>
      </c>
      <c r="P25" s="2">
        <f t="shared" si="107"/>
        <v>-20655</v>
      </c>
      <c r="AF25" s="2"/>
      <c r="AG25" s="2"/>
      <c r="AH25" s="2"/>
    </row>
    <row r="26" spans="2:39" x14ac:dyDescent="0.25">
      <c r="B26" s="1" t="s">
        <v>3</v>
      </c>
      <c r="C26" s="2">
        <v>4586</v>
      </c>
      <c r="D26" s="2">
        <v>4213</v>
      </c>
      <c r="E26" s="2">
        <v>5351</v>
      </c>
      <c r="F26" s="2">
        <v>3089</v>
      </c>
      <c r="G26" s="2">
        <v>11412</v>
      </c>
      <c r="H26" s="2">
        <v>12576</v>
      </c>
      <c r="I26" s="2">
        <v>8832</v>
      </c>
      <c r="J26" s="2">
        <v>4364</v>
      </c>
      <c r="K26" s="2">
        <v>3515</v>
      </c>
      <c r="L26" s="2">
        <v>3465</v>
      </c>
      <c r="M26" s="2">
        <v>4768</v>
      </c>
      <c r="N26" s="2">
        <v>6802</v>
      </c>
      <c r="O26" s="2">
        <v>11074</v>
      </c>
      <c r="P26" s="2">
        <v>18861</v>
      </c>
      <c r="Q26" s="2">
        <f>P26+Q14</f>
        <v>31423.47421</v>
      </c>
      <c r="R26" s="2">
        <f t="shared" ref="R26:S26" si="108">Q26+R14</f>
        <v>45605.051033700001</v>
      </c>
      <c r="S26" s="2">
        <f t="shared" si="108"/>
        <v>61614.811907520998</v>
      </c>
      <c r="AF26" s="2"/>
      <c r="AG26" s="2"/>
      <c r="AH26" s="2"/>
      <c r="AJ26" s="9" t="s">
        <v>53</v>
      </c>
      <c r="AK26" s="10">
        <v>-0.03</v>
      </c>
      <c r="AM26" s="1" t="s">
        <v>58</v>
      </c>
    </row>
    <row r="27" spans="2:39" x14ac:dyDescent="0.25">
      <c r="B27" s="1" t="s">
        <v>34</v>
      </c>
      <c r="C27" s="2">
        <v>27105</v>
      </c>
      <c r="D27" s="2">
        <v>27132</v>
      </c>
      <c r="E27" s="2">
        <v>25308</v>
      </c>
      <c r="F27" s="2">
        <v>26966</v>
      </c>
      <c r="G27" s="2">
        <v>20871</v>
      </c>
      <c r="H27" s="2">
        <v>19036</v>
      </c>
      <c r="I27" s="2">
        <v>19974</v>
      </c>
      <c r="J27" s="2">
        <v>20581</v>
      </c>
      <c r="K27" s="2">
        <v>24755</v>
      </c>
      <c r="L27" s="2">
        <v>28540</v>
      </c>
      <c r="M27" s="2">
        <v>29516</v>
      </c>
      <c r="N27" s="2">
        <v>32383</v>
      </c>
      <c r="O27" s="2">
        <v>42142</v>
      </c>
      <c r="P27" s="2">
        <v>48063</v>
      </c>
      <c r="AF27" s="2"/>
      <c r="AG27" s="2"/>
      <c r="AH27" s="2"/>
      <c r="AJ27" s="11" t="s">
        <v>52</v>
      </c>
      <c r="AK27" s="12">
        <v>0.1</v>
      </c>
    </row>
    <row r="28" spans="2:39" x14ac:dyDescent="0.25">
      <c r="B28" s="1" t="s">
        <v>35</v>
      </c>
      <c r="C28" s="2">
        <v>13979</v>
      </c>
      <c r="D28" s="2">
        <v>14379</v>
      </c>
      <c r="E28" s="2">
        <v>13131</v>
      </c>
      <c r="F28" s="2">
        <v>14010</v>
      </c>
      <c r="G28" s="2">
        <v>12607</v>
      </c>
      <c r="H28" s="2">
        <v>15028</v>
      </c>
      <c r="I28" s="2">
        <v>13162</v>
      </c>
      <c r="J28" s="2">
        <v>14169</v>
      </c>
      <c r="K28" s="2">
        <v>13740</v>
      </c>
      <c r="L28" s="2">
        <v>14711</v>
      </c>
      <c r="M28" s="2">
        <v>15087</v>
      </c>
      <c r="N28" s="2">
        <v>14519</v>
      </c>
      <c r="O28" s="2">
        <v>18074</v>
      </c>
      <c r="P28" s="2">
        <v>19580</v>
      </c>
      <c r="AF28" s="2"/>
      <c r="AG28" s="2"/>
      <c r="AH28" s="2"/>
      <c r="AJ28" s="11" t="s">
        <v>54</v>
      </c>
      <c r="AK28" s="17">
        <f>NPV(AK27,AI14:CZ14)</f>
        <v>176050.94610292348</v>
      </c>
    </row>
    <row r="29" spans="2:39" x14ac:dyDescent="0.25">
      <c r="B29" s="1" t="s">
        <v>36</v>
      </c>
      <c r="C29" s="2">
        <v>4353</v>
      </c>
      <c r="D29" s="2">
        <v>4456</v>
      </c>
      <c r="E29" s="2">
        <v>4459</v>
      </c>
      <c r="F29" s="2">
        <v>4518</v>
      </c>
      <c r="G29" s="2">
        <v>4434</v>
      </c>
      <c r="H29" s="2">
        <v>4629</v>
      </c>
      <c r="I29" s="2">
        <v>4723</v>
      </c>
      <c r="J29" s="2">
        <v>4681</v>
      </c>
      <c r="K29" s="2">
        <v>4617</v>
      </c>
      <c r="L29" s="2">
        <v>4564</v>
      </c>
      <c r="M29" s="2">
        <v>4520</v>
      </c>
      <c r="N29" s="2">
        <v>4261</v>
      </c>
      <c r="O29" s="2">
        <v>4103</v>
      </c>
      <c r="P29" s="2">
        <v>4005</v>
      </c>
      <c r="AF29" s="2"/>
      <c r="AG29" s="2"/>
      <c r="AH29" s="2"/>
      <c r="AJ29" s="11" t="s">
        <v>55</v>
      </c>
      <c r="AK29" s="16">
        <f>AK28/Main!M3</f>
        <v>42.248847156929081</v>
      </c>
    </row>
    <row r="30" spans="2:39" x14ac:dyDescent="0.25">
      <c r="B30" s="1" t="s">
        <v>9</v>
      </c>
      <c r="C30" s="2">
        <v>1553</v>
      </c>
      <c r="D30" s="2">
        <v>1563</v>
      </c>
      <c r="E30" s="2">
        <v>1759</v>
      </c>
      <c r="F30" s="2">
        <v>1469</v>
      </c>
      <c r="G30" s="2">
        <v>1465</v>
      </c>
      <c r="H30" s="2">
        <v>1747</v>
      </c>
      <c r="I30" s="2">
        <v>2002</v>
      </c>
      <c r="J30" s="2">
        <v>1098</v>
      </c>
      <c r="K30" s="2">
        <v>1568</v>
      </c>
      <c r="L30" s="2">
        <v>1562</v>
      </c>
      <c r="M30" s="2">
        <v>1664</v>
      </c>
      <c r="N30" s="2">
        <v>1189</v>
      </c>
      <c r="O30" s="2">
        <v>1862</v>
      </c>
      <c r="P30" s="2">
        <v>2654</v>
      </c>
      <c r="AF30" s="2"/>
      <c r="AG30" s="2"/>
      <c r="AH30" s="2"/>
      <c r="AJ30" s="11"/>
      <c r="AK30" s="13"/>
    </row>
    <row r="31" spans="2:39" x14ac:dyDescent="0.25">
      <c r="B31" s="1" t="s">
        <v>37</v>
      </c>
      <c r="C31" s="2">
        <f t="shared" ref="C31:O31" si="109">SUM(C26:C30)</f>
        <v>51576</v>
      </c>
      <c r="D31" s="2">
        <f t="shared" si="109"/>
        <v>51743</v>
      </c>
      <c r="E31" s="2">
        <f t="shared" si="109"/>
        <v>50008</v>
      </c>
      <c r="F31" s="2">
        <f t="shared" si="109"/>
        <v>50052</v>
      </c>
      <c r="G31" s="2">
        <f t="shared" si="109"/>
        <v>50789</v>
      </c>
      <c r="H31" s="2">
        <f t="shared" si="109"/>
        <v>53016</v>
      </c>
      <c r="I31" s="2">
        <f t="shared" si="109"/>
        <v>48693</v>
      </c>
      <c r="J31" s="2">
        <f t="shared" si="109"/>
        <v>44893</v>
      </c>
      <c r="K31" s="2">
        <f t="shared" si="109"/>
        <v>48195</v>
      </c>
      <c r="L31" s="2">
        <f t="shared" si="109"/>
        <v>52842</v>
      </c>
      <c r="M31" s="2">
        <f t="shared" si="109"/>
        <v>55555</v>
      </c>
      <c r="N31" s="2">
        <f t="shared" si="109"/>
        <v>59154</v>
      </c>
      <c r="O31" s="2">
        <f t="shared" si="109"/>
        <v>77255</v>
      </c>
      <c r="P31" s="2">
        <f>SUM(P26:P30)</f>
        <v>93163</v>
      </c>
      <c r="AF31" s="2"/>
      <c r="AG31" s="2"/>
      <c r="AH31" s="2"/>
      <c r="AJ31" s="14" t="s">
        <v>56</v>
      </c>
      <c r="AK31" s="15">
        <f>AK29/Main!M2-1</f>
        <v>-0.55054417918160548</v>
      </c>
    </row>
    <row r="32" spans="2:39" x14ac:dyDescent="0.25">
      <c r="B32" s="1" t="s">
        <v>38</v>
      </c>
      <c r="C32" s="2">
        <v>248563</v>
      </c>
      <c r="D32" s="2">
        <v>250853</v>
      </c>
      <c r="E32" s="2">
        <v>250512</v>
      </c>
      <c r="F32" s="2">
        <v>253018</v>
      </c>
      <c r="G32" s="2">
        <v>248409</v>
      </c>
      <c r="H32" s="2">
        <v>250524</v>
      </c>
      <c r="I32" s="2">
        <v>250496</v>
      </c>
      <c r="J32" s="2">
        <v>227553</v>
      </c>
      <c r="K32" s="2">
        <v>224641</v>
      </c>
      <c r="L32" s="2">
        <v>223012</v>
      </c>
      <c r="M32" s="2">
        <v>218795</v>
      </c>
      <c r="N32" s="2">
        <v>216552</v>
      </c>
      <c r="O32" s="2">
        <v>212773</v>
      </c>
      <c r="P32" s="2">
        <v>209159</v>
      </c>
      <c r="AF32" s="2"/>
      <c r="AG32" s="2"/>
      <c r="AH32" s="2"/>
    </row>
    <row r="33" spans="2:34" x14ac:dyDescent="0.25">
      <c r="B33" s="1" t="s">
        <v>39</v>
      </c>
      <c r="C33" s="2">
        <v>42090</v>
      </c>
      <c r="D33" s="2">
        <v>41480</v>
      </c>
      <c r="E33" s="2">
        <v>40541</v>
      </c>
      <c r="F33" s="2">
        <v>41831</v>
      </c>
      <c r="G33" s="2">
        <v>33815</v>
      </c>
      <c r="H33" s="2">
        <v>33216</v>
      </c>
      <c r="I33" s="2">
        <v>33340</v>
      </c>
      <c r="J33" s="2">
        <v>35221</v>
      </c>
      <c r="K33" s="2">
        <v>41017</v>
      </c>
      <c r="L33" s="2">
        <v>45780</v>
      </c>
      <c r="M33" s="2">
        <v>47257</v>
      </c>
      <c r="N33" s="2">
        <v>50766</v>
      </c>
      <c r="O33" s="2">
        <v>63501</v>
      </c>
      <c r="P33" s="2">
        <v>67958</v>
      </c>
      <c r="AF33" s="2"/>
      <c r="AG33" s="2"/>
      <c r="AH33" s="2"/>
    </row>
    <row r="34" spans="2:34" s="5" customFormat="1" x14ac:dyDescent="0.25">
      <c r="B34" s="5" t="s">
        <v>4</v>
      </c>
      <c r="C34" s="6">
        <v>19031</v>
      </c>
      <c r="D34" s="6">
        <v>19001</v>
      </c>
      <c r="E34" s="6">
        <v>25950</v>
      </c>
      <c r="F34" s="6">
        <v>26342</v>
      </c>
      <c r="G34" s="6">
        <v>31857</v>
      </c>
      <c r="H34" s="6">
        <v>46653</v>
      </c>
      <c r="I34" s="6">
        <v>46888</v>
      </c>
      <c r="J34" s="6">
        <v>47182</v>
      </c>
      <c r="K34" s="6">
        <v>45137</v>
      </c>
      <c r="L34" s="6">
        <v>45319</v>
      </c>
      <c r="M34" s="6">
        <v>43639</v>
      </c>
      <c r="N34" s="6">
        <v>43428</v>
      </c>
      <c r="O34" s="6">
        <v>42651</v>
      </c>
      <c r="P34" s="6">
        <v>39516</v>
      </c>
      <c r="AF34" s="2"/>
      <c r="AG34" s="2"/>
      <c r="AH34" s="2"/>
    </row>
    <row r="35" spans="2:34" x14ac:dyDescent="0.25">
      <c r="B35" s="1" t="s">
        <v>40</v>
      </c>
      <c r="C35" s="2">
        <v>198021</v>
      </c>
      <c r="D35" s="2">
        <v>198465</v>
      </c>
      <c r="E35" s="2">
        <v>197109</v>
      </c>
      <c r="F35" s="2">
        <v>198938</v>
      </c>
      <c r="G35" s="2">
        <v>188743</v>
      </c>
      <c r="H35" s="2">
        <v>187153</v>
      </c>
      <c r="I35" s="2">
        <v>184612</v>
      </c>
      <c r="J35" s="2">
        <v>164130</v>
      </c>
      <c r="K35" s="2">
        <v>164101</v>
      </c>
      <c r="L35" s="2">
        <v>165556</v>
      </c>
      <c r="M35" s="2">
        <v>167506</v>
      </c>
      <c r="N35" s="2">
        <v>175683</v>
      </c>
      <c r="O35" s="2">
        <v>176526</v>
      </c>
      <c r="P35" s="2">
        <v>184508</v>
      </c>
      <c r="AF35" s="2"/>
      <c r="AG35" s="2"/>
      <c r="AH35" s="2"/>
    </row>
    <row r="36" spans="2:34" x14ac:dyDescent="0.25">
      <c r="B36" s="1" t="s">
        <v>41</v>
      </c>
      <c r="C36" s="2">
        <v>356189</v>
      </c>
      <c r="D36" s="2">
        <v>360729</v>
      </c>
      <c r="E36" s="2">
        <v>359361</v>
      </c>
      <c r="F36" s="2">
        <v>362597</v>
      </c>
      <c r="G36" s="2">
        <v>355804</v>
      </c>
      <c r="H36" s="2">
        <v>361495</v>
      </c>
      <c r="I36" s="2">
        <v>358043</v>
      </c>
      <c r="J36" s="2">
        <v>332750</v>
      </c>
      <c r="K36" s="2">
        <v>333770</v>
      </c>
      <c r="L36" s="2">
        <v>337289</v>
      </c>
      <c r="M36" s="2">
        <v>336688</v>
      </c>
      <c r="N36" s="2">
        <v>338923</v>
      </c>
      <c r="O36" s="2">
        <v>354771</v>
      </c>
      <c r="P36" s="2">
        <v>367774</v>
      </c>
      <c r="AF36" s="2"/>
      <c r="AG36" s="2"/>
      <c r="AH36" s="2"/>
    </row>
    <row r="38" spans="2:34" x14ac:dyDescent="0.25">
      <c r="B38" s="1" t="s">
        <v>42</v>
      </c>
      <c r="F38" s="8"/>
      <c r="G38" s="7">
        <f>G26/C26-1</f>
        <v>1.4884430876580899</v>
      </c>
      <c r="H38" s="7">
        <f t="shared" ref="H38:P38" si="110">H26/D26-1</f>
        <v>1.9850462853073818</v>
      </c>
      <c r="I38" s="7">
        <f t="shared" si="110"/>
        <v>0.65053261072696689</v>
      </c>
      <c r="J38" s="7">
        <f t="shared" si="110"/>
        <v>0.41275493687277431</v>
      </c>
      <c r="K38" s="7">
        <f t="shared" si="110"/>
        <v>-0.69199088678583953</v>
      </c>
      <c r="L38" s="7">
        <f t="shared" si="110"/>
        <v>-0.72447519083969469</v>
      </c>
      <c r="M38" s="7">
        <f t="shared" si="110"/>
        <v>-0.46014492753623193</v>
      </c>
      <c r="N38" s="7">
        <f t="shared" si="110"/>
        <v>0.55866177818515128</v>
      </c>
      <c r="O38" s="7">
        <f t="shared" si="110"/>
        <v>2.1504978662873402</v>
      </c>
      <c r="P38" s="7">
        <f t="shared" si="110"/>
        <v>4.4432900432900437</v>
      </c>
    </row>
    <row r="39" spans="2:34" x14ac:dyDescent="0.25">
      <c r="B39" s="1" t="s">
        <v>43</v>
      </c>
      <c r="G39" s="7">
        <f>G34/C34-1</f>
        <v>0.6739530240134517</v>
      </c>
      <c r="H39" s="7">
        <f t="shared" ref="H39:P39" si="111">H34/D34-1</f>
        <v>1.4552918267459609</v>
      </c>
      <c r="I39" s="7">
        <f t="shared" si="111"/>
        <v>0.80685934489402689</v>
      </c>
      <c r="J39" s="7">
        <f t="shared" si="111"/>
        <v>0.79113203249563435</v>
      </c>
      <c r="K39" s="7">
        <f t="shared" si="111"/>
        <v>0.41686285588724603</v>
      </c>
      <c r="L39" s="7">
        <f t="shared" si="111"/>
        <v>-2.8594088268707241E-2</v>
      </c>
      <c r="M39" s="7">
        <f t="shared" si="111"/>
        <v>-6.9292782801569697E-2</v>
      </c>
      <c r="N39" s="7">
        <f t="shared" si="111"/>
        <v>-7.956424060022893E-2</v>
      </c>
      <c r="O39" s="7">
        <f t="shared" si="111"/>
        <v>-5.507676628929703E-2</v>
      </c>
      <c r="P39" s="7">
        <f t="shared" si="111"/>
        <v>-0.1280478386548688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2022-08-15T20:12:18Z</dcterms:modified>
</cp:coreProperties>
</file>