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Michael\Desktop\models\"/>
    </mc:Choice>
  </mc:AlternateContent>
  <xr:revisionPtr revIDLastSave="0" documentId="13_ncr:1_{1E8423FC-C494-4680-8B3B-0B616D038C02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Main" sheetId="1" r:id="rId1"/>
    <sheet name="Mode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9" i="2" l="1"/>
  <c r="S9" i="2"/>
  <c r="R9" i="2"/>
  <c r="Q9" i="2"/>
  <c r="H28" i="2"/>
  <c r="I28" i="2"/>
  <c r="T20" i="2"/>
  <c r="S20" i="2"/>
  <c r="R20" i="2"/>
  <c r="Q20" i="2"/>
  <c r="R21" i="2"/>
  <c r="S21" i="2"/>
  <c r="T21" i="2"/>
  <c r="J29" i="2"/>
  <c r="AJ2" i="2" l="1"/>
  <c r="AK2" i="2" s="1"/>
  <c r="AL2" i="2" s="1"/>
  <c r="AM2" i="2" s="1"/>
  <c r="AN2" i="2" s="1"/>
  <c r="AO2" i="2" s="1"/>
  <c r="AP2" i="2" s="1"/>
  <c r="AQ2" i="2" s="1"/>
  <c r="AR2" i="2" s="1"/>
  <c r="AS2" i="2" s="1"/>
  <c r="AT2" i="2" s="1"/>
  <c r="AU2" i="2" s="1"/>
  <c r="AV2" i="2" s="1"/>
  <c r="AW2" i="2" s="1"/>
  <c r="AX2" i="2" s="1"/>
  <c r="AY2" i="2" s="1"/>
  <c r="AZ2" i="2" s="1"/>
  <c r="BA2" i="2" s="1"/>
  <c r="BB2" i="2" s="1"/>
  <c r="BC2" i="2" s="1"/>
  <c r="BD2" i="2" s="1"/>
  <c r="BE2" i="2" s="1"/>
  <c r="BF2" i="2" s="1"/>
  <c r="BG2" i="2" s="1"/>
  <c r="BH2" i="2" s="1"/>
  <c r="BI2" i="2" s="1"/>
  <c r="BJ2" i="2" s="1"/>
  <c r="BK2" i="2" s="1"/>
  <c r="BL2" i="2" s="1"/>
  <c r="BM2" i="2" s="1"/>
  <c r="BN2" i="2" s="1"/>
  <c r="BO2" i="2" s="1"/>
  <c r="BP2" i="2" s="1"/>
  <c r="BQ2" i="2" s="1"/>
  <c r="BR2" i="2" s="1"/>
  <c r="BS2" i="2" s="1"/>
  <c r="BT2" i="2" s="1"/>
  <c r="BU2" i="2" s="1"/>
  <c r="BV2" i="2" s="1"/>
  <c r="BW2" i="2" s="1"/>
  <c r="BX2" i="2" s="1"/>
  <c r="BY2" i="2" s="1"/>
  <c r="BZ2" i="2" s="1"/>
  <c r="CA2" i="2" s="1"/>
  <c r="CB2" i="2" s="1"/>
  <c r="CC2" i="2" s="1"/>
  <c r="CD2" i="2" s="1"/>
  <c r="CE2" i="2" s="1"/>
  <c r="CF2" i="2" s="1"/>
  <c r="CG2" i="2" s="1"/>
  <c r="CH2" i="2" s="1"/>
  <c r="CI2" i="2" s="1"/>
  <c r="CJ2" i="2" s="1"/>
  <c r="CK2" i="2" s="1"/>
  <c r="CL2" i="2" s="1"/>
  <c r="CM2" i="2" s="1"/>
  <c r="CN2" i="2" s="1"/>
  <c r="CO2" i="2" s="1"/>
  <c r="AJ21" i="2"/>
  <c r="T22" i="2"/>
  <c r="S22" i="2"/>
  <c r="R22" i="2"/>
  <c r="Q22" i="2"/>
  <c r="R23" i="2"/>
  <c r="S23" i="2" s="1"/>
  <c r="T23" i="2" s="1"/>
  <c r="Q23" i="2"/>
  <c r="O27" i="2"/>
  <c r="N27" i="2"/>
  <c r="M27" i="2"/>
  <c r="L27" i="2"/>
  <c r="K27" i="2"/>
  <c r="J27" i="2"/>
  <c r="I27" i="2"/>
  <c r="H27" i="2"/>
  <c r="G27" i="2"/>
  <c r="P27" i="2"/>
  <c r="O43" i="2"/>
  <c r="N43" i="2"/>
  <c r="M43" i="2"/>
  <c r="L43" i="2"/>
  <c r="K43" i="2"/>
  <c r="J43" i="2"/>
  <c r="I43" i="2"/>
  <c r="H43" i="2"/>
  <c r="G43" i="2"/>
  <c r="P43" i="2"/>
  <c r="O26" i="2"/>
  <c r="N26" i="2"/>
  <c r="M26" i="2"/>
  <c r="L26" i="2"/>
  <c r="K26" i="2"/>
  <c r="J26" i="2"/>
  <c r="I26" i="2"/>
  <c r="H26" i="2"/>
  <c r="G26" i="2"/>
  <c r="P26" i="2"/>
  <c r="AI20" i="2"/>
  <c r="AH20" i="2"/>
  <c r="AG20" i="2"/>
  <c r="AF20" i="2"/>
  <c r="AE20" i="2"/>
  <c r="AD20" i="2"/>
  <c r="AC20" i="2"/>
  <c r="AB20" i="2"/>
  <c r="AA20" i="2"/>
  <c r="AI8" i="2"/>
  <c r="AH8" i="2"/>
  <c r="AG8" i="2"/>
  <c r="AF8" i="2"/>
  <c r="AE8" i="2"/>
  <c r="AD8" i="2"/>
  <c r="AC8" i="2"/>
  <c r="AB8" i="2"/>
  <c r="AA8" i="2"/>
  <c r="AA2" i="2"/>
  <c r="AB2" i="2" s="1"/>
  <c r="AC2" i="2" s="1"/>
  <c r="AD2" i="2" s="1"/>
  <c r="AE2" i="2" s="1"/>
  <c r="AF2" i="2" s="1"/>
  <c r="AG2" i="2" s="1"/>
  <c r="AH2" i="2" s="1"/>
  <c r="AI2" i="2" s="1"/>
  <c r="Z20" i="2"/>
  <c r="Z8" i="2"/>
  <c r="O42" i="2"/>
  <c r="N42" i="2"/>
  <c r="M42" i="2"/>
  <c r="L42" i="2"/>
  <c r="K42" i="2"/>
  <c r="J42" i="2"/>
  <c r="I42" i="2"/>
  <c r="H42" i="2"/>
  <c r="G42" i="2"/>
  <c r="P42" i="2"/>
  <c r="M41" i="2"/>
  <c r="L41" i="2"/>
  <c r="K41" i="2"/>
  <c r="J41" i="2"/>
  <c r="I41" i="2"/>
  <c r="H41" i="2"/>
  <c r="G41" i="2"/>
  <c r="F41" i="2"/>
  <c r="E41" i="2"/>
  <c r="D41" i="2"/>
  <c r="P41" i="2"/>
  <c r="O41" i="2"/>
  <c r="O33" i="2"/>
  <c r="L33" i="2"/>
  <c r="K33" i="2"/>
  <c r="I33" i="2"/>
  <c r="C33" i="2"/>
  <c r="D33" i="2"/>
  <c r="E33" i="2"/>
  <c r="E20" i="2"/>
  <c r="E29" i="2" s="1"/>
  <c r="AK21" i="2" l="1"/>
  <c r="AL21" i="2" s="1"/>
  <c r="AM21" i="2" s="1"/>
  <c r="AN21" i="2" s="1"/>
  <c r="AO21" i="2" s="1"/>
  <c r="AP21" i="2" s="1"/>
  <c r="AQ21" i="2" s="1"/>
  <c r="AR21" i="2" s="1"/>
  <c r="AS21" i="2" s="1"/>
  <c r="AT21" i="2" s="1"/>
  <c r="AU21" i="2" s="1"/>
  <c r="AV21" i="2" s="1"/>
  <c r="AW21" i="2" s="1"/>
  <c r="AX21" i="2" s="1"/>
  <c r="AY21" i="2" s="1"/>
  <c r="AZ21" i="2" s="1"/>
  <c r="BA21" i="2" s="1"/>
  <c r="BB21" i="2" s="1"/>
  <c r="BC21" i="2" s="1"/>
  <c r="BD21" i="2" s="1"/>
  <c r="BE21" i="2" s="1"/>
  <c r="BF21" i="2" s="1"/>
  <c r="BG21" i="2" s="1"/>
  <c r="BH21" i="2" s="1"/>
  <c r="BI21" i="2" s="1"/>
  <c r="BJ21" i="2" s="1"/>
  <c r="BK21" i="2" s="1"/>
  <c r="BL21" i="2" s="1"/>
  <c r="BM21" i="2" s="1"/>
  <c r="BN21" i="2" s="1"/>
  <c r="BO21" i="2" s="1"/>
  <c r="BP21" i="2" s="1"/>
  <c r="BQ21" i="2" s="1"/>
  <c r="BR21" i="2" s="1"/>
  <c r="BS21" i="2" s="1"/>
  <c r="BT21" i="2" s="1"/>
  <c r="BU21" i="2" s="1"/>
  <c r="BV21" i="2" s="1"/>
  <c r="BW21" i="2" s="1"/>
  <c r="BX21" i="2" s="1"/>
  <c r="BY21" i="2" s="1"/>
  <c r="BZ21" i="2" s="1"/>
  <c r="CA21" i="2" s="1"/>
  <c r="CB21" i="2" s="1"/>
  <c r="CC21" i="2" s="1"/>
  <c r="CD21" i="2" s="1"/>
  <c r="CE21" i="2" s="1"/>
  <c r="CF21" i="2" s="1"/>
  <c r="CG21" i="2" s="1"/>
  <c r="CH21" i="2" s="1"/>
  <c r="CI21" i="2" s="1"/>
  <c r="CJ21" i="2" s="1"/>
  <c r="CK21" i="2" s="1"/>
  <c r="CL21" i="2" s="1"/>
  <c r="CM21" i="2" s="1"/>
  <c r="CN21" i="2" s="1"/>
  <c r="CO21" i="2" s="1"/>
  <c r="N41" i="2"/>
  <c r="G33" i="2"/>
  <c r="F33" i="2"/>
  <c r="H33" i="2"/>
  <c r="D7" i="2"/>
  <c r="D8" i="2" s="1"/>
  <c r="H20" i="2"/>
  <c r="H29" i="2" s="1"/>
  <c r="J33" i="2"/>
  <c r="M33" i="2"/>
  <c r="L31" i="2"/>
  <c r="N33" i="2"/>
  <c r="P33" i="2"/>
  <c r="O31" i="2"/>
  <c r="M31" i="2"/>
  <c r="N31" i="2"/>
  <c r="K31" i="2"/>
  <c r="J31" i="2"/>
  <c r="I31" i="2"/>
  <c r="H31" i="2"/>
  <c r="G31" i="2"/>
  <c r="F31" i="2"/>
  <c r="E31" i="2"/>
  <c r="D31" i="2"/>
  <c r="C31" i="2"/>
  <c r="P31" i="2"/>
  <c r="P20" i="2"/>
  <c r="P29" i="2" s="1"/>
  <c r="O20" i="2"/>
  <c r="O29" i="2" s="1"/>
  <c r="N20" i="2"/>
  <c r="N29" i="2" s="1"/>
  <c r="M20" i="2"/>
  <c r="M29" i="2" s="1"/>
  <c r="L20" i="2"/>
  <c r="L29" i="2" s="1"/>
  <c r="K20" i="2"/>
  <c r="K29" i="2" s="1"/>
  <c r="J20" i="2"/>
  <c r="I20" i="2"/>
  <c r="I29" i="2" s="1"/>
  <c r="G20" i="2"/>
  <c r="G29" i="2" s="1"/>
  <c r="F20" i="2"/>
  <c r="F29" i="2" s="1"/>
  <c r="D20" i="2"/>
  <c r="D29" i="2" s="1"/>
  <c r="C20" i="2"/>
  <c r="C29" i="2" s="1"/>
  <c r="P8" i="2"/>
  <c r="O8" i="2"/>
  <c r="N8" i="2"/>
  <c r="M8" i="2"/>
  <c r="L8" i="2"/>
  <c r="K8" i="2"/>
  <c r="J8" i="2"/>
  <c r="I8" i="2"/>
  <c r="H8" i="2"/>
  <c r="G8" i="2"/>
  <c r="F8" i="2"/>
  <c r="E8" i="2"/>
  <c r="C8" i="2"/>
  <c r="N7" i="1"/>
  <c r="N4" i="1"/>
  <c r="AM26" i="2" l="1"/>
  <c r="AM27" i="2" s="1"/>
  <c r="AM29" i="2" s="1"/>
  <c r="K28" i="2"/>
  <c r="K25" i="2"/>
  <c r="K10" i="2"/>
  <c r="K12" i="2"/>
  <c r="K11" i="2"/>
  <c r="G11" i="2"/>
  <c r="G28" i="2"/>
  <c r="G12" i="2"/>
  <c r="G25" i="2"/>
  <c r="G10" i="2"/>
  <c r="F11" i="2"/>
  <c r="F12" i="2"/>
  <c r="F28" i="2"/>
  <c r="F10" i="2"/>
  <c r="M11" i="2"/>
  <c r="M10" i="2"/>
  <c r="M12" i="2"/>
  <c r="M28" i="2"/>
  <c r="M25" i="2"/>
  <c r="L12" i="2"/>
  <c r="L11" i="2"/>
  <c r="L28" i="2"/>
  <c r="L25" i="2"/>
  <c r="L10" i="2"/>
  <c r="N10" i="2"/>
  <c r="N12" i="2"/>
  <c r="N28" i="2"/>
  <c r="N25" i="2"/>
  <c r="N11" i="2"/>
  <c r="O12" i="2"/>
  <c r="O28" i="2"/>
  <c r="O25" i="2"/>
  <c r="O10" i="2"/>
  <c r="O11" i="2"/>
  <c r="E28" i="2"/>
  <c r="E10" i="2"/>
  <c r="E12" i="2"/>
  <c r="E11" i="2"/>
  <c r="D12" i="2"/>
  <c r="D28" i="2"/>
  <c r="D10" i="2"/>
  <c r="D11" i="2"/>
  <c r="H12" i="2"/>
  <c r="H10" i="2"/>
  <c r="H11" i="2"/>
  <c r="H25" i="2"/>
  <c r="I12" i="2"/>
  <c r="I25" i="2"/>
  <c r="I10" i="2"/>
  <c r="I11" i="2"/>
  <c r="C10" i="2"/>
  <c r="C12" i="2"/>
  <c r="C28" i="2"/>
  <c r="C11" i="2"/>
  <c r="J28" i="2"/>
  <c r="J25" i="2"/>
  <c r="J10" i="2"/>
  <c r="J11" i="2"/>
  <c r="J12" i="2"/>
  <c r="P10" i="2"/>
  <c r="P12" i="2"/>
  <c r="Q8" i="2"/>
  <c r="P11" i="2"/>
  <c r="P28" i="2"/>
  <c r="P25" i="2"/>
  <c r="R8" i="2" l="1"/>
  <c r="S8" i="2" l="1"/>
  <c r="R19" i="2"/>
  <c r="T8" i="2" l="1"/>
  <c r="T19" i="2" s="1"/>
  <c r="S19" i="2"/>
</calcChain>
</file>

<file path=xl/sharedStrings.xml><?xml version="1.0" encoding="utf-8"?>
<sst xmlns="http://schemas.openxmlformats.org/spreadsheetml/2006/main" count="69" uniqueCount="66">
  <si>
    <t>Price</t>
  </si>
  <si>
    <t>Shares</t>
  </si>
  <si>
    <t>MC</t>
  </si>
  <si>
    <t>Cash</t>
  </si>
  <si>
    <t>Debt</t>
  </si>
  <si>
    <t>EV</t>
  </si>
  <si>
    <t>Oil</t>
  </si>
  <si>
    <t>Natural Gas</t>
  </si>
  <si>
    <t>Natural Gas Liquid</t>
  </si>
  <si>
    <t>Midstream</t>
  </si>
  <si>
    <t>Other</t>
  </si>
  <si>
    <t>Revenues</t>
  </si>
  <si>
    <t>Q222</t>
  </si>
  <si>
    <t>Q122</t>
  </si>
  <si>
    <t>Q421</t>
  </si>
  <si>
    <t>Q321</t>
  </si>
  <si>
    <t>Q221</t>
  </si>
  <si>
    <t>Q121</t>
  </si>
  <si>
    <t>Q420</t>
  </si>
  <si>
    <t>Q320</t>
  </si>
  <si>
    <t>Q220</t>
  </si>
  <si>
    <t>Q120</t>
  </si>
  <si>
    <t>Q419</t>
  </si>
  <si>
    <t>Q319</t>
  </si>
  <si>
    <t>Q219</t>
  </si>
  <si>
    <t>Q119</t>
  </si>
  <si>
    <t>Lease</t>
  </si>
  <si>
    <t>Gathering &amp; Transport</t>
  </si>
  <si>
    <t>Midstream Ex</t>
  </si>
  <si>
    <t>G&amp;A</t>
  </si>
  <si>
    <t>OpEx</t>
  </si>
  <si>
    <t>PreTax</t>
  </si>
  <si>
    <t>Taxes</t>
  </si>
  <si>
    <t>Net Income</t>
  </si>
  <si>
    <t>EPS</t>
  </si>
  <si>
    <t>Net Cash</t>
  </si>
  <si>
    <t>AR</t>
  </si>
  <si>
    <t>Inventories</t>
  </si>
  <si>
    <t>PPE</t>
  </si>
  <si>
    <t>Total Assets</t>
  </si>
  <si>
    <t>SE</t>
  </si>
  <si>
    <t>L+SE</t>
  </si>
  <si>
    <t>9/31/2020</t>
  </si>
  <si>
    <t>Debt Q/Q</t>
  </si>
  <si>
    <t>Debt Y/Y</t>
  </si>
  <si>
    <t>9/31/2019</t>
  </si>
  <si>
    <t>Oil %</t>
  </si>
  <si>
    <t>Natural Gas %</t>
  </si>
  <si>
    <t>Midstream %</t>
  </si>
  <si>
    <t>Revenue Y/Y</t>
  </si>
  <si>
    <t>Gross Margin</t>
  </si>
  <si>
    <t>Tax Rate</t>
  </si>
  <si>
    <t>Oil Y/Y</t>
  </si>
  <si>
    <t>PPE Y/Y</t>
  </si>
  <si>
    <t>Q322</t>
  </si>
  <si>
    <t>Q422</t>
  </si>
  <si>
    <t>Q123</t>
  </si>
  <si>
    <t>Q223</t>
  </si>
  <si>
    <t>Shares Y/Y</t>
  </si>
  <si>
    <t>Terminal</t>
  </si>
  <si>
    <t>Discount</t>
  </si>
  <si>
    <t>NPV</t>
  </si>
  <si>
    <t>Share</t>
  </si>
  <si>
    <t>Return</t>
  </si>
  <si>
    <t>INVESTORS EXPECTING A 1205 NET INC</t>
  </si>
  <si>
    <t>at a 24% tax rate, FANG would have to make 1586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</si>
</sst>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3" fontId="1" fillId="0" borderId="0" xfId="0" applyNumberFormat="1" applyFont="1"/>
    <xf numFmtId="14" fontId="1" fillId="0" borderId="0" xfId="0" applyNumberFormat="1" applyFont="1"/>
    <xf numFmtId="0" fontId="2" fillId="0" borderId="0" xfId="0" applyFont="1"/>
    <xf numFmtId="9" fontId="1" fillId="0" borderId="0" xfId="0" applyNumberFormat="1" applyFont="1"/>
    <xf numFmtId="4" fontId="1" fillId="0" borderId="0" xfId="0" applyNumberFormat="1" applyFont="1"/>
    <xf numFmtId="0" fontId="1" fillId="0" borderId="1" xfId="0" applyFont="1" applyBorder="1"/>
    <xf numFmtId="9" fontId="1" fillId="0" borderId="2" xfId="0" applyNumberFormat="1" applyFont="1" applyBorder="1"/>
    <xf numFmtId="0" fontId="1" fillId="0" borderId="3" xfId="0" applyFont="1" applyBorder="1"/>
    <xf numFmtId="9" fontId="1" fillId="0" borderId="4" xfId="0" applyNumberFormat="1" applyFont="1" applyBorder="1"/>
    <xf numFmtId="8" fontId="1" fillId="0" borderId="4" xfId="0" applyNumberFormat="1" applyFont="1" applyBorder="1"/>
    <xf numFmtId="0" fontId="1" fillId="0" borderId="4" xfId="0" applyFont="1" applyBorder="1"/>
    <xf numFmtId="0" fontId="1" fillId="0" borderId="5" xfId="0" applyFont="1" applyBorder="1"/>
    <xf numFmtId="9" fontId="1" fillId="0" borderId="6" xfId="0" applyNumberFormat="1" applyFont="1" applyBorder="1"/>
    <xf numFmtId="3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28575</xdr:colOff>
      <xdr:row>0</xdr:row>
      <xdr:rowOff>19050</xdr:rowOff>
    </xdr:from>
    <xdr:to>
      <xdr:col>16</xdr:col>
      <xdr:colOff>28575</xdr:colOff>
      <xdr:row>45</xdr:row>
      <xdr:rowOff>9525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58640FFE-C763-84A6-3AA7-2466BF2E7DE1}"/>
            </a:ext>
          </a:extLst>
        </xdr:cNvPr>
        <xdr:cNvCxnSpPr/>
      </xdr:nvCxnSpPr>
      <xdr:spPr>
        <a:xfrm>
          <a:off x="10467975" y="19050"/>
          <a:ext cx="0" cy="72771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0</xdr:colOff>
      <xdr:row>0</xdr:row>
      <xdr:rowOff>0</xdr:rowOff>
    </xdr:from>
    <xdr:to>
      <xdr:col>35</xdr:col>
      <xdr:colOff>9525</xdr:colOff>
      <xdr:row>35</xdr:row>
      <xdr:rowOff>152400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910FDE28-5BB3-F74E-D41C-73FF1DB18240}"/>
            </a:ext>
          </a:extLst>
        </xdr:cNvPr>
        <xdr:cNvCxnSpPr/>
      </xdr:nvCxnSpPr>
      <xdr:spPr>
        <a:xfrm flipH="1">
          <a:off x="22021800" y="0"/>
          <a:ext cx="9525" cy="58197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M2:N8"/>
  <sheetViews>
    <sheetView workbookViewId="0">
      <selection activeCell="N6" sqref="N6"/>
    </sheetView>
  </sheetViews>
  <sheetFormatPr defaultRowHeight="12.75" x14ac:dyDescent="0.2"/>
  <cols>
    <col min="1" max="16384" width="9.140625" style="1"/>
  </cols>
  <sheetData>
    <row r="2" spans="13:14" x14ac:dyDescent="0.2">
      <c r="M2" s="1" t="s">
        <v>0</v>
      </c>
      <c r="N2" s="1">
        <v>125.77</v>
      </c>
    </row>
    <row r="3" spans="13:14" x14ac:dyDescent="0.2">
      <c r="M3" s="1" t="s">
        <v>1</v>
      </c>
      <c r="N3" s="2">
        <v>173.44106099999999</v>
      </c>
    </row>
    <row r="4" spans="13:14" x14ac:dyDescent="0.2">
      <c r="M4" s="1" t="s">
        <v>2</v>
      </c>
      <c r="N4" s="2">
        <f>N2*N3</f>
        <v>21813.682241969997</v>
      </c>
    </row>
    <row r="5" spans="13:14" x14ac:dyDescent="0.2">
      <c r="M5" s="1" t="s">
        <v>3</v>
      </c>
      <c r="N5" s="2">
        <v>43</v>
      </c>
    </row>
    <row r="6" spans="13:14" x14ac:dyDescent="0.2">
      <c r="M6" s="1" t="s">
        <v>4</v>
      </c>
      <c r="N6" s="2">
        <v>5401</v>
      </c>
    </row>
    <row r="7" spans="13:14" x14ac:dyDescent="0.2">
      <c r="M7" s="1" t="s">
        <v>5</v>
      </c>
      <c r="N7" s="2">
        <f>N4-N5+N6</f>
        <v>27171.682241969997</v>
      </c>
    </row>
    <row r="8" spans="13:14" x14ac:dyDescent="0.2">
      <c r="N8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36AF6-0B05-4577-BA95-9E864751AF5D}">
  <dimension ref="B1:CO43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T30" sqref="T30"/>
    </sheetView>
  </sheetViews>
  <sheetFormatPr defaultRowHeight="12.75" x14ac:dyDescent="0.2"/>
  <cols>
    <col min="1" max="1" width="9.140625" style="1"/>
    <col min="2" max="2" width="16.42578125" style="1" bestFit="1" customWidth="1"/>
    <col min="3" max="5" width="9.140625" style="1"/>
    <col min="6" max="6" width="10.140625" style="1" bestFit="1" customWidth="1"/>
    <col min="7" max="9" width="9.140625" style="1"/>
    <col min="10" max="10" width="10.140625" style="1" bestFit="1" customWidth="1"/>
    <col min="11" max="13" width="9.140625" style="1"/>
    <col min="14" max="14" width="10.140625" style="1" bestFit="1" customWidth="1"/>
    <col min="15" max="38" width="9.140625" style="1"/>
    <col min="39" max="39" width="10.7109375" style="1" bestFit="1" customWidth="1"/>
    <col min="40" max="16384" width="9.140625" style="1"/>
  </cols>
  <sheetData>
    <row r="1" spans="2:93" x14ac:dyDescent="0.2">
      <c r="C1" s="3">
        <v>43555</v>
      </c>
      <c r="D1" s="3">
        <v>43646</v>
      </c>
      <c r="E1" s="1" t="s">
        <v>45</v>
      </c>
      <c r="F1" s="3">
        <v>43830</v>
      </c>
      <c r="G1" s="3">
        <v>43921</v>
      </c>
      <c r="H1" s="3">
        <v>44012</v>
      </c>
      <c r="I1" s="3" t="s">
        <v>42</v>
      </c>
      <c r="J1" s="3">
        <v>44196</v>
      </c>
      <c r="K1" s="3">
        <v>44286</v>
      </c>
      <c r="L1" s="3">
        <v>44377</v>
      </c>
      <c r="M1" s="3">
        <v>44469</v>
      </c>
      <c r="N1" s="3">
        <v>44561</v>
      </c>
      <c r="O1" s="3">
        <v>44651</v>
      </c>
      <c r="P1" s="3">
        <v>44742</v>
      </c>
    </row>
    <row r="2" spans="2:93" x14ac:dyDescent="0.2">
      <c r="C2" s="1" t="s">
        <v>25</v>
      </c>
      <c r="D2" s="1" t="s">
        <v>24</v>
      </c>
      <c r="E2" s="1" t="s">
        <v>23</v>
      </c>
      <c r="F2" s="1" t="s">
        <v>22</v>
      </c>
      <c r="G2" s="1" t="s">
        <v>21</v>
      </c>
      <c r="H2" s="1" t="s">
        <v>20</v>
      </c>
      <c r="I2" s="1" t="s">
        <v>19</v>
      </c>
      <c r="J2" s="1" t="s">
        <v>18</v>
      </c>
      <c r="K2" s="1" t="s">
        <v>17</v>
      </c>
      <c r="L2" s="1" t="s">
        <v>16</v>
      </c>
      <c r="M2" s="1" t="s">
        <v>15</v>
      </c>
      <c r="N2" s="1" t="s">
        <v>14</v>
      </c>
      <c r="O2" s="1" t="s">
        <v>13</v>
      </c>
      <c r="P2" s="1" t="s">
        <v>12</v>
      </c>
      <c r="Q2" s="1" t="s">
        <v>54</v>
      </c>
      <c r="R2" s="1" t="s">
        <v>55</v>
      </c>
      <c r="S2" s="1" t="s">
        <v>56</v>
      </c>
      <c r="T2" s="1" t="s">
        <v>57</v>
      </c>
      <c r="Z2" s="1">
        <v>2012</v>
      </c>
      <c r="AA2" s="1">
        <f>Z2+1</f>
        <v>2013</v>
      </c>
      <c r="AB2" s="1">
        <f t="shared" ref="AB2:CM2" si="0">AA2+1</f>
        <v>2014</v>
      </c>
      <c r="AC2" s="1">
        <f t="shared" si="0"/>
        <v>2015</v>
      </c>
      <c r="AD2" s="1">
        <f t="shared" si="0"/>
        <v>2016</v>
      </c>
      <c r="AE2" s="1">
        <f t="shared" si="0"/>
        <v>2017</v>
      </c>
      <c r="AF2" s="1">
        <f t="shared" si="0"/>
        <v>2018</v>
      </c>
      <c r="AG2" s="1">
        <f t="shared" si="0"/>
        <v>2019</v>
      </c>
      <c r="AH2" s="1">
        <f t="shared" si="0"/>
        <v>2020</v>
      </c>
      <c r="AI2" s="1">
        <f t="shared" si="0"/>
        <v>2021</v>
      </c>
      <c r="AJ2" s="1">
        <f t="shared" si="0"/>
        <v>2022</v>
      </c>
      <c r="AK2" s="1">
        <f t="shared" si="0"/>
        <v>2023</v>
      </c>
      <c r="AL2" s="1">
        <f t="shared" si="0"/>
        <v>2024</v>
      </c>
      <c r="AM2" s="1">
        <f t="shared" si="0"/>
        <v>2025</v>
      </c>
      <c r="AN2" s="1">
        <f t="shared" si="0"/>
        <v>2026</v>
      </c>
      <c r="AO2" s="1">
        <f t="shared" si="0"/>
        <v>2027</v>
      </c>
      <c r="AP2" s="1">
        <f t="shared" si="0"/>
        <v>2028</v>
      </c>
      <c r="AQ2" s="1">
        <f t="shared" si="0"/>
        <v>2029</v>
      </c>
      <c r="AR2" s="1">
        <f t="shared" si="0"/>
        <v>2030</v>
      </c>
      <c r="AS2" s="1">
        <f t="shared" si="0"/>
        <v>2031</v>
      </c>
      <c r="AT2" s="1">
        <f t="shared" si="0"/>
        <v>2032</v>
      </c>
      <c r="AU2" s="1">
        <f t="shared" si="0"/>
        <v>2033</v>
      </c>
      <c r="AV2" s="1">
        <f t="shared" si="0"/>
        <v>2034</v>
      </c>
      <c r="AW2" s="1">
        <f t="shared" si="0"/>
        <v>2035</v>
      </c>
      <c r="AX2" s="1">
        <f t="shared" si="0"/>
        <v>2036</v>
      </c>
      <c r="AY2" s="1">
        <f t="shared" si="0"/>
        <v>2037</v>
      </c>
      <c r="AZ2" s="1">
        <f t="shared" si="0"/>
        <v>2038</v>
      </c>
      <c r="BA2" s="1">
        <f t="shared" si="0"/>
        <v>2039</v>
      </c>
      <c r="BB2" s="1">
        <f t="shared" si="0"/>
        <v>2040</v>
      </c>
      <c r="BC2" s="1">
        <f t="shared" si="0"/>
        <v>2041</v>
      </c>
      <c r="BD2" s="1">
        <f t="shared" si="0"/>
        <v>2042</v>
      </c>
      <c r="BE2" s="1">
        <f t="shared" si="0"/>
        <v>2043</v>
      </c>
      <c r="BF2" s="1">
        <f t="shared" si="0"/>
        <v>2044</v>
      </c>
      <c r="BG2" s="1">
        <f t="shared" si="0"/>
        <v>2045</v>
      </c>
      <c r="BH2" s="1">
        <f t="shared" si="0"/>
        <v>2046</v>
      </c>
      <c r="BI2" s="1">
        <f t="shared" si="0"/>
        <v>2047</v>
      </c>
      <c r="BJ2" s="1">
        <f t="shared" si="0"/>
        <v>2048</v>
      </c>
      <c r="BK2" s="1">
        <f t="shared" si="0"/>
        <v>2049</v>
      </c>
      <c r="BL2" s="1">
        <f t="shared" si="0"/>
        <v>2050</v>
      </c>
      <c r="BM2" s="1">
        <f t="shared" si="0"/>
        <v>2051</v>
      </c>
      <c r="BN2" s="1">
        <f t="shared" si="0"/>
        <v>2052</v>
      </c>
      <c r="BO2" s="1">
        <f t="shared" si="0"/>
        <v>2053</v>
      </c>
      <c r="BP2" s="1">
        <f t="shared" si="0"/>
        <v>2054</v>
      </c>
      <c r="BQ2" s="1">
        <f t="shared" si="0"/>
        <v>2055</v>
      </c>
      <c r="BR2" s="1">
        <f t="shared" si="0"/>
        <v>2056</v>
      </c>
      <c r="BS2" s="1">
        <f t="shared" si="0"/>
        <v>2057</v>
      </c>
      <c r="BT2" s="1">
        <f t="shared" si="0"/>
        <v>2058</v>
      </c>
      <c r="BU2" s="1">
        <f t="shared" si="0"/>
        <v>2059</v>
      </c>
      <c r="BV2" s="1">
        <f t="shared" si="0"/>
        <v>2060</v>
      </c>
      <c r="BW2" s="1">
        <f t="shared" si="0"/>
        <v>2061</v>
      </c>
      <c r="BX2" s="1">
        <f t="shared" si="0"/>
        <v>2062</v>
      </c>
      <c r="BY2" s="1">
        <f t="shared" si="0"/>
        <v>2063</v>
      </c>
      <c r="BZ2" s="1">
        <f t="shared" si="0"/>
        <v>2064</v>
      </c>
      <c r="CA2" s="1">
        <f t="shared" si="0"/>
        <v>2065</v>
      </c>
      <c r="CB2" s="1">
        <f t="shared" si="0"/>
        <v>2066</v>
      </c>
      <c r="CC2" s="1">
        <f t="shared" si="0"/>
        <v>2067</v>
      </c>
      <c r="CD2" s="1">
        <f t="shared" si="0"/>
        <v>2068</v>
      </c>
      <c r="CE2" s="1">
        <f t="shared" si="0"/>
        <v>2069</v>
      </c>
      <c r="CF2" s="1">
        <f t="shared" si="0"/>
        <v>2070</v>
      </c>
      <c r="CG2" s="1">
        <f t="shared" si="0"/>
        <v>2071</v>
      </c>
      <c r="CH2" s="1">
        <f t="shared" si="0"/>
        <v>2072</v>
      </c>
      <c r="CI2" s="1">
        <f t="shared" si="0"/>
        <v>2073</v>
      </c>
      <c r="CJ2" s="1">
        <f t="shared" si="0"/>
        <v>2074</v>
      </c>
      <c r="CK2" s="1">
        <f t="shared" si="0"/>
        <v>2075</v>
      </c>
      <c r="CL2" s="1">
        <f t="shared" si="0"/>
        <v>2076</v>
      </c>
      <c r="CM2" s="1">
        <f t="shared" si="0"/>
        <v>2077</v>
      </c>
      <c r="CN2" s="1">
        <f t="shared" ref="CN2:CO2" si="1">CM2+1</f>
        <v>2078</v>
      </c>
      <c r="CO2" s="1">
        <f t="shared" si="1"/>
        <v>2079</v>
      </c>
    </row>
    <row r="3" spans="2:93" x14ac:dyDescent="0.2">
      <c r="B3" s="1" t="s">
        <v>6</v>
      </c>
      <c r="C3" s="1">
        <v>743</v>
      </c>
      <c r="D3" s="1">
        <v>947</v>
      </c>
      <c r="E3" s="1">
        <v>882</v>
      </c>
      <c r="F3" s="1">
        <v>982</v>
      </c>
      <c r="G3" s="1">
        <v>827</v>
      </c>
      <c r="H3" s="1">
        <v>352</v>
      </c>
      <c r="I3" s="1">
        <v>606</v>
      </c>
      <c r="J3" s="1">
        <v>625</v>
      </c>
      <c r="K3" s="1">
        <v>944</v>
      </c>
      <c r="L3" s="1">
        <v>1395</v>
      </c>
      <c r="M3" s="1">
        <v>1506</v>
      </c>
      <c r="N3" s="1">
        <v>1551</v>
      </c>
      <c r="O3" s="1">
        <v>1946</v>
      </c>
      <c r="P3" s="1">
        <v>2189</v>
      </c>
      <c r="AG3" s="1">
        <v>3554</v>
      </c>
      <c r="AH3" s="1">
        <v>2410</v>
      </c>
      <c r="AI3" s="1">
        <v>5396</v>
      </c>
    </row>
    <row r="4" spans="2:93" x14ac:dyDescent="0.2">
      <c r="B4" s="1" t="s">
        <v>7</v>
      </c>
      <c r="C4" s="1">
        <v>29</v>
      </c>
      <c r="D4" s="1">
        <v>-9</v>
      </c>
      <c r="E4" s="1">
        <v>16</v>
      </c>
      <c r="F4" s="1">
        <v>30</v>
      </c>
      <c r="G4" s="1">
        <v>4</v>
      </c>
      <c r="H4" s="1">
        <v>21</v>
      </c>
      <c r="I4" s="1">
        <v>36</v>
      </c>
      <c r="J4" s="1">
        <v>46</v>
      </c>
      <c r="K4" s="1">
        <v>104</v>
      </c>
      <c r="L4" s="1">
        <v>107</v>
      </c>
      <c r="M4" s="1">
        <v>152</v>
      </c>
      <c r="N4" s="1">
        <v>206</v>
      </c>
      <c r="O4" s="1">
        <v>154</v>
      </c>
      <c r="P4" s="1">
        <v>264</v>
      </c>
      <c r="AG4" s="1">
        <v>66</v>
      </c>
      <c r="AH4" s="1">
        <v>107</v>
      </c>
      <c r="AI4" s="1">
        <v>569</v>
      </c>
    </row>
    <row r="5" spans="2:93" x14ac:dyDescent="0.2">
      <c r="B5" s="1" t="s">
        <v>8</v>
      </c>
      <c r="C5" s="1">
        <v>70</v>
      </c>
      <c r="D5" s="1">
        <v>62</v>
      </c>
      <c r="E5" s="1">
        <v>58</v>
      </c>
      <c r="F5" s="1">
        <v>77</v>
      </c>
      <c r="G5" s="1">
        <v>52</v>
      </c>
      <c r="H5" s="1">
        <v>39</v>
      </c>
      <c r="I5" s="1">
        <v>65</v>
      </c>
      <c r="J5" s="1">
        <v>83</v>
      </c>
      <c r="K5" s="1">
        <v>124</v>
      </c>
      <c r="L5" s="1">
        <v>165</v>
      </c>
      <c r="M5" s="1">
        <v>239</v>
      </c>
      <c r="N5" s="1">
        <v>254</v>
      </c>
      <c r="O5" s="1">
        <v>289</v>
      </c>
      <c r="P5" s="1">
        <v>299</v>
      </c>
      <c r="AG5" s="1">
        <v>267</v>
      </c>
      <c r="AH5" s="1">
        <v>239</v>
      </c>
      <c r="AI5" s="1">
        <v>782</v>
      </c>
    </row>
    <row r="6" spans="2:93" x14ac:dyDescent="0.2">
      <c r="B6" s="1" t="s">
        <v>9</v>
      </c>
      <c r="C6" s="1">
        <v>19</v>
      </c>
      <c r="D6" s="1">
        <v>16</v>
      </c>
      <c r="E6" s="1">
        <v>16</v>
      </c>
      <c r="F6" s="1">
        <v>13</v>
      </c>
      <c r="G6" s="1">
        <v>14</v>
      </c>
      <c r="H6" s="1">
        <v>11</v>
      </c>
      <c r="I6" s="1">
        <v>12</v>
      </c>
      <c r="J6" s="1">
        <v>13</v>
      </c>
      <c r="K6" s="1">
        <v>11</v>
      </c>
      <c r="L6" s="1">
        <v>12</v>
      </c>
      <c r="M6" s="1">
        <v>12</v>
      </c>
      <c r="N6" s="1">
        <v>10</v>
      </c>
      <c r="O6" s="1">
        <v>17</v>
      </c>
      <c r="P6" s="1">
        <v>14</v>
      </c>
      <c r="AG6" s="1">
        <v>64</v>
      </c>
      <c r="AH6" s="1">
        <v>50</v>
      </c>
      <c r="AI6" s="1">
        <v>45</v>
      </c>
    </row>
    <row r="7" spans="2:93" x14ac:dyDescent="0.2">
      <c r="B7" s="1" t="s">
        <v>10</v>
      </c>
      <c r="C7" s="1">
        <v>3</v>
      </c>
      <c r="D7" s="1">
        <f>3+2</f>
        <v>5</v>
      </c>
      <c r="E7" s="1">
        <v>3</v>
      </c>
      <c r="F7" s="1">
        <v>2</v>
      </c>
      <c r="G7" s="1">
        <v>2</v>
      </c>
      <c r="H7" s="1">
        <v>2</v>
      </c>
      <c r="I7" s="1">
        <v>1</v>
      </c>
      <c r="J7" s="1">
        <v>2</v>
      </c>
      <c r="K7" s="1">
        <v>1</v>
      </c>
      <c r="L7" s="1">
        <v>2</v>
      </c>
      <c r="M7" s="1">
        <v>1</v>
      </c>
      <c r="N7" s="1">
        <v>1</v>
      </c>
      <c r="O7" s="1">
        <v>2</v>
      </c>
      <c r="P7" s="1">
        <v>2</v>
      </c>
      <c r="AG7" s="1">
        <v>13</v>
      </c>
      <c r="AH7" s="1">
        <v>7</v>
      </c>
      <c r="AI7" s="1">
        <v>5</v>
      </c>
    </row>
    <row r="8" spans="2:93" s="4" customFormat="1" x14ac:dyDescent="0.2">
      <c r="B8" s="4" t="s">
        <v>11</v>
      </c>
      <c r="C8" s="4">
        <f t="shared" ref="C8:P8" si="2">SUM(C3:C7)</f>
        <v>864</v>
      </c>
      <c r="D8" s="4">
        <f t="shared" si="2"/>
        <v>1021</v>
      </c>
      <c r="E8" s="4">
        <f t="shared" si="2"/>
        <v>975</v>
      </c>
      <c r="F8" s="4">
        <f t="shared" si="2"/>
        <v>1104</v>
      </c>
      <c r="G8" s="4">
        <f t="shared" si="2"/>
        <v>899</v>
      </c>
      <c r="H8" s="4">
        <f t="shared" si="2"/>
        <v>425</v>
      </c>
      <c r="I8" s="4">
        <f t="shared" si="2"/>
        <v>720</v>
      </c>
      <c r="J8" s="4">
        <f t="shared" si="2"/>
        <v>769</v>
      </c>
      <c r="K8" s="4">
        <f t="shared" si="2"/>
        <v>1184</v>
      </c>
      <c r="L8" s="4">
        <f t="shared" si="2"/>
        <v>1681</v>
      </c>
      <c r="M8" s="4">
        <f t="shared" si="2"/>
        <v>1910</v>
      </c>
      <c r="N8" s="4">
        <f t="shared" si="2"/>
        <v>2022</v>
      </c>
      <c r="O8" s="4">
        <f t="shared" si="2"/>
        <v>2408</v>
      </c>
      <c r="P8" s="4">
        <f t="shared" si="2"/>
        <v>2768</v>
      </c>
      <c r="Q8" s="15">
        <f>P8*1.3</f>
        <v>3598.4</v>
      </c>
      <c r="R8" s="15">
        <f t="shared" ref="R8:T8" si="3">Q8*1.3</f>
        <v>4677.92</v>
      </c>
      <c r="S8" s="15">
        <f t="shared" si="3"/>
        <v>6081.2960000000003</v>
      </c>
      <c r="T8" s="15">
        <f t="shared" si="3"/>
        <v>7905.6848000000009</v>
      </c>
      <c r="V8" s="1"/>
      <c r="Z8" s="4">
        <f t="shared" ref="Z8" si="4">SUM(Z3:Z7)</f>
        <v>0</v>
      </c>
      <c r="AA8" s="4">
        <f t="shared" ref="AA8" si="5">SUM(AA3:AA7)</f>
        <v>0</v>
      </c>
      <c r="AB8" s="4">
        <f t="shared" ref="AB8" si="6">SUM(AB3:AB7)</f>
        <v>0</v>
      </c>
      <c r="AC8" s="4">
        <f t="shared" ref="AC8" si="7">SUM(AC3:AC7)</f>
        <v>0</v>
      </c>
      <c r="AD8" s="4">
        <f t="shared" ref="AD8" si="8">SUM(AD3:AD7)</f>
        <v>0</v>
      </c>
      <c r="AE8" s="4">
        <f t="shared" ref="AE8" si="9">SUM(AE3:AE7)</f>
        <v>0</v>
      </c>
      <c r="AF8" s="4">
        <f t="shared" ref="AF8" si="10">SUM(AF3:AF7)</f>
        <v>0</v>
      </c>
      <c r="AG8" s="4">
        <f t="shared" ref="AG8" si="11">SUM(AG3:AG7)</f>
        <v>3964</v>
      </c>
      <c r="AH8" s="4">
        <f t="shared" ref="AH8" si="12">SUM(AH3:AH7)</f>
        <v>2813</v>
      </c>
      <c r="AI8" s="4">
        <f t="shared" ref="AI8" si="13">SUM(AI3:AI7)</f>
        <v>6797</v>
      </c>
    </row>
    <row r="9" spans="2:93" s="4" customFormat="1" x14ac:dyDescent="0.2">
      <c r="Q9" s="15">
        <f>Q8*0.51</f>
        <v>1835.184</v>
      </c>
      <c r="R9" s="15">
        <f t="shared" ref="R9:T9" si="14">R8*0.51</f>
        <v>2385.7392</v>
      </c>
      <c r="S9" s="15">
        <f t="shared" si="14"/>
        <v>3101.4609600000003</v>
      </c>
      <c r="T9" s="15">
        <f t="shared" si="14"/>
        <v>4031.8992480000006</v>
      </c>
      <c r="V9" s="1"/>
    </row>
    <row r="10" spans="2:93" s="5" customFormat="1" x14ac:dyDescent="0.2">
      <c r="B10" s="5" t="s">
        <v>46</v>
      </c>
      <c r="C10" s="5">
        <f>C3/C8</f>
        <v>0.85995370370370372</v>
      </c>
      <c r="D10" s="5">
        <f t="shared" ref="D10:P10" si="15">D3/D8</f>
        <v>0.92752203721841331</v>
      </c>
      <c r="E10" s="5">
        <f t="shared" si="15"/>
        <v>0.9046153846153846</v>
      </c>
      <c r="F10" s="5">
        <f t="shared" ref="F10:O10" si="16">F3/F8</f>
        <v>0.88949275362318836</v>
      </c>
      <c r="G10" s="5">
        <f t="shared" si="16"/>
        <v>0.91991101223581762</v>
      </c>
      <c r="H10" s="5">
        <f t="shared" si="16"/>
        <v>0.82823529411764707</v>
      </c>
      <c r="I10" s="5">
        <f t="shared" si="16"/>
        <v>0.84166666666666667</v>
      </c>
      <c r="J10" s="5">
        <f t="shared" si="16"/>
        <v>0.81274382314694404</v>
      </c>
      <c r="K10" s="5">
        <f t="shared" si="16"/>
        <v>0.79729729729729726</v>
      </c>
      <c r="L10" s="5">
        <f t="shared" si="16"/>
        <v>0.82986317668054732</v>
      </c>
      <c r="M10" s="5">
        <f t="shared" si="16"/>
        <v>0.78848167539267011</v>
      </c>
      <c r="N10" s="5">
        <f t="shared" si="16"/>
        <v>0.76706231454005935</v>
      </c>
      <c r="O10" s="5">
        <f t="shared" si="16"/>
        <v>0.80813953488372092</v>
      </c>
      <c r="P10" s="5">
        <f t="shared" si="15"/>
        <v>0.79082369942196529</v>
      </c>
      <c r="T10" s="1"/>
      <c r="V10" s="1"/>
    </row>
    <row r="11" spans="2:93" s="5" customFormat="1" x14ac:dyDescent="0.2">
      <c r="B11" s="5" t="s">
        <v>47</v>
      </c>
      <c r="C11" s="5">
        <f>(C4+C5)/C8</f>
        <v>0.11458333333333333</v>
      </c>
      <c r="D11" s="5">
        <f t="shared" ref="D11:E11" si="17">(D4+D5)/D8</f>
        <v>5.190989226248776E-2</v>
      </c>
      <c r="E11" s="5">
        <f t="shared" si="17"/>
        <v>7.5897435897435903E-2</v>
      </c>
      <c r="F11" s="5">
        <f t="shared" ref="F11:O11" si="18">(F4+F5)/F8</f>
        <v>9.6920289855072464E-2</v>
      </c>
      <c r="G11" s="5">
        <f t="shared" si="18"/>
        <v>6.2291434927697439E-2</v>
      </c>
      <c r="H11" s="5">
        <f t="shared" si="18"/>
        <v>0.14117647058823529</v>
      </c>
      <c r="I11" s="5">
        <f t="shared" si="18"/>
        <v>0.14027777777777778</v>
      </c>
      <c r="J11" s="5">
        <f t="shared" si="18"/>
        <v>0.16775032509752927</v>
      </c>
      <c r="K11" s="5">
        <f t="shared" si="18"/>
        <v>0.19256756756756757</v>
      </c>
      <c r="L11" s="5">
        <f t="shared" si="18"/>
        <v>0.1618084473527662</v>
      </c>
      <c r="M11" s="5">
        <f t="shared" si="18"/>
        <v>0.20471204188481676</v>
      </c>
      <c r="N11" s="5">
        <f t="shared" si="18"/>
        <v>0.22749752720079131</v>
      </c>
      <c r="O11" s="5">
        <f t="shared" si="18"/>
        <v>0.18397009966777408</v>
      </c>
      <c r="P11" s="5">
        <f t="shared" ref="P11" si="19">(P4+P5)/P8</f>
        <v>0.20339595375722544</v>
      </c>
      <c r="T11" s="1"/>
      <c r="V11" s="1"/>
    </row>
    <row r="12" spans="2:93" s="5" customFormat="1" x14ac:dyDescent="0.2">
      <c r="B12" s="5" t="s">
        <v>48</v>
      </c>
      <c r="C12" s="5">
        <f>C6/C8</f>
        <v>2.1990740740740741E-2</v>
      </c>
      <c r="D12" s="5">
        <f t="shared" ref="D12:E12" si="20">D6/D8</f>
        <v>1.5670910871694418E-2</v>
      </c>
      <c r="E12" s="5">
        <f t="shared" si="20"/>
        <v>1.641025641025641E-2</v>
      </c>
      <c r="F12" s="5">
        <f t="shared" ref="F12:O12" si="21">F6/F8</f>
        <v>1.177536231884058E-2</v>
      </c>
      <c r="G12" s="5">
        <f t="shared" si="21"/>
        <v>1.557285873192436E-2</v>
      </c>
      <c r="H12" s="5">
        <f t="shared" si="21"/>
        <v>2.5882352941176471E-2</v>
      </c>
      <c r="I12" s="5">
        <f t="shared" si="21"/>
        <v>1.6666666666666666E-2</v>
      </c>
      <c r="J12" s="5">
        <f t="shared" si="21"/>
        <v>1.6905071521456438E-2</v>
      </c>
      <c r="K12" s="5">
        <f t="shared" si="21"/>
        <v>9.2905405405405411E-3</v>
      </c>
      <c r="L12" s="5">
        <f t="shared" si="21"/>
        <v>7.138607971445568E-3</v>
      </c>
      <c r="M12" s="5">
        <f t="shared" si="21"/>
        <v>6.2827225130890054E-3</v>
      </c>
      <c r="N12" s="5">
        <f t="shared" si="21"/>
        <v>4.945598417408506E-3</v>
      </c>
      <c r="O12" s="5">
        <f t="shared" si="21"/>
        <v>7.0598006644518275E-3</v>
      </c>
      <c r="P12" s="5">
        <f t="shared" ref="P12" si="22">P6/P8</f>
        <v>5.0578034682080926E-3</v>
      </c>
      <c r="T12" s="1"/>
      <c r="V12" s="1"/>
    </row>
    <row r="13" spans="2:93" x14ac:dyDescent="0.2">
      <c r="R13" s="5"/>
    </row>
    <row r="14" spans="2:93" x14ac:dyDescent="0.2">
      <c r="B14" s="1" t="s">
        <v>26</v>
      </c>
      <c r="C14" s="1">
        <v>109</v>
      </c>
      <c r="D14" s="1">
        <v>127</v>
      </c>
      <c r="E14" s="1">
        <v>128</v>
      </c>
      <c r="F14" s="1">
        <v>126</v>
      </c>
      <c r="G14" s="1">
        <v>127</v>
      </c>
      <c r="H14" s="1">
        <v>103</v>
      </c>
      <c r="I14" s="1">
        <v>102</v>
      </c>
      <c r="J14" s="1">
        <v>93</v>
      </c>
      <c r="K14" s="1">
        <v>102</v>
      </c>
      <c r="L14" s="1">
        <v>157</v>
      </c>
      <c r="M14" s="1">
        <v>156</v>
      </c>
      <c r="N14" s="1">
        <v>150</v>
      </c>
      <c r="O14" s="1">
        <v>149</v>
      </c>
      <c r="P14" s="1">
        <v>159</v>
      </c>
      <c r="AG14" s="1">
        <v>490</v>
      </c>
      <c r="AH14" s="1">
        <v>425</v>
      </c>
      <c r="AI14" s="1">
        <v>565</v>
      </c>
    </row>
    <row r="15" spans="2:93" x14ac:dyDescent="0.2">
      <c r="B15" s="1" t="s">
        <v>27</v>
      </c>
      <c r="C15" s="1">
        <v>12</v>
      </c>
      <c r="D15" s="1">
        <v>17</v>
      </c>
      <c r="E15" s="1">
        <v>61</v>
      </c>
      <c r="F15" s="1">
        <v>158</v>
      </c>
      <c r="G15" s="1">
        <v>36</v>
      </c>
      <c r="H15" s="1">
        <v>36</v>
      </c>
      <c r="I15" s="1">
        <v>55</v>
      </c>
      <c r="J15" s="1">
        <v>13</v>
      </c>
      <c r="K15" s="1">
        <v>31</v>
      </c>
      <c r="L15" s="1">
        <v>56</v>
      </c>
      <c r="M15" s="1">
        <v>67</v>
      </c>
      <c r="N15" s="1">
        <v>58</v>
      </c>
      <c r="O15" s="1">
        <v>59</v>
      </c>
      <c r="P15" s="1">
        <v>61</v>
      </c>
      <c r="AG15" s="1">
        <v>248</v>
      </c>
      <c r="AH15" s="1">
        <v>140</v>
      </c>
      <c r="AI15" s="1">
        <v>212</v>
      </c>
    </row>
    <row r="16" spans="2:93" x14ac:dyDescent="0.2">
      <c r="B16" s="1" t="s">
        <v>28</v>
      </c>
      <c r="C16" s="1">
        <v>17</v>
      </c>
      <c r="D16" s="1">
        <v>17</v>
      </c>
      <c r="E16" s="1">
        <v>25</v>
      </c>
      <c r="F16" s="1">
        <v>29</v>
      </c>
      <c r="G16" s="1">
        <v>23</v>
      </c>
      <c r="H16" s="1">
        <v>32</v>
      </c>
      <c r="I16" s="1">
        <v>33</v>
      </c>
      <c r="J16" s="1">
        <v>17</v>
      </c>
      <c r="K16" s="1">
        <v>28</v>
      </c>
      <c r="L16" s="1">
        <v>23</v>
      </c>
      <c r="M16" s="1">
        <v>19</v>
      </c>
      <c r="N16" s="1">
        <v>19</v>
      </c>
      <c r="O16" s="1">
        <v>22</v>
      </c>
      <c r="P16" s="1">
        <v>23</v>
      </c>
      <c r="AG16" s="1">
        <v>88</v>
      </c>
      <c r="AH16" s="1">
        <v>105</v>
      </c>
      <c r="AI16" s="1">
        <v>89</v>
      </c>
    </row>
    <row r="17" spans="2:93" x14ac:dyDescent="0.2">
      <c r="B17" s="1" t="s">
        <v>29</v>
      </c>
      <c r="C17" s="1">
        <v>27</v>
      </c>
      <c r="D17" s="1">
        <v>22</v>
      </c>
      <c r="E17" s="1">
        <v>19</v>
      </c>
      <c r="F17" s="1">
        <v>36</v>
      </c>
      <c r="G17" s="1">
        <v>24</v>
      </c>
      <c r="H17" s="1">
        <v>20</v>
      </c>
      <c r="I17" s="1">
        <v>26</v>
      </c>
      <c r="J17" s="1">
        <v>18</v>
      </c>
      <c r="K17" s="1">
        <v>25</v>
      </c>
      <c r="L17" s="1">
        <v>36</v>
      </c>
      <c r="M17" s="1">
        <v>38</v>
      </c>
      <c r="N17" s="1">
        <v>47</v>
      </c>
      <c r="O17" s="1">
        <v>36</v>
      </c>
      <c r="P17" s="1">
        <v>39</v>
      </c>
      <c r="AG17" s="1">
        <v>104</v>
      </c>
      <c r="AH17" s="1">
        <v>88</v>
      </c>
      <c r="AI17" s="1">
        <v>146</v>
      </c>
    </row>
    <row r="18" spans="2:93" x14ac:dyDescent="0.2">
      <c r="B18" s="1" t="s">
        <v>30</v>
      </c>
      <c r="C18" s="1">
        <v>545</v>
      </c>
      <c r="D18" s="1">
        <v>610</v>
      </c>
      <c r="E18" s="1">
        <v>626</v>
      </c>
      <c r="F18" s="1">
        <v>1488</v>
      </c>
      <c r="G18" s="1">
        <v>1701</v>
      </c>
      <c r="H18" s="1">
        <v>3097</v>
      </c>
      <c r="I18" s="1">
        <v>1976</v>
      </c>
      <c r="J18" s="1">
        <v>1515</v>
      </c>
      <c r="K18" s="1">
        <v>613</v>
      </c>
      <c r="L18" s="1">
        <v>726</v>
      </c>
      <c r="M18" s="1">
        <v>746</v>
      </c>
      <c r="N18" s="1">
        <v>711</v>
      </c>
      <c r="O18" s="1">
        <v>1660</v>
      </c>
      <c r="P18" s="1">
        <v>790</v>
      </c>
      <c r="AG18" s="1">
        <v>3269</v>
      </c>
      <c r="AH18" s="1">
        <v>8289</v>
      </c>
      <c r="AI18" s="1">
        <v>2796</v>
      </c>
    </row>
    <row r="19" spans="2:93" x14ac:dyDescent="0.2">
      <c r="B19" s="1" t="s">
        <v>31</v>
      </c>
      <c r="C19" s="1">
        <v>10</v>
      </c>
      <c r="D19" s="1">
        <v>458</v>
      </c>
      <c r="E19" s="1">
        <v>490</v>
      </c>
      <c r="F19" s="1">
        <v>-643</v>
      </c>
      <c r="G19" s="1">
        <v>-317</v>
      </c>
      <c r="H19" s="1">
        <v>-3092</v>
      </c>
      <c r="I19" s="1">
        <v>-1409</v>
      </c>
      <c r="J19" s="1">
        <v>146</v>
      </c>
      <c r="K19" s="1">
        <v>-283</v>
      </c>
      <c r="L19" s="1">
        <v>422</v>
      </c>
      <c r="M19" s="1">
        <v>1164</v>
      </c>
      <c r="N19" s="1">
        <v>1604</v>
      </c>
      <c r="O19" s="1">
        <v>-636</v>
      </c>
      <c r="P19" s="1">
        <v>1863</v>
      </c>
      <c r="Q19" s="2">
        <v>1585.53</v>
      </c>
      <c r="R19" s="2">
        <f t="shared" ref="R19:T19" si="23">R8*0.35</f>
        <v>1637.2719999999999</v>
      </c>
      <c r="S19" s="2">
        <f t="shared" si="23"/>
        <v>2128.4535999999998</v>
      </c>
      <c r="T19" s="2">
        <f t="shared" si="23"/>
        <v>2766.9896800000001</v>
      </c>
      <c r="AG19" s="1">
        <v>315</v>
      </c>
      <c r="AH19" s="1">
        <v>-4672</v>
      </c>
      <c r="AI19" s="1">
        <v>2907</v>
      </c>
    </row>
    <row r="20" spans="2:93" x14ac:dyDescent="0.2">
      <c r="B20" s="1" t="s">
        <v>32</v>
      </c>
      <c r="C20" s="1">
        <f>C19-C21</f>
        <v>-33</v>
      </c>
      <c r="D20" s="1">
        <f t="shared" ref="D20:P20" si="24">D19-D21</f>
        <v>102</v>
      </c>
      <c r="E20" s="1">
        <f t="shared" si="24"/>
        <v>102</v>
      </c>
      <c r="F20" s="1">
        <f t="shared" si="24"/>
        <v>-96</v>
      </c>
      <c r="G20" s="1">
        <f t="shared" si="24"/>
        <v>83</v>
      </c>
      <c r="H20" s="1">
        <f t="shared" si="24"/>
        <v>-681</v>
      </c>
      <c r="I20" s="1">
        <f t="shared" si="24"/>
        <v>-304</v>
      </c>
      <c r="J20" s="1">
        <f t="shared" si="24"/>
        <v>747</v>
      </c>
      <c r="K20" s="1">
        <f t="shared" si="24"/>
        <v>-503</v>
      </c>
      <c r="L20" s="1">
        <f t="shared" si="24"/>
        <v>111</v>
      </c>
      <c r="M20" s="1">
        <f t="shared" si="24"/>
        <v>971</v>
      </c>
      <c r="N20" s="1">
        <f t="shared" si="24"/>
        <v>52</v>
      </c>
      <c r="O20" s="1">
        <f t="shared" si="24"/>
        <v>-1439</v>
      </c>
      <c r="P20" s="1">
        <f t="shared" si="24"/>
        <v>447</v>
      </c>
      <c r="Q20" s="2">
        <f>Q19*0.24</f>
        <v>380.52719999999999</v>
      </c>
      <c r="R20" s="2">
        <f>R19*0.24</f>
        <v>392.94527999999997</v>
      </c>
      <c r="S20" s="2">
        <f t="shared" ref="S20:T20" si="25">S19*0.24</f>
        <v>510.82886399999995</v>
      </c>
      <c r="T20" s="2">
        <f t="shared" si="25"/>
        <v>664.07752319999997</v>
      </c>
      <c r="Z20" s="1">
        <f t="shared" ref="Z20" si="26">Z19-Z21</f>
        <v>0</v>
      </c>
      <c r="AA20" s="1">
        <f t="shared" ref="AA20" si="27">AA19-AA21</f>
        <v>0</v>
      </c>
      <c r="AB20" s="1">
        <f t="shared" ref="AB20" si="28">AB19-AB21</f>
        <v>0</v>
      </c>
      <c r="AC20" s="1">
        <f t="shared" ref="AC20" si="29">AC19-AC21</f>
        <v>0</v>
      </c>
      <c r="AD20" s="1">
        <f t="shared" ref="AD20" si="30">AD19-AD21</f>
        <v>0</v>
      </c>
      <c r="AE20" s="1">
        <f t="shared" ref="AE20" si="31">AE19-AE21</f>
        <v>0</v>
      </c>
      <c r="AF20" s="1">
        <f t="shared" ref="AF20" si="32">AF19-AF21</f>
        <v>0</v>
      </c>
      <c r="AG20" s="1">
        <f t="shared" ref="AG20" si="33">AG19-AG21</f>
        <v>75</v>
      </c>
      <c r="AH20" s="1">
        <f t="shared" ref="AH20" si="34">AH19-AH21</f>
        <v>-155</v>
      </c>
      <c r="AI20" s="1">
        <f t="shared" ref="AI20" si="35">AI19-AI21</f>
        <v>631</v>
      </c>
    </row>
    <row r="21" spans="2:93" x14ac:dyDescent="0.2">
      <c r="B21" s="1" t="s">
        <v>33</v>
      </c>
      <c r="C21" s="1">
        <v>43</v>
      </c>
      <c r="D21" s="1">
        <v>356</v>
      </c>
      <c r="E21" s="1">
        <v>388</v>
      </c>
      <c r="F21" s="1">
        <v>-547</v>
      </c>
      <c r="G21" s="1">
        <v>-400</v>
      </c>
      <c r="H21" s="1">
        <v>-2411</v>
      </c>
      <c r="I21" s="1">
        <v>-1105</v>
      </c>
      <c r="J21" s="1">
        <v>-601</v>
      </c>
      <c r="K21" s="1">
        <v>220</v>
      </c>
      <c r="L21" s="1">
        <v>311</v>
      </c>
      <c r="M21" s="1">
        <v>193</v>
      </c>
      <c r="N21" s="1">
        <v>1552</v>
      </c>
      <c r="O21" s="1">
        <v>803</v>
      </c>
      <c r="P21" s="1">
        <v>1416</v>
      </c>
      <c r="Q21" s="2">
        <v>1205</v>
      </c>
      <c r="R21" s="2">
        <f t="shared" ref="R21:T21" si="36">R19-R20</f>
        <v>1244.32672</v>
      </c>
      <c r="S21" s="2">
        <f t="shared" si="36"/>
        <v>1617.6247359999998</v>
      </c>
      <c r="T21" s="2">
        <f t="shared" si="36"/>
        <v>2102.9121568</v>
      </c>
      <c r="AG21" s="1">
        <v>240</v>
      </c>
      <c r="AH21" s="1">
        <v>-4517</v>
      </c>
      <c r="AI21" s="1">
        <v>2276</v>
      </c>
      <c r="AJ21" s="1">
        <f>AI21*(1+$AM$24)</f>
        <v>2298.7600000000002</v>
      </c>
      <c r="AK21" s="1">
        <f t="shared" ref="AK21:CO21" si="37">AJ21*(1+$AM$24)</f>
        <v>2321.7476000000001</v>
      </c>
      <c r="AL21" s="1">
        <f t="shared" si="37"/>
        <v>2344.965076</v>
      </c>
      <c r="AM21" s="1">
        <f t="shared" si="37"/>
        <v>2368.4147267600001</v>
      </c>
      <c r="AN21" s="1">
        <f t="shared" si="37"/>
        <v>2392.0988740276002</v>
      </c>
      <c r="AO21" s="1">
        <f t="shared" si="37"/>
        <v>2416.0198627678765</v>
      </c>
      <c r="AP21" s="1">
        <f t="shared" si="37"/>
        <v>2440.1800613955552</v>
      </c>
      <c r="AQ21" s="1">
        <f t="shared" si="37"/>
        <v>2464.5818620095106</v>
      </c>
      <c r="AR21" s="1">
        <f t="shared" si="37"/>
        <v>2489.2276806296059</v>
      </c>
      <c r="AS21" s="1">
        <f t="shared" si="37"/>
        <v>2514.1199574359021</v>
      </c>
      <c r="AT21" s="1">
        <f t="shared" si="37"/>
        <v>2539.2611570102613</v>
      </c>
      <c r="AU21" s="1">
        <f t="shared" si="37"/>
        <v>2564.6537685803637</v>
      </c>
      <c r="AV21" s="1">
        <f t="shared" si="37"/>
        <v>2590.3003062661674</v>
      </c>
      <c r="AW21" s="1">
        <f t="shared" si="37"/>
        <v>2616.2033093288292</v>
      </c>
      <c r="AX21" s="1">
        <f t="shared" si="37"/>
        <v>2642.3653424221175</v>
      </c>
      <c r="AY21" s="1">
        <f t="shared" si="37"/>
        <v>2668.7889958463388</v>
      </c>
      <c r="AZ21" s="1">
        <f t="shared" si="37"/>
        <v>2695.4768858048024</v>
      </c>
      <c r="BA21" s="1">
        <f t="shared" si="37"/>
        <v>2722.4316546628502</v>
      </c>
      <c r="BB21" s="1">
        <f t="shared" si="37"/>
        <v>2749.6559712094786</v>
      </c>
      <c r="BC21" s="1">
        <f t="shared" si="37"/>
        <v>2777.1525309215735</v>
      </c>
      <c r="BD21" s="1">
        <f t="shared" si="37"/>
        <v>2804.9240562307891</v>
      </c>
      <c r="BE21" s="1">
        <f t="shared" si="37"/>
        <v>2832.9732967930972</v>
      </c>
      <c r="BF21" s="1">
        <f t="shared" si="37"/>
        <v>2861.303029761028</v>
      </c>
      <c r="BG21" s="1">
        <f t="shared" si="37"/>
        <v>2889.9160600586383</v>
      </c>
      <c r="BH21" s="1">
        <f t="shared" si="37"/>
        <v>2918.8152206592249</v>
      </c>
      <c r="BI21" s="1">
        <f t="shared" si="37"/>
        <v>2948.0033728658173</v>
      </c>
      <c r="BJ21" s="1">
        <f t="shared" si="37"/>
        <v>2977.4834065944756</v>
      </c>
      <c r="BK21" s="1">
        <f t="shared" si="37"/>
        <v>3007.2582406604201</v>
      </c>
      <c r="BL21" s="1">
        <f t="shared" si="37"/>
        <v>3037.3308230670245</v>
      </c>
      <c r="BM21" s="1">
        <f t="shared" si="37"/>
        <v>3067.7041312976949</v>
      </c>
      <c r="BN21" s="1">
        <f t="shared" si="37"/>
        <v>3098.3811726106719</v>
      </c>
      <c r="BO21" s="1">
        <f t="shared" si="37"/>
        <v>3129.3649843367784</v>
      </c>
      <c r="BP21" s="1">
        <f t="shared" si="37"/>
        <v>3160.6586341801462</v>
      </c>
      <c r="BQ21" s="1">
        <f t="shared" si="37"/>
        <v>3192.2652205219479</v>
      </c>
      <c r="BR21" s="1">
        <f t="shared" si="37"/>
        <v>3224.1878727271674</v>
      </c>
      <c r="BS21" s="1">
        <f t="shared" si="37"/>
        <v>3256.4297514544392</v>
      </c>
      <c r="BT21" s="1">
        <f t="shared" si="37"/>
        <v>3288.9940489689834</v>
      </c>
      <c r="BU21" s="1">
        <f t="shared" si="37"/>
        <v>3321.8839894586731</v>
      </c>
      <c r="BV21" s="1">
        <f t="shared" si="37"/>
        <v>3355.1028293532599</v>
      </c>
      <c r="BW21" s="1">
        <f t="shared" si="37"/>
        <v>3388.6538576467924</v>
      </c>
      <c r="BX21" s="1">
        <f t="shared" si="37"/>
        <v>3422.5403962232604</v>
      </c>
      <c r="BY21" s="1">
        <f t="shared" si="37"/>
        <v>3456.7658001854929</v>
      </c>
      <c r="BZ21" s="1">
        <f t="shared" si="37"/>
        <v>3491.3334581873478</v>
      </c>
      <c r="CA21" s="1">
        <f t="shared" si="37"/>
        <v>3526.2467927692214</v>
      </c>
      <c r="CB21" s="1">
        <f t="shared" si="37"/>
        <v>3561.5092606969138</v>
      </c>
      <c r="CC21" s="1">
        <f t="shared" si="37"/>
        <v>3597.1243533038828</v>
      </c>
      <c r="CD21" s="1">
        <f t="shared" si="37"/>
        <v>3633.0955968369217</v>
      </c>
      <c r="CE21" s="1">
        <f t="shared" si="37"/>
        <v>3669.4265528052911</v>
      </c>
      <c r="CF21" s="1">
        <f t="shared" si="37"/>
        <v>3706.1208183333442</v>
      </c>
      <c r="CG21" s="1">
        <f t="shared" si="37"/>
        <v>3743.1820265166775</v>
      </c>
      <c r="CH21" s="1">
        <f t="shared" si="37"/>
        <v>3780.6138467818441</v>
      </c>
      <c r="CI21" s="1">
        <f t="shared" si="37"/>
        <v>3818.4199852496627</v>
      </c>
      <c r="CJ21" s="1">
        <f t="shared" si="37"/>
        <v>3856.6041851021591</v>
      </c>
      <c r="CK21" s="1">
        <f t="shared" si="37"/>
        <v>3895.1702269531806</v>
      </c>
      <c r="CL21" s="1">
        <f t="shared" si="37"/>
        <v>3934.1219292227124</v>
      </c>
      <c r="CM21" s="1">
        <f t="shared" si="37"/>
        <v>3973.4631485149398</v>
      </c>
      <c r="CN21" s="1">
        <f t="shared" si="37"/>
        <v>4013.1977800000891</v>
      </c>
      <c r="CO21" s="1">
        <f t="shared" si="37"/>
        <v>4053.3297578000902</v>
      </c>
    </row>
    <row r="22" spans="2:93" x14ac:dyDescent="0.2">
      <c r="B22" s="1" t="s">
        <v>34</v>
      </c>
      <c r="C22" s="1">
        <v>0.06</v>
      </c>
      <c r="D22" s="1">
        <v>2.12</v>
      </c>
      <c r="E22" s="1">
        <v>2.27</v>
      </c>
      <c r="F22" s="1">
        <v>-2.98</v>
      </c>
      <c r="G22" s="1">
        <v>-1.72</v>
      </c>
      <c r="H22" s="1">
        <v>-15.16</v>
      </c>
      <c r="I22" s="1">
        <v>-7.05</v>
      </c>
      <c r="J22" s="1">
        <v>-4.66</v>
      </c>
      <c r="K22" s="1">
        <v>1.34</v>
      </c>
      <c r="L22" s="1">
        <v>1.7</v>
      </c>
      <c r="M22" s="1">
        <v>3.59</v>
      </c>
      <c r="N22" s="1">
        <v>5.72</v>
      </c>
      <c r="O22" s="1">
        <v>4.3899999999999997</v>
      </c>
      <c r="P22" s="1">
        <v>7.95</v>
      </c>
      <c r="Q22" s="6">
        <f>Q21/Q23</f>
        <v>6.922741060759261</v>
      </c>
      <c r="R22" s="6">
        <f t="shared" ref="R22:T22" si="38">R21/R23</f>
        <v>7.2281836110442184</v>
      </c>
      <c r="S22" s="6">
        <f t="shared" si="38"/>
        <v>9.5011513593098904</v>
      </c>
      <c r="T22" s="6">
        <f t="shared" si="38"/>
        <v>12.488874385341619</v>
      </c>
      <c r="AG22" s="1">
        <v>1.47</v>
      </c>
      <c r="AH22" s="1">
        <v>-28.59</v>
      </c>
      <c r="AI22" s="1">
        <v>12.35</v>
      </c>
    </row>
    <row r="23" spans="2:93" x14ac:dyDescent="0.2">
      <c r="B23" s="1" t="s">
        <v>1</v>
      </c>
      <c r="C23" s="1">
        <v>164</v>
      </c>
      <c r="D23" s="1">
        <v>164</v>
      </c>
      <c r="E23" s="1">
        <v>162</v>
      </c>
      <c r="F23" s="1">
        <v>163</v>
      </c>
      <c r="G23" s="1">
        <v>158</v>
      </c>
      <c r="H23" s="1">
        <v>157</v>
      </c>
      <c r="I23" s="1">
        <v>157</v>
      </c>
      <c r="J23" s="1">
        <v>157</v>
      </c>
      <c r="K23" s="1">
        <v>164</v>
      </c>
      <c r="L23" s="1">
        <v>181</v>
      </c>
      <c r="M23" s="1">
        <v>181</v>
      </c>
      <c r="N23" s="1">
        <v>176</v>
      </c>
      <c r="O23" s="1">
        <v>177</v>
      </c>
      <c r="P23" s="1">
        <v>176</v>
      </c>
      <c r="Q23" s="2">
        <f>P23*0.989</f>
        <v>174.06399999999999</v>
      </c>
      <c r="R23" s="2">
        <f t="shared" ref="R23:T23" si="39">Q23*0.989</f>
        <v>172.14929599999999</v>
      </c>
      <c r="S23" s="2">
        <f t="shared" si="39"/>
        <v>170.255653744</v>
      </c>
      <c r="T23" s="2">
        <f t="shared" si="39"/>
        <v>168.38284155281599</v>
      </c>
      <c r="AG23" s="1">
        <v>163</v>
      </c>
      <c r="AH23" s="1">
        <v>157</v>
      </c>
      <c r="AI23" s="1">
        <v>176</v>
      </c>
    </row>
    <row r="24" spans="2:93" x14ac:dyDescent="0.2">
      <c r="AL24" s="7" t="s">
        <v>59</v>
      </c>
      <c r="AM24" s="8">
        <v>0.01</v>
      </c>
    </row>
    <row r="25" spans="2:93" x14ac:dyDescent="0.2">
      <c r="B25" s="1" t="s">
        <v>49</v>
      </c>
      <c r="C25" s="5"/>
      <c r="D25" s="5"/>
      <c r="E25" s="5"/>
      <c r="F25" s="5"/>
      <c r="G25" s="5">
        <f t="shared" ref="G25:O25" si="40">G8/C8-1</f>
        <v>4.05092592592593E-2</v>
      </c>
      <c r="H25" s="5">
        <f t="shared" si="40"/>
        <v>-0.58374142997061707</v>
      </c>
      <c r="I25" s="5">
        <f t="shared" si="40"/>
        <v>-0.2615384615384615</v>
      </c>
      <c r="J25" s="5">
        <f t="shared" si="40"/>
        <v>-0.30344202898550721</v>
      </c>
      <c r="K25" s="5">
        <f t="shared" si="40"/>
        <v>0.31701890989988879</v>
      </c>
      <c r="L25" s="5">
        <f t="shared" si="40"/>
        <v>2.9552941176470586</v>
      </c>
      <c r="M25" s="5">
        <f t="shared" si="40"/>
        <v>1.6527777777777777</v>
      </c>
      <c r="N25" s="5">
        <f t="shared" si="40"/>
        <v>1.6293888166449935</v>
      </c>
      <c r="O25" s="5">
        <f t="shared" si="40"/>
        <v>1.0337837837837838</v>
      </c>
      <c r="P25" s="5">
        <f>P8/L8-1</f>
        <v>0.64663890541344449</v>
      </c>
      <c r="AL25" s="9" t="s">
        <v>60</v>
      </c>
      <c r="AM25" s="10">
        <v>0.1</v>
      </c>
    </row>
    <row r="26" spans="2:93" x14ac:dyDescent="0.2">
      <c r="B26" s="1" t="s">
        <v>52</v>
      </c>
      <c r="C26" s="5"/>
      <c r="D26" s="5"/>
      <c r="E26" s="5"/>
      <c r="F26" s="5"/>
      <c r="G26" s="5">
        <f t="shared" ref="G26:O26" si="41">G3/C3-1</f>
        <v>0.11305518169582762</v>
      </c>
      <c r="H26" s="5">
        <f t="shared" si="41"/>
        <v>-0.62829989440337908</v>
      </c>
      <c r="I26" s="5">
        <f t="shared" si="41"/>
        <v>-0.31292517006802723</v>
      </c>
      <c r="J26" s="5">
        <f t="shared" si="41"/>
        <v>-0.36354378818737276</v>
      </c>
      <c r="K26" s="5">
        <f t="shared" si="41"/>
        <v>0.14147521160822252</v>
      </c>
      <c r="L26" s="5">
        <f t="shared" si="41"/>
        <v>2.9630681818181817</v>
      </c>
      <c r="M26" s="5">
        <f t="shared" si="41"/>
        <v>1.4851485148514851</v>
      </c>
      <c r="N26" s="5">
        <f t="shared" si="41"/>
        <v>1.4815999999999998</v>
      </c>
      <c r="O26" s="5">
        <f t="shared" si="41"/>
        <v>1.0614406779661016</v>
      </c>
      <c r="P26" s="5">
        <f>P3/L3-1</f>
        <v>0.56917562724014337</v>
      </c>
      <c r="AL26" s="9" t="s">
        <v>61</v>
      </c>
      <c r="AM26" s="11">
        <f>NPV(AM25,AJ21:CO21)</f>
        <v>25361.012479436315</v>
      </c>
    </row>
    <row r="27" spans="2:93" x14ac:dyDescent="0.2">
      <c r="B27" s="1" t="s">
        <v>58</v>
      </c>
      <c r="C27" s="5"/>
      <c r="D27" s="5"/>
      <c r="E27" s="5"/>
      <c r="F27" s="5"/>
      <c r="G27" s="5">
        <f t="shared" ref="G27:O27" si="42">G23/C23-1</f>
        <v>-3.6585365853658569E-2</v>
      </c>
      <c r="H27" s="5">
        <f t="shared" si="42"/>
        <v>-4.2682926829268331E-2</v>
      </c>
      <c r="I27" s="5">
        <f t="shared" si="42"/>
        <v>-3.0864197530864224E-2</v>
      </c>
      <c r="J27" s="5">
        <f t="shared" si="42"/>
        <v>-3.6809815950920255E-2</v>
      </c>
      <c r="K27" s="5">
        <f t="shared" si="42"/>
        <v>3.7974683544303778E-2</v>
      </c>
      <c r="L27" s="5">
        <f t="shared" si="42"/>
        <v>0.15286624203821653</v>
      </c>
      <c r="M27" s="5">
        <f t="shared" si="42"/>
        <v>0.15286624203821653</v>
      </c>
      <c r="N27" s="5">
        <f t="shared" si="42"/>
        <v>0.12101910828025475</v>
      </c>
      <c r="O27" s="5">
        <f t="shared" si="42"/>
        <v>7.92682926829269E-2</v>
      </c>
      <c r="P27" s="5">
        <f>P23/L23-1</f>
        <v>-2.7624309392265234E-2</v>
      </c>
      <c r="AL27" s="9" t="s">
        <v>62</v>
      </c>
      <c r="AM27" s="11">
        <f>AM26/Main!N2</f>
        <v>201.6459607174709</v>
      </c>
    </row>
    <row r="28" spans="2:93" x14ac:dyDescent="0.2">
      <c r="B28" s="1" t="s">
        <v>50</v>
      </c>
      <c r="C28" s="5">
        <f t="shared" ref="C28:P28" si="43">C21/C8</f>
        <v>4.9768518518518517E-2</v>
      </c>
      <c r="D28" s="5">
        <f t="shared" si="43"/>
        <v>0.3486777668952008</v>
      </c>
      <c r="E28" s="5">
        <f t="shared" si="43"/>
        <v>0.39794871794871794</v>
      </c>
      <c r="F28" s="5">
        <f t="shared" si="43"/>
        <v>-0.4954710144927536</v>
      </c>
      <c r="G28" s="5">
        <f t="shared" si="43"/>
        <v>-0.44493882091212456</v>
      </c>
      <c r="H28" s="5">
        <f t="shared" si="43"/>
        <v>-5.6729411764705882</v>
      </c>
      <c r="I28" s="5">
        <f t="shared" si="43"/>
        <v>-1.5347222222222223</v>
      </c>
      <c r="J28" s="5">
        <f t="shared" si="43"/>
        <v>-0.78153446033810148</v>
      </c>
      <c r="K28" s="5">
        <f t="shared" si="43"/>
        <v>0.1858108108108108</v>
      </c>
      <c r="L28" s="5">
        <f t="shared" si="43"/>
        <v>0.18500892325996432</v>
      </c>
      <c r="M28" s="5">
        <f t="shared" si="43"/>
        <v>0.10104712041884817</v>
      </c>
      <c r="N28" s="5">
        <f t="shared" si="43"/>
        <v>0.7675568743818002</v>
      </c>
      <c r="O28" s="5">
        <f t="shared" si="43"/>
        <v>0.3334717607973422</v>
      </c>
      <c r="P28" s="5">
        <f>P21/P8</f>
        <v>0.51156069364161849</v>
      </c>
      <c r="AL28" s="9"/>
      <c r="AM28" s="12"/>
    </row>
    <row r="29" spans="2:93" x14ac:dyDescent="0.2">
      <c r="B29" s="1" t="s">
        <v>51</v>
      </c>
      <c r="C29" s="5">
        <f>C20/C19</f>
        <v>-3.3</v>
      </c>
      <c r="D29" s="5">
        <f>D20/D19</f>
        <v>0.22270742358078602</v>
      </c>
      <c r="E29" s="5">
        <f>E20/E19</f>
        <v>0.20816326530612245</v>
      </c>
      <c r="F29" s="5">
        <f>F20/F19</f>
        <v>0.14930015552099535</v>
      </c>
      <c r="G29" s="5">
        <f>G20/G19</f>
        <v>-0.26182965299684541</v>
      </c>
      <c r="H29" s="5">
        <f>H20/H19</f>
        <v>0.22024579560155239</v>
      </c>
      <c r="I29" s="5">
        <f>I20/I19</f>
        <v>0.21575585521646559</v>
      </c>
      <c r="J29" s="5">
        <f>J20/J19</f>
        <v>5.1164383561643838</v>
      </c>
      <c r="K29" s="5">
        <f>K20/K19</f>
        <v>1.7773851590106007</v>
      </c>
      <c r="L29" s="5">
        <f>L20/L19</f>
        <v>0.26303317535545023</v>
      </c>
      <c r="M29" s="5">
        <f>M20/M19</f>
        <v>0.83419243986254299</v>
      </c>
      <c r="N29" s="5">
        <f>N20/N19</f>
        <v>3.2418952618453865E-2</v>
      </c>
      <c r="O29" s="5">
        <f>O20/O19</f>
        <v>2.2625786163522013</v>
      </c>
      <c r="P29" s="5">
        <f>P20/P19</f>
        <v>0.23993558776167473</v>
      </c>
      <c r="AL29" s="13" t="s">
        <v>63</v>
      </c>
      <c r="AM29" s="14">
        <f>AM27/Main!N2-1</f>
        <v>0.60329141065016234</v>
      </c>
    </row>
    <row r="30" spans="2:93" x14ac:dyDescent="0.2">
      <c r="T30" s="1" t="s">
        <v>64</v>
      </c>
    </row>
    <row r="31" spans="2:93" x14ac:dyDescent="0.2">
      <c r="B31" s="1" t="s">
        <v>35</v>
      </c>
      <c r="C31" s="1">
        <f t="shared" ref="C31:O31" si="44">C32-C37</f>
        <v>-4544</v>
      </c>
      <c r="D31" s="1">
        <f t="shared" si="44"/>
        <v>-4146</v>
      </c>
      <c r="E31" s="1">
        <f t="shared" si="44"/>
        <v>-4661</v>
      </c>
      <c r="F31" s="1">
        <f t="shared" si="44"/>
        <v>-5248</v>
      </c>
      <c r="G31" s="1">
        <f t="shared" si="44"/>
        <v>-5528</v>
      </c>
      <c r="H31" s="1">
        <f t="shared" si="44"/>
        <v>-5901</v>
      </c>
      <c r="I31" s="1">
        <f t="shared" si="44"/>
        <v>-5564</v>
      </c>
      <c r="J31" s="1">
        <f t="shared" si="44"/>
        <v>-5520</v>
      </c>
      <c r="K31" s="1">
        <f t="shared" si="44"/>
        <v>-7344</v>
      </c>
      <c r="L31" s="1">
        <f t="shared" si="44"/>
        <v>-7016</v>
      </c>
      <c r="M31" s="1">
        <f t="shared" si="44"/>
        <v>-6468</v>
      </c>
      <c r="N31" s="1">
        <f>N32-N37</f>
        <v>-5988</v>
      </c>
      <c r="O31" s="1">
        <f t="shared" si="44"/>
        <v>-5654</v>
      </c>
      <c r="P31" s="1">
        <f>P32-P37</f>
        <v>-5358</v>
      </c>
      <c r="T31" s="1" t="s">
        <v>65</v>
      </c>
    </row>
    <row r="32" spans="2:93" x14ac:dyDescent="0.2">
      <c r="B32" s="1" t="s">
        <v>3</v>
      </c>
      <c r="C32" s="1">
        <v>126</v>
      </c>
      <c r="D32" s="1">
        <v>326</v>
      </c>
      <c r="E32" s="1">
        <v>100</v>
      </c>
      <c r="F32" s="1">
        <v>123</v>
      </c>
      <c r="G32" s="1">
        <v>149</v>
      </c>
      <c r="H32" s="1">
        <v>51</v>
      </c>
      <c r="I32" s="1">
        <v>92</v>
      </c>
      <c r="J32" s="1">
        <v>104</v>
      </c>
      <c r="K32" s="1">
        <v>121</v>
      </c>
      <c r="L32" s="1">
        <v>344</v>
      </c>
      <c r="M32" s="1">
        <v>457</v>
      </c>
      <c r="N32" s="1">
        <v>654</v>
      </c>
      <c r="O32" s="1">
        <v>149</v>
      </c>
      <c r="P32" s="1">
        <v>43</v>
      </c>
    </row>
    <row r="33" spans="2:16" x14ac:dyDescent="0.2">
      <c r="B33" s="1" t="s">
        <v>36</v>
      </c>
      <c r="C33" s="1">
        <f>107+356</f>
        <v>463</v>
      </c>
      <c r="D33" s="1">
        <f>168+349</f>
        <v>517</v>
      </c>
      <c r="E33" s="1">
        <f>171+367</f>
        <v>538</v>
      </c>
      <c r="F33" s="1">
        <f>186+429</f>
        <v>615</v>
      </c>
      <c r="G33" s="1">
        <f>178+225</f>
        <v>403</v>
      </c>
      <c r="H33" s="1">
        <f>111+231</f>
        <v>342</v>
      </c>
      <c r="I33" s="1">
        <f>67+224</f>
        <v>291</v>
      </c>
      <c r="J33" s="1">
        <f>56+281</f>
        <v>337</v>
      </c>
      <c r="K33" s="1">
        <f>68+531</f>
        <v>599</v>
      </c>
      <c r="L33" s="1">
        <f>78+579</f>
        <v>657</v>
      </c>
      <c r="M33" s="1">
        <f>99+712</f>
        <v>811</v>
      </c>
      <c r="N33" s="1">
        <f>72+598</f>
        <v>670</v>
      </c>
      <c r="O33" s="1">
        <f>113+966</f>
        <v>1079</v>
      </c>
      <c r="P33" s="1">
        <f>76+961</f>
        <v>1037</v>
      </c>
    </row>
    <row r="34" spans="2:16" x14ac:dyDescent="0.2">
      <c r="B34" s="1" t="s">
        <v>37</v>
      </c>
      <c r="C34" s="1">
        <v>39</v>
      </c>
      <c r="D34" s="1">
        <v>44</v>
      </c>
      <c r="E34" s="1">
        <v>45</v>
      </c>
      <c r="F34" s="1">
        <v>37</v>
      </c>
      <c r="G34" s="1">
        <v>36</v>
      </c>
      <c r="H34" s="1">
        <v>34</v>
      </c>
      <c r="I34" s="1">
        <v>33</v>
      </c>
      <c r="J34" s="1">
        <v>33</v>
      </c>
      <c r="K34" s="1">
        <v>52</v>
      </c>
      <c r="L34" s="1">
        <v>52</v>
      </c>
      <c r="M34" s="1">
        <v>53</v>
      </c>
      <c r="N34" s="1">
        <v>62</v>
      </c>
      <c r="O34" s="1">
        <v>62</v>
      </c>
      <c r="P34" s="1">
        <v>65</v>
      </c>
    </row>
    <row r="35" spans="2:16" x14ac:dyDescent="0.2">
      <c r="B35" s="1" t="s">
        <v>38</v>
      </c>
      <c r="C35" s="1">
        <v>21047</v>
      </c>
      <c r="D35" s="1">
        <v>21603</v>
      </c>
      <c r="E35" s="1">
        <v>22048</v>
      </c>
      <c r="F35" s="1">
        <v>21835</v>
      </c>
      <c r="G35" s="1">
        <v>21420</v>
      </c>
      <c r="H35" s="1">
        <v>18927</v>
      </c>
      <c r="I35" s="1">
        <v>17435</v>
      </c>
      <c r="J35" s="1">
        <v>16214</v>
      </c>
      <c r="K35" s="1">
        <v>20352</v>
      </c>
      <c r="L35" s="1">
        <v>20419</v>
      </c>
      <c r="M35" s="1">
        <v>20406</v>
      </c>
      <c r="N35" s="1">
        <v>20619</v>
      </c>
      <c r="O35" s="1">
        <v>21108</v>
      </c>
      <c r="P35" s="1">
        <v>21369</v>
      </c>
    </row>
    <row r="36" spans="2:16" x14ac:dyDescent="0.2">
      <c r="B36" s="1" t="s">
        <v>39</v>
      </c>
      <c r="C36" s="1">
        <v>22268</v>
      </c>
      <c r="D36" s="1">
        <v>23171</v>
      </c>
      <c r="E36" s="1">
        <v>23553</v>
      </c>
      <c r="F36" s="1">
        <v>23531</v>
      </c>
      <c r="G36" s="1">
        <v>23386</v>
      </c>
      <c r="H36" s="1">
        <v>20337</v>
      </c>
      <c r="I36" s="1">
        <v>18760</v>
      </c>
      <c r="J36" s="1">
        <v>17619</v>
      </c>
      <c r="K36" s="1">
        <v>21996</v>
      </c>
      <c r="L36" s="1">
        <v>22335</v>
      </c>
      <c r="M36" s="1">
        <v>22639</v>
      </c>
      <c r="N36" s="1">
        <v>22898</v>
      </c>
      <c r="O36" s="1">
        <v>23331</v>
      </c>
      <c r="P36" s="1">
        <v>23448</v>
      </c>
    </row>
    <row r="37" spans="2:16" x14ac:dyDescent="0.2">
      <c r="B37" s="1" t="s">
        <v>4</v>
      </c>
      <c r="C37" s="1">
        <v>4670</v>
      </c>
      <c r="D37" s="1">
        <v>4472</v>
      </c>
      <c r="E37" s="1">
        <v>4761</v>
      </c>
      <c r="F37" s="1">
        <v>5371</v>
      </c>
      <c r="G37" s="1">
        <v>5677</v>
      </c>
      <c r="H37" s="1">
        <v>5952</v>
      </c>
      <c r="I37" s="1">
        <v>5656</v>
      </c>
      <c r="J37" s="1">
        <v>5624</v>
      </c>
      <c r="K37" s="1">
        <v>7465</v>
      </c>
      <c r="L37" s="1">
        <v>7360</v>
      </c>
      <c r="M37" s="1">
        <v>6925</v>
      </c>
      <c r="N37" s="1">
        <v>6642</v>
      </c>
      <c r="O37" s="1">
        <v>5803</v>
      </c>
      <c r="P37" s="1">
        <v>5401</v>
      </c>
    </row>
    <row r="38" spans="2:16" x14ac:dyDescent="0.2">
      <c r="B38" s="1" t="s">
        <v>40</v>
      </c>
      <c r="C38" s="1">
        <v>14514</v>
      </c>
      <c r="D38" s="1">
        <v>15450</v>
      </c>
      <c r="E38" s="1">
        <v>15489</v>
      </c>
      <c r="F38" s="1">
        <v>14906</v>
      </c>
      <c r="G38" s="1">
        <v>14316</v>
      </c>
      <c r="H38" s="1">
        <v>11835</v>
      </c>
      <c r="I38" s="1">
        <v>10669</v>
      </c>
      <c r="J38" s="1">
        <v>9804</v>
      </c>
      <c r="K38" s="1">
        <v>11652</v>
      </c>
      <c r="L38" s="1">
        <v>11890</v>
      </c>
      <c r="M38" s="1">
        <v>12422</v>
      </c>
      <c r="N38" s="1">
        <v>13245</v>
      </c>
      <c r="O38" s="1">
        <v>13852</v>
      </c>
      <c r="P38" s="1">
        <v>14390</v>
      </c>
    </row>
    <row r="39" spans="2:16" x14ac:dyDescent="0.2">
      <c r="B39" s="1" t="s">
        <v>41</v>
      </c>
      <c r="C39" s="1">
        <v>22268</v>
      </c>
      <c r="D39" s="1">
        <v>23171</v>
      </c>
      <c r="E39" s="1">
        <v>23553</v>
      </c>
      <c r="F39" s="1">
        <v>23531</v>
      </c>
      <c r="G39" s="1">
        <v>23386</v>
      </c>
      <c r="H39" s="1">
        <v>20337</v>
      </c>
      <c r="I39" s="1">
        <v>18760</v>
      </c>
      <c r="J39" s="1">
        <v>17619</v>
      </c>
      <c r="K39" s="1">
        <v>21996</v>
      </c>
      <c r="L39" s="1">
        <v>22335</v>
      </c>
      <c r="M39" s="1">
        <v>22639</v>
      </c>
      <c r="N39" s="1">
        <v>22898</v>
      </c>
      <c r="O39" s="1">
        <v>23331</v>
      </c>
      <c r="P39" s="1">
        <v>23448</v>
      </c>
    </row>
    <row r="41" spans="2:16" x14ac:dyDescent="0.2">
      <c r="B41" s="1" t="s">
        <v>43</v>
      </c>
      <c r="D41" s="5">
        <f t="shared" ref="D41:N41" si="45">D37/C37-1</f>
        <v>-4.2398286937901486E-2</v>
      </c>
      <c r="E41" s="5">
        <f t="shared" si="45"/>
        <v>6.462432915921279E-2</v>
      </c>
      <c r="F41" s="5">
        <f t="shared" si="45"/>
        <v>0.12812434362528879</v>
      </c>
      <c r="G41" s="5">
        <f t="shared" si="45"/>
        <v>5.6972630795010248E-2</v>
      </c>
      <c r="H41" s="5">
        <f t="shared" si="45"/>
        <v>4.844107803417308E-2</v>
      </c>
      <c r="I41" s="5">
        <f t="shared" si="45"/>
        <v>-4.9731182795698881E-2</v>
      </c>
      <c r="J41" s="5">
        <f t="shared" si="45"/>
        <v>-5.657708628005631E-3</v>
      </c>
      <c r="K41" s="5">
        <f t="shared" si="45"/>
        <v>0.32734708392603129</v>
      </c>
      <c r="L41" s="5">
        <f t="shared" si="45"/>
        <v>-1.4065639651707929E-2</v>
      </c>
      <c r="M41" s="5">
        <f t="shared" si="45"/>
        <v>-5.9103260869565188E-2</v>
      </c>
      <c r="N41" s="5">
        <f t="shared" ref="N41:P41" si="46">N37/M37-1</f>
        <v>-4.0866425992779787E-2</v>
      </c>
      <c r="O41" s="5">
        <f t="shared" si="46"/>
        <v>-0.12631737428485401</v>
      </c>
      <c r="P41" s="5">
        <f t="shared" si="46"/>
        <v>-6.9274513182836506E-2</v>
      </c>
    </row>
    <row r="42" spans="2:16" x14ac:dyDescent="0.2">
      <c r="B42" s="1" t="s">
        <v>44</v>
      </c>
      <c r="D42" s="5"/>
      <c r="E42" s="5"/>
      <c r="F42" s="5"/>
      <c r="G42" s="5">
        <f t="shared" ref="G42:O42" si="47">G38/C38-1</f>
        <v>-1.3642000826787903E-2</v>
      </c>
      <c r="H42" s="5">
        <f t="shared" si="47"/>
        <v>-0.2339805825242719</v>
      </c>
      <c r="I42" s="5">
        <f t="shared" si="47"/>
        <v>-0.31118858544773709</v>
      </c>
      <c r="J42" s="5">
        <f t="shared" si="47"/>
        <v>-0.34227827720381054</v>
      </c>
      <c r="K42" s="5">
        <f t="shared" si="47"/>
        <v>-0.18608549874266556</v>
      </c>
      <c r="L42" s="5">
        <f t="shared" si="47"/>
        <v>4.6472327841149408E-3</v>
      </c>
      <c r="M42" s="5">
        <f t="shared" si="47"/>
        <v>0.16430780766707276</v>
      </c>
      <c r="N42" s="5">
        <f t="shared" si="47"/>
        <v>0.35097919216646267</v>
      </c>
      <c r="O42" s="5">
        <f t="shared" si="47"/>
        <v>0.18880878819086844</v>
      </c>
      <c r="P42" s="5">
        <f>P38/L38-1</f>
        <v>0.21026072329688805</v>
      </c>
    </row>
    <row r="43" spans="2:16" x14ac:dyDescent="0.2">
      <c r="B43" s="1" t="s">
        <v>53</v>
      </c>
      <c r="G43" s="5">
        <f t="shared" ref="G43:O43" si="48">G35/C35-1</f>
        <v>1.7722240699387104E-2</v>
      </c>
      <c r="H43" s="5">
        <f t="shared" si="48"/>
        <v>-0.12387168448826547</v>
      </c>
      <c r="I43" s="5">
        <f t="shared" si="48"/>
        <v>-0.20922532656023218</v>
      </c>
      <c r="J43" s="5">
        <f t="shared" si="48"/>
        <v>-0.25743073047858944</v>
      </c>
      <c r="K43" s="5">
        <f t="shared" si="48"/>
        <v>-4.9859943977591081E-2</v>
      </c>
      <c r="L43" s="5">
        <f t="shared" si="48"/>
        <v>7.8829185819200065E-2</v>
      </c>
      <c r="M43" s="5">
        <f t="shared" si="48"/>
        <v>0.17040435904789208</v>
      </c>
      <c r="N43" s="5">
        <f t="shared" si="48"/>
        <v>0.27167879610213386</v>
      </c>
      <c r="O43" s="5">
        <f t="shared" si="48"/>
        <v>3.7146226415094352E-2</v>
      </c>
      <c r="P43" s="5">
        <f>P35/L35-1</f>
        <v>4.6525295068318817E-2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2015-06-05T18:17:20Z</dcterms:created>
  <dcterms:modified xsi:type="dcterms:W3CDTF">2022-08-18T05:12:44Z</dcterms:modified>
</cp:coreProperties>
</file>