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5BEC327B-8075-41F0-B191-D4BC39D94A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5" i="2" l="1"/>
  <c r="AZ2" i="2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AY2" i="2"/>
  <c r="AX2" i="2"/>
  <c r="AT27" i="2"/>
  <c r="AS27" i="2"/>
  <c r="AR27" i="2"/>
  <c r="AQ27" i="2"/>
  <c r="AU27" i="2"/>
  <c r="AV27" i="2"/>
  <c r="AW27" i="2"/>
  <c r="AV16" i="2"/>
  <c r="AU16" i="2"/>
  <c r="AT16" i="2"/>
  <c r="AW16" i="2"/>
  <c r="AV15" i="2"/>
  <c r="AU15" i="2"/>
  <c r="AT15" i="2"/>
  <c r="AW15" i="2"/>
  <c r="AV14" i="2"/>
  <c r="AU14" i="2"/>
  <c r="AT14" i="2"/>
  <c r="AW14" i="2"/>
  <c r="AV13" i="2"/>
  <c r="AU13" i="2"/>
  <c r="AT13" i="2"/>
  <c r="AW13" i="2"/>
  <c r="AT26" i="2"/>
  <c r="AT25" i="2"/>
  <c r="AT22" i="2"/>
  <c r="AT21" i="2"/>
  <c r="AT20" i="2"/>
  <c r="AT19" i="2"/>
  <c r="AT18" i="2"/>
  <c r="AT11" i="2"/>
  <c r="AT9" i="2"/>
  <c r="AT8" i="2"/>
  <c r="AT7" i="2"/>
  <c r="AT6" i="2"/>
  <c r="AT5" i="2"/>
  <c r="AT4" i="2"/>
  <c r="AT10" i="2" s="1"/>
  <c r="AT3" i="2"/>
  <c r="AU26" i="2"/>
  <c r="AU25" i="2"/>
  <c r="AU22" i="2"/>
  <c r="AU21" i="2"/>
  <c r="AU20" i="2"/>
  <c r="AU19" i="2"/>
  <c r="AU18" i="2"/>
  <c r="AU11" i="2"/>
  <c r="AU9" i="2"/>
  <c r="AU8" i="2"/>
  <c r="AU7" i="2"/>
  <c r="AU6" i="2"/>
  <c r="AU5" i="2"/>
  <c r="AU4" i="2"/>
  <c r="AU3" i="2"/>
  <c r="AV26" i="2"/>
  <c r="AV25" i="2"/>
  <c r="AV22" i="2"/>
  <c r="AV21" i="2"/>
  <c r="AV20" i="2"/>
  <c r="AV19" i="2"/>
  <c r="AV18" i="2"/>
  <c r="AV11" i="2"/>
  <c r="AV9" i="2"/>
  <c r="AV8" i="2"/>
  <c r="AV7" i="2"/>
  <c r="AV6" i="2"/>
  <c r="AV5" i="2"/>
  <c r="AV4" i="2"/>
  <c r="AV10" i="2" s="1"/>
  <c r="AV3" i="2"/>
  <c r="AW26" i="2"/>
  <c r="AW25" i="2"/>
  <c r="AW22" i="2"/>
  <c r="AW21" i="2"/>
  <c r="AW20" i="2"/>
  <c r="AW19" i="2"/>
  <c r="AW18" i="2"/>
  <c r="AW11" i="2"/>
  <c r="AW9" i="2"/>
  <c r="AW8" i="2"/>
  <c r="AW7" i="2"/>
  <c r="AW6" i="2"/>
  <c r="AW5" i="2"/>
  <c r="AW4" i="2"/>
  <c r="AW10" i="2" s="1"/>
  <c r="AL24" i="2"/>
  <c r="AK24" i="2"/>
  <c r="AF24" i="2"/>
  <c r="AE24" i="2"/>
  <c r="AV23" i="2"/>
  <c r="AV24" i="2" s="1"/>
  <c r="AU23" i="2"/>
  <c r="AU24" i="2" s="1"/>
  <c r="AT23" i="2"/>
  <c r="AT24" i="2" s="1"/>
  <c r="AS23" i="2"/>
  <c r="AS24" i="2" s="1"/>
  <c r="AR23" i="2"/>
  <c r="AR24" i="2" s="1"/>
  <c r="AQ23" i="2"/>
  <c r="AQ24" i="2" s="1"/>
  <c r="AP23" i="2"/>
  <c r="AP24" i="2" s="1"/>
  <c r="AO23" i="2"/>
  <c r="AO24" i="2" s="1"/>
  <c r="AN23" i="2"/>
  <c r="AN24" i="2" s="1"/>
  <c r="AM23" i="2"/>
  <c r="AM24" i="2" s="1"/>
  <c r="AL23" i="2"/>
  <c r="AK23" i="2"/>
  <c r="AJ23" i="2"/>
  <c r="AJ24" i="2" s="1"/>
  <c r="AI23" i="2"/>
  <c r="AI24" i="2" s="1"/>
  <c r="AH23" i="2"/>
  <c r="AH24" i="2" s="1"/>
  <c r="AG23" i="2"/>
  <c r="AG24" i="2" s="1"/>
  <c r="AF23" i="2"/>
  <c r="AE23" i="2"/>
  <c r="AD23" i="2"/>
  <c r="AD24" i="2" s="1"/>
  <c r="AC23" i="2"/>
  <c r="AC24" i="2" s="1"/>
  <c r="AU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W23" i="2"/>
  <c r="AW24" i="2" s="1"/>
  <c r="AW3" i="2"/>
  <c r="V50" i="2"/>
  <c r="V36" i="2" s="1"/>
  <c r="U50" i="2"/>
  <c r="U36" i="2"/>
  <c r="V37" i="2"/>
  <c r="W37" i="2" s="1"/>
  <c r="X37" i="2" s="1"/>
  <c r="U37" i="2"/>
  <c r="X26" i="2"/>
  <c r="W26" i="2"/>
  <c r="V26" i="2"/>
  <c r="U26" i="2"/>
  <c r="V27" i="2"/>
  <c r="W27" i="2" s="1"/>
  <c r="X27" i="2" s="1"/>
  <c r="U27" i="2"/>
  <c r="M33" i="2"/>
  <c r="L33" i="2"/>
  <c r="X25" i="2"/>
  <c r="W25" i="2"/>
  <c r="V25" i="2"/>
  <c r="U25" i="2"/>
  <c r="X24" i="2"/>
  <c r="W24" i="2"/>
  <c r="V24" i="2"/>
  <c r="U24" i="2"/>
  <c r="X23" i="2"/>
  <c r="W23" i="2"/>
  <c r="V23" i="2"/>
  <c r="U23" i="2"/>
  <c r="U11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T31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H54" i="2"/>
  <c r="G54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T29" i="2"/>
  <c r="AY25" i="2" l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W5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BA31" i="2" l="1"/>
  <c r="BA32" i="2" s="1"/>
  <c r="BA34" i="2" s="1"/>
  <c r="X50" i="2"/>
  <c r="X36" i="2" s="1"/>
  <c r="W36" i="2"/>
  <c r="T30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P37" i="2"/>
  <c r="M47" i="2"/>
  <c r="M37" i="2"/>
  <c r="Q57" i="2"/>
  <c r="P57" i="2"/>
  <c r="G57" i="2"/>
  <c r="F57" i="2"/>
  <c r="E57" i="2"/>
  <c r="D57" i="2"/>
  <c r="O57" i="2"/>
  <c r="N57" i="2"/>
  <c r="M57" i="2"/>
  <c r="L57" i="2"/>
  <c r="K57" i="2"/>
  <c r="J57" i="2"/>
  <c r="I57" i="2"/>
  <c r="H57" i="2"/>
  <c r="E21" i="2"/>
  <c r="D21" i="2"/>
  <c r="C21" i="2"/>
  <c r="F21" i="2"/>
  <c r="E20" i="2"/>
  <c r="D20" i="2"/>
  <c r="C20" i="2"/>
  <c r="F20" i="2"/>
  <c r="E19" i="2"/>
  <c r="D19" i="2"/>
  <c r="C19" i="2"/>
  <c r="F19" i="2"/>
  <c r="E18" i="2"/>
  <c r="D18" i="2"/>
  <c r="C18" i="2"/>
  <c r="F18" i="2"/>
  <c r="F46" i="2"/>
  <c r="E46" i="2"/>
  <c r="F45" i="2"/>
  <c r="E45" i="2"/>
  <c r="F44" i="2"/>
  <c r="E44" i="2"/>
  <c r="F43" i="2"/>
  <c r="E43" i="2"/>
  <c r="O37" i="2"/>
  <c r="L37" i="2"/>
  <c r="H47" i="2"/>
  <c r="G47" i="2"/>
  <c r="C47" i="2"/>
  <c r="C46" i="2" s="1"/>
  <c r="D47" i="2"/>
  <c r="D46" i="2" s="1"/>
  <c r="I37" i="2"/>
  <c r="F23" i="2"/>
  <c r="F24" i="2" s="1"/>
  <c r="F34" i="2" s="1"/>
  <c r="E23" i="2"/>
  <c r="E24" i="2" s="1"/>
  <c r="E34" i="2" s="1"/>
  <c r="F10" i="2"/>
  <c r="I9" i="2"/>
  <c r="I10" i="2" s="1"/>
  <c r="S57" i="2"/>
  <c r="R57" i="2"/>
  <c r="T57" i="2"/>
  <c r="K37" i="2"/>
  <c r="J37" i="2"/>
  <c r="L10" i="2"/>
  <c r="N37" i="2"/>
  <c r="Q37" i="2"/>
  <c r="J47" i="2"/>
  <c r="J56" i="2" s="1"/>
  <c r="I47" i="2"/>
  <c r="I56" i="2" s="1"/>
  <c r="H36" i="2"/>
  <c r="G36" i="2"/>
  <c r="F36" i="2"/>
  <c r="E36" i="2"/>
  <c r="D36" i="2"/>
  <c r="C36" i="2"/>
  <c r="J23" i="2"/>
  <c r="J24" i="2" s="1"/>
  <c r="J34" i="2" s="1"/>
  <c r="I23" i="2"/>
  <c r="I24" i="2" s="1"/>
  <c r="I34" i="2" s="1"/>
  <c r="H23" i="2"/>
  <c r="H24" i="2" s="1"/>
  <c r="H34" i="2" s="1"/>
  <c r="G23" i="2"/>
  <c r="G24" i="2" s="1"/>
  <c r="G34" i="2" s="1"/>
  <c r="D23" i="2"/>
  <c r="D24" i="2" s="1"/>
  <c r="D34" i="2" s="1"/>
  <c r="C23" i="2"/>
  <c r="C24" i="2" s="1"/>
  <c r="C34" i="2" s="1"/>
  <c r="J10" i="2"/>
  <c r="H10" i="2"/>
  <c r="G10" i="2"/>
  <c r="E10" i="2"/>
  <c r="D10" i="2"/>
  <c r="C10" i="2"/>
  <c r="S22" i="2"/>
  <c r="S23" i="2" s="1"/>
  <c r="S33" i="2" s="1"/>
  <c r="S47" i="2"/>
  <c r="R47" i="2"/>
  <c r="R56" i="2" s="1"/>
  <c r="Q47" i="2"/>
  <c r="Q56" i="2" s="1"/>
  <c r="P47" i="2"/>
  <c r="P56" i="2" s="1"/>
  <c r="O47" i="2"/>
  <c r="O56" i="2" s="1"/>
  <c r="N47" i="2"/>
  <c r="L47" i="2"/>
  <c r="K47" i="2"/>
  <c r="K56" i="2" s="1"/>
  <c r="T47" i="2"/>
  <c r="S36" i="2"/>
  <c r="R36" i="2"/>
  <c r="T36" i="2"/>
  <c r="R23" i="2"/>
  <c r="R24" i="2" s="1"/>
  <c r="R34" i="2" s="1"/>
  <c r="Q23" i="2"/>
  <c r="Q24" i="2" s="1"/>
  <c r="Q34" i="2" s="1"/>
  <c r="P23" i="2"/>
  <c r="P33" i="2" s="1"/>
  <c r="O23" i="2"/>
  <c r="O33" i="2" s="1"/>
  <c r="N23" i="2"/>
  <c r="N33" i="2" s="1"/>
  <c r="M23" i="2"/>
  <c r="L23" i="2"/>
  <c r="L24" i="2" s="1"/>
  <c r="L34" i="2" s="1"/>
  <c r="K23" i="2"/>
  <c r="K24" i="2" s="1"/>
  <c r="K34" i="2" s="1"/>
  <c r="T23" i="2"/>
  <c r="T33" i="2" s="1"/>
  <c r="S10" i="2"/>
  <c r="R10" i="2"/>
  <c r="Q10" i="2"/>
  <c r="P10" i="2"/>
  <c r="O10" i="2"/>
  <c r="N10" i="2"/>
  <c r="M10" i="2"/>
  <c r="K10" i="2"/>
  <c r="T10" i="2"/>
  <c r="N4" i="1"/>
  <c r="N7" i="1" s="1"/>
  <c r="K36" i="2" l="1"/>
  <c r="K54" i="2"/>
  <c r="H46" i="2"/>
  <c r="H56" i="2"/>
  <c r="M56" i="2"/>
  <c r="Q36" i="2"/>
  <c r="Q54" i="2"/>
  <c r="P36" i="2"/>
  <c r="T54" i="2"/>
  <c r="P54" i="2"/>
  <c r="O36" i="2"/>
  <c r="O54" i="2"/>
  <c r="S54" i="2"/>
  <c r="N36" i="2"/>
  <c r="R54" i="2"/>
  <c r="N54" i="2"/>
  <c r="L36" i="2"/>
  <c r="L54" i="2"/>
  <c r="I36" i="2"/>
  <c r="I54" i="2"/>
  <c r="L56" i="2"/>
  <c r="T56" i="2"/>
  <c r="S56" i="2"/>
  <c r="N56" i="2"/>
  <c r="J36" i="2"/>
  <c r="J54" i="2"/>
  <c r="G46" i="2"/>
  <c r="G56" i="2"/>
  <c r="M36" i="2"/>
  <c r="M54" i="2"/>
  <c r="M15" i="2"/>
  <c r="M13" i="2"/>
  <c r="M16" i="2"/>
  <c r="M14" i="2"/>
  <c r="K13" i="2"/>
  <c r="K14" i="2"/>
  <c r="K15" i="2"/>
  <c r="K16" i="2"/>
  <c r="R14" i="2"/>
  <c r="R15" i="2"/>
  <c r="R16" i="2"/>
  <c r="R13" i="2"/>
  <c r="C15" i="2"/>
  <c r="C14" i="2"/>
  <c r="C16" i="2"/>
  <c r="C13" i="2"/>
  <c r="E13" i="2"/>
  <c r="E14" i="2"/>
  <c r="E15" i="2"/>
  <c r="E16" i="2"/>
  <c r="O15" i="2"/>
  <c r="O13" i="2"/>
  <c r="O14" i="2"/>
  <c r="O16" i="2"/>
  <c r="G15" i="2"/>
  <c r="G16" i="2"/>
  <c r="G13" i="2"/>
  <c r="G14" i="2"/>
  <c r="S15" i="2"/>
  <c r="S16" i="2"/>
  <c r="S13" i="2"/>
  <c r="S14" i="2"/>
  <c r="D13" i="2"/>
  <c r="D14" i="2"/>
  <c r="D15" i="2"/>
  <c r="D16" i="2"/>
  <c r="P13" i="2"/>
  <c r="P16" i="2"/>
  <c r="P14" i="2"/>
  <c r="P15" i="2"/>
  <c r="H16" i="2"/>
  <c r="H14" i="2"/>
  <c r="H13" i="2"/>
  <c r="H15" i="2"/>
  <c r="L14" i="2"/>
  <c r="L15" i="2"/>
  <c r="L16" i="2"/>
  <c r="L13" i="2"/>
  <c r="I13" i="2"/>
  <c r="I15" i="2"/>
  <c r="I14" i="2"/>
  <c r="I16" i="2"/>
  <c r="N16" i="2"/>
  <c r="N13" i="2"/>
  <c r="N14" i="2"/>
  <c r="N15" i="2"/>
  <c r="T16" i="2"/>
  <c r="T14" i="2"/>
  <c r="T13" i="2"/>
  <c r="T15" i="2"/>
  <c r="Q13" i="2"/>
  <c r="Q14" i="2"/>
  <c r="Q15" i="2"/>
  <c r="Q16" i="2"/>
  <c r="J16" i="2"/>
  <c r="J13" i="2"/>
  <c r="J14" i="2"/>
  <c r="J15" i="2"/>
  <c r="F14" i="2"/>
  <c r="F15" i="2"/>
  <c r="F16" i="2"/>
  <c r="F13" i="2"/>
  <c r="F33" i="2"/>
  <c r="K33" i="2"/>
  <c r="C43" i="2"/>
  <c r="C45" i="2"/>
  <c r="C44" i="2"/>
  <c r="D33" i="2"/>
  <c r="J33" i="2"/>
  <c r="E33" i="2"/>
  <c r="D43" i="2"/>
  <c r="D44" i="2"/>
  <c r="D45" i="2"/>
  <c r="G33" i="2"/>
  <c r="C33" i="2"/>
  <c r="H33" i="2"/>
  <c r="G43" i="2"/>
  <c r="G44" i="2"/>
  <c r="G45" i="2"/>
  <c r="Q33" i="2"/>
  <c r="I33" i="2"/>
  <c r="H43" i="2"/>
  <c r="H44" i="2"/>
  <c r="H45" i="2"/>
  <c r="R33" i="2"/>
  <c r="M24" i="2"/>
  <c r="M34" i="2" s="1"/>
  <c r="S24" i="2"/>
  <c r="S34" i="2" s="1"/>
  <c r="T24" i="2"/>
  <c r="T34" i="2" s="1"/>
  <c r="P24" i="2"/>
  <c r="P34" i="2" s="1"/>
  <c r="N24" i="2"/>
  <c r="N34" i="2" s="1"/>
  <c r="O24" i="2"/>
  <c r="O34" i="2" s="1"/>
  <c r="U3" i="2"/>
  <c r="U13" i="2" s="1"/>
  <c r="U5" i="2"/>
  <c r="U15" i="2" s="1"/>
  <c r="U4" i="2"/>
  <c r="U14" i="2" s="1"/>
  <c r="V11" i="2"/>
  <c r="V10" i="2" s="1"/>
  <c r="U9" i="2"/>
  <c r="U10" i="2"/>
  <c r="U8" i="2" s="1"/>
  <c r="V4" i="2" l="1"/>
  <c r="V14" i="2" s="1"/>
  <c r="V5" i="2"/>
  <c r="V15" i="2" s="1"/>
  <c r="V9" i="2"/>
  <c r="V8" i="2"/>
  <c r="V3" i="2"/>
  <c r="V13" i="2" s="1"/>
  <c r="V7" i="2"/>
  <c r="V16" i="2" s="1"/>
  <c r="U7" i="2"/>
  <c r="W11" i="2"/>
  <c r="W10" i="2" l="1"/>
  <c r="X11" i="2"/>
  <c r="X10" i="2" s="1"/>
  <c r="V6" i="2"/>
  <c r="U16" i="2"/>
  <c r="U6" i="2"/>
  <c r="X8" i="2" l="1"/>
  <c r="X4" i="2"/>
  <c r="X14" i="2" s="1"/>
  <c r="X3" i="2"/>
  <c r="X13" i="2" s="1"/>
  <c r="X7" i="2"/>
  <c r="X16" i="2" s="1"/>
  <c r="X5" i="2"/>
  <c r="X15" i="2" s="1"/>
  <c r="X9" i="2"/>
  <c r="W4" i="2"/>
  <c r="W14" i="2" s="1"/>
  <c r="W7" i="2"/>
  <c r="W16" i="2" s="1"/>
  <c r="W8" i="2"/>
  <c r="W9" i="2"/>
  <c r="W3" i="2"/>
  <c r="W13" i="2" s="1"/>
  <c r="W5" i="2"/>
  <c r="W15" i="2" s="1"/>
  <c r="X6" i="2" l="1"/>
  <c r="W6" i="2"/>
</calcChain>
</file>

<file path=xl/sharedStrings.xml><?xml version="1.0" encoding="utf-8"?>
<sst xmlns="http://schemas.openxmlformats.org/spreadsheetml/2006/main" count="84" uniqueCount="79">
  <si>
    <t>Shares</t>
  </si>
  <si>
    <t>Price</t>
  </si>
  <si>
    <t>MC</t>
  </si>
  <si>
    <t>Cash</t>
  </si>
  <si>
    <t>Debt</t>
  </si>
  <si>
    <t>EV</t>
  </si>
  <si>
    <t>Q222</t>
  </si>
  <si>
    <t>Q221</t>
  </si>
  <si>
    <t>Q220</t>
  </si>
  <si>
    <t>Oil</t>
  </si>
  <si>
    <t>NGL</t>
  </si>
  <si>
    <t>Gas</t>
  </si>
  <si>
    <t>Other</t>
  </si>
  <si>
    <t>Chemical</t>
  </si>
  <si>
    <t>Midstream</t>
  </si>
  <si>
    <t>Eliminations</t>
  </si>
  <si>
    <t>Revenue</t>
  </si>
  <si>
    <t>Q120</t>
  </si>
  <si>
    <t>Q121</t>
  </si>
  <si>
    <t>Q122</t>
  </si>
  <si>
    <t>OpEx</t>
  </si>
  <si>
    <t>SG&amp;A</t>
  </si>
  <si>
    <t>Oil&amp;Gas OpEx</t>
  </si>
  <si>
    <t>Transport Costs</t>
  </si>
  <si>
    <t>Chemical COGS</t>
  </si>
  <si>
    <t>PreTax</t>
  </si>
  <si>
    <t>Taxes</t>
  </si>
  <si>
    <t>Net Income</t>
  </si>
  <si>
    <t>EPS</t>
  </si>
  <si>
    <t>Total Revenues</t>
  </si>
  <si>
    <t>Net Cash</t>
  </si>
  <si>
    <t>Trade Recievables</t>
  </si>
  <si>
    <t>Inventories</t>
  </si>
  <si>
    <t>Assets Held</t>
  </si>
  <si>
    <t>Total Current Assets</t>
  </si>
  <si>
    <t>Investments</t>
  </si>
  <si>
    <t>PPE</t>
  </si>
  <si>
    <t>Oil and Gas</t>
  </si>
  <si>
    <t>Corporate</t>
  </si>
  <si>
    <t>Total Assets</t>
  </si>
  <si>
    <t>AP</t>
  </si>
  <si>
    <t>SE</t>
  </si>
  <si>
    <t>L+SE</t>
  </si>
  <si>
    <t>Q421</t>
  </si>
  <si>
    <t>Q321</t>
  </si>
  <si>
    <t>Q420</t>
  </si>
  <si>
    <t>Q320</t>
  </si>
  <si>
    <t>Q322</t>
  </si>
  <si>
    <t>Q419</t>
  </si>
  <si>
    <t>Q319</t>
  </si>
  <si>
    <t>Q219</t>
  </si>
  <si>
    <t>Q119</t>
  </si>
  <si>
    <t>Q418</t>
  </si>
  <si>
    <t>Q318</t>
  </si>
  <si>
    <t>Q218</t>
  </si>
  <si>
    <t>Q118</t>
  </si>
  <si>
    <t>Tax Rate (%)</t>
  </si>
  <si>
    <t>Debt Y/Y</t>
  </si>
  <si>
    <t>Debt Q/Q</t>
  </si>
  <si>
    <t>Main</t>
  </si>
  <si>
    <t>PPE Y/Y</t>
  </si>
  <si>
    <t>Gross Margin</t>
  </si>
  <si>
    <t>Revenue Y/Y</t>
  </si>
  <si>
    <t>Oil Y/Y</t>
  </si>
  <si>
    <t>Oil %</t>
  </si>
  <si>
    <t>NGL %</t>
  </si>
  <si>
    <t>Gas %</t>
  </si>
  <si>
    <t>Chemical %</t>
  </si>
  <si>
    <t>Shares Q/Q</t>
  </si>
  <si>
    <t>Cash Y/Y</t>
  </si>
  <si>
    <t>Q422</t>
  </si>
  <si>
    <t>Q123</t>
  </si>
  <si>
    <t>Q223</t>
  </si>
  <si>
    <t>Total Revenue Y/Y</t>
  </si>
  <si>
    <t>Terminal</t>
  </si>
  <si>
    <t>Discount</t>
  </si>
  <si>
    <t>NPV</t>
  </si>
  <si>
    <t>Share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</si>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</sst>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iArial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5" fillId="0" borderId="0" xfId="0" applyFont="1"/>
    <xf numFmtId="9" fontId="3" fillId="0" borderId="0" xfId="0" applyNumberFormat="1" applyFont="1"/>
    <xf numFmtId="0" fontId="7" fillId="0" borderId="0" xfId="1" applyFont="1"/>
    <xf numFmtId="3" fontId="3" fillId="0" borderId="0" xfId="0" applyNumberFormat="1" applyFont="1"/>
    <xf numFmtId="3" fontId="2" fillId="0" borderId="0" xfId="0" applyNumberFormat="1" applyFont="1"/>
    <xf numFmtId="2" fontId="3" fillId="0" borderId="0" xfId="0" applyNumberFormat="1" applyFont="1"/>
    <xf numFmtId="9" fontId="2" fillId="0" borderId="0" xfId="0" applyNumberFormat="1" applyFont="1"/>
    <xf numFmtId="0" fontId="1" fillId="0" borderId="0" xfId="0" applyFont="1"/>
    <xf numFmtId="9" fontId="1" fillId="0" borderId="0" xfId="0" applyNumberFormat="1" applyFont="1"/>
    <xf numFmtId="3" fontId="5" fillId="0" borderId="0" xfId="0" applyNumberFormat="1" applyFont="1"/>
    <xf numFmtId="3" fontId="1" fillId="0" borderId="0" xfId="0" applyNumberFormat="1" applyFont="1"/>
    <xf numFmtId="2" fontId="2" fillId="0" borderId="0" xfId="0" applyNumberFormat="1" applyFont="1"/>
    <xf numFmtId="0" fontId="1" fillId="0" borderId="1" xfId="0" applyFont="1" applyBorder="1"/>
    <xf numFmtId="9" fontId="3" fillId="0" borderId="2" xfId="0" applyNumberFormat="1" applyFont="1" applyBorder="1"/>
    <xf numFmtId="0" fontId="1" fillId="0" borderId="3" xfId="0" applyFont="1" applyBorder="1"/>
    <xf numFmtId="9" fontId="3" fillId="0" borderId="4" xfId="0" applyNumberFormat="1" applyFont="1" applyBorder="1"/>
    <xf numFmtId="8" fontId="3" fillId="0" borderId="4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/>
    <xf numFmtId="9" fontId="5" fillId="0" borderId="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617220</xdr:colOff>
      <xdr:row>0</xdr:row>
      <xdr:rowOff>76200</xdr:rowOff>
    </xdr:from>
    <xdr:to>
      <xdr:col>20</xdr:col>
      <xdr:colOff>0</xdr:colOff>
      <xdr:row>57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E75EDC-2977-85A5-6988-DFE6C6D396FA}"/>
            </a:ext>
          </a:extLst>
        </xdr:cNvPr>
        <xdr:cNvCxnSpPr/>
      </xdr:nvCxnSpPr>
      <xdr:spPr>
        <a:xfrm flipH="1">
          <a:off x="12915900" y="76200"/>
          <a:ext cx="7620" cy="875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0</xdr:row>
      <xdr:rowOff>19050</xdr:rowOff>
    </xdr:from>
    <xdr:to>
      <xdr:col>49</xdr:col>
      <xdr:colOff>9525</xdr:colOff>
      <xdr:row>60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92DF30A-7D5E-0FC8-C6FD-C506B7181D99}"/>
            </a:ext>
          </a:extLst>
        </xdr:cNvPr>
        <xdr:cNvCxnSpPr/>
      </xdr:nvCxnSpPr>
      <xdr:spPr>
        <a:xfrm flipV="1">
          <a:off x="30537150" y="19050"/>
          <a:ext cx="9525" cy="9696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:N7"/>
  <sheetViews>
    <sheetView workbookViewId="0">
      <selection activeCell="N3" sqref="N3"/>
    </sheetView>
  </sheetViews>
  <sheetFormatPr defaultColWidth="9.140625" defaultRowHeight="12.75"/>
  <cols>
    <col min="1" max="2" width="9.140625" style="1"/>
    <col min="3" max="3" width="9.28515625" style="1" customWidth="1"/>
    <col min="4" max="16384" width="9.140625" style="1"/>
  </cols>
  <sheetData>
    <row r="2" spans="13:14">
      <c r="M2" s="1" t="s">
        <v>1</v>
      </c>
      <c r="N2" s="1">
        <v>63.51</v>
      </c>
    </row>
    <row r="3" spans="13:14">
      <c r="M3" s="1" t="s">
        <v>0</v>
      </c>
      <c r="N3" s="2">
        <v>931.49099999999999</v>
      </c>
    </row>
    <row r="4" spans="13:14">
      <c r="M4" s="1" t="s">
        <v>2</v>
      </c>
      <c r="N4" s="2">
        <f>N3*N2</f>
        <v>59158.993409999995</v>
      </c>
    </row>
    <row r="5" spans="13:14">
      <c r="M5" s="1" t="s">
        <v>3</v>
      </c>
      <c r="N5" s="2">
        <v>1362</v>
      </c>
    </row>
    <row r="6" spans="13:14">
      <c r="M6" s="1" t="s">
        <v>4</v>
      </c>
      <c r="N6" s="2">
        <v>21743</v>
      </c>
    </row>
    <row r="7" spans="13:14">
      <c r="M7" s="1" t="s">
        <v>5</v>
      </c>
      <c r="N7" s="2">
        <f>N4-N5+N6</f>
        <v>79539.993409999995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9DB0-8571-4B43-9BC5-196479CE57DE}">
  <dimension ref="A1:DF61"/>
  <sheetViews>
    <sheetView tabSelected="1" zoomScaleNormal="70" workbookViewId="0">
      <pane xSplit="2" ySplit="2" topLeftCell="AK17" activePane="bottomRight" state="frozen"/>
      <selection pane="topRight" activeCell="C1" sqref="C1"/>
      <selection pane="bottomLeft" activeCell="A3" sqref="A3"/>
      <selection pane="bottomRight" activeCell="BA31" sqref="BA31"/>
    </sheetView>
  </sheetViews>
  <sheetFormatPr defaultColWidth="9.140625" defaultRowHeight="12.75"/>
  <cols>
    <col min="1" max="1" width="5" style="3" bestFit="1" customWidth="1"/>
    <col min="2" max="2" width="18.28515625" style="3" bestFit="1" customWidth="1"/>
    <col min="3" max="5" width="9.28515625" style="3" customWidth="1"/>
    <col min="6" max="6" width="10.140625" style="3" bestFit="1" customWidth="1"/>
    <col min="7" max="9" width="9.28515625" style="3" customWidth="1"/>
    <col min="10" max="10" width="10.140625" style="3" bestFit="1" customWidth="1"/>
    <col min="11" max="13" width="9.140625" style="3"/>
    <col min="14" max="14" width="10.140625" style="3" bestFit="1" customWidth="1"/>
    <col min="15" max="17" width="9.140625" style="3"/>
    <col min="18" max="18" width="10.140625" style="3" bestFit="1" customWidth="1"/>
    <col min="19" max="19" width="9.140625" style="3"/>
    <col min="20" max="20" width="9.140625" style="3" customWidth="1"/>
    <col min="21" max="24" width="9.140625" style="3"/>
    <col min="25" max="25" width="9.28515625" style="3" customWidth="1"/>
    <col min="26" max="52" width="9.140625" style="3"/>
    <col min="53" max="53" width="10.7109375" style="3" bestFit="1" customWidth="1"/>
    <col min="54" max="16384" width="9.140625" style="3"/>
  </cols>
  <sheetData>
    <row r="1" spans="1:110">
      <c r="A1" s="8" t="s">
        <v>59</v>
      </c>
      <c r="C1" s="4">
        <v>43190</v>
      </c>
      <c r="D1" s="4">
        <v>43281</v>
      </c>
      <c r="E1" s="4">
        <v>43373</v>
      </c>
      <c r="F1" s="4">
        <v>43465</v>
      </c>
      <c r="G1" s="4">
        <v>43555</v>
      </c>
      <c r="H1" s="4">
        <v>43646</v>
      </c>
      <c r="I1" s="4">
        <v>43738</v>
      </c>
      <c r="J1" s="4">
        <v>43830</v>
      </c>
      <c r="K1" s="4">
        <v>43921</v>
      </c>
      <c r="L1" s="4">
        <v>44012</v>
      </c>
      <c r="M1" s="4">
        <v>44104</v>
      </c>
      <c r="N1" s="4">
        <v>44196</v>
      </c>
      <c r="O1" s="4">
        <v>44286</v>
      </c>
      <c r="P1" s="4">
        <v>44377</v>
      </c>
      <c r="Q1" s="4">
        <v>44469</v>
      </c>
      <c r="R1" s="4">
        <v>44561</v>
      </c>
      <c r="S1" s="4">
        <v>44651</v>
      </c>
      <c r="T1" s="4">
        <v>44742</v>
      </c>
      <c r="U1" s="4">
        <v>44469</v>
      </c>
    </row>
    <row r="2" spans="1:110">
      <c r="C2" s="5" t="s">
        <v>55</v>
      </c>
      <c r="D2" s="5" t="s">
        <v>54</v>
      </c>
      <c r="E2" s="5" t="s">
        <v>53</v>
      </c>
      <c r="F2" s="5" t="s">
        <v>52</v>
      </c>
      <c r="G2" s="5" t="s">
        <v>51</v>
      </c>
      <c r="H2" s="5" t="s">
        <v>50</v>
      </c>
      <c r="I2" s="5" t="s">
        <v>49</v>
      </c>
      <c r="J2" s="5" t="s">
        <v>48</v>
      </c>
      <c r="K2" s="3" t="s">
        <v>17</v>
      </c>
      <c r="L2" s="3" t="s">
        <v>8</v>
      </c>
      <c r="M2" s="5" t="s">
        <v>46</v>
      </c>
      <c r="N2" s="5" t="s">
        <v>45</v>
      </c>
      <c r="O2" s="3" t="s">
        <v>18</v>
      </c>
      <c r="P2" s="3" t="s">
        <v>7</v>
      </c>
      <c r="Q2" s="5" t="s">
        <v>44</v>
      </c>
      <c r="R2" s="5" t="s">
        <v>43</v>
      </c>
      <c r="S2" s="3" t="s">
        <v>19</v>
      </c>
      <c r="T2" s="3" t="s">
        <v>6</v>
      </c>
      <c r="U2" s="5" t="s">
        <v>47</v>
      </c>
      <c r="V2" s="13" t="s">
        <v>70</v>
      </c>
      <c r="W2" s="13" t="s">
        <v>71</v>
      </c>
      <c r="X2" s="13" t="s">
        <v>72</v>
      </c>
      <c r="AC2" s="3">
        <v>2001</v>
      </c>
      <c r="AD2" s="3">
        <f>AC2+1</f>
        <v>2002</v>
      </c>
      <c r="AE2" s="3">
        <f t="shared" ref="AE2:CP2" si="0">AD2+1</f>
        <v>2003</v>
      </c>
      <c r="AF2" s="3">
        <f t="shared" si="0"/>
        <v>2004</v>
      </c>
      <c r="AG2" s="3">
        <f t="shared" si="0"/>
        <v>2005</v>
      </c>
      <c r="AH2" s="3">
        <f t="shared" si="0"/>
        <v>2006</v>
      </c>
      <c r="AI2" s="3">
        <f t="shared" si="0"/>
        <v>2007</v>
      </c>
      <c r="AJ2" s="3">
        <f t="shared" si="0"/>
        <v>2008</v>
      </c>
      <c r="AK2" s="3">
        <f t="shared" si="0"/>
        <v>2009</v>
      </c>
      <c r="AL2" s="3">
        <f t="shared" si="0"/>
        <v>2010</v>
      </c>
      <c r="AM2" s="3">
        <f t="shared" si="0"/>
        <v>2011</v>
      </c>
      <c r="AN2" s="3">
        <f t="shared" si="0"/>
        <v>2012</v>
      </c>
      <c r="AO2" s="3">
        <f t="shared" si="0"/>
        <v>2013</v>
      </c>
      <c r="AP2" s="3">
        <f t="shared" si="0"/>
        <v>2014</v>
      </c>
      <c r="AQ2" s="3">
        <f t="shared" si="0"/>
        <v>2015</v>
      </c>
      <c r="AR2" s="3">
        <f t="shared" si="0"/>
        <v>2016</v>
      </c>
      <c r="AS2" s="3">
        <f t="shared" si="0"/>
        <v>2017</v>
      </c>
      <c r="AT2" s="3">
        <f t="shared" si="0"/>
        <v>2018</v>
      </c>
      <c r="AU2" s="3">
        <f t="shared" si="0"/>
        <v>2019</v>
      </c>
      <c r="AV2" s="3">
        <f t="shared" si="0"/>
        <v>2020</v>
      </c>
      <c r="AW2" s="3">
        <f t="shared" si="0"/>
        <v>2021</v>
      </c>
      <c r="AX2" s="3">
        <f t="shared" si="0"/>
        <v>2022</v>
      </c>
      <c r="AY2" s="3">
        <f t="shared" si="0"/>
        <v>2023</v>
      </c>
      <c r="AZ2" s="3">
        <f t="shared" si="0"/>
        <v>2024</v>
      </c>
      <c r="BA2" s="3">
        <f t="shared" si="0"/>
        <v>2025</v>
      </c>
      <c r="BB2" s="3">
        <f t="shared" si="0"/>
        <v>2026</v>
      </c>
      <c r="BC2" s="3">
        <f t="shared" si="0"/>
        <v>2027</v>
      </c>
      <c r="BD2" s="3">
        <f t="shared" si="0"/>
        <v>2028</v>
      </c>
      <c r="BE2" s="3">
        <f t="shared" si="0"/>
        <v>2029</v>
      </c>
      <c r="BF2" s="3">
        <f t="shared" si="0"/>
        <v>2030</v>
      </c>
      <c r="BG2" s="3">
        <f t="shared" si="0"/>
        <v>2031</v>
      </c>
      <c r="BH2" s="3">
        <f t="shared" si="0"/>
        <v>2032</v>
      </c>
      <c r="BI2" s="3">
        <f t="shared" si="0"/>
        <v>2033</v>
      </c>
      <c r="BJ2" s="3">
        <f t="shared" si="0"/>
        <v>2034</v>
      </c>
      <c r="BK2" s="3">
        <f t="shared" si="0"/>
        <v>2035</v>
      </c>
      <c r="BL2" s="3">
        <f t="shared" si="0"/>
        <v>2036</v>
      </c>
      <c r="BM2" s="3">
        <f t="shared" si="0"/>
        <v>2037</v>
      </c>
      <c r="BN2" s="3">
        <f t="shared" si="0"/>
        <v>2038</v>
      </c>
      <c r="BO2" s="3">
        <f t="shared" si="0"/>
        <v>2039</v>
      </c>
      <c r="BP2" s="3">
        <f t="shared" si="0"/>
        <v>2040</v>
      </c>
      <c r="BQ2" s="3">
        <f t="shared" si="0"/>
        <v>2041</v>
      </c>
      <c r="BR2" s="3">
        <f t="shared" si="0"/>
        <v>2042</v>
      </c>
      <c r="BS2" s="3">
        <f t="shared" si="0"/>
        <v>2043</v>
      </c>
      <c r="BT2" s="3">
        <f t="shared" si="0"/>
        <v>2044</v>
      </c>
      <c r="BU2" s="3">
        <f t="shared" si="0"/>
        <v>2045</v>
      </c>
      <c r="BV2" s="3">
        <f t="shared" si="0"/>
        <v>2046</v>
      </c>
      <c r="BW2" s="3">
        <f t="shared" si="0"/>
        <v>2047</v>
      </c>
      <c r="BX2" s="3">
        <f t="shared" si="0"/>
        <v>2048</v>
      </c>
      <c r="BY2" s="3">
        <f t="shared" si="0"/>
        <v>2049</v>
      </c>
      <c r="BZ2" s="3">
        <f t="shared" si="0"/>
        <v>2050</v>
      </c>
      <c r="CA2" s="3">
        <f t="shared" si="0"/>
        <v>2051</v>
      </c>
      <c r="CB2" s="3">
        <f t="shared" si="0"/>
        <v>2052</v>
      </c>
      <c r="CC2" s="3">
        <f t="shared" si="0"/>
        <v>2053</v>
      </c>
      <c r="CD2" s="3">
        <f t="shared" si="0"/>
        <v>2054</v>
      </c>
      <c r="CE2" s="3">
        <f t="shared" si="0"/>
        <v>2055</v>
      </c>
      <c r="CF2" s="3">
        <f t="shared" si="0"/>
        <v>2056</v>
      </c>
      <c r="CG2" s="3">
        <f t="shared" si="0"/>
        <v>2057</v>
      </c>
      <c r="CH2" s="3">
        <f t="shared" si="0"/>
        <v>2058</v>
      </c>
      <c r="CI2" s="3">
        <f t="shared" si="0"/>
        <v>2059</v>
      </c>
      <c r="CJ2" s="3">
        <f t="shared" si="0"/>
        <v>2060</v>
      </c>
      <c r="CK2" s="3">
        <f t="shared" si="0"/>
        <v>2061</v>
      </c>
      <c r="CL2" s="3">
        <f t="shared" si="0"/>
        <v>2062</v>
      </c>
      <c r="CM2" s="3">
        <f t="shared" si="0"/>
        <v>2063</v>
      </c>
      <c r="CN2" s="3">
        <f t="shared" si="0"/>
        <v>2064</v>
      </c>
      <c r="CO2" s="3">
        <f t="shared" si="0"/>
        <v>2065</v>
      </c>
      <c r="CP2" s="3">
        <f t="shared" si="0"/>
        <v>2066</v>
      </c>
      <c r="CQ2" s="3">
        <f t="shared" ref="CQ2:DF2" si="1">CP2+1</f>
        <v>2067</v>
      </c>
      <c r="CR2" s="3">
        <f t="shared" si="1"/>
        <v>2068</v>
      </c>
      <c r="CS2" s="3">
        <f t="shared" si="1"/>
        <v>2069</v>
      </c>
      <c r="CT2" s="3">
        <f t="shared" si="1"/>
        <v>2070</v>
      </c>
      <c r="CU2" s="3">
        <f t="shared" si="1"/>
        <v>2071</v>
      </c>
      <c r="CV2" s="3">
        <f t="shared" si="1"/>
        <v>2072</v>
      </c>
      <c r="CW2" s="3">
        <f t="shared" si="1"/>
        <v>2073</v>
      </c>
      <c r="CX2" s="3">
        <f t="shared" si="1"/>
        <v>2074</v>
      </c>
      <c r="CY2" s="3">
        <f t="shared" si="1"/>
        <v>2075</v>
      </c>
      <c r="CZ2" s="3">
        <f t="shared" si="1"/>
        <v>2076</v>
      </c>
      <c r="DA2" s="3">
        <f t="shared" si="1"/>
        <v>2077</v>
      </c>
      <c r="DB2" s="3">
        <f t="shared" si="1"/>
        <v>2078</v>
      </c>
      <c r="DC2" s="3">
        <f t="shared" si="1"/>
        <v>2079</v>
      </c>
      <c r="DD2" s="3">
        <f t="shared" si="1"/>
        <v>2080</v>
      </c>
      <c r="DE2" s="3">
        <f t="shared" si="1"/>
        <v>2081</v>
      </c>
      <c r="DF2" s="3">
        <f t="shared" si="1"/>
        <v>2082</v>
      </c>
    </row>
    <row r="3" spans="1:110" s="9" customFormat="1">
      <c r="B3" s="9" t="s">
        <v>9</v>
      </c>
      <c r="C3" s="9">
        <v>2190</v>
      </c>
      <c r="D3" s="9">
        <v>2232</v>
      </c>
      <c r="E3" s="9">
        <v>2539</v>
      </c>
      <c r="F3" s="9">
        <v>2284</v>
      </c>
      <c r="G3" s="9">
        <v>2098</v>
      </c>
      <c r="H3" s="9">
        <v>2484</v>
      </c>
      <c r="I3" s="9">
        <v>3313</v>
      </c>
      <c r="J3" s="9">
        <v>4455</v>
      </c>
      <c r="K3" s="9">
        <v>3351</v>
      </c>
      <c r="L3" s="9">
        <v>1621</v>
      </c>
      <c r="M3" s="9">
        <v>2319</v>
      </c>
      <c r="N3" s="9">
        <v>2597</v>
      </c>
      <c r="O3" s="9">
        <v>3013</v>
      </c>
      <c r="P3" s="9">
        <v>3711</v>
      </c>
      <c r="Q3" s="9">
        <v>3822</v>
      </c>
      <c r="R3" s="9">
        <v>8395</v>
      </c>
      <c r="S3" s="9">
        <v>4799</v>
      </c>
      <c r="T3" s="9">
        <v>6040</v>
      </c>
      <c r="U3" s="9">
        <f>U10*0.61</f>
        <v>8280.7814760000001</v>
      </c>
      <c r="V3" s="9">
        <f t="shared" ref="V3:X3" si="2">V10*0.61</f>
        <v>10930.63154832</v>
      </c>
      <c r="W3" s="9">
        <f t="shared" si="2"/>
        <v>14428.4336437824</v>
      </c>
      <c r="X3" s="9">
        <f t="shared" si="2"/>
        <v>19045.53240979277</v>
      </c>
      <c r="Y3" s="10"/>
      <c r="AQ3" s="9">
        <v>8304</v>
      </c>
      <c r="AR3" s="9">
        <v>6377</v>
      </c>
      <c r="AS3" s="9">
        <v>7870</v>
      </c>
      <c r="AT3" s="9">
        <f>SUM(C3:F3)</f>
        <v>9245</v>
      </c>
      <c r="AU3" s="9">
        <f>SUM(G3:J3)</f>
        <v>12350</v>
      </c>
      <c r="AV3" s="9">
        <f>SUM(K3:N3)</f>
        <v>9888</v>
      </c>
      <c r="AW3" s="9">
        <f>SUM(O3:R3)</f>
        <v>18941</v>
      </c>
    </row>
    <row r="4" spans="1:110" s="9" customFormat="1">
      <c r="B4" s="9" t="s">
        <v>10</v>
      </c>
      <c r="C4" s="9">
        <v>140</v>
      </c>
      <c r="D4" s="9">
        <v>175</v>
      </c>
      <c r="E4" s="9">
        <v>216</v>
      </c>
      <c r="F4" s="9">
        <v>160</v>
      </c>
      <c r="G4" s="9">
        <v>143</v>
      </c>
      <c r="H4" s="9">
        <v>152</v>
      </c>
      <c r="I4" s="9">
        <v>240</v>
      </c>
      <c r="J4" s="9">
        <v>406</v>
      </c>
      <c r="K4" s="9">
        <v>268</v>
      </c>
      <c r="L4" s="9">
        <v>167</v>
      </c>
      <c r="M4" s="9">
        <v>305</v>
      </c>
      <c r="N4" s="9">
        <v>315</v>
      </c>
      <c r="O4" s="9">
        <v>436</v>
      </c>
      <c r="P4" s="9">
        <v>550</v>
      </c>
      <c r="Q4" s="9">
        <v>732</v>
      </c>
      <c r="R4" s="9">
        <v>3528</v>
      </c>
      <c r="S4" s="9">
        <v>760</v>
      </c>
      <c r="T4" s="9">
        <v>896</v>
      </c>
      <c r="U4" s="9">
        <f>U10*0.08</f>
        <v>1086.004128</v>
      </c>
      <c r="V4" s="9">
        <f t="shared" ref="V4:X4" si="3">V10*0.08</f>
        <v>1433.5254489600002</v>
      </c>
      <c r="W4" s="9">
        <f t="shared" si="3"/>
        <v>1892.2535926272001</v>
      </c>
      <c r="X4" s="9">
        <f t="shared" si="3"/>
        <v>2497.7747422679045</v>
      </c>
      <c r="Y4" s="10"/>
      <c r="AQ4" s="9">
        <v>0</v>
      </c>
      <c r="AR4" s="9">
        <v>0</v>
      </c>
      <c r="AS4" s="9">
        <v>0</v>
      </c>
      <c r="AT4" s="9">
        <f t="shared" ref="AT4:AT9" si="4">SUM(C4:F4)</f>
        <v>691</v>
      </c>
      <c r="AU4" s="9">
        <f t="shared" ref="AU4:AU9" si="5">SUM(G4:J4)</f>
        <v>941</v>
      </c>
      <c r="AV4" s="9">
        <f t="shared" ref="AV4:AV9" si="6">SUM(K4:N4)</f>
        <v>1055</v>
      </c>
      <c r="AW4" s="9">
        <f t="shared" ref="AW4:AW9" si="7">SUM(O4:R4)</f>
        <v>5246</v>
      </c>
    </row>
    <row r="5" spans="1:110" s="9" customFormat="1">
      <c r="B5" s="9" t="s">
        <v>11</v>
      </c>
      <c r="C5" s="9">
        <v>121</v>
      </c>
      <c r="D5" s="9">
        <v>118</v>
      </c>
      <c r="E5" s="9">
        <v>132</v>
      </c>
      <c r="F5" s="9">
        <v>124</v>
      </c>
      <c r="G5" s="9">
        <v>130</v>
      </c>
      <c r="H5" s="9">
        <v>89</v>
      </c>
      <c r="I5" s="9">
        <v>208</v>
      </c>
      <c r="J5" s="9">
        <v>336</v>
      </c>
      <c r="K5" s="9">
        <v>268</v>
      </c>
      <c r="L5" s="9">
        <v>224</v>
      </c>
      <c r="M5" s="9">
        <v>235</v>
      </c>
      <c r="N5" s="9">
        <v>259</v>
      </c>
      <c r="O5" s="9">
        <v>317</v>
      </c>
      <c r="P5" s="9">
        <v>387</v>
      </c>
      <c r="Q5" s="9">
        <v>475</v>
      </c>
      <c r="R5" s="9">
        <v>1584</v>
      </c>
      <c r="S5" s="9">
        <v>513</v>
      </c>
      <c r="T5" s="9">
        <v>754</v>
      </c>
      <c r="U5" s="9">
        <f>U10*0.07</f>
        <v>950.25361200000009</v>
      </c>
      <c r="V5" s="9">
        <f t="shared" ref="V5:X5" si="8">V10*0.07</f>
        <v>1254.3347678400003</v>
      </c>
      <c r="W5" s="9">
        <f t="shared" si="8"/>
        <v>1655.7218935488002</v>
      </c>
      <c r="X5" s="9">
        <f t="shared" si="8"/>
        <v>2185.5528994844162</v>
      </c>
      <c r="Y5" s="10"/>
      <c r="AQ5" s="9">
        <v>3945</v>
      </c>
      <c r="AR5" s="9">
        <v>3756</v>
      </c>
      <c r="AS5" s="9">
        <v>4355</v>
      </c>
      <c r="AT5" s="9">
        <f t="shared" si="4"/>
        <v>495</v>
      </c>
      <c r="AU5" s="9">
        <f t="shared" si="5"/>
        <v>763</v>
      </c>
      <c r="AV5" s="9">
        <f t="shared" si="6"/>
        <v>986</v>
      </c>
      <c r="AW5" s="9">
        <f t="shared" si="7"/>
        <v>2763</v>
      </c>
    </row>
    <row r="6" spans="1:110" s="9" customFormat="1">
      <c r="B6" s="9" t="s">
        <v>12</v>
      </c>
      <c r="C6" s="9">
        <v>3</v>
      </c>
      <c r="D6" s="9">
        <v>6</v>
      </c>
      <c r="E6" s="9">
        <v>2</v>
      </c>
      <c r="F6" s="9">
        <v>-1</v>
      </c>
      <c r="G6" s="9">
        <v>-20</v>
      </c>
      <c r="H6" s="9">
        <v>-7</v>
      </c>
      <c r="I6" s="9">
        <v>-15</v>
      </c>
      <c r="J6" s="9">
        <v>36</v>
      </c>
      <c r="K6" s="9">
        <v>11</v>
      </c>
      <c r="L6" s="9">
        <v>21</v>
      </c>
      <c r="M6" s="9">
        <v>23</v>
      </c>
      <c r="N6" s="9">
        <v>11</v>
      </c>
      <c r="O6" s="9">
        <v>-31</v>
      </c>
      <c r="P6" s="9">
        <v>24</v>
      </c>
      <c r="Q6" s="9">
        <v>27</v>
      </c>
      <c r="R6" s="9">
        <v>-20</v>
      </c>
      <c r="S6" s="9">
        <v>3</v>
      </c>
      <c r="T6" s="9">
        <v>6</v>
      </c>
      <c r="U6" s="9">
        <f>U10-(SUM(U3:U5)+SUM(U7:U9))</f>
        <v>169.68814499999826</v>
      </c>
      <c r="V6" s="9">
        <f t="shared" ref="V6:X6" si="9">V10-(SUM(V3:V5)+SUM(V7:V9))</f>
        <v>223.98835139999937</v>
      </c>
      <c r="W6" s="9">
        <f t="shared" si="9"/>
        <v>295.66462384800252</v>
      </c>
      <c r="X6" s="9">
        <f t="shared" si="9"/>
        <v>390.27730347935722</v>
      </c>
      <c r="Y6" s="10"/>
      <c r="AQ6" s="9">
        <v>0</v>
      </c>
      <c r="AR6" s="9">
        <v>0</v>
      </c>
      <c r="AS6" s="9">
        <v>0</v>
      </c>
      <c r="AT6" s="9">
        <f t="shared" si="4"/>
        <v>10</v>
      </c>
      <c r="AU6" s="9">
        <f t="shared" si="5"/>
        <v>-6</v>
      </c>
      <c r="AV6" s="9">
        <f t="shared" si="6"/>
        <v>66</v>
      </c>
      <c r="AW6" s="9">
        <f t="shared" si="7"/>
        <v>0</v>
      </c>
    </row>
    <row r="7" spans="1:110" s="9" customFormat="1">
      <c r="B7" s="9" t="s">
        <v>13</v>
      </c>
      <c r="C7" s="9">
        <v>1122</v>
      </c>
      <c r="D7" s="9">
        <v>1170</v>
      </c>
      <c r="E7" s="9">
        <v>1184</v>
      </c>
      <c r="F7" s="9">
        <v>1172</v>
      </c>
      <c r="G7" s="9">
        <v>1055</v>
      </c>
      <c r="H7" s="9">
        <v>993</v>
      </c>
      <c r="I7" s="9">
        <v>1061</v>
      </c>
      <c r="J7" s="9">
        <v>971</v>
      </c>
      <c r="K7" s="9">
        <v>961</v>
      </c>
      <c r="L7" s="9">
        <v>839</v>
      </c>
      <c r="M7" s="9">
        <v>939</v>
      </c>
      <c r="N7" s="9">
        <v>987</v>
      </c>
      <c r="O7" s="9">
        <v>1087</v>
      </c>
      <c r="P7" s="9">
        <v>1187</v>
      </c>
      <c r="Q7" s="9">
        <v>1395</v>
      </c>
      <c r="R7" s="9">
        <v>-2125</v>
      </c>
      <c r="S7" s="9">
        <v>1683</v>
      </c>
      <c r="T7" s="9">
        <v>1908</v>
      </c>
      <c r="U7" s="9">
        <f>U10*0.2</f>
        <v>2715.0103200000003</v>
      </c>
      <c r="V7" s="9">
        <f t="shared" ref="V7:X7" si="10">V10*0.2</f>
        <v>3583.8136224000004</v>
      </c>
      <c r="W7" s="9">
        <f t="shared" si="10"/>
        <v>4730.6339815680003</v>
      </c>
      <c r="X7" s="9">
        <f t="shared" si="10"/>
        <v>6244.4368556697609</v>
      </c>
      <c r="Y7" s="10"/>
      <c r="AQ7" s="9">
        <v>891</v>
      </c>
      <c r="AR7" s="9">
        <v>684</v>
      </c>
      <c r="AS7" s="9">
        <v>1157</v>
      </c>
      <c r="AT7" s="9">
        <f t="shared" si="4"/>
        <v>4648</v>
      </c>
      <c r="AU7" s="9">
        <f t="shared" si="5"/>
        <v>4080</v>
      </c>
      <c r="AV7" s="9">
        <f t="shared" si="6"/>
        <v>3726</v>
      </c>
      <c r="AW7" s="9">
        <f t="shared" si="7"/>
        <v>1544</v>
      </c>
    </row>
    <row r="8" spans="1:110" s="9" customFormat="1">
      <c r="B8" s="9" t="s">
        <v>14</v>
      </c>
      <c r="C8" s="9">
        <v>352</v>
      </c>
      <c r="D8" s="9">
        <v>357</v>
      </c>
      <c r="E8" s="9">
        <v>409</v>
      </c>
      <c r="F8" s="9">
        <v>283</v>
      </c>
      <c r="G8" s="9">
        <v>251</v>
      </c>
      <c r="H8" s="9">
        <v>225</v>
      </c>
      <c r="I8" s="9">
        <v>409</v>
      </c>
      <c r="J8" s="9">
        <v>1443</v>
      </c>
      <c r="K8" s="9">
        <v>387</v>
      </c>
      <c r="L8" s="9">
        <v>598</v>
      </c>
      <c r="M8" s="9">
        <v>379</v>
      </c>
      <c r="N8" s="9">
        <v>803</v>
      </c>
      <c r="O8" s="9">
        <v>628</v>
      </c>
      <c r="P8" s="9">
        <v>474</v>
      </c>
      <c r="Q8" s="9">
        <v>690</v>
      </c>
      <c r="R8" s="9">
        <v>-1535</v>
      </c>
      <c r="S8" s="9">
        <v>747</v>
      </c>
      <c r="T8" s="9">
        <v>1150</v>
      </c>
      <c r="U8" s="9">
        <f>U10*0.0325</f>
        <v>441.18917700000003</v>
      </c>
      <c r="V8" s="9">
        <f t="shared" ref="V8:X8" si="11">V10*0.0325</f>
        <v>582.3697136400001</v>
      </c>
      <c r="W8" s="9">
        <f t="shared" si="11"/>
        <v>768.7280220048001</v>
      </c>
      <c r="X8" s="9">
        <f t="shared" si="11"/>
        <v>1014.7209890463362</v>
      </c>
      <c r="Y8" s="10"/>
      <c r="AQ8" s="9">
        <v>0</v>
      </c>
      <c r="AR8" s="9">
        <v>0</v>
      </c>
      <c r="AS8" s="9">
        <v>0</v>
      </c>
      <c r="AT8" s="9">
        <f t="shared" si="4"/>
        <v>1401</v>
      </c>
      <c r="AU8" s="9">
        <f t="shared" si="5"/>
        <v>2328</v>
      </c>
      <c r="AV8" s="9">
        <f t="shared" si="6"/>
        <v>2167</v>
      </c>
      <c r="AW8" s="9">
        <f t="shared" si="7"/>
        <v>257</v>
      </c>
    </row>
    <row r="9" spans="1:110" s="9" customFormat="1">
      <c r="B9" s="9" t="s">
        <v>15</v>
      </c>
      <c r="C9" s="9">
        <v>-234</v>
      </c>
      <c r="D9" s="9">
        <v>-227</v>
      </c>
      <c r="E9" s="9">
        <v>-225</v>
      </c>
      <c r="F9" s="9">
        <v>-244</v>
      </c>
      <c r="G9" s="9">
        <v>-222</v>
      </c>
      <c r="H9" s="9">
        <v>-205</v>
      </c>
      <c r="I9" s="9">
        <f>-368+383</f>
        <v>15</v>
      </c>
      <c r="J9" s="9">
        <v>-852</v>
      </c>
      <c r="K9" s="9">
        <v>-199</v>
      </c>
      <c r="L9" s="9">
        <v>-162</v>
      </c>
      <c r="M9" s="9">
        <v>-182</v>
      </c>
      <c r="N9" s="9">
        <v>-215</v>
      </c>
      <c r="O9" s="9">
        <v>-266</v>
      </c>
      <c r="P9" s="9">
        <v>-231</v>
      </c>
      <c r="Q9" s="9">
        <v>-261</v>
      </c>
      <c r="R9" s="9">
        <v>-336</v>
      </c>
      <c r="S9" s="9">
        <v>-292</v>
      </c>
      <c r="T9" s="9">
        <v>-403</v>
      </c>
      <c r="U9" s="9">
        <f>U10*0.005*-1</f>
        <v>-67.875258000000002</v>
      </c>
      <c r="V9" s="9">
        <f t="shared" ref="V9:X9" si="12">V10*0.005*-1</f>
        <v>-89.595340560000011</v>
      </c>
      <c r="W9" s="9">
        <f t="shared" si="12"/>
        <v>-118.2658495392</v>
      </c>
      <c r="X9" s="9">
        <f t="shared" si="12"/>
        <v>-156.11092139174403</v>
      </c>
      <c r="Y9" s="10"/>
      <c r="AQ9" s="9">
        <v>-660</v>
      </c>
      <c r="AR9" s="9">
        <v>-727</v>
      </c>
      <c r="AS9" s="9">
        <v>-874</v>
      </c>
      <c r="AT9" s="9">
        <f t="shared" si="4"/>
        <v>-930</v>
      </c>
      <c r="AU9" s="9">
        <f t="shared" si="5"/>
        <v>-1264</v>
      </c>
      <c r="AV9" s="9">
        <f t="shared" si="6"/>
        <v>-758</v>
      </c>
      <c r="AW9" s="9">
        <f t="shared" si="7"/>
        <v>-1094</v>
      </c>
    </row>
    <row r="10" spans="1:110" s="10" customFormat="1">
      <c r="B10" s="10" t="s">
        <v>16</v>
      </c>
      <c r="C10" s="10">
        <f t="shared" ref="C10" si="13">SUM(C3:C9)</f>
        <v>3694</v>
      </c>
      <c r="D10" s="10">
        <f t="shared" ref="D10:F10" si="14">SUM(D3:D9)</f>
        <v>3831</v>
      </c>
      <c r="E10" s="10">
        <f>SUM(E3:E9)</f>
        <v>4257</v>
      </c>
      <c r="F10" s="10">
        <f t="shared" si="14"/>
        <v>3778</v>
      </c>
      <c r="G10" s="10">
        <f t="shared" ref="G10" si="15">SUM(G3:G9)</f>
        <v>3435</v>
      </c>
      <c r="H10" s="10">
        <f t="shared" ref="H10" si="16">SUM(H3:H9)</f>
        <v>3731</v>
      </c>
      <c r="I10" s="10">
        <f t="shared" ref="I10" si="17">SUM(I3:I9)</f>
        <v>5231</v>
      </c>
      <c r="J10" s="10">
        <f t="shared" ref="J10" si="18">SUM(J3:J9)</f>
        <v>6795</v>
      </c>
      <c r="K10" s="10">
        <f t="shared" ref="K10:S10" si="19">SUM(K3:K9)</f>
        <v>5047</v>
      </c>
      <c r="L10" s="10">
        <f>SUM(L3:L9)</f>
        <v>3308</v>
      </c>
      <c r="M10" s="10">
        <f t="shared" si="19"/>
        <v>4018</v>
      </c>
      <c r="N10" s="10">
        <f t="shared" si="19"/>
        <v>4757</v>
      </c>
      <c r="O10" s="10">
        <f t="shared" si="19"/>
        <v>5184</v>
      </c>
      <c r="P10" s="10">
        <f t="shared" si="19"/>
        <v>6102</v>
      </c>
      <c r="Q10" s="10">
        <f t="shared" si="19"/>
        <v>6880</v>
      </c>
      <c r="R10" s="10">
        <f t="shared" si="19"/>
        <v>9491</v>
      </c>
      <c r="S10" s="10">
        <f t="shared" si="19"/>
        <v>8213</v>
      </c>
      <c r="T10" s="10">
        <f>SUM(T3:T9)</f>
        <v>10351</v>
      </c>
      <c r="U10" s="10">
        <f>U11*0.958</f>
        <v>13575.051600000001</v>
      </c>
      <c r="V10" s="10">
        <f t="shared" ref="V10:X10" si="20">V11*0.958</f>
        <v>17919.068112000001</v>
      </c>
      <c r="W10" s="10">
        <f t="shared" si="20"/>
        <v>23653.169907840002</v>
      </c>
      <c r="X10" s="10">
        <f t="shared" si="20"/>
        <v>31222.184278348803</v>
      </c>
      <c r="AC10" s="10">
        <f t="shared" ref="AC10:AV10" si="21">SUM(AC3:AC9)</f>
        <v>0</v>
      </c>
      <c r="AD10" s="10">
        <f t="shared" si="21"/>
        <v>0</v>
      </c>
      <c r="AE10" s="10">
        <f t="shared" si="21"/>
        <v>0</v>
      </c>
      <c r="AF10" s="10">
        <f t="shared" si="21"/>
        <v>0</v>
      </c>
      <c r="AG10" s="10">
        <f t="shared" si="21"/>
        <v>0</v>
      </c>
      <c r="AH10" s="10">
        <f t="shared" si="21"/>
        <v>0</v>
      </c>
      <c r="AI10" s="10">
        <f t="shared" si="21"/>
        <v>0</v>
      </c>
      <c r="AJ10" s="10">
        <f t="shared" si="21"/>
        <v>0</v>
      </c>
      <c r="AK10" s="10">
        <f t="shared" si="21"/>
        <v>0</v>
      </c>
      <c r="AL10" s="10">
        <f t="shared" si="21"/>
        <v>0</v>
      </c>
      <c r="AM10" s="10">
        <f t="shared" si="21"/>
        <v>0</v>
      </c>
      <c r="AN10" s="10">
        <f t="shared" si="21"/>
        <v>0</v>
      </c>
      <c r="AO10" s="10">
        <f t="shared" si="21"/>
        <v>0</v>
      </c>
      <c r="AP10" s="10">
        <f t="shared" si="21"/>
        <v>0</v>
      </c>
      <c r="AQ10" s="10">
        <f t="shared" si="21"/>
        <v>12480</v>
      </c>
      <c r="AR10" s="10">
        <f t="shared" si="21"/>
        <v>10090</v>
      </c>
      <c r="AS10" s="10">
        <f t="shared" si="21"/>
        <v>12508</v>
      </c>
      <c r="AT10" s="10">
        <f t="shared" si="21"/>
        <v>15560</v>
      </c>
      <c r="AU10" s="10">
        <f t="shared" si="21"/>
        <v>19192</v>
      </c>
      <c r="AV10" s="10">
        <f t="shared" si="21"/>
        <v>17130</v>
      </c>
      <c r="AW10" s="10">
        <f>SUM(AW3:AW9)</f>
        <v>27657</v>
      </c>
    </row>
    <row r="11" spans="1:110" s="15" customFormat="1">
      <c r="B11" s="15" t="s">
        <v>29</v>
      </c>
      <c r="C11" s="15">
        <v>3825</v>
      </c>
      <c r="D11" s="15">
        <v>4131</v>
      </c>
      <c r="E11" s="15">
        <v>6176</v>
      </c>
      <c r="F11" s="15">
        <v>4802</v>
      </c>
      <c r="G11" s="15">
        <v>4089</v>
      </c>
      <c r="H11" s="15">
        <v>4476</v>
      </c>
      <c r="I11" s="15">
        <v>5871</v>
      </c>
      <c r="J11" s="15">
        <v>7314</v>
      </c>
      <c r="K11" s="15">
        <v>6451</v>
      </c>
      <c r="L11" s="15">
        <v>2976</v>
      </c>
      <c r="M11" s="15">
        <v>3283</v>
      </c>
      <c r="N11" s="15">
        <v>3551</v>
      </c>
      <c r="O11" s="15">
        <v>5479</v>
      </c>
      <c r="P11" s="15">
        <v>6010</v>
      </c>
      <c r="Q11" s="15">
        <v>6815</v>
      </c>
      <c r="R11" s="15">
        <v>8010</v>
      </c>
      <c r="S11" s="15">
        <v>8533</v>
      </c>
      <c r="T11" s="15">
        <v>10735</v>
      </c>
      <c r="U11" s="15">
        <f>T11*1.32</f>
        <v>14170.2</v>
      </c>
      <c r="V11" s="15">
        <f t="shared" ref="V11:X11" si="22">U11*1.32</f>
        <v>18704.664000000001</v>
      </c>
      <c r="W11" s="15">
        <f t="shared" si="22"/>
        <v>24690.156480000001</v>
      </c>
      <c r="X11" s="15">
        <f t="shared" si="22"/>
        <v>32591.006553600004</v>
      </c>
      <c r="Y11" s="10"/>
      <c r="AA11" s="9"/>
      <c r="AQ11" s="15">
        <v>12699</v>
      </c>
      <c r="AR11" s="15">
        <v>10398</v>
      </c>
      <c r="AS11" s="15">
        <v>13274</v>
      </c>
      <c r="AT11" s="9">
        <f>SUM(C11:F11)</f>
        <v>18934</v>
      </c>
      <c r="AU11" s="9">
        <f>SUM(G11:J11)</f>
        <v>21750</v>
      </c>
      <c r="AV11" s="9">
        <f>SUM(K11:N11)</f>
        <v>16261</v>
      </c>
      <c r="AW11" s="9">
        <f>SUM(O11:R11)</f>
        <v>26314</v>
      </c>
    </row>
    <row r="12" spans="1:110" s="6" customFormat="1">
      <c r="A12" s="13"/>
      <c r="B12" s="13"/>
      <c r="W12" s="3"/>
      <c r="Y12" s="5"/>
      <c r="AA12" s="3"/>
    </row>
    <row r="13" spans="1:110" s="13" customFormat="1">
      <c r="B13" s="13" t="s">
        <v>64</v>
      </c>
      <c r="C13" s="14">
        <f>C3/C10</f>
        <v>0.59285327558202494</v>
      </c>
      <c r="D13" s="14">
        <f t="shared" ref="D13:T13" si="23">D3/D10</f>
        <v>0.58261550509005477</v>
      </c>
      <c r="E13" s="14">
        <f t="shared" si="23"/>
        <v>0.59642941038289876</v>
      </c>
      <c r="F13" s="14">
        <f t="shared" si="23"/>
        <v>0.60455267337215457</v>
      </c>
      <c r="G13" s="14">
        <f t="shared" si="23"/>
        <v>0.61077147016011646</v>
      </c>
      <c r="H13" s="14">
        <f t="shared" si="23"/>
        <v>0.66577325113910479</v>
      </c>
      <c r="I13" s="14">
        <f t="shared" si="23"/>
        <v>0.63333970560122343</v>
      </c>
      <c r="J13" s="14">
        <f t="shared" si="23"/>
        <v>0.6556291390728477</v>
      </c>
      <c r="K13" s="14">
        <f t="shared" si="23"/>
        <v>0.66395878739845449</v>
      </c>
      <c r="L13" s="14">
        <f t="shared" si="23"/>
        <v>0.49002418379685608</v>
      </c>
      <c r="M13" s="14">
        <f t="shared" si="23"/>
        <v>0.57715281234444993</v>
      </c>
      <c r="N13" s="14">
        <f t="shared" si="23"/>
        <v>0.545932310279588</v>
      </c>
      <c r="O13" s="14">
        <f t="shared" si="23"/>
        <v>0.58121141975308643</v>
      </c>
      <c r="P13" s="14">
        <f t="shared" si="23"/>
        <v>0.60816125860373649</v>
      </c>
      <c r="Q13" s="14">
        <f t="shared" si="23"/>
        <v>0.55552325581395345</v>
      </c>
      <c r="R13" s="14">
        <f t="shared" si="23"/>
        <v>0.88452217890633233</v>
      </c>
      <c r="S13" s="14">
        <f t="shared" si="23"/>
        <v>0.58431754535492508</v>
      </c>
      <c r="T13" s="14">
        <f t="shared" si="23"/>
        <v>0.58351850062795863</v>
      </c>
      <c r="U13" s="14">
        <f t="shared" ref="U13:X13" si="24">U3/U10</f>
        <v>0.61</v>
      </c>
      <c r="V13" s="14">
        <f t="shared" si="24"/>
        <v>0.61</v>
      </c>
      <c r="W13" s="14">
        <f t="shared" si="24"/>
        <v>0.61</v>
      </c>
      <c r="X13" s="14">
        <f t="shared" si="24"/>
        <v>0.61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>
        <f t="shared" ref="AT13:AW13" si="25">AT3/AT11</f>
        <v>0.48827506073729798</v>
      </c>
      <c r="AU13" s="14">
        <f t="shared" si="25"/>
        <v>0.56781609195402294</v>
      </c>
      <c r="AV13" s="14">
        <f t="shared" si="25"/>
        <v>0.60808068384478198</v>
      </c>
      <c r="AW13" s="14">
        <f>AW3/AW11</f>
        <v>0.71980694687238733</v>
      </c>
      <c r="BE13" s="14"/>
    </row>
    <row r="14" spans="1:110" s="13" customFormat="1">
      <c r="B14" s="13" t="s">
        <v>65</v>
      </c>
      <c r="C14" s="14">
        <f>C4/C10</f>
        <v>3.7899296155928533E-2</v>
      </c>
      <c r="D14" s="14">
        <f t="shared" ref="D14:T14" si="26">D4/D10</f>
        <v>4.5679979117723833E-2</v>
      </c>
      <c r="E14" s="14">
        <f t="shared" si="26"/>
        <v>5.0739957716701901E-2</v>
      </c>
      <c r="F14" s="14">
        <f t="shared" si="26"/>
        <v>4.2350449973530969E-2</v>
      </c>
      <c r="G14" s="14">
        <f t="shared" si="26"/>
        <v>4.1630276564774381E-2</v>
      </c>
      <c r="H14" s="14">
        <f t="shared" si="26"/>
        <v>4.0739748056821228E-2</v>
      </c>
      <c r="I14" s="14">
        <f t="shared" si="26"/>
        <v>4.5880328809023131E-2</v>
      </c>
      <c r="J14" s="14">
        <f t="shared" si="26"/>
        <v>5.9749816041206771E-2</v>
      </c>
      <c r="K14" s="14">
        <f t="shared" si="26"/>
        <v>5.310085199128195E-2</v>
      </c>
      <c r="L14" s="14">
        <f t="shared" si="26"/>
        <v>5.0483675937122129E-2</v>
      </c>
      <c r="M14" s="14">
        <f t="shared" si="26"/>
        <v>7.5908412145345938E-2</v>
      </c>
      <c r="N14" s="14">
        <f t="shared" si="26"/>
        <v>6.621820475089342E-2</v>
      </c>
      <c r="O14" s="14">
        <f t="shared" si="26"/>
        <v>8.4104938271604937E-2</v>
      </c>
      <c r="P14" s="14">
        <f t="shared" si="26"/>
        <v>9.0134382169780397E-2</v>
      </c>
      <c r="Q14" s="14">
        <f t="shared" si="26"/>
        <v>0.1063953488372093</v>
      </c>
      <c r="R14" s="14">
        <f t="shared" si="26"/>
        <v>0.37172057738910547</v>
      </c>
      <c r="S14" s="14">
        <f t="shared" si="26"/>
        <v>9.2536223061000858E-2</v>
      </c>
      <c r="T14" s="14">
        <f t="shared" si="26"/>
        <v>8.6561684861366048E-2</v>
      </c>
      <c r="U14" s="14">
        <f t="shared" ref="U14:X14" si="27">U4/U10</f>
        <v>0.08</v>
      </c>
      <c r="V14" s="14">
        <f t="shared" si="27"/>
        <v>0.08</v>
      </c>
      <c r="W14" s="14">
        <f t="shared" si="27"/>
        <v>0.08</v>
      </c>
      <c r="X14" s="14">
        <f t="shared" si="27"/>
        <v>0.08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>
        <f t="shared" ref="AT14:AW14" si="28">AT4/AT10</f>
        <v>4.440874035989717E-2</v>
      </c>
      <c r="AU14" s="14">
        <f t="shared" si="28"/>
        <v>4.9030846185910797E-2</v>
      </c>
      <c r="AV14" s="14">
        <f t="shared" si="28"/>
        <v>6.1587857559836541E-2</v>
      </c>
      <c r="AW14" s="14">
        <f>AW4/AW10</f>
        <v>0.18968073182196188</v>
      </c>
      <c r="BE14" s="14"/>
    </row>
    <row r="15" spans="1:110" s="13" customFormat="1">
      <c r="B15" s="13" t="s">
        <v>66</v>
      </c>
      <c r="C15" s="14">
        <f>C5/C10</f>
        <v>3.275582024905252E-2</v>
      </c>
      <c r="D15" s="14">
        <f t="shared" ref="D15:T15" si="29">D5/D10</f>
        <v>3.0801357347950926E-2</v>
      </c>
      <c r="E15" s="14">
        <f t="shared" si="29"/>
        <v>3.1007751937984496E-2</v>
      </c>
      <c r="F15" s="14">
        <f t="shared" si="29"/>
        <v>3.2821598729486499E-2</v>
      </c>
      <c r="G15" s="14">
        <f t="shared" si="29"/>
        <v>3.7845705967976713E-2</v>
      </c>
      <c r="H15" s="14">
        <f t="shared" si="29"/>
        <v>2.3854194585901902E-2</v>
      </c>
      <c r="I15" s="14">
        <f t="shared" si="29"/>
        <v>3.9762951634486711E-2</v>
      </c>
      <c r="J15" s="14">
        <f t="shared" si="29"/>
        <v>4.9448123620309051E-2</v>
      </c>
      <c r="K15" s="14">
        <f t="shared" si="29"/>
        <v>5.310085199128195E-2</v>
      </c>
      <c r="L15" s="14">
        <f t="shared" si="29"/>
        <v>6.7714631197097946E-2</v>
      </c>
      <c r="M15" s="14">
        <f t="shared" si="29"/>
        <v>5.8486809357889497E-2</v>
      </c>
      <c r="N15" s="14">
        <f t="shared" si="29"/>
        <v>5.4446079461845702E-2</v>
      </c>
      <c r="O15" s="14">
        <f t="shared" si="29"/>
        <v>6.1149691358024692E-2</v>
      </c>
      <c r="P15" s="14">
        <f t="shared" si="29"/>
        <v>6.3421828908554578E-2</v>
      </c>
      <c r="Q15" s="14">
        <f t="shared" si="29"/>
        <v>6.9040697674418602E-2</v>
      </c>
      <c r="R15" s="14">
        <f t="shared" si="29"/>
        <v>0.16689495311347594</v>
      </c>
      <c r="S15" s="14">
        <f t="shared" si="29"/>
        <v>6.2461950566175574E-2</v>
      </c>
      <c r="T15" s="14">
        <f t="shared" si="29"/>
        <v>7.2843203555212052E-2</v>
      </c>
      <c r="U15" s="14">
        <f t="shared" ref="U15:X15" si="30">U5/U10</f>
        <v>7.0000000000000007E-2</v>
      </c>
      <c r="V15" s="14">
        <f t="shared" si="30"/>
        <v>7.0000000000000007E-2</v>
      </c>
      <c r="W15" s="14">
        <f t="shared" si="30"/>
        <v>7.0000000000000007E-2</v>
      </c>
      <c r="X15" s="14">
        <f t="shared" si="30"/>
        <v>7.0000000000000007E-2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>
        <f t="shared" ref="AT15:AW15" si="31">AT5/AT10</f>
        <v>3.1812339331619539E-2</v>
      </c>
      <c r="AU15" s="14">
        <f t="shared" si="31"/>
        <v>3.9756148395164649E-2</v>
      </c>
      <c r="AV15" s="14">
        <f t="shared" si="31"/>
        <v>5.7559836544074726E-2</v>
      </c>
      <c r="AW15" s="14">
        <f>AW5/AW10</f>
        <v>9.9902375528799214E-2</v>
      </c>
      <c r="BE15" s="14"/>
    </row>
    <row r="16" spans="1:110" s="13" customFormat="1">
      <c r="B16" s="13" t="s">
        <v>67</v>
      </c>
      <c r="C16" s="14">
        <f>C7/C10</f>
        <v>0.3037357877639415</v>
      </c>
      <c r="D16" s="14">
        <f t="shared" ref="D16:T16" si="32">D7/D10</f>
        <v>0.3054032889584965</v>
      </c>
      <c r="E16" s="14">
        <f t="shared" si="32"/>
        <v>0.27813013859525487</v>
      </c>
      <c r="F16" s="14">
        <f t="shared" si="32"/>
        <v>0.31021704605611433</v>
      </c>
      <c r="G16" s="14">
        <f t="shared" si="32"/>
        <v>0.30713245997088789</v>
      </c>
      <c r="H16" s="14">
        <f t="shared" si="32"/>
        <v>0.26614848566068078</v>
      </c>
      <c r="I16" s="14">
        <f t="shared" si="32"/>
        <v>0.20282928694322308</v>
      </c>
      <c r="J16" s="14">
        <f t="shared" si="32"/>
        <v>0.14289919058130979</v>
      </c>
      <c r="K16" s="14">
        <f t="shared" si="32"/>
        <v>0.19041014464038042</v>
      </c>
      <c r="L16" s="14">
        <f t="shared" si="32"/>
        <v>0.25362756952841597</v>
      </c>
      <c r="M16" s="14">
        <f t="shared" si="32"/>
        <v>0.23369835739173719</v>
      </c>
      <c r="N16" s="14">
        <f t="shared" si="32"/>
        <v>0.20748370821946605</v>
      </c>
      <c r="O16" s="14">
        <f t="shared" si="32"/>
        <v>0.20968364197530864</v>
      </c>
      <c r="P16" s="14">
        <f t="shared" si="32"/>
        <v>0.19452638479187151</v>
      </c>
      <c r="Q16" s="14">
        <f t="shared" si="32"/>
        <v>0.20276162790697674</v>
      </c>
      <c r="R16" s="14">
        <f t="shared" si="32"/>
        <v>-0.22389632283215677</v>
      </c>
      <c r="S16" s="14">
        <f t="shared" si="32"/>
        <v>0.20491903080482163</v>
      </c>
      <c r="T16" s="14">
        <f t="shared" si="32"/>
        <v>0.18433001642353397</v>
      </c>
      <c r="U16" s="14">
        <f t="shared" ref="U16:X16" si="33">U7/U10</f>
        <v>0.2</v>
      </c>
      <c r="V16" s="14">
        <f t="shared" si="33"/>
        <v>0.2</v>
      </c>
      <c r="W16" s="14">
        <f t="shared" si="33"/>
        <v>0.2</v>
      </c>
      <c r="X16" s="14">
        <f t="shared" si="33"/>
        <v>0.2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>
        <f t="shared" ref="AT16:AW16" si="34">AT7/AT10</f>
        <v>0.29871465295629818</v>
      </c>
      <c r="AU16" s="14">
        <f t="shared" si="34"/>
        <v>0.212588578574406</v>
      </c>
      <c r="AV16" s="14">
        <f t="shared" si="34"/>
        <v>0.21751313485113835</v>
      </c>
      <c r="AW16" s="14">
        <f>AW7/AW10</f>
        <v>5.5826734642224395E-2</v>
      </c>
      <c r="BE16" s="14"/>
    </row>
    <row r="17" spans="1:110" s="5" customFormat="1">
      <c r="A17" s="13"/>
      <c r="B17" s="13"/>
      <c r="U17" s="12"/>
    </row>
    <row r="18" spans="1:110" s="9" customFormat="1">
      <c r="B18" s="10" t="s">
        <v>22</v>
      </c>
      <c r="C18" s="9">
        <f t="shared" ref="C18:E18" si="35">0.13*C22</f>
        <v>369.33000000000004</v>
      </c>
      <c r="D18" s="9">
        <f t="shared" si="35"/>
        <v>397.67</v>
      </c>
      <c r="E18" s="9">
        <f t="shared" si="35"/>
        <v>478.92</v>
      </c>
      <c r="F18" s="9">
        <f>0.13*F22</f>
        <v>529.49</v>
      </c>
      <c r="G18" s="9">
        <v>645</v>
      </c>
      <c r="H18" s="9">
        <v>717</v>
      </c>
      <c r="I18" s="9">
        <v>962</v>
      </c>
      <c r="J18" s="9">
        <v>958</v>
      </c>
      <c r="K18" s="9">
        <v>1046</v>
      </c>
      <c r="L18" s="9">
        <v>631</v>
      </c>
      <c r="M18" s="9">
        <v>626</v>
      </c>
      <c r="N18" s="9">
        <v>762</v>
      </c>
      <c r="O18" s="9">
        <v>776</v>
      </c>
      <c r="P18" s="9">
        <v>712</v>
      </c>
      <c r="Q18" s="9">
        <v>829</v>
      </c>
      <c r="R18" s="9">
        <v>843</v>
      </c>
      <c r="S18" s="9">
        <v>864</v>
      </c>
      <c r="T18" s="9">
        <v>1005</v>
      </c>
      <c r="Y18" s="10"/>
      <c r="AQ18" s="9">
        <v>5804</v>
      </c>
      <c r="AR18" s="9">
        <v>5189</v>
      </c>
      <c r="AS18" s="9">
        <v>5594</v>
      </c>
      <c r="AT18" s="9">
        <f t="shared" ref="AT18:AT22" si="36">SUM(C18:F18)</f>
        <v>1775.41</v>
      </c>
      <c r="AU18" s="9">
        <f t="shared" ref="AU18:AU22" si="37">SUM(G18:J18)</f>
        <v>3282</v>
      </c>
      <c r="AV18" s="9">
        <f t="shared" ref="AV18:AV22" si="38">SUM(K18:N18)</f>
        <v>3065</v>
      </c>
      <c r="AW18" s="9">
        <f t="shared" ref="AW18:AW22" si="39">SUM(O18:R18)</f>
        <v>3160</v>
      </c>
    </row>
    <row r="19" spans="1:110" s="9" customFormat="1">
      <c r="B19" s="10" t="s">
        <v>23</v>
      </c>
      <c r="C19" s="10">
        <f t="shared" ref="C19:E19" si="40">C22*0.044</f>
        <v>125.00399999999999</v>
      </c>
      <c r="D19" s="10">
        <f t="shared" si="40"/>
        <v>134.596</v>
      </c>
      <c r="E19" s="10">
        <f t="shared" si="40"/>
        <v>162.096</v>
      </c>
      <c r="F19" s="10">
        <f>F22*0.044</f>
        <v>179.21199999999999</v>
      </c>
      <c r="G19" s="9">
        <v>31</v>
      </c>
      <c r="H19" s="9">
        <v>33</v>
      </c>
      <c r="I19" s="9">
        <v>217</v>
      </c>
      <c r="J19" s="9">
        <v>354</v>
      </c>
      <c r="K19" s="9">
        <v>558</v>
      </c>
      <c r="L19" s="9">
        <v>367</v>
      </c>
      <c r="M19" s="9">
        <v>343</v>
      </c>
      <c r="N19" s="9">
        <v>332</v>
      </c>
      <c r="O19" s="9">
        <v>329</v>
      </c>
      <c r="P19" s="9">
        <v>364</v>
      </c>
      <c r="Q19" s="9">
        <v>360</v>
      </c>
      <c r="R19" s="9">
        <v>366</v>
      </c>
      <c r="S19" s="9">
        <v>347</v>
      </c>
      <c r="T19" s="9">
        <v>364</v>
      </c>
      <c r="Y19" s="10"/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f t="shared" si="36"/>
        <v>600.90800000000002</v>
      </c>
      <c r="AU19" s="9">
        <f t="shared" si="37"/>
        <v>635</v>
      </c>
      <c r="AV19" s="9">
        <f t="shared" si="38"/>
        <v>1600</v>
      </c>
      <c r="AW19" s="9">
        <f t="shared" si="39"/>
        <v>1419</v>
      </c>
    </row>
    <row r="20" spans="1:110" s="9" customFormat="1">
      <c r="B20" s="10" t="s">
        <v>24</v>
      </c>
      <c r="C20" s="9">
        <f t="shared" ref="C20:E20" si="41">0.11*C22</f>
        <v>312.51</v>
      </c>
      <c r="D20" s="9">
        <f t="shared" si="41"/>
        <v>336.49</v>
      </c>
      <c r="E20" s="9">
        <f t="shared" si="41"/>
        <v>405.24</v>
      </c>
      <c r="F20" s="9">
        <f>0.11*F22</f>
        <v>448.03000000000003</v>
      </c>
      <c r="G20" s="9">
        <v>669</v>
      </c>
      <c r="H20" s="9">
        <v>636</v>
      </c>
      <c r="I20" s="9">
        <v>741</v>
      </c>
      <c r="J20" s="9">
        <v>745</v>
      </c>
      <c r="K20" s="9">
        <v>612</v>
      </c>
      <c r="L20" s="9">
        <v>577</v>
      </c>
      <c r="M20" s="9">
        <v>618</v>
      </c>
      <c r="N20" s="9">
        <v>601</v>
      </c>
      <c r="O20" s="9">
        <v>594</v>
      </c>
      <c r="P20" s="9">
        <v>676</v>
      </c>
      <c r="Q20" s="9">
        <v>731</v>
      </c>
      <c r="R20" s="9">
        <v>771</v>
      </c>
      <c r="S20" s="9">
        <v>818</v>
      </c>
      <c r="T20" s="9">
        <v>835</v>
      </c>
      <c r="Y20" s="10"/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f t="shared" si="36"/>
        <v>1502.27</v>
      </c>
      <c r="AU20" s="9">
        <f t="shared" si="37"/>
        <v>2791</v>
      </c>
      <c r="AV20" s="9">
        <f t="shared" si="38"/>
        <v>2408</v>
      </c>
      <c r="AW20" s="9">
        <f t="shared" si="39"/>
        <v>2772</v>
      </c>
    </row>
    <row r="21" spans="1:110" s="9" customFormat="1">
      <c r="B21" s="10" t="s">
        <v>21</v>
      </c>
      <c r="C21" s="10">
        <f t="shared" ref="C21:E21" si="42">0.04*C22</f>
        <v>113.64</v>
      </c>
      <c r="D21" s="10">
        <f t="shared" si="42"/>
        <v>122.36</v>
      </c>
      <c r="E21" s="10">
        <f t="shared" si="42"/>
        <v>147.36000000000001</v>
      </c>
      <c r="F21" s="10">
        <f>0.04*F22</f>
        <v>162.92000000000002</v>
      </c>
      <c r="G21" s="9">
        <v>140</v>
      </c>
      <c r="H21" s="9">
        <v>163</v>
      </c>
      <c r="I21" s="9">
        <v>242</v>
      </c>
      <c r="J21" s="9">
        <v>348</v>
      </c>
      <c r="K21" s="9">
        <v>260</v>
      </c>
      <c r="L21" s="9">
        <v>225</v>
      </c>
      <c r="M21" s="9">
        <v>166</v>
      </c>
      <c r="N21" s="9">
        <v>213</v>
      </c>
      <c r="O21" s="9">
        <v>558</v>
      </c>
      <c r="P21" s="9">
        <v>177</v>
      </c>
      <c r="Q21" s="9">
        <v>240</v>
      </c>
      <c r="R21" s="9">
        <v>-112</v>
      </c>
      <c r="S21" s="9">
        <v>196</v>
      </c>
      <c r="T21" s="9">
        <v>244</v>
      </c>
      <c r="Y21" s="10"/>
      <c r="AQ21" s="9">
        <v>1270</v>
      </c>
      <c r="AR21" s="9">
        <v>1330</v>
      </c>
      <c r="AS21" s="9">
        <v>1424</v>
      </c>
      <c r="AT21" s="9">
        <f t="shared" si="36"/>
        <v>546.28</v>
      </c>
      <c r="AU21" s="9">
        <f t="shared" si="37"/>
        <v>893</v>
      </c>
      <c r="AV21" s="9">
        <f t="shared" si="38"/>
        <v>864</v>
      </c>
      <c r="AW21" s="9">
        <f t="shared" si="39"/>
        <v>863</v>
      </c>
    </row>
    <row r="22" spans="1:110" s="9" customFormat="1">
      <c r="B22" s="10" t="s">
        <v>20</v>
      </c>
      <c r="C22" s="9">
        <v>2841</v>
      </c>
      <c r="D22" s="9">
        <v>3059</v>
      </c>
      <c r="E22" s="9">
        <v>3684</v>
      </c>
      <c r="F22" s="9">
        <v>4073</v>
      </c>
      <c r="G22" s="9">
        <v>3306</v>
      </c>
      <c r="H22" s="9">
        <v>3632</v>
      </c>
      <c r="I22" s="9">
        <v>6563</v>
      </c>
      <c r="J22" s="9">
        <v>8501</v>
      </c>
      <c r="K22" s="9">
        <v>7828</v>
      </c>
      <c r="L22" s="9">
        <v>11277</v>
      </c>
      <c r="M22" s="9">
        <v>7552</v>
      </c>
      <c r="N22" s="9">
        <v>5256</v>
      </c>
      <c r="O22" s="9">
        <v>5684</v>
      </c>
      <c r="P22" s="9">
        <v>5823</v>
      </c>
      <c r="Q22" s="9">
        <v>5735</v>
      </c>
      <c r="R22" s="9">
        <v>6120</v>
      </c>
      <c r="S22" s="9">
        <f>5774-324</f>
        <v>5450</v>
      </c>
      <c r="T22" s="9">
        <v>6077</v>
      </c>
      <c r="Y22" s="10"/>
      <c r="AQ22" s="9">
        <v>22383</v>
      </c>
      <c r="AR22" s="9">
        <v>12243</v>
      </c>
      <c r="AS22" s="9">
        <v>12303</v>
      </c>
      <c r="AT22" s="9">
        <f t="shared" si="36"/>
        <v>13657</v>
      </c>
      <c r="AU22" s="9">
        <f t="shared" si="37"/>
        <v>22002</v>
      </c>
      <c r="AV22" s="9">
        <f t="shared" si="38"/>
        <v>31913</v>
      </c>
      <c r="AW22" s="9">
        <f t="shared" si="39"/>
        <v>23362</v>
      </c>
    </row>
    <row r="23" spans="1:110" s="9" customFormat="1">
      <c r="B23" s="10" t="s">
        <v>25</v>
      </c>
      <c r="C23" s="9">
        <f t="shared" ref="C23" si="43">C11-C22</f>
        <v>984</v>
      </c>
      <c r="D23" s="9">
        <f t="shared" ref="D23:F23" si="44">D11-D22</f>
        <v>1072</v>
      </c>
      <c r="E23" s="9">
        <f>E11-E22</f>
        <v>2492</v>
      </c>
      <c r="F23" s="9">
        <f t="shared" si="44"/>
        <v>729</v>
      </c>
      <c r="G23" s="9">
        <f t="shared" ref="G23" si="45">G11-G22</f>
        <v>783</v>
      </c>
      <c r="H23" s="9">
        <f t="shared" ref="H23" si="46">H11-H22</f>
        <v>844</v>
      </c>
      <c r="I23" s="9">
        <f t="shared" ref="I23" si="47">I11-I22</f>
        <v>-692</v>
      </c>
      <c r="J23" s="9">
        <f t="shared" ref="J23" si="48">J11-J22</f>
        <v>-1187</v>
      </c>
      <c r="K23" s="9">
        <f t="shared" ref="K23:S23" si="49">K11-K22</f>
        <v>-1377</v>
      </c>
      <c r="L23" s="9">
        <f t="shared" si="49"/>
        <v>-8301</v>
      </c>
      <c r="M23" s="9">
        <f t="shared" si="49"/>
        <v>-4269</v>
      </c>
      <c r="N23" s="9">
        <f t="shared" si="49"/>
        <v>-1705</v>
      </c>
      <c r="O23" s="9">
        <f t="shared" si="49"/>
        <v>-205</v>
      </c>
      <c r="P23" s="9">
        <f t="shared" si="49"/>
        <v>187</v>
      </c>
      <c r="Q23" s="9">
        <f t="shared" si="49"/>
        <v>1080</v>
      </c>
      <c r="R23" s="9">
        <f t="shared" si="49"/>
        <v>1890</v>
      </c>
      <c r="S23" s="9">
        <f t="shared" si="49"/>
        <v>3083</v>
      </c>
      <c r="T23" s="9">
        <f>T11-T22</f>
        <v>4658</v>
      </c>
      <c r="U23" s="16">
        <f>U11*0.3</f>
        <v>4251.0600000000004</v>
      </c>
      <c r="V23" s="16">
        <f t="shared" ref="V23:X23" si="50">V11*0.3</f>
        <v>5611.3991999999998</v>
      </c>
      <c r="W23" s="16">
        <f t="shared" si="50"/>
        <v>7407.0469439999997</v>
      </c>
      <c r="X23" s="16">
        <f t="shared" si="50"/>
        <v>9777.3019660800001</v>
      </c>
      <c r="AC23" s="9">
        <f t="shared" ref="AC23:AV23" si="51">AC11-AC22</f>
        <v>0</v>
      </c>
      <c r="AD23" s="9">
        <f t="shared" si="51"/>
        <v>0</v>
      </c>
      <c r="AE23" s="9">
        <f t="shared" si="51"/>
        <v>0</v>
      </c>
      <c r="AF23" s="9">
        <f t="shared" si="51"/>
        <v>0</v>
      </c>
      <c r="AG23" s="9">
        <f t="shared" si="51"/>
        <v>0</v>
      </c>
      <c r="AH23" s="9">
        <f t="shared" si="51"/>
        <v>0</v>
      </c>
      <c r="AI23" s="9">
        <f t="shared" si="51"/>
        <v>0</v>
      </c>
      <c r="AJ23" s="9">
        <f t="shared" si="51"/>
        <v>0</v>
      </c>
      <c r="AK23" s="9">
        <f t="shared" si="51"/>
        <v>0</v>
      </c>
      <c r="AL23" s="9">
        <f t="shared" si="51"/>
        <v>0</v>
      </c>
      <c r="AM23" s="9">
        <f t="shared" si="51"/>
        <v>0</v>
      </c>
      <c r="AN23" s="9">
        <f t="shared" si="51"/>
        <v>0</v>
      </c>
      <c r="AO23" s="9">
        <f t="shared" si="51"/>
        <v>0</v>
      </c>
      <c r="AP23" s="9">
        <f t="shared" si="51"/>
        <v>0</v>
      </c>
      <c r="AQ23" s="9">
        <f t="shared" si="51"/>
        <v>-9684</v>
      </c>
      <c r="AR23" s="9">
        <f t="shared" si="51"/>
        <v>-1845</v>
      </c>
      <c r="AS23" s="9">
        <f t="shared" si="51"/>
        <v>971</v>
      </c>
      <c r="AT23" s="9">
        <f t="shared" si="51"/>
        <v>5277</v>
      </c>
      <c r="AU23" s="9">
        <f t="shared" si="51"/>
        <v>-252</v>
      </c>
      <c r="AV23" s="9">
        <f t="shared" si="51"/>
        <v>-15652</v>
      </c>
      <c r="AW23" s="9">
        <f>AW11-AW22</f>
        <v>2952</v>
      </c>
    </row>
    <row r="24" spans="1:110" s="9" customFormat="1">
      <c r="B24" s="10" t="s">
        <v>26</v>
      </c>
      <c r="C24" s="9">
        <f t="shared" ref="C24" si="52">C23-C25</f>
        <v>276</v>
      </c>
      <c r="D24" s="9">
        <f t="shared" ref="D24:F24" si="53">D23-D25</f>
        <v>224</v>
      </c>
      <c r="E24" s="9">
        <f t="shared" ref="E24" si="54">E23-E25</f>
        <v>623</v>
      </c>
      <c r="F24" s="9">
        <f t="shared" si="53"/>
        <v>23</v>
      </c>
      <c r="G24" s="9">
        <f t="shared" ref="G24" si="55">G23-G25</f>
        <v>152</v>
      </c>
      <c r="H24" s="9">
        <f t="shared" ref="H24" si="56">H23-H25</f>
        <v>209</v>
      </c>
      <c r="I24" s="9">
        <f t="shared" ref="I24" si="57">I23-I25</f>
        <v>60</v>
      </c>
      <c r="J24" s="9">
        <f t="shared" ref="J24" si="58">J23-J25</f>
        <v>-151</v>
      </c>
      <c r="K24" s="9">
        <f t="shared" ref="K24:S24" si="59">K23-K25</f>
        <v>636</v>
      </c>
      <c r="L24" s="9">
        <f t="shared" si="59"/>
        <v>52</v>
      </c>
      <c r="M24" s="9">
        <f t="shared" si="59"/>
        <v>-694</v>
      </c>
      <c r="N24" s="9">
        <f t="shared" si="59"/>
        <v>-815</v>
      </c>
      <c r="O24" s="9">
        <f t="shared" si="59"/>
        <v>-59</v>
      </c>
      <c r="P24" s="9">
        <f t="shared" si="59"/>
        <v>44</v>
      </c>
      <c r="Q24" s="9">
        <f t="shared" si="59"/>
        <v>252</v>
      </c>
      <c r="R24" s="9">
        <f t="shared" si="59"/>
        <v>393</v>
      </c>
      <c r="S24" s="9">
        <f t="shared" si="59"/>
        <v>-1593</v>
      </c>
      <c r="T24" s="9">
        <f>T23-T25</f>
        <v>903</v>
      </c>
      <c r="U24" s="9">
        <f>U23*0.19</f>
        <v>807.70140000000004</v>
      </c>
      <c r="V24" s="9">
        <f t="shared" ref="V24:X24" si="60">V23*0.19</f>
        <v>1066.1658479999999</v>
      </c>
      <c r="W24" s="9">
        <f t="shared" si="60"/>
        <v>1407.3389193599999</v>
      </c>
      <c r="X24" s="9">
        <f t="shared" si="60"/>
        <v>1857.6873735552001</v>
      </c>
      <c r="AC24" s="9">
        <f t="shared" ref="AC24:AV24" si="61">AC23-AC25</f>
        <v>0</v>
      </c>
      <c r="AD24" s="9">
        <f t="shared" si="61"/>
        <v>0</v>
      </c>
      <c r="AE24" s="9">
        <f t="shared" si="61"/>
        <v>0</v>
      </c>
      <c r="AF24" s="9">
        <f t="shared" si="61"/>
        <v>0</v>
      </c>
      <c r="AG24" s="9">
        <f t="shared" si="61"/>
        <v>0</v>
      </c>
      <c r="AH24" s="9">
        <f t="shared" si="61"/>
        <v>0</v>
      </c>
      <c r="AI24" s="9">
        <f t="shared" si="61"/>
        <v>0</v>
      </c>
      <c r="AJ24" s="9">
        <f t="shared" si="61"/>
        <v>0</v>
      </c>
      <c r="AK24" s="9">
        <f t="shared" si="61"/>
        <v>0</v>
      </c>
      <c r="AL24" s="9">
        <f t="shared" si="61"/>
        <v>0</v>
      </c>
      <c r="AM24" s="9">
        <f t="shared" si="61"/>
        <v>0</v>
      </c>
      <c r="AN24" s="9">
        <f t="shared" si="61"/>
        <v>0</v>
      </c>
      <c r="AO24" s="9">
        <f t="shared" si="61"/>
        <v>0</v>
      </c>
      <c r="AP24" s="9">
        <f t="shared" si="61"/>
        <v>0</v>
      </c>
      <c r="AQ24" s="9">
        <f t="shared" si="61"/>
        <v>-1855</v>
      </c>
      <c r="AR24" s="9">
        <f t="shared" si="61"/>
        <v>-1271</v>
      </c>
      <c r="AS24" s="9">
        <f t="shared" si="61"/>
        <v>-340</v>
      </c>
      <c r="AT24" s="9">
        <f t="shared" si="61"/>
        <v>1146</v>
      </c>
      <c r="AU24" s="9">
        <f t="shared" si="61"/>
        <v>270</v>
      </c>
      <c r="AV24" s="9">
        <f t="shared" si="61"/>
        <v>-821</v>
      </c>
      <c r="AW24" s="9">
        <f>AW23-AW25</f>
        <v>630</v>
      </c>
    </row>
    <row r="25" spans="1:110" s="9" customFormat="1">
      <c r="B25" s="10" t="s">
        <v>27</v>
      </c>
      <c r="C25" s="9">
        <v>708</v>
      </c>
      <c r="D25" s="9">
        <v>848</v>
      </c>
      <c r="E25" s="9">
        <v>1869</v>
      </c>
      <c r="F25" s="9">
        <v>706</v>
      </c>
      <c r="G25" s="9">
        <v>631</v>
      </c>
      <c r="H25" s="9">
        <v>635</v>
      </c>
      <c r="I25" s="9">
        <v>-752</v>
      </c>
      <c r="J25" s="9">
        <v>-1036</v>
      </c>
      <c r="K25" s="9">
        <v>-2013</v>
      </c>
      <c r="L25" s="9">
        <v>-8353</v>
      </c>
      <c r="M25" s="9">
        <v>-3575</v>
      </c>
      <c r="N25" s="9">
        <v>-890</v>
      </c>
      <c r="O25" s="9">
        <v>-146</v>
      </c>
      <c r="P25" s="9">
        <v>143</v>
      </c>
      <c r="Q25" s="9">
        <v>828</v>
      </c>
      <c r="R25" s="9">
        <v>1497</v>
      </c>
      <c r="S25" s="9">
        <v>4676</v>
      </c>
      <c r="T25" s="9">
        <v>3755</v>
      </c>
      <c r="U25" s="9">
        <f>U23-U24</f>
        <v>3443.3586000000005</v>
      </c>
      <c r="V25" s="9">
        <f t="shared" ref="V25:X25" si="62">V23-V24</f>
        <v>4545.2333520000002</v>
      </c>
      <c r="W25" s="9">
        <f t="shared" si="62"/>
        <v>5999.7080246400001</v>
      </c>
      <c r="X25" s="9">
        <f t="shared" si="62"/>
        <v>7919.6145925248002</v>
      </c>
      <c r="Y25" s="10"/>
      <c r="AQ25" s="9">
        <v>-7829</v>
      </c>
      <c r="AR25" s="9">
        <v>-574</v>
      </c>
      <c r="AS25" s="9">
        <v>1311</v>
      </c>
      <c r="AT25" s="9">
        <f t="shared" ref="AT25:AT27" si="63">SUM(C25:F25)</f>
        <v>4131</v>
      </c>
      <c r="AU25" s="9">
        <f t="shared" ref="AU25:AU27" si="64">SUM(G25:J25)</f>
        <v>-522</v>
      </c>
      <c r="AV25" s="9">
        <f t="shared" ref="AV25:AV27" si="65">SUM(K25:N25)</f>
        <v>-14831</v>
      </c>
      <c r="AW25" s="9">
        <f t="shared" ref="AW25:AW27" si="66">SUM(O25:R25)</f>
        <v>2322</v>
      </c>
      <c r="AX25" s="9">
        <f>AW25*(1+$BA$29)</f>
        <v>2507.7600000000002</v>
      </c>
      <c r="AY25" s="9">
        <f t="shared" ref="AY25:DF25" si="67">AX25*(1+$BA$29)</f>
        <v>2708.3808000000004</v>
      </c>
      <c r="AZ25" s="9">
        <f t="shared" si="67"/>
        <v>2925.0512640000006</v>
      </c>
      <c r="BA25" s="9">
        <f t="shared" si="67"/>
        <v>3159.0553651200007</v>
      </c>
      <c r="BB25" s="9">
        <f t="shared" si="67"/>
        <v>3411.7797943296009</v>
      </c>
      <c r="BC25" s="9">
        <f t="shared" si="67"/>
        <v>3684.722177875969</v>
      </c>
      <c r="BD25" s="9">
        <f t="shared" si="67"/>
        <v>3979.4999521060467</v>
      </c>
      <c r="BE25" s="9">
        <f t="shared" si="67"/>
        <v>4297.8599482745303</v>
      </c>
      <c r="BF25" s="9">
        <f t="shared" si="67"/>
        <v>4641.6887441364934</v>
      </c>
      <c r="BG25" s="9">
        <f t="shared" si="67"/>
        <v>5013.0238436674135</v>
      </c>
      <c r="BH25" s="9">
        <f t="shared" si="67"/>
        <v>5414.0657511608069</v>
      </c>
      <c r="BI25" s="9">
        <f t="shared" si="67"/>
        <v>5847.1910112536716</v>
      </c>
      <c r="BJ25" s="9">
        <f t="shared" si="67"/>
        <v>6314.9662921539657</v>
      </c>
      <c r="BK25" s="9">
        <f t="shared" si="67"/>
        <v>6820.1635955262836</v>
      </c>
      <c r="BL25" s="9">
        <f t="shared" si="67"/>
        <v>7365.7766831683866</v>
      </c>
      <c r="BM25" s="9">
        <f t="shared" si="67"/>
        <v>7955.0388178218582</v>
      </c>
      <c r="BN25" s="9">
        <f t="shared" si="67"/>
        <v>8591.4419232476066</v>
      </c>
      <c r="BO25" s="9">
        <f t="shared" si="67"/>
        <v>9278.7572771074156</v>
      </c>
      <c r="BP25" s="9">
        <f t="shared" si="67"/>
        <v>10021.05785927601</v>
      </c>
      <c r="BQ25" s="9">
        <f t="shared" si="67"/>
        <v>10822.742488018092</v>
      </c>
      <c r="BR25" s="9">
        <f t="shared" si="67"/>
        <v>11688.561887059539</v>
      </c>
      <c r="BS25" s="9">
        <f t="shared" si="67"/>
        <v>12623.646838024302</v>
      </c>
      <c r="BT25" s="9">
        <f t="shared" si="67"/>
        <v>13633.538585066248</v>
      </c>
      <c r="BU25" s="9">
        <f t="shared" si="67"/>
        <v>14724.221671871548</v>
      </c>
      <c r="BV25" s="9">
        <f t="shared" si="67"/>
        <v>15902.159405621273</v>
      </c>
      <c r="BW25" s="9">
        <f t="shared" si="67"/>
        <v>17174.332158070974</v>
      </c>
      <c r="BX25" s="9">
        <f t="shared" si="67"/>
        <v>18548.278730716655</v>
      </c>
      <c r="BY25" s="9">
        <f t="shared" si="67"/>
        <v>20032.141029173988</v>
      </c>
      <c r="BZ25" s="9">
        <f t="shared" si="67"/>
        <v>21634.712311507908</v>
      </c>
      <c r="CA25" s="9">
        <f t="shared" si="67"/>
        <v>23365.489296428543</v>
      </c>
      <c r="CB25" s="9">
        <f t="shared" si="67"/>
        <v>25234.728440142826</v>
      </c>
      <c r="CC25" s="9">
        <f t="shared" si="67"/>
        <v>27253.506715354255</v>
      </c>
      <c r="CD25" s="9">
        <f t="shared" si="67"/>
        <v>29433.787252582599</v>
      </c>
      <c r="CE25" s="9">
        <f t="shared" si="67"/>
        <v>31788.490232789209</v>
      </c>
      <c r="CF25" s="9">
        <f t="shared" si="67"/>
        <v>34331.569451412346</v>
      </c>
      <c r="CG25" s="9">
        <f t="shared" si="67"/>
        <v>37078.095007525335</v>
      </c>
      <c r="CH25" s="9">
        <f t="shared" si="67"/>
        <v>40044.342608127365</v>
      </c>
      <c r="CI25" s="9">
        <f t="shared" si="67"/>
        <v>43247.890016777557</v>
      </c>
      <c r="CJ25" s="9">
        <f t="shared" si="67"/>
        <v>46707.721218119768</v>
      </c>
      <c r="CK25" s="9">
        <f t="shared" si="67"/>
        <v>50444.338915569351</v>
      </c>
      <c r="CL25" s="9">
        <f t="shared" si="67"/>
        <v>54479.886028814901</v>
      </c>
      <c r="CM25" s="9">
        <f t="shared" si="67"/>
        <v>58838.276911120098</v>
      </c>
      <c r="CN25" s="9">
        <f t="shared" si="67"/>
        <v>63545.339064009713</v>
      </c>
      <c r="CO25" s="9">
        <f t="shared" si="67"/>
        <v>68628.9661891305</v>
      </c>
      <c r="CP25" s="9">
        <f t="shared" si="67"/>
        <v>74119.283484260945</v>
      </c>
      <c r="CQ25" s="9">
        <f t="shared" si="67"/>
        <v>80048.826163001824</v>
      </c>
      <c r="CR25" s="9">
        <f t="shared" si="67"/>
        <v>86452.732256041971</v>
      </c>
      <c r="CS25" s="9">
        <f t="shared" si="67"/>
        <v>93368.950836525328</v>
      </c>
      <c r="CT25" s="9">
        <f t="shared" si="67"/>
        <v>100838.46690344736</v>
      </c>
      <c r="CU25" s="9">
        <f t="shared" si="67"/>
        <v>108905.54425572316</v>
      </c>
      <c r="CV25" s="9">
        <f t="shared" si="67"/>
        <v>117617.98779618101</v>
      </c>
      <c r="CW25" s="9">
        <f t="shared" si="67"/>
        <v>127027.4268198755</v>
      </c>
      <c r="CX25" s="9">
        <f t="shared" si="67"/>
        <v>137189.62096546555</v>
      </c>
      <c r="CY25" s="9">
        <f t="shared" si="67"/>
        <v>148164.79064270281</v>
      </c>
      <c r="CZ25" s="9">
        <f t="shared" si="67"/>
        <v>160017.97389411903</v>
      </c>
      <c r="DA25" s="9">
        <f t="shared" si="67"/>
        <v>172819.41180564856</v>
      </c>
      <c r="DB25" s="9">
        <f t="shared" si="67"/>
        <v>186644.96475010045</v>
      </c>
      <c r="DC25" s="9">
        <f t="shared" si="67"/>
        <v>201576.5619301085</v>
      </c>
      <c r="DD25" s="9">
        <f t="shared" si="67"/>
        <v>217702.6868845172</v>
      </c>
      <c r="DE25" s="9">
        <f t="shared" si="67"/>
        <v>235118.90183527858</v>
      </c>
      <c r="DF25" s="9">
        <f t="shared" si="67"/>
        <v>253928.41398210087</v>
      </c>
    </row>
    <row r="26" spans="1:110" s="11" customFormat="1">
      <c r="B26" s="17" t="s">
        <v>28</v>
      </c>
      <c r="C26" s="11">
        <v>0.92</v>
      </c>
      <c r="D26" s="11">
        <v>1.1000000000000001</v>
      </c>
      <c r="E26" s="11">
        <v>2.44</v>
      </c>
      <c r="F26" s="11">
        <v>0.94</v>
      </c>
      <c r="G26" s="11">
        <v>0.84</v>
      </c>
      <c r="H26" s="11">
        <v>0.84</v>
      </c>
      <c r="I26" s="11">
        <v>-1.06</v>
      </c>
      <c r="J26" s="11">
        <v>-1.82</v>
      </c>
      <c r="K26" s="11">
        <v>-2.4900000000000002</v>
      </c>
      <c r="L26" s="11">
        <v>-7.58</v>
      </c>
      <c r="M26" s="11">
        <v>-4.16</v>
      </c>
      <c r="N26" s="11">
        <v>-1.42</v>
      </c>
      <c r="O26" s="11">
        <v>-0.36</v>
      </c>
      <c r="P26" s="11">
        <v>-0.11</v>
      </c>
      <c r="Q26" s="11">
        <v>0.67</v>
      </c>
      <c r="R26" s="11">
        <v>1.86</v>
      </c>
      <c r="S26" s="11">
        <v>4.6500000000000004</v>
      </c>
      <c r="T26" s="11">
        <v>3.76</v>
      </c>
      <c r="U26" s="11">
        <f>U25/U27</f>
        <v>3.7359183673469394</v>
      </c>
      <c r="V26" s="11">
        <f t="shared" ref="V26:X26" si="68">V25/V27</f>
        <v>4.9812244897959186</v>
      </c>
      <c r="W26" s="11">
        <f t="shared" si="68"/>
        <v>6.6416326530612251</v>
      </c>
      <c r="X26" s="11">
        <f t="shared" si="68"/>
        <v>8.855510204081634</v>
      </c>
      <c r="Y26" s="17"/>
      <c r="AQ26" s="11">
        <v>-10.64</v>
      </c>
      <c r="AR26" s="11">
        <v>-1.31</v>
      </c>
      <c r="AS26" s="11">
        <v>1.71</v>
      </c>
      <c r="AT26" s="9">
        <f t="shared" si="63"/>
        <v>5.4</v>
      </c>
      <c r="AU26" s="9">
        <f t="shared" si="64"/>
        <v>-1.2000000000000002</v>
      </c>
      <c r="AV26" s="9">
        <f t="shared" si="65"/>
        <v>-15.65</v>
      </c>
      <c r="AW26" s="11">
        <f t="shared" si="66"/>
        <v>2.06</v>
      </c>
    </row>
    <row r="27" spans="1:110" s="9" customFormat="1">
      <c r="B27" s="10" t="s">
        <v>0</v>
      </c>
      <c r="C27" s="9">
        <v>765</v>
      </c>
      <c r="D27" s="9">
        <v>764</v>
      </c>
      <c r="E27" s="9">
        <v>755</v>
      </c>
      <c r="F27" s="9">
        <v>749</v>
      </c>
      <c r="G27" s="9">
        <v>747</v>
      </c>
      <c r="H27" s="9">
        <v>748</v>
      </c>
      <c r="I27" s="9">
        <v>893</v>
      </c>
      <c r="J27" s="9">
        <v>895</v>
      </c>
      <c r="K27" s="9">
        <v>900</v>
      </c>
      <c r="L27" s="9">
        <v>930</v>
      </c>
      <c r="M27" s="9">
        <v>931</v>
      </c>
      <c r="N27" s="9">
        <v>931</v>
      </c>
      <c r="O27" s="9">
        <v>933</v>
      </c>
      <c r="P27" s="9">
        <v>933</v>
      </c>
      <c r="Q27" s="9">
        <v>933</v>
      </c>
      <c r="R27" s="9">
        <v>934</v>
      </c>
      <c r="S27" s="9">
        <v>937</v>
      </c>
      <c r="T27" s="9">
        <v>931</v>
      </c>
      <c r="U27" s="9">
        <f>T27*0.99</f>
        <v>921.68999999999994</v>
      </c>
      <c r="V27" s="9">
        <f t="shared" ref="V27:X27" si="69">U27*0.99</f>
        <v>912.47309999999993</v>
      </c>
      <c r="W27" s="9">
        <f t="shared" si="69"/>
        <v>903.34836899999993</v>
      </c>
      <c r="X27" s="9">
        <f t="shared" si="69"/>
        <v>894.31488530999991</v>
      </c>
      <c r="AQ27" s="9">
        <f t="shared" ref="AQ27:AT27" si="70">AQ25/AQ26</f>
        <v>735.80827067669168</v>
      </c>
      <c r="AR27" s="9">
        <f t="shared" si="70"/>
        <v>438.16793893129767</v>
      </c>
      <c r="AS27" s="9">
        <f t="shared" si="70"/>
        <v>766.66666666666663</v>
      </c>
      <c r="AT27" s="9">
        <f t="shared" si="70"/>
        <v>765</v>
      </c>
      <c r="AU27" s="9">
        <f>AU25/AU26</f>
        <v>434.99999999999994</v>
      </c>
      <c r="AV27" s="9">
        <f>N27</f>
        <v>931</v>
      </c>
      <c r="AW27" s="9">
        <f>R27</f>
        <v>934</v>
      </c>
    </row>
    <row r="28" spans="1:110">
      <c r="B28" s="5"/>
    </row>
    <row r="29" spans="1:110">
      <c r="B29" s="13" t="s">
        <v>68</v>
      </c>
      <c r="G29" s="7">
        <f t="shared" ref="G29:T29" si="71">G27/F27-1</f>
        <v>-2.6702269692924219E-3</v>
      </c>
      <c r="H29" s="7">
        <f t="shared" si="71"/>
        <v>1.3386880856760541E-3</v>
      </c>
      <c r="I29" s="7">
        <f t="shared" si="71"/>
        <v>0.19385026737967914</v>
      </c>
      <c r="J29" s="7">
        <f t="shared" si="71"/>
        <v>2.2396416573349232E-3</v>
      </c>
      <c r="K29" s="7">
        <f t="shared" si="71"/>
        <v>5.5865921787709993E-3</v>
      </c>
      <c r="L29" s="7">
        <f t="shared" si="71"/>
        <v>3.3333333333333437E-2</v>
      </c>
      <c r="M29" s="7">
        <f t="shared" si="71"/>
        <v>1.0752688172042113E-3</v>
      </c>
      <c r="N29" s="7">
        <f t="shared" si="71"/>
        <v>0</v>
      </c>
      <c r="O29" s="7">
        <f t="shared" si="71"/>
        <v>2.1482277121374072E-3</v>
      </c>
      <c r="P29" s="7">
        <f t="shared" si="71"/>
        <v>0</v>
      </c>
      <c r="Q29" s="7">
        <f t="shared" si="71"/>
        <v>0</v>
      </c>
      <c r="R29" s="7">
        <f t="shared" si="71"/>
        <v>1.071811361200492E-3</v>
      </c>
      <c r="S29" s="7">
        <f t="shared" si="71"/>
        <v>3.2119914346895317E-3</v>
      </c>
      <c r="T29" s="7">
        <f>T27/S27-1</f>
        <v>-6.4034151547491813E-3</v>
      </c>
      <c r="AZ29" s="18" t="s">
        <v>74</v>
      </c>
      <c r="BA29" s="19">
        <v>0.08</v>
      </c>
    </row>
    <row r="30" spans="1:110">
      <c r="B30" s="13" t="s">
        <v>63</v>
      </c>
      <c r="G30" s="7">
        <f t="shared" ref="G30:S30" si="72">G3/C3-1</f>
        <v>-4.20091324200913E-2</v>
      </c>
      <c r="H30" s="7">
        <f t="shared" si="72"/>
        <v>0.11290322580645151</v>
      </c>
      <c r="I30" s="7">
        <f t="shared" si="72"/>
        <v>0.30484442693974012</v>
      </c>
      <c r="J30" s="7">
        <f t="shared" si="72"/>
        <v>0.95052539404553404</v>
      </c>
      <c r="K30" s="7">
        <f t="shared" si="72"/>
        <v>0.59723546234509062</v>
      </c>
      <c r="L30" s="7">
        <f t="shared" si="72"/>
        <v>-0.34742351046698872</v>
      </c>
      <c r="M30" s="7">
        <f t="shared" si="72"/>
        <v>-0.30003018412315119</v>
      </c>
      <c r="N30" s="7">
        <f t="shared" si="72"/>
        <v>-0.41705948372615043</v>
      </c>
      <c r="O30" s="7">
        <f t="shared" si="72"/>
        <v>-0.10086541330945986</v>
      </c>
      <c r="P30" s="7">
        <f t="shared" si="72"/>
        <v>1.2893275755706353</v>
      </c>
      <c r="Q30" s="7">
        <f t="shared" si="72"/>
        <v>0.64812419146183697</v>
      </c>
      <c r="R30" s="7">
        <f t="shared" si="72"/>
        <v>2.2325760492876396</v>
      </c>
      <c r="S30" s="7">
        <f t="shared" si="72"/>
        <v>0.5927646863591105</v>
      </c>
      <c r="T30" s="7">
        <f>T3/P3-1</f>
        <v>0.62759364052815947</v>
      </c>
      <c r="AZ30" s="20" t="s">
        <v>75</v>
      </c>
      <c r="BA30" s="21">
        <v>0.1</v>
      </c>
    </row>
    <row r="31" spans="1:110">
      <c r="B31" s="13" t="s">
        <v>62</v>
      </c>
      <c r="G31" s="7">
        <f t="shared" ref="G31:S31" si="73">G10/C10-1</f>
        <v>-7.0113697888467774E-2</v>
      </c>
      <c r="H31" s="7">
        <f t="shared" si="73"/>
        <v>-2.6102845210127956E-2</v>
      </c>
      <c r="I31" s="7">
        <f t="shared" si="73"/>
        <v>0.22879962414846133</v>
      </c>
      <c r="J31" s="7">
        <f t="shared" si="73"/>
        <v>0.7985706723133934</v>
      </c>
      <c r="K31" s="7">
        <f t="shared" si="73"/>
        <v>0.46928675400291131</v>
      </c>
      <c r="L31" s="7">
        <f t="shared" si="73"/>
        <v>-0.1133744304476012</v>
      </c>
      <c r="M31" s="7">
        <f t="shared" si="73"/>
        <v>-0.23188682852227105</v>
      </c>
      <c r="N31" s="7">
        <f t="shared" si="73"/>
        <v>-0.2999264164827079</v>
      </c>
      <c r="O31" s="7">
        <f t="shared" si="73"/>
        <v>2.7144838517931369E-2</v>
      </c>
      <c r="P31" s="7">
        <f t="shared" si="73"/>
        <v>0.84461910519951622</v>
      </c>
      <c r="Q31" s="7">
        <f t="shared" si="73"/>
        <v>0.71229467396714785</v>
      </c>
      <c r="R31" s="7">
        <f t="shared" si="73"/>
        <v>0.99516501997056972</v>
      </c>
      <c r="S31" s="7">
        <f t="shared" si="73"/>
        <v>0.58429783950617287</v>
      </c>
      <c r="T31" s="7">
        <f>T10/P10-1</f>
        <v>0.69632907243526709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Z31" s="20" t="s">
        <v>76</v>
      </c>
      <c r="BA31" s="22">
        <f>NPV(BA30,AX25:DF25)</f>
        <v>84447.676947455664</v>
      </c>
    </row>
    <row r="32" spans="1:110">
      <c r="B32" s="13" t="s">
        <v>73</v>
      </c>
      <c r="G32" s="7">
        <f t="shared" ref="G32:T32" si="74">G11/C11-1</f>
        <v>6.9019607843137321E-2</v>
      </c>
      <c r="H32" s="7">
        <f t="shared" si="74"/>
        <v>8.3514887436455965E-2</v>
      </c>
      <c r="I32" s="7">
        <f t="shared" si="74"/>
        <v>-4.9384715025906689E-2</v>
      </c>
      <c r="J32" s="7">
        <f t="shared" si="74"/>
        <v>0.52311536859641805</v>
      </c>
      <c r="K32" s="7">
        <f t="shared" si="74"/>
        <v>0.57764734653949623</v>
      </c>
      <c r="L32" s="7">
        <f t="shared" si="74"/>
        <v>-0.33512064343163539</v>
      </c>
      <c r="M32" s="7">
        <f t="shared" si="74"/>
        <v>-0.44081076477601766</v>
      </c>
      <c r="N32" s="7">
        <f t="shared" si="74"/>
        <v>-0.51449275362318847</v>
      </c>
      <c r="O32" s="7">
        <f t="shared" si="74"/>
        <v>-0.15067431405983567</v>
      </c>
      <c r="P32" s="7">
        <f t="shared" si="74"/>
        <v>1.019489247311828</v>
      </c>
      <c r="Q32" s="7">
        <f t="shared" si="74"/>
        <v>1.0758452634785258</v>
      </c>
      <c r="R32" s="7">
        <f t="shared" si="74"/>
        <v>1.2557026189805689</v>
      </c>
      <c r="S32" s="7">
        <f t="shared" si="74"/>
        <v>0.55740098558131046</v>
      </c>
      <c r="T32" s="7">
        <f t="shared" si="74"/>
        <v>0.78618968386023291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Z32" s="20" t="s">
        <v>77</v>
      </c>
      <c r="BA32" s="22">
        <f>BA31/Main!N3</f>
        <v>90.658607487840101</v>
      </c>
    </row>
    <row r="33" spans="2:53">
      <c r="B33" s="5" t="s">
        <v>61</v>
      </c>
      <c r="C33" s="7">
        <f>C23/C11</f>
        <v>0.25725490196078432</v>
      </c>
      <c r="D33" s="7">
        <f>D23/D11</f>
        <v>0.25950133139675624</v>
      </c>
      <c r="E33" s="7">
        <f>E23/E11</f>
        <v>0.40349740932642486</v>
      </c>
      <c r="F33" s="7">
        <f>F23/F11</f>
        <v>0.15181174510620574</v>
      </c>
      <c r="G33" s="7">
        <f>G23/G11</f>
        <v>0.19148936170212766</v>
      </c>
      <c r="H33" s="7">
        <f>H23/H11</f>
        <v>0.18856121537086684</v>
      </c>
      <c r="I33" s="7">
        <f>I23/I11</f>
        <v>-0.11786748424459206</v>
      </c>
      <c r="J33" s="7">
        <f>J23/J11</f>
        <v>-0.16229149576155319</v>
      </c>
      <c r="K33" s="7">
        <f>K23/K11</f>
        <v>-0.2134552782514339</v>
      </c>
      <c r="L33" s="7">
        <f>L23/L11</f>
        <v>-2.7893145161290325</v>
      </c>
      <c r="M33" s="7">
        <f>M23/M11</f>
        <v>-1.300335059396893</v>
      </c>
      <c r="N33" s="7">
        <f>N23/N11</f>
        <v>-0.48014643762320475</v>
      </c>
      <c r="O33" s="7">
        <f>O23/O11</f>
        <v>-3.7415586785909838E-2</v>
      </c>
      <c r="P33" s="7">
        <f>P23/P11</f>
        <v>3.1114808652246258E-2</v>
      </c>
      <c r="Q33" s="7">
        <f>Q23/Q11</f>
        <v>0.15847395451210564</v>
      </c>
      <c r="R33" s="7">
        <f>R23/R11</f>
        <v>0.23595505617977527</v>
      </c>
      <c r="S33" s="7">
        <f>S23/S11</f>
        <v>0.3613031759053088</v>
      </c>
      <c r="T33" s="7">
        <f>T23/T11</f>
        <v>0.43390777829529575</v>
      </c>
      <c r="W33" s="7"/>
      <c r="X33" s="7"/>
      <c r="AZ33" s="23"/>
      <c r="BA33" s="24"/>
    </row>
    <row r="34" spans="2:53">
      <c r="B34" s="5" t="s">
        <v>56</v>
      </c>
      <c r="C34" s="7">
        <f>C24/C23</f>
        <v>0.28048780487804881</v>
      </c>
      <c r="D34" s="7">
        <f>D24/D23</f>
        <v>0.20895522388059701</v>
      </c>
      <c r="E34" s="7">
        <f>E24/E23</f>
        <v>0.25</v>
      </c>
      <c r="F34" s="7">
        <f>F24/F23</f>
        <v>3.1550068587105622E-2</v>
      </c>
      <c r="G34" s="7">
        <f>G24/G23</f>
        <v>0.19412515964240101</v>
      </c>
      <c r="H34" s="7">
        <f>H24/H23</f>
        <v>0.24763033175355451</v>
      </c>
      <c r="I34" s="7">
        <f>I24/I23</f>
        <v>-8.6705202312138727E-2</v>
      </c>
      <c r="J34" s="7">
        <f>J24/J23</f>
        <v>0.12721145745577084</v>
      </c>
      <c r="K34" s="7">
        <f>K24/K23</f>
        <v>-0.46187363834422657</v>
      </c>
      <c r="L34" s="7">
        <f>L24/L23</f>
        <v>-6.2643055053607996E-3</v>
      </c>
      <c r="M34" s="7">
        <f>M24/M23</f>
        <v>0.16256734598266573</v>
      </c>
      <c r="N34" s="7">
        <f>N24/N23</f>
        <v>0.47800586510263932</v>
      </c>
      <c r="O34" s="7">
        <f>O24/O23</f>
        <v>0.28780487804878047</v>
      </c>
      <c r="P34" s="7">
        <f>P24/P23</f>
        <v>0.23529411764705882</v>
      </c>
      <c r="Q34" s="7">
        <f>Q24/Q23</f>
        <v>0.23333333333333334</v>
      </c>
      <c r="R34" s="7">
        <f>R24/R23</f>
        <v>0.20793650793650795</v>
      </c>
      <c r="S34" s="7">
        <f>S24/S23</f>
        <v>-0.51670450859552386</v>
      </c>
      <c r="T34" s="7">
        <f>T24/T23</f>
        <v>0.19386002576212966</v>
      </c>
      <c r="AZ34" s="25" t="s">
        <v>78</v>
      </c>
      <c r="BA34" s="26">
        <f>BA32/Main!N2-1</f>
        <v>0.42746980771280274</v>
      </c>
    </row>
    <row r="36" spans="2:53">
      <c r="B36" s="5" t="s">
        <v>30</v>
      </c>
      <c r="C36" s="9">
        <f t="shared" ref="C36" si="75">C37-C50</f>
        <v>-8703</v>
      </c>
      <c r="D36" s="9">
        <f t="shared" ref="D36" si="76">D37-D50</f>
        <v>-8950</v>
      </c>
      <c r="E36" s="9">
        <f t="shared" ref="E36" si="77">E37-E50</f>
        <v>-7244</v>
      </c>
      <c r="F36" s="9">
        <f t="shared" ref="F36" si="78">F37-F50</f>
        <v>-7168</v>
      </c>
      <c r="G36" s="9">
        <f t="shared" ref="G36" si="79">G37-G50</f>
        <v>-8451</v>
      </c>
      <c r="H36" s="9">
        <f t="shared" ref="H36" si="80">H37-H50</f>
        <v>-8404</v>
      </c>
      <c r="I36" s="9">
        <f t="shared" ref="I36" si="81">I37-I50</f>
        <v>-42289</v>
      </c>
      <c r="J36" s="9">
        <f t="shared" ref="J36" si="82">J37-J50</f>
        <v>-35020</v>
      </c>
      <c r="K36" s="9">
        <f t="shared" ref="K36:S36" si="83">K37-K50</f>
        <v>-33795</v>
      </c>
      <c r="L36" s="9">
        <f>L37-L50</f>
        <v>-34899</v>
      </c>
      <c r="M36" s="9">
        <f t="shared" si="83"/>
        <v>-33952</v>
      </c>
      <c r="N36" s="9">
        <f t="shared" si="83"/>
        <v>-33567</v>
      </c>
      <c r="O36" s="9">
        <f t="shared" si="83"/>
        <v>-33013</v>
      </c>
      <c r="P36" s="9">
        <f t="shared" si="83"/>
        <v>-30603</v>
      </c>
      <c r="Q36" s="9">
        <f t="shared" si="83"/>
        <v>-28636</v>
      </c>
      <c r="R36" s="9">
        <f t="shared" si="83"/>
        <v>-26667</v>
      </c>
      <c r="S36" s="9">
        <f t="shared" si="83"/>
        <v>-23956</v>
      </c>
      <c r="T36" s="9">
        <f>T37-T50</f>
        <v>-20381</v>
      </c>
      <c r="U36" s="9">
        <f t="shared" ref="U36:X36" si="84">U37-U50</f>
        <v>-16937.6414</v>
      </c>
      <c r="V36" s="9">
        <f t="shared" si="84"/>
        <v>-12392.408047999999</v>
      </c>
      <c r="W36" s="9">
        <f t="shared" si="84"/>
        <v>-6392.7000233599992</v>
      </c>
      <c r="X36" s="9">
        <f t="shared" si="84"/>
        <v>1526.9145691648009</v>
      </c>
    </row>
    <row r="37" spans="2:53">
      <c r="B37" s="5" t="s">
        <v>3</v>
      </c>
      <c r="C37" s="9">
        <v>1606</v>
      </c>
      <c r="D37" s="9">
        <v>1362</v>
      </c>
      <c r="E37" s="9">
        <v>2954</v>
      </c>
      <c r="F37" s="9">
        <v>3033</v>
      </c>
      <c r="G37" s="9">
        <v>1752</v>
      </c>
      <c r="H37" s="9">
        <v>1751</v>
      </c>
      <c r="I37" s="9">
        <f>4840+454</f>
        <v>5294</v>
      </c>
      <c r="J37" s="9">
        <f>3032+485</f>
        <v>3517</v>
      </c>
      <c r="K37" s="9">
        <f>2021+242</f>
        <v>2263</v>
      </c>
      <c r="L37" s="10">
        <f>1011+124</f>
        <v>1135</v>
      </c>
      <c r="M37" s="9">
        <f>1896+51</f>
        <v>1947</v>
      </c>
      <c r="N37" s="9">
        <f>2008+170</f>
        <v>2178</v>
      </c>
      <c r="O37" s="9">
        <f>2270+183</f>
        <v>2453</v>
      </c>
      <c r="P37" s="9">
        <f>4569+180</f>
        <v>4749</v>
      </c>
      <c r="Q37" s="9">
        <f>2059+220</f>
        <v>2279</v>
      </c>
      <c r="R37" s="9">
        <v>2764</v>
      </c>
      <c r="S37" s="9">
        <v>1909</v>
      </c>
      <c r="T37" s="9">
        <v>1362</v>
      </c>
      <c r="U37" s="9">
        <f>T37+U25</f>
        <v>4805.3586000000005</v>
      </c>
      <c r="V37" s="9">
        <f t="shared" ref="V37:X37" si="85">U37+V25</f>
        <v>9350.5919520000007</v>
      </c>
      <c r="W37" s="9">
        <f t="shared" si="85"/>
        <v>15350.299976640001</v>
      </c>
      <c r="X37" s="9">
        <f t="shared" si="85"/>
        <v>23269.914569164801</v>
      </c>
    </row>
    <row r="38" spans="2:53">
      <c r="B38" s="5" t="s">
        <v>31</v>
      </c>
      <c r="C38" s="9">
        <v>5184</v>
      </c>
      <c r="D38" s="9">
        <v>5521</v>
      </c>
      <c r="E38" s="9">
        <v>6000</v>
      </c>
      <c r="F38" s="9">
        <v>4893</v>
      </c>
      <c r="G38" s="9">
        <v>5310</v>
      </c>
      <c r="H38" s="9">
        <v>5273</v>
      </c>
      <c r="I38" s="9">
        <v>5854</v>
      </c>
      <c r="J38" s="9">
        <v>6373</v>
      </c>
      <c r="K38" s="9">
        <v>2458</v>
      </c>
      <c r="L38" s="9">
        <v>2359</v>
      </c>
      <c r="M38" s="9">
        <v>2083</v>
      </c>
      <c r="N38" s="9">
        <v>2115</v>
      </c>
      <c r="O38" s="9">
        <v>3046</v>
      </c>
      <c r="P38" s="9">
        <v>3288</v>
      </c>
      <c r="Q38" s="9">
        <v>3477</v>
      </c>
      <c r="R38" s="9">
        <v>4208</v>
      </c>
      <c r="S38" s="9">
        <v>5434</v>
      </c>
      <c r="T38" s="9">
        <v>6350</v>
      </c>
    </row>
    <row r="39" spans="2:53">
      <c r="B39" s="5" t="s">
        <v>32</v>
      </c>
      <c r="C39" s="9">
        <v>1057</v>
      </c>
      <c r="D39" s="9">
        <v>1347</v>
      </c>
      <c r="E39" s="9">
        <v>1009</v>
      </c>
      <c r="F39" s="9">
        <v>1260</v>
      </c>
      <c r="G39" s="9">
        <v>1484</v>
      </c>
      <c r="H39" s="9">
        <v>1582</v>
      </c>
      <c r="I39" s="9">
        <v>1601</v>
      </c>
      <c r="J39" s="9">
        <v>1581</v>
      </c>
      <c r="K39" s="9">
        <v>1436</v>
      </c>
      <c r="L39" s="9">
        <v>1477</v>
      </c>
      <c r="M39" s="9">
        <v>1660</v>
      </c>
      <c r="N39" s="9">
        <v>1898</v>
      </c>
      <c r="O39" s="9">
        <v>2173</v>
      </c>
      <c r="P39" s="9">
        <v>1837</v>
      </c>
      <c r="Q39" s="9">
        <v>1773</v>
      </c>
      <c r="R39" s="9">
        <v>1846</v>
      </c>
      <c r="S39" s="9">
        <v>1406</v>
      </c>
      <c r="T39" s="9">
        <v>1564</v>
      </c>
    </row>
    <row r="40" spans="2:53">
      <c r="B40" s="5" t="s">
        <v>33</v>
      </c>
      <c r="C40" s="9">
        <v>335</v>
      </c>
      <c r="D40" s="9">
        <v>1664</v>
      </c>
      <c r="E40" s="9">
        <v>0</v>
      </c>
      <c r="F40" s="9">
        <v>0</v>
      </c>
      <c r="G40" s="9">
        <v>0</v>
      </c>
      <c r="H40" s="9">
        <v>0</v>
      </c>
      <c r="I40" s="9">
        <v>6445</v>
      </c>
      <c r="J40" s="9">
        <v>3870</v>
      </c>
      <c r="K40" s="9">
        <v>5732</v>
      </c>
      <c r="L40" s="9">
        <v>1412</v>
      </c>
      <c r="M40" s="9">
        <v>3559</v>
      </c>
      <c r="N40" s="9">
        <v>1433</v>
      </c>
      <c r="O40" s="9">
        <v>1249</v>
      </c>
      <c r="P40" s="9">
        <v>1774</v>
      </c>
      <c r="Q40" s="9">
        <v>1098</v>
      </c>
      <c r="R40" s="9">
        <v>72</v>
      </c>
      <c r="S40" s="9">
        <v>0</v>
      </c>
      <c r="T40" s="9">
        <v>0</v>
      </c>
    </row>
    <row r="41" spans="2:53">
      <c r="B41" s="5" t="s">
        <v>34</v>
      </c>
      <c r="C41" s="9">
        <v>8894</v>
      </c>
      <c r="D41" s="9">
        <v>10990</v>
      </c>
      <c r="E41" s="9">
        <v>11112</v>
      </c>
      <c r="F41" s="9">
        <v>9932</v>
      </c>
      <c r="G41" s="9">
        <v>9270</v>
      </c>
      <c r="H41" s="9">
        <v>9425</v>
      </c>
      <c r="I41" s="9">
        <v>20944</v>
      </c>
      <c r="J41" s="9">
        <v>16773</v>
      </c>
      <c r="K41" s="9">
        <v>14109</v>
      </c>
      <c r="L41" s="9">
        <v>8437</v>
      </c>
      <c r="M41" s="9">
        <v>10694</v>
      </c>
      <c r="N41" s="9">
        <v>8819</v>
      </c>
      <c r="O41" s="9">
        <v>10074</v>
      </c>
      <c r="P41" s="9">
        <v>12844</v>
      </c>
      <c r="Q41" s="9">
        <v>9899</v>
      </c>
      <c r="R41" s="9">
        <v>10211</v>
      </c>
      <c r="S41" s="9">
        <v>10058</v>
      </c>
      <c r="T41" s="9">
        <v>10408</v>
      </c>
    </row>
    <row r="42" spans="2:53">
      <c r="B42" s="5" t="s">
        <v>35</v>
      </c>
      <c r="C42" s="9">
        <v>1509</v>
      </c>
      <c r="D42" s="9">
        <v>1551</v>
      </c>
      <c r="E42" s="9">
        <v>1568</v>
      </c>
      <c r="F42" s="9">
        <v>1670</v>
      </c>
      <c r="G42" s="9">
        <v>1725</v>
      </c>
      <c r="H42" s="9">
        <v>1777</v>
      </c>
      <c r="I42" s="9">
        <v>3684</v>
      </c>
      <c r="J42" s="9">
        <v>6389</v>
      </c>
      <c r="K42" s="9">
        <v>6050</v>
      </c>
      <c r="L42" s="9">
        <v>6128</v>
      </c>
      <c r="M42" s="9">
        <v>3125</v>
      </c>
      <c r="N42" s="9">
        <v>3250</v>
      </c>
      <c r="O42" s="9">
        <v>3170</v>
      </c>
      <c r="P42" s="9">
        <v>3249</v>
      </c>
      <c r="Q42" s="9">
        <v>3266</v>
      </c>
      <c r="R42" s="9">
        <v>2938</v>
      </c>
      <c r="S42" s="9">
        <v>3015</v>
      </c>
      <c r="T42" s="9">
        <v>3328</v>
      </c>
    </row>
    <row r="43" spans="2:53">
      <c r="B43" s="5" t="s">
        <v>37</v>
      </c>
      <c r="C43" s="9">
        <f t="shared" ref="C43:G43" si="86">0.84*C47</f>
        <v>59860.079999999994</v>
      </c>
      <c r="D43" s="9">
        <f t="shared" si="86"/>
        <v>59819.759999999995</v>
      </c>
      <c r="E43" s="9">
        <f t="shared" si="86"/>
        <v>61303.199999999997</v>
      </c>
      <c r="F43" s="9">
        <f t="shared" si="86"/>
        <v>62496</v>
      </c>
      <c r="G43" s="9">
        <f t="shared" si="86"/>
        <v>63682.92</v>
      </c>
      <c r="H43" s="9">
        <f>0.84*H47</f>
        <v>64683.360000000001</v>
      </c>
      <c r="I43" s="9">
        <v>110668</v>
      </c>
      <c r="J43" s="9">
        <v>107801</v>
      </c>
      <c r="K43" s="9">
        <v>107014</v>
      </c>
      <c r="L43" s="9">
        <v>109026</v>
      </c>
      <c r="M43" s="9">
        <v>103954</v>
      </c>
      <c r="N43" s="9">
        <v>102454</v>
      </c>
      <c r="O43" s="9">
        <v>102718</v>
      </c>
      <c r="P43" s="9">
        <v>99926</v>
      </c>
      <c r="Q43" s="9">
        <v>100483</v>
      </c>
      <c r="R43" s="9">
        <v>101251</v>
      </c>
      <c r="S43" s="9">
        <v>101511</v>
      </c>
      <c r="T43" s="9">
        <v>102122</v>
      </c>
    </row>
    <row r="44" spans="2:53">
      <c r="B44" s="5" t="s">
        <v>13</v>
      </c>
      <c r="C44" s="9">
        <f t="shared" ref="C44:G44" si="87">0.06*C47</f>
        <v>4275.72</v>
      </c>
      <c r="D44" s="9">
        <f t="shared" si="87"/>
        <v>4272.84</v>
      </c>
      <c r="E44" s="9">
        <f t="shared" si="87"/>
        <v>4378.8</v>
      </c>
      <c r="F44" s="9">
        <f t="shared" si="87"/>
        <v>4464</v>
      </c>
      <c r="G44" s="9">
        <f t="shared" si="87"/>
        <v>4548.78</v>
      </c>
      <c r="H44" s="9">
        <f>0.06*H47</f>
        <v>4620.24</v>
      </c>
      <c r="I44" s="9">
        <v>7092</v>
      </c>
      <c r="J44" s="9">
        <v>7172</v>
      </c>
      <c r="K44" s="9">
        <v>7187</v>
      </c>
      <c r="L44" s="9">
        <v>7204</v>
      </c>
      <c r="M44" s="9">
        <v>7254</v>
      </c>
      <c r="N44" s="9">
        <v>7356</v>
      </c>
      <c r="O44" s="9">
        <v>7387</v>
      </c>
      <c r="P44" s="9">
        <v>7433</v>
      </c>
      <c r="Q44" s="9">
        <v>7468</v>
      </c>
      <c r="R44" s="9">
        <v>7571</v>
      </c>
      <c r="S44" s="9">
        <v>7588</v>
      </c>
      <c r="T44" s="9">
        <v>7629</v>
      </c>
    </row>
    <row r="45" spans="2:53">
      <c r="B45" s="5" t="s">
        <v>14</v>
      </c>
      <c r="C45" s="9">
        <f t="shared" ref="C45:G45" si="88">0.07*C47</f>
        <v>4988.34</v>
      </c>
      <c r="D45" s="9">
        <f t="shared" si="88"/>
        <v>4984.9800000000005</v>
      </c>
      <c r="E45" s="9">
        <f t="shared" si="88"/>
        <v>5108.6000000000004</v>
      </c>
      <c r="F45" s="9">
        <f t="shared" si="88"/>
        <v>5208.0000000000009</v>
      </c>
      <c r="G45" s="9">
        <f t="shared" si="88"/>
        <v>5306.9100000000008</v>
      </c>
      <c r="H45" s="9">
        <f>0.07*H47</f>
        <v>5390.2800000000007</v>
      </c>
      <c r="I45" s="9">
        <v>8133</v>
      </c>
      <c r="J45" s="9">
        <v>8176</v>
      </c>
      <c r="K45" s="9">
        <v>8189</v>
      </c>
      <c r="L45" s="9">
        <v>8210</v>
      </c>
      <c r="M45" s="9">
        <v>8211</v>
      </c>
      <c r="N45" s="9">
        <v>8232</v>
      </c>
      <c r="O45" s="9">
        <v>8249</v>
      </c>
      <c r="P45" s="9">
        <v>8276</v>
      </c>
      <c r="Q45" s="9">
        <v>8304</v>
      </c>
      <c r="R45" s="9">
        <v>8371</v>
      </c>
      <c r="S45" s="9">
        <v>7483</v>
      </c>
      <c r="T45" s="9">
        <v>7577</v>
      </c>
    </row>
    <row r="46" spans="2:53">
      <c r="B46" s="5" t="s">
        <v>38</v>
      </c>
      <c r="C46" s="9">
        <f t="shared" ref="C46:G46" si="89">0.01*C47</f>
        <v>712.62</v>
      </c>
      <c r="D46" s="9">
        <f t="shared" si="89"/>
        <v>712.14</v>
      </c>
      <c r="E46" s="9">
        <f t="shared" si="89"/>
        <v>729.80000000000007</v>
      </c>
      <c r="F46" s="9">
        <f t="shared" si="89"/>
        <v>744</v>
      </c>
      <c r="G46" s="9">
        <f t="shared" si="89"/>
        <v>758.13</v>
      </c>
      <c r="H46" s="9">
        <f>0.01*H47</f>
        <v>770.04</v>
      </c>
      <c r="I46" s="9">
        <v>1397</v>
      </c>
      <c r="J46" s="9">
        <v>1118</v>
      </c>
      <c r="K46" s="9">
        <v>1072</v>
      </c>
      <c r="L46" s="9">
        <v>1083</v>
      </c>
      <c r="M46" s="9">
        <v>1040</v>
      </c>
      <c r="N46" s="9">
        <v>922</v>
      </c>
      <c r="O46" s="9">
        <v>924</v>
      </c>
      <c r="P46" s="9">
        <v>931</v>
      </c>
      <c r="Q46" s="9">
        <v>937</v>
      </c>
      <c r="R46" s="9">
        <v>964</v>
      </c>
      <c r="S46" s="9">
        <v>960</v>
      </c>
      <c r="T46" s="9">
        <v>973</v>
      </c>
    </row>
    <row r="47" spans="2:53">
      <c r="B47" s="5" t="s">
        <v>36</v>
      </c>
      <c r="C47" s="9">
        <f>31344+39918</f>
        <v>71262</v>
      </c>
      <c r="D47" s="9">
        <f>30432+40782</f>
        <v>71214</v>
      </c>
      <c r="E47" s="9">
        <v>72980</v>
      </c>
      <c r="F47" s="9">
        <v>74400</v>
      </c>
      <c r="G47" s="9">
        <f>31900+43913</f>
        <v>75813</v>
      </c>
      <c r="H47" s="9">
        <f>32115+44889</f>
        <v>77004</v>
      </c>
      <c r="I47" s="9">
        <f t="shared" ref="I47" si="90">SUM(I43:I46)</f>
        <v>127290</v>
      </c>
      <c r="J47" s="9">
        <f t="shared" ref="J47" si="91">SUM(J43:J46)</f>
        <v>124267</v>
      </c>
      <c r="K47" s="9">
        <f t="shared" ref="K47:S47" si="92">SUM(K43:K46)</f>
        <v>123462</v>
      </c>
      <c r="L47" s="9">
        <f>SUM(L43:L46)</f>
        <v>125523</v>
      </c>
      <c r="M47" s="9">
        <f t="shared" si="92"/>
        <v>120459</v>
      </c>
      <c r="N47" s="9">
        <f t="shared" si="92"/>
        <v>118964</v>
      </c>
      <c r="O47" s="9">
        <f t="shared" si="92"/>
        <v>119278</v>
      </c>
      <c r="P47" s="9">
        <f t="shared" si="92"/>
        <v>116566</v>
      </c>
      <c r="Q47" s="9">
        <f t="shared" si="92"/>
        <v>117192</v>
      </c>
      <c r="R47" s="9">
        <f t="shared" si="92"/>
        <v>118157</v>
      </c>
      <c r="S47" s="9">
        <f t="shared" si="92"/>
        <v>117542</v>
      </c>
      <c r="T47" s="9">
        <f>SUM(T43:T46)</f>
        <v>118301</v>
      </c>
    </row>
    <row r="48" spans="2:53">
      <c r="B48" s="5" t="s">
        <v>39</v>
      </c>
      <c r="C48" s="10">
        <v>42208</v>
      </c>
      <c r="D48" s="10">
        <v>44067</v>
      </c>
      <c r="E48" s="10">
        <v>44957</v>
      </c>
      <c r="F48" s="10">
        <v>43854</v>
      </c>
      <c r="G48" s="10">
        <v>44380</v>
      </c>
      <c r="H48" s="10">
        <v>44770</v>
      </c>
      <c r="I48" s="10">
        <v>125443</v>
      </c>
      <c r="J48" s="10">
        <v>109330</v>
      </c>
      <c r="K48" s="9">
        <v>101643</v>
      </c>
      <c r="L48" s="9">
        <v>89452</v>
      </c>
      <c r="M48" s="9">
        <v>84434</v>
      </c>
      <c r="N48" s="9">
        <v>80064</v>
      </c>
      <c r="O48" s="9">
        <v>79355</v>
      </c>
      <c r="P48" s="9">
        <v>79937</v>
      </c>
      <c r="Q48" s="9">
        <v>75758</v>
      </c>
      <c r="R48" s="9">
        <v>75036</v>
      </c>
      <c r="S48" s="9">
        <v>74222</v>
      </c>
      <c r="T48" s="9">
        <v>74221</v>
      </c>
    </row>
    <row r="49" spans="1:24">
      <c r="B49" s="5" t="s">
        <v>40</v>
      </c>
      <c r="C49" s="10">
        <v>0</v>
      </c>
      <c r="D49" s="10">
        <v>0</v>
      </c>
      <c r="E49" s="10">
        <v>5443</v>
      </c>
      <c r="F49" s="10">
        <v>4885</v>
      </c>
      <c r="G49" s="10">
        <v>5261</v>
      </c>
      <c r="H49" s="10">
        <v>5445</v>
      </c>
      <c r="I49" s="10">
        <v>6789</v>
      </c>
      <c r="J49" s="10">
        <v>7050</v>
      </c>
      <c r="K49" s="9">
        <v>3845</v>
      </c>
      <c r="L49" s="9">
        <v>3034</v>
      </c>
      <c r="M49" s="9">
        <v>2682</v>
      </c>
      <c r="N49" s="9">
        <v>2987</v>
      </c>
      <c r="O49" s="9">
        <v>3416</v>
      </c>
      <c r="P49" s="9">
        <v>3544</v>
      </c>
      <c r="Q49" s="9">
        <v>3713</v>
      </c>
      <c r="R49" s="9">
        <v>3899</v>
      </c>
      <c r="S49" s="9">
        <v>4664</v>
      </c>
      <c r="T49" s="9">
        <v>5197</v>
      </c>
    </row>
    <row r="50" spans="1:24">
      <c r="B50" s="5" t="s">
        <v>4</v>
      </c>
      <c r="C50" s="10">
        <v>10309</v>
      </c>
      <c r="D50" s="10">
        <v>10312</v>
      </c>
      <c r="E50" s="10">
        <v>10198</v>
      </c>
      <c r="F50" s="10">
        <v>10201</v>
      </c>
      <c r="G50" s="10">
        <v>10203</v>
      </c>
      <c r="H50" s="10">
        <v>10155</v>
      </c>
      <c r="I50" s="10">
        <v>47583</v>
      </c>
      <c r="J50" s="10">
        <v>38537</v>
      </c>
      <c r="K50" s="9">
        <v>36058</v>
      </c>
      <c r="L50" s="9">
        <v>36034</v>
      </c>
      <c r="M50" s="9">
        <v>35899</v>
      </c>
      <c r="N50" s="9">
        <v>35745</v>
      </c>
      <c r="O50" s="9">
        <v>35466</v>
      </c>
      <c r="P50" s="9">
        <v>35352</v>
      </c>
      <c r="Q50" s="9">
        <v>30915</v>
      </c>
      <c r="R50" s="9">
        <v>29431</v>
      </c>
      <c r="S50" s="9">
        <v>25865</v>
      </c>
      <c r="T50" s="9">
        <v>21743</v>
      </c>
      <c r="U50" s="9">
        <f>T50</f>
        <v>21743</v>
      </c>
      <c r="V50" s="9">
        <f t="shared" ref="V50:X50" si="93">U50</f>
        <v>21743</v>
      </c>
      <c r="W50" s="9">
        <f t="shared" si="93"/>
        <v>21743</v>
      </c>
      <c r="X50" s="9">
        <f t="shared" si="93"/>
        <v>21743</v>
      </c>
    </row>
    <row r="51" spans="1:24">
      <c r="B51" s="5" t="s">
        <v>41</v>
      </c>
      <c r="C51" s="10">
        <v>20722</v>
      </c>
      <c r="D51" s="10">
        <v>20931</v>
      </c>
      <c r="E51" s="10">
        <v>21493</v>
      </c>
      <c r="F51" s="10">
        <v>21330</v>
      </c>
      <c r="G51" s="10">
        <v>21236</v>
      </c>
      <c r="H51" s="10">
        <v>21347</v>
      </c>
      <c r="I51" s="10">
        <v>36080</v>
      </c>
      <c r="J51" s="10">
        <v>34232</v>
      </c>
      <c r="K51" s="9">
        <v>31295</v>
      </c>
      <c r="L51" s="9">
        <v>23346</v>
      </c>
      <c r="M51" s="9">
        <v>19860</v>
      </c>
      <c r="N51" s="9">
        <v>18573</v>
      </c>
      <c r="O51" s="9">
        <v>18300</v>
      </c>
      <c r="P51" s="9">
        <v>18244</v>
      </c>
      <c r="Q51" s="9">
        <v>18873</v>
      </c>
      <c r="R51" s="9">
        <v>20327</v>
      </c>
      <c r="S51" s="9">
        <v>24907</v>
      </c>
      <c r="T51" s="9">
        <v>27830</v>
      </c>
    </row>
    <row r="52" spans="1:24">
      <c r="B52" s="5" t="s">
        <v>42</v>
      </c>
      <c r="C52" s="10">
        <v>42808</v>
      </c>
      <c r="D52" s="10">
        <v>44067</v>
      </c>
      <c r="E52" s="10">
        <v>44957</v>
      </c>
      <c r="F52" s="10">
        <v>43854</v>
      </c>
      <c r="G52" s="10">
        <v>44380</v>
      </c>
      <c r="H52" s="10">
        <v>44770</v>
      </c>
      <c r="I52" s="10">
        <v>125443</v>
      </c>
      <c r="J52" s="10">
        <v>109330</v>
      </c>
      <c r="K52" s="9">
        <v>101643</v>
      </c>
      <c r="L52" s="9">
        <v>89452</v>
      </c>
      <c r="M52" s="9">
        <v>84434</v>
      </c>
      <c r="N52" s="9">
        <v>80064</v>
      </c>
      <c r="O52" s="9">
        <v>79355</v>
      </c>
      <c r="P52" s="9">
        <v>79937</v>
      </c>
      <c r="Q52" s="9">
        <v>75758</v>
      </c>
      <c r="R52" s="9">
        <v>75036</v>
      </c>
      <c r="S52" s="9">
        <v>74222</v>
      </c>
      <c r="T52" s="9">
        <v>74221</v>
      </c>
    </row>
    <row r="54" spans="1:24">
      <c r="B54" s="13" t="s">
        <v>69</v>
      </c>
      <c r="G54" s="7">
        <f>G37/C37-1</f>
        <v>9.0909090909090828E-2</v>
      </c>
      <c r="H54" s="7">
        <f t="shared" ref="H54:T54" si="94">H37/D37-1</f>
        <v>0.28560939794419982</v>
      </c>
      <c r="I54" s="7">
        <f t="shared" si="94"/>
        <v>0.7921462423832093</v>
      </c>
      <c r="J54" s="7">
        <f t="shared" si="94"/>
        <v>0.15957797560171438</v>
      </c>
      <c r="K54" s="7">
        <f t="shared" si="94"/>
        <v>0.29166666666666674</v>
      </c>
      <c r="L54" s="7">
        <f t="shared" si="94"/>
        <v>-0.35179897201599086</v>
      </c>
      <c r="M54" s="7">
        <f t="shared" si="94"/>
        <v>-0.63222516055912359</v>
      </c>
      <c r="N54" s="7">
        <f t="shared" si="94"/>
        <v>-0.38072220642593124</v>
      </c>
      <c r="O54" s="7">
        <f t="shared" si="94"/>
        <v>8.3959346000883839E-2</v>
      </c>
      <c r="P54" s="7">
        <f t="shared" si="94"/>
        <v>3.1841409691629954</v>
      </c>
      <c r="Q54" s="7">
        <f t="shared" si="94"/>
        <v>0.17051874678993317</v>
      </c>
      <c r="R54" s="7">
        <f t="shared" si="94"/>
        <v>0.26905417814508725</v>
      </c>
      <c r="S54" s="7">
        <f t="shared" si="94"/>
        <v>-0.22176926212800652</v>
      </c>
      <c r="T54" s="7">
        <f t="shared" si="94"/>
        <v>-0.71320277953253308</v>
      </c>
    </row>
    <row r="55" spans="1:24">
      <c r="B55" s="5" t="s">
        <v>57</v>
      </c>
      <c r="G55" s="7">
        <f>G50/C50-1</f>
        <v>-1.0282277621495806E-2</v>
      </c>
      <c r="H55" s="7">
        <f t="shared" ref="H55:T55" si="95">H50/D50-1</f>
        <v>-1.5224980605120231E-2</v>
      </c>
      <c r="I55" s="7">
        <f t="shared" si="95"/>
        <v>3.6659148852716221</v>
      </c>
      <c r="J55" s="7">
        <f t="shared" si="95"/>
        <v>2.7777668855994508</v>
      </c>
      <c r="K55" s="7">
        <f t="shared" si="95"/>
        <v>2.5340586102126825</v>
      </c>
      <c r="L55" s="7">
        <f t="shared" si="95"/>
        <v>2.5483998030526833</v>
      </c>
      <c r="M55" s="7">
        <f t="shared" si="95"/>
        <v>-0.2455498812601139</v>
      </c>
      <c r="N55" s="7">
        <f t="shared" si="95"/>
        <v>-7.2449853387653418E-2</v>
      </c>
      <c r="O55" s="7">
        <f t="shared" si="95"/>
        <v>-1.6417993233124428E-2</v>
      </c>
      <c r="P55" s="7">
        <f t="shared" si="95"/>
        <v>-1.8926569351168321E-2</v>
      </c>
      <c r="Q55" s="7">
        <f t="shared" si="95"/>
        <v>-0.13883395080642913</v>
      </c>
      <c r="R55" s="7">
        <f t="shared" si="95"/>
        <v>-0.17664008952301025</v>
      </c>
      <c r="S55" s="7">
        <f t="shared" si="95"/>
        <v>-0.27070997575142386</v>
      </c>
      <c r="T55" s="7">
        <f t="shared" si="95"/>
        <v>-0.38495700384702425</v>
      </c>
    </row>
    <row r="56" spans="1:24">
      <c r="B56" s="5" t="s">
        <v>60</v>
      </c>
      <c r="G56" s="7">
        <f>G47/C47-1</f>
        <v>6.3862928348909609E-2</v>
      </c>
      <c r="H56" s="7">
        <f t="shared" ref="H56:T56" si="96">H47/D47-1</f>
        <v>8.1304237930744039E-2</v>
      </c>
      <c r="I56" s="7">
        <f t="shared" si="96"/>
        <v>0.7441764867086873</v>
      </c>
      <c r="J56" s="7">
        <f t="shared" si="96"/>
        <v>0.67025537634408594</v>
      </c>
      <c r="K56" s="7">
        <f t="shared" si="96"/>
        <v>0.62850698429029328</v>
      </c>
      <c r="L56" s="7">
        <f t="shared" si="96"/>
        <v>0.63008415147265073</v>
      </c>
      <c r="M56" s="7">
        <f t="shared" si="96"/>
        <v>-5.3664859769031348E-2</v>
      </c>
      <c r="N56" s="7">
        <f t="shared" si="96"/>
        <v>-4.2674241753643316E-2</v>
      </c>
      <c r="O56" s="7">
        <f t="shared" si="96"/>
        <v>-3.3888969885470854E-2</v>
      </c>
      <c r="P56" s="7">
        <f t="shared" si="96"/>
        <v>-7.1357440469077327E-2</v>
      </c>
      <c r="Q56" s="7">
        <f t="shared" si="96"/>
        <v>-2.7121261176001776E-2</v>
      </c>
      <c r="R56" s="7">
        <f t="shared" si="96"/>
        <v>-6.7835647758985873E-3</v>
      </c>
      <c r="S56" s="7">
        <f t="shared" si="96"/>
        <v>-1.4554234645114739E-2</v>
      </c>
      <c r="T56" s="7">
        <f t="shared" si="96"/>
        <v>1.488427157147032E-2</v>
      </c>
    </row>
    <row r="57" spans="1:24">
      <c r="A57" s="7"/>
      <c r="B57" s="12" t="s">
        <v>58</v>
      </c>
      <c r="C57" s="7"/>
      <c r="D57" s="7">
        <f>D50/C50-1</f>
        <v>2.9100785721225542E-4</v>
      </c>
      <c r="E57" s="7">
        <f>E50/D50-1</f>
        <v>-1.1055081458494986E-2</v>
      </c>
      <c r="F57" s="7">
        <f>F50/E50-1</f>
        <v>2.9417532849573824E-4</v>
      </c>
      <c r="G57" s="7">
        <f>G50/F50-1</f>
        <v>1.9605920988130521E-4</v>
      </c>
      <c r="H57" s="7">
        <f>H50/G50-1</f>
        <v>-4.7044986768597363E-3</v>
      </c>
      <c r="I57" s="7">
        <f>I50/H50-1</f>
        <v>3.6856720827178728</v>
      </c>
      <c r="J57" s="7">
        <f>J50/I50-1</f>
        <v>-0.1901099132042956</v>
      </c>
      <c r="K57" s="7">
        <f>K50/J50-1</f>
        <v>-6.4327788878220882E-2</v>
      </c>
      <c r="L57" s="7">
        <f>L50/K50-1</f>
        <v>-6.6559432026180865E-4</v>
      </c>
      <c r="M57" s="7">
        <f>M50/L50-1</f>
        <v>-3.7464616750846336E-3</v>
      </c>
      <c r="N57" s="7">
        <f>N50/M50-1</f>
        <v>-4.2898130867154993E-3</v>
      </c>
      <c r="O57" s="7">
        <f>O50/N50-1</f>
        <v>-7.8052874527906324E-3</v>
      </c>
      <c r="P57" s="7">
        <f>P50/O50-1</f>
        <v>-3.2143461343258073E-3</v>
      </c>
      <c r="Q57" s="7">
        <f>Q50/P50-1</f>
        <v>-0.12550916496945008</v>
      </c>
      <c r="R57" s="7">
        <f>R50/Q50-1</f>
        <v>-4.8002587740578972E-2</v>
      </c>
      <c r="S57" s="7">
        <f>S50/R50-1</f>
        <v>-0.12116475824810569</v>
      </c>
      <c r="T57" s="7">
        <f>T50/S50-1</f>
        <v>-0.1593659385269669</v>
      </c>
      <c r="U57" s="7"/>
    </row>
    <row r="58" spans="1:24">
      <c r="I58" s="7"/>
      <c r="J58" s="7"/>
      <c r="K58" s="7"/>
      <c r="L58" s="7"/>
      <c r="M58" s="7"/>
      <c r="N58" s="7"/>
      <c r="O58" s="7"/>
    </row>
    <row r="59" spans="1:24">
      <c r="I59" s="7"/>
      <c r="J59" s="7"/>
      <c r="K59" s="7"/>
      <c r="L59" s="7"/>
      <c r="M59" s="7"/>
      <c r="N59" s="7"/>
      <c r="O59" s="7"/>
    </row>
    <row r="60" spans="1:24">
      <c r="I60" s="7"/>
      <c r="J60" s="7"/>
      <c r="K60" s="7"/>
      <c r="L60" s="7"/>
      <c r="M60" s="7"/>
      <c r="N60" s="7"/>
      <c r="O60" s="7"/>
    </row>
    <row r="61" spans="1:24">
      <c r="I61" s="7"/>
      <c r="J61" s="7"/>
      <c r="K61" s="7"/>
      <c r="L61" s="7"/>
      <c r="M61" s="7"/>
      <c r="N61" s="7"/>
      <c r="O61" s="7"/>
    </row>
  </sheetData>
  <hyperlinks>
    <hyperlink ref="A1" location="Main!A1" display="Main" xr:uid="{E5E96F06-33C3-41D8-A9BD-1B4357904D6C}"/>
  </hyperlinks>
  <pageMargins left="0.7" right="0.7" top="0.75" bottom="0.75" header="0.3" footer="0.3"/>
  <pageSetup orientation="portrait" r:id="rId1"/>
  <ignoredErrors>
    <ignoredError sqref="T4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2022-08-18T03:15:47Z</dcterms:modified>
</cp:coreProperties>
</file>