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F4A7B801-1061-4BF8-9923-9A77D73E0E5E}" xr6:coauthVersionLast="47" xr6:coauthVersionMax="47" xr10:uidLastSave="{00000000-0000-0000-0000-000000000000}"/>
  <bookViews>
    <workbookView xWindow="-120" yWindow="-120" windowWidth="29040" windowHeight="15840" activeTab="1" xr2:uid="{505C5DB6-6863-4712-9628-F26C757D37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1" i="2" l="1"/>
  <c r="K25" i="2"/>
  <c r="AN28" i="2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AE35" i="2" l="1"/>
  <c r="AD35" i="2"/>
  <c r="AC35" i="2"/>
  <c r="AB35" i="2"/>
  <c r="AA35" i="2"/>
  <c r="Z35" i="2"/>
  <c r="Y35" i="2"/>
  <c r="AM20" i="2" l="1"/>
  <c r="AL20" i="2"/>
  <c r="AK20" i="2"/>
  <c r="AJ20" i="2"/>
  <c r="AI20" i="2"/>
  <c r="AH20" i="2"/>
  <c r="AG20" i="2"/>
  <c r="AF20" i="2"/>
  <c r="AF27" i="2"/>
  <c r="AH7" i="2"/>
  <c r="AI7" i="2" s="1"/>
  <c r="AJ7" i="2" s="1"/>
  <c r="AK7" i="2" s="1"/>
  <c r="AL7" i="2" s="1"/>
  <c r="AG7" i="2"/>
  <c r="AF7" i="2"/>
  <c r="AG6" i="2"/>
  <c r="AH6" i="2" s="1"/>
  <c r="AI6" i="2" s="1"/>
  <c r="AJ6" i="2" s="1"/>
  <c r="AK6" i="2" s="1"/>
  <c r="AL6" i="2" s="1"/>
  <c r="AM6" i="2" s="1"/>
  <c r="AF6" i="2"/>
  <c r="AD40" i="2"/>
  <c r="AC40" i="2"/>
  <c r="AB40" i="2"/>
  <c r="AA40" i="2"/>
  <c r="Z40" i="2"/>
  <c r="Y40" i="2"/>
  <c r="AE40" i="2"/>
  <c r="E6" i="1"/>
  <c r="E5" i="1"/>
  <c r="E4" i="1"/>
  <c r="AF25" i="2"/>
  <c r="AG25" i="2" s="1"/>
  <c r="AH25" i="2" s="1"/>
  <c r="AI25" i="2" s="1"/>
  <c r="AJ25" i="2" s="1"/>
  <c r="AK25" i="2" s="1"/>
  <c r="AL25" i="2" s="1"/>
  <c r="AM25" i="2" s="1"/>
  <c r="AM26" i="2" s="1"/>
  <c r="AF24" i="2"/>
  <c r="AG24" i="2" s="1"/>
  <c r="AH24" i="2" s="1"/>
  <c r="AI24" i="2" s="1"/>
  <c r="AJ24" i="2" s="1"/>
  <c r="AK24" i="2" s="1"/>
  <c r="AL24" i="2" s="1"/>
  <c r="AM24" i="2" s="1"/>
  <c r="AF23" i="2"/>
  <c r="AG23" i="2" s="1"/>
  <c r="AH23" i="2" s="1"/>
  <c r="AI23" i="2" s="1"/>
  <c r="AJ23" i="2" s="1"/>
  <c r="AK23" i="2" s="1"/>
  <c r="AL23" i="2" s="1"/>
  <c r="AM23" i="2" s="1"/>
  <c r="AF22" i="2"/>
  <c r="AG22" i="2" s="1"/>
  <c r="AH22" i="2" s="1"/>
  <c r="AI22" i="2" s="1"/>
  <c r="AJ22" i="2" s="1"/>
  <c r="AK22" i="2" s="1"/>
  <c r="AL22" i="2" s="1"/>
  <c r="AM22" i="2" s="1"/>
  <c r="AF21" i="2"/>
  <c r="AG21" i="2" s="1"/>
  <c r="AH21" i="2" s="1"/>
  <c r="AI21" i="2" s="1"/>
  <c r="AJ21" i="2" s="1"/>
  <c r="AK21" i="2" s="1"/>
  <c r="AL21" i="2" s="1"/>
  <c r="AM21" i="2" s="1"/>
  <c r="AF19" i="2"/>
  <c r="AF8" i="2"/>
  <c r="AG8" i="2"/>
  <c r="AH8" i="2"/>
  <c r="AI8" i="2" s="1"/>
  <c r="AJ8" i="2" s="1"/>
  <c r="AK8" i="2" s="1"/>
  <c r="AL8" i="2" s="1"/>
  <c r="AM8" i="2" s="1"/>
  <c r="AF9" i="2"/>
  <c r="AG9" i="2" s="1"/>
  <c r="AH9" i="2" s="1"/>
  <c r="AI9" i="2" s="1"/>
  <c r="AJ9" i="2" s="1"/>
  <c r="AK9" i="2" s="1"/>
  <c r="AL9" i="2" s="1"/>
  <c r="AM9" i="2" s="1"/>
  <c r="AF10" i="2"/>
  <c r="AG10" i="2" s="1"/>
  <c r="AH10" i="2" s="1"/>
  <c r="AI10" i="2" s="1"/>
  <c r="AJ10" i="2" s="1"/>
  <c r="AK10" i="2" s="1"/>
  <c r="AL10" i="2" s="1"/>
  <c r="AM10" i="2" s="1"/>
  <c r="AF11" i="2"/>
  <c r="AG11" i="2"/>
  <c r="AH11" i="2"/>
  <c r="AI11" i="2" s="1"/>
  <c r="AJ11" i="2" s="1"/>
  <c r="AK11" i="2" s="1"/>
  <c r="AL11" i="2" s="1"/>
  <c r="AM11" i="2" s="1"/>
  <c r="AF12" i="2"/>
  <c r="AG12" i="2" s="1"/>
  <c r="AH12" i="2" s="1"/>
  <c r="AI12" i="2" s="1"/>
  <c r="AJ12" i="2" s="1"/>
  <c r="AK12" i="2" s="1"/>
  <c r="AL12" i="2" s="1"/>
  <c r="AM12" i="2" s="1"/>
  <c r="AF13" i="2"/>
  <c r="AG13" i="2" s="1"/>
  <c r="AH13" i="2" s="1"/>
  <c r="AI13" i="2" s="1"/>
  <c r="AJ13" i="2" s="1"/>
  <c r="AK13" i="2" s="1"/>
  <c r="AL13" i="2" s="1"/>
  <c r="AM13" i="2" s="1"/>
  <c r="AF14" i="2"/>
  <c r="AG14" i="2" s="1"/>
  <c r="AH14" i="2" s="1"/>
  <c r="AI14" i="2" s="1"/>
  <c r="AJ14" i="2" s="1"/>
  <c r="AK14" i="2" s="1"/>
  <c r="AL14" i="2" s="1"/>
  <c r="AM14" i="2" s="1"/>
  <c r="AM7" i="2" l="1"/>
  <c r="AM27" i="2"/>
  <c r="AJ26" i="2"/>
  <c r="AG19" i="2"/>
  <c r="AF26" i="2"/>
  <c r="AG26" i="2"/>
  <c r="AF18" i="2"/>
  <c r="AH26" i="2"/>
  <c r="AK26" i="2"/>
  <c r="AL26" i="2"/>
  <c r="AI26" i="2"/>
  <c r="AI27" i="2" l="1"/>
  <c r="AL27" i="2"/>
  <c r="AJ28" i="2"/>
  <c r="AJ27" i="2"/>
  <c r="AH19" i="2"/>
  <c r="AK27" i="2"/>
  <c r="AG27" i="2"/>
  <c r="AH27" i="2"/>
  <c r="AH28" i="2"/>
  <c r="AG18" i="2"/>
  <c r="AM28" i="2"/>
  <c r="AC37" i="2"/>
  <c r="AB37" i="2"/>
  <c r="AA37" i="2"/>
  <c r="Z37" i="2"/>
  <c r="Y37" i="2"/>
  <c r="AC34" i="2"/>
  <c r="AB34" i="2"/>
  <c r="AA34" i="2"/>
  <c r="Z34" i="2"/>
  <c r="Y34" i="2"/>
  <c r="AC33" i="2"/>
  <c r="AB33" i="2"/>
  <c r="AA33" i="2"/>
  <c r="Z33" i="2"/>
  <c r="Y33" i="2"/>
  <c r="AC32" i="2"/>
  <c r="AB32" i="2"/>
  <c r="AA32" i="2"/>
  <c r="Z32" i="2"/>
  <c r="Y32" i="2"/>
  <c r="AE32" i="2"/>
  <c r="Y26" i="2"/>
  <c r="AH18" i="2" l="1"/>
  <c r="AL28" i="2"/>
  <c r="AK28" i="2"/>
  <c r="AI19" i="2"/>
  <c r="AF28" i="2"/>
  <c r="AG28" i="2"/>
  <c r="AI28" i="2"/>
  <c r="AE26" i="2"/>
  <c r="AE27" i="2" s="1"/>
  <c r="AE38" i="2" s="1"/>
  <c r="AC26" i="2"/>
  <c r="AC27" i="2" s="1"/>
  <c r="AC38" i="2" s="1"/>
  <c r="AB26" i="2"/>
  <c r="AB27" i="2" s="1"/>
  <c r="AB38" i="2" s="1"/>
  <c r="AA26" i="2"/>
  <c r="AA27" i="2" s="1"/>
  <c r="AA38" i="2" s="1"/>
  <c r="Z26" i="2"/>
  <c r="Z27" i="2" s="1"/>
  <c r="Z38" i="2" s="1"/>
  <c r="Y27" i="2"/>
  <c r="Y38" i="2" s="1"/>
  <c r="X26" i="2"/>
  <c r="X27" i="2" s="1"/>
  <c r="AC18" i="2"/>
  <c r="AB18" i="2"/>
  <c r="AA18" i="2"/>
  <c r="Z18" i="2"/>
  <c r="Y18" i="2"/>
  <c r="X18" i="2"/>
  <c r="X20" i="2" s="1"/>
  <c r="AE18" i="2"/>
  <c r="AE39" i="2" s="1"/>
  <c r="AD18" i="2"/>
  <c r="AD20" i="2" s="1"/>
  <c r="AD26" i="2"/>
  <c r="AD39" i="2"/>
  <c r="AD32" i="2"/>
  <c r="K23" i="2"/>
  <c r="L23" i="2" s="1"/>
  <c r="M23" i="2" s="1"/>
  <c r="N23" i="2" s="1"/>
  <c r="O23" i="2" s="1"/>
  <c r="P23" i="2" s="1"/>
  <c r="K22" i="2"/>
  <c r="L22" i="2" s="1"/>
  <c r="M22" i="2" s="1"/>
  <c r="N22" i="2" s="1"/>
  <c r="O22" i="2" s="1"/>
  <c r="P22" i="2" s="1"/>
  <c r="K21" i="2"/>
  <c r="L21" i="2" s="1"/>
  <c r="M21" i="2" s="1"/>
  <c r="N21" i="2" s="1"/>
  <c r="O21" i="2" s="1"/>
  <c r="P21" i="2" s="1"/>
  <c r="K4" i="2"/>
  <c r="L4" i="2" s="1"/>
  <c r="M4" i="2" s="1"/>
  <c r="N4" i="2" s="1"/>
  <c r="O4" i="2" s="1"/>
  <c r="P4" i="2" s="1"/>
  <c r="K3" i="2"/>
  <c r="L3" i="2" s="1"/>
  <c r="M3" i="2" s="1"/>
  <c r="N3" i="2" s="1"/>
  <c r="O3" i="2" s="1"/>
  <c r="P3" i="2" s="1"/>
  <c r="K53" i="2"/>
  <c r="L53" i="2" s="1"/>
  <c r="M53" i="2" s="1"/>
  <c r="N53" i="2" s="1"/>
  <c r="O53" i="2" s="1"/>
  <c r="P53" i="2" s="1"/>
  <c r="K19" i="2"/>
  <c r="L25" i="2"/>
  <c r="M25" i="2" s="1"/>
  <c r="N25" i="2" s="1"/>
  <c r="O25" i="2" s="1"/>
  <c r="P25" i="2" s="1"/>
  <c r="K24" i="2"/>
  <c r="K26" i="2" s="1"/>
  <c r="K18" i="2"/>
  <c r="K20" i="2" s="1"/>
  <c r="K17" i="2"/>
  <c r="L17" i="2" s="1"/>
  <c r="M17" i="2" s="1"/>
  <c r="N17" i="2" s="1"/>
  <c r="O17" i="2" s="1"/>
  <c r="P17" i="2" s="1"/>
  <c r="K16" i="2"/>
  <c r="L16" i="2" s="1"/>
  <c r="K7" i="2"/>
  <c r="L7" i="2" s="1"/>
  <c r="K8" i="2"/>
  <c r="L8" i="2" s="1"/>
  <c r="K9" i="2"/>
  <c r="L9" i="2" s="1"/>
  <c r="M9" i="2" s="1"/>
  <c r="N9" i="2" s="1"/>
  <c r="O9" i="2" s="1"/>
  <c r="P9" i="2" s="1"/>
  <c r="K10" i="2"/>
  <c r="L10" i="2" s="1"/>
  <c r="K11" i="2"/>
  <c r="L11" i="2" s="1"/>
  <c r="K12" i="2"/>
  <c r="L12" i="2" s="1"/>
  <c r="M12" i="2" s="1"/>
  <c r="N12" i="2" s="1"/>
  <c r="O12" i="2" s="1"/>
  <c r="P12" i="2" s="1"/>
  <c r="K13" i="2"/>
  <c r="L13" i="2" s="1"/>
  <c r="M13" i="2" s="1"/>
  <c r="N13" i="2" s="1"/>
  <c r="O13" i="2" s="1"/>
  <c r="P13" i="2" s="1"/>
  <c r="K14" i="2"/>
  <c r="L14" i="2" s="1"/>
  <c r="M14" i="2" s="1"/>
  <c r="N14" i="2" s="1"/>
  <c r="O14" i="2" s="1"/>
  <c r="P14" i="2" s="1"/>
  <c r="C29" i="2"/>
  <c r="D29" i="2"/>
  <c r="E29" i="2"/>
  <c r="F29" i="2"/>
  <c r="G29" i="2"/>
  <c r="H29" i="2"/>
  <c r="I29" i="2"/>
  <c r="J29" i="2"/>
  <c r="K30" i="2"/>
  <c r="L30" i="2" s="1"/>
  <c r="M30" i="2" s="1"/>
  <c r="N30" i="2" s="1"/>
  <c r="O30" i="2" s="1"/>
  <c r="P30" i="2" s="1"/>
  <c r="I33" i="2"/>
  <c r="K6" i="2"/>
  <c r="L6" i="2" s="1"/>
  <c r="AD3" i="2"/>
  <c r="AD4" i="2"/>
  <c r="AD8" i="2"/>
  <c r="AD14" i="2"/>
  <c r="K33" i="2"/>
  <c r="K34" i="2"/>
  <c r="K37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C43" i="2"/>
  <c r="C42" i="2" s="1"/>
  <c r="D43" i="2"/>
  <c r="D42" i="2" s="1"/>
  <c r="I37" i="2"/>
  <c r="H37" i="2"/>
  <c r="I34" i="2"/>
  <c r="H34" i="2"/>
  <c r="H33" i="2"/>
  <c r="G37" i="2"/>
  <c r="G34" i="2"/>
  <c r="G33" i="2"/>
  <c r="J20" i="2"/>
  <c r="E43" i="2"/>
  <c r="E42" i="2" s="1"/>
  <c r="J43" i="2"/>
  <c r="F18" i="2"/>
  <c r="F39" i="2" s="1"/>
  <c r="F26" i="2"/>
  <c r="F27" i="2" s="1"/>
  <c r="F38" i="2" s="1"/>
  <c r="J26" i="2"/>
  <c r="J27" i="2" s="1"/>
  <c r="J38" i="2" s="1"/>
  <c r="F11" i="2"/>
  <c r="AD11" i="2" s="1"/>
  <c r="F10" i="2"/>
  <c r="AD10" i="2" s="1"/>
  <c r="F14" i="2"/>
  <c r="F13" i="2"/>
  <c r="AD13" i="2" s="1"/>
  <c r="F12" i="2"/>
  <c r="AD12" i="2" s="1"/>
  <c r="F9" i="2"/>
  <c r="AD9" i="2" s="1"/>
  <c r="F8" i="2"/>
  <c r="F7" i="2"/>
  <c r="AD7" i="2" s="1"/>
  <c r="F6" i="2"/>
  <c r="J33" i="2" s="1"/>
  <c r="J37" i="2"/>
  <c r="G43" i="2"/>
  <c r="G42" i="2" s="1"/>
  <c r="C19" i="2"/>
  <c r="G19" i="2"/>
  <c r="F43" i="2"/>
  <c r="F42" i="2" s="1"/>
  <c r="H43" i="2"/>
  <c r="H42" i="2" s="1"/>
  <c r="I43" i="2"/>
  <c r="I42" i="2" s="1"/>
  <c r="D19" i="2"/>
  <c r="H19" i="2"/>
  <c r="J42" i="2"/>
  <c r="J39" i="2"/>
  <c r="D26" i="2"/>
  <c r="D27" i="2" s="1"/>
  <c r="D38" i="2" s="1"/>
  <c r="C26" i="2"/>
  <c r="C27" i="2" s="1"/>
  <c r="C38" i="2" s="1"/>
  <c r="I26" i="2"/>
  <c r="I27" i="2" s="1"/>
  <c r="I38" i="2" s="1"/>
  <c r="H26" i="2"/>
  <c r="H27" i="2" s="1"/>
  <c r="H38" i="2" s="1"/>
  <c r="G26" i="2"/>
  <c r="G27" i="2" s="1"/>
  <c r="G38" i="2" s="1"/>
  <c r="E26" i="2"/>
  <c r="E27" i="2" s="1"/>
  <c r="E38" i="2" s="1"/>
  <c r="E19" i="2"/>
  <c r="I19" i="2"/>
  <c r="I18" i="2"/>
  <c r="H18" i="2"/>
  <c r="G18" i="2"/>
  <c r="D18" i="2"/>
  <c r="C18" i="2"/>
  <c r="E18" i="2"/>
  <c r="AH48" i="2" l="1"/>
  <c r="AH49" i="2" s="1"/>
  <c r="AE37" i="2"/>
  <c r="AD37" i="2"/>
  <c r="M6" i="2"/>
  <c r="N6" i="2" s="1"/>
  <c r="O6" i="2" s="1"/>
  <c r="P6" i="2" s="1"/>
  <c r="L33" i="2"/>
  <c r="M16" i="2"/>
  <c r="L18" i="2"/>
  <c r="AE34" i="2"/>
  <c r="AD34" i="2"/>
  <c r="K27" i="2"/>
  <c r="K38" i="2" s="1"/>
  <c r="Z20" i="2"/>
  <c r="Z39" i="2"/>
  <c r="L24" i="2"/>
  <c r="AA20" i="2"/>
  <c r="AA39" i="2"/>
  <c r="K32" i="2"/>
  <c r="AB20" i="2"/>
  <c r="AB39" i="2"/>
  <c r="AC20" i="2"/>
  <c r="AC39" i="2"/>
  <c r="C5" i="1"/>
  <c r="C4" i="1"/>
  <c r="C6" i="1"/>
  <c r="K39" i="2"/>
  <c r="AE20" i="2"/>
  <c r="AJ19" i="2"/>
  <c r="AD6" i="2"/>
  <c r="L19" i="2"/>
  <c r="Y20" i="2"/>
  <c r="Y39" i="2"/>
  <c r="AI18" i="2"/>
  <c r="M10" i="2"/>
  <c r="L37" i="2"/>
  <c r="M11" i="2"/>
  <c r="M8" i="2"/>
  <c r="M7" i="2"/>
  <c r="L34" i="2"/>
  <c r="M33" i="2"/>
  <c r="C20" i="2"/>
  <c r="G32" i="2"/>
  <c r="D39" i="2"/>
  <c r="H32" i="2"/>
  <c r="J34" i="2"/>
  <c r="I32" i="2"/>
  <c r="F20" i="2"/>
  <c r="J32" i="2"/>
  <c r="G39" i="2"/>
  <c r="H39" i="2"/>
  <c r="E39" i="2"/>
  <c r="I20" i="2"/>
  <c r="E20" i="2"/>
  <c r="D20" i="2"/>
  <c r="I39" i="2"/>
  <c r="C39" i="2"/>
  <c r="G20" i="2"/>
  <c r="H20" i="2"/>
  <c r="K28" i="2" l="1"/>
  <c r="N16" i="2"/>
  <c r="M18" i="2"/>
  <c r="L20" i="2"/>
  <c r="L32" i="2"/>
  <c r="AJ18" i="2"/>
  <c r="M19" i="2"/>
  <c r="L39" i="2"/>
  <c r="K29" i="2"/>
  <c r="K43" i="2"/>
  <c r="K42" i="2" s="1"/>
  <c r="AE33" i="2"/>
  <c r="AD33" i="2"/>
  <c r="M24" i="2"/>
  <c r="L26" i="2"/>
  <c r="AK19" i="2"/>
  <c r="N8" i="2"/>
  <c r="N10" i="2"/>
  <c r="M37" i="2"/>
  <c r="N11" i="2"/>
  <c r="N7" i="2"/>
  <c r="M34" i="2"/>
  <c r="N33" i="2"/>
  <c r="M5" i="1"/>
  <c r="M8" i="1" s="1"/>
  <c r="AL19" i="2" l="1"/>
  <c r="AK18" i="2"/>
  <c r="L27" i="2"/>
  <c r="L28" i="2" s="1"/>
  <c r="N24" i="2"/>
  <c r="M26" i="2"/>
  <c r="N19" i="2"/>
  <c r="M39" i="2"/>
  <c r="M20" i="2"/>
  <c r="M32" i="2"/>
  <c r="O16" i="2"/>
  <c r="N18" i="2"/>
  <c r="N37" i="2"/>
  <c r="O11" i="2"/>
  <c r="O10" i="2"/>
  <c r="O7" i="2"/>
  <c r="N34" i="2"/>
  <c r="O8" i="2"/>
  <c r="O33" i="2"/>
  <c r="P33" i="2"/>
  <c r="L29" i="2" l="1"/>
  <c r="L43" i="2"/>
  <c r="L42" i="2" s="1"/>
  <c r="O19" i="2"/>
  <c r="N39" i="2"/>
  <c r="N20" i="2"/>
  <c r="N32" i="2"/>
  <c r="AL18" i="2"/>
  <c r="P16" i="2"/>
  <c r="P18" i="2" s="1"/>
  <c r="O18" i="2"/>
  <c r="AM19" i="2"/>
  <c r="M27" i="2"/>
  <c r="M28" i="2" s="1"/>
  <c r="N26" i="2"/>
  <c r="O24" i="2"/>
  <c r="P8" i="2"/>
  <c r="O34" i="2"/>
  <c r="P7" i="2"/>
  <c r="P34" i="2" s="1"/>
  <c r="P10" i="2"/>
  <c r="O37" i="2"/>
  <c r="P11" i="2"/>
  <c r="P37" i="2" s="1"/>
  <c r="L38" i="2"/>
  <c r="AD27" i="2"/>
  <c r="AD38" i="2" s="1"/>
  <c r="M38" i="2" l="1"/>
  <c r="M29" i="2"/>
  <c r="M43" i="2"/>
  <c r="M42" i="2" s="1"/>
  <c r="O32" i="2"/>
  <c r="O20" i="2"/>
  <c r="P19" i="2"/>
  <c r="P39" i="2" s="1"/>
  <c r="O39" i="2"/>
  <c r="P24" i="2"/>
  <c r="P26" i="2" s="1"/>
  <c r="O26" i="2"/>
  <c r="N27" i="2"/>
  <c r="N38" i="2" s="1"/>
  <c r="P32" i="2"/>
  <c r="AM18" i="2"/>
  <c r="N28" i="2" l="1"/>
  <c r="O27" i="2"/>
  <c r="O38" i="2" s="1"/>
  <c r="P20" i="2"/>
  <c r="P27" i="2"/>
  <c r="P38" i="2" s="1"/>
  <c r="P28" i="2" l="1"/>
  <c r="P29" i="2"/>
  <c r="O28" i="2"/>
  <c r="N29" i="2"/>
  <c r="N43" i="2"/>
  <c r="N42" i="2" s="1"/>
  <c r="O29" i="2" l="1"/>
  <c r="O43" i="2"/>
  <c r="O42" i="2" l="1"/>
  <c r="P43" i="2"/>
  <c r="P42" i="2" s="1"/>
</calcChain>
</file>

<file path=xl/sharedStrings.xml><?xml version="1.0" encoding="utf-8"?>
<sst xmlns="http://schemas.openxmlformats.org/spreadsheetml/2006/main" count="105" uniqueCount="88">
  <si>
    <t>Price</t>
  </si>
  <si>
    <t>Shares</t>
  </si>
  <si>
    <t>MC</t>
  </si>
  <si>
    <t>Cash</t>
  </si>
  <si>
    <t>Debt</t>
  </si>
  <si>
    <t>EV</t>
  </si>
  <si>
    <t>Q222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</si>
  <si>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</si>
  <si>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</si>
  <si>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</si>
  <si>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</si>
  <si>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</si>
  <si>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</si>
  <si>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</si>
  <si>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</si>
  <si>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</si>
  <si>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United States</t>
  </si>
  <si>
    <t>International</t>
  </si>
  <si>
    <t>Main</t>
  </si>
  <si>
    <t>Server Products</t>
  </si>
  <si>
    <t>Office Products</t>
  </si>
  <si>
    <t>Windows</t>
  </si>
  <si>
    <t>Gaming</t>
  </si>
  <si>
    <t>LinkedIn</t>
  </si>
  <si>
    <t>Search Ads</t>
  </si>
  <si>
    <t>Enterprise</t>
  </si>
  <si>
    <t>Devices</t>
  </si>
  <si>
    <t>Other</t>
  </si>
  <si>
    <t>Product</t>
  </si>
  <si>
    <t>Service</t>
  </si>
  <si>
    <t>Revenue</t>
  </si>
  <si>
    <t>COGS</t>
  </si>
  <si>
    <t>Gross Margin</t>
  </si>
  <si>
    <t>R&amp;D</t>
  </si>
  <si>
    <t>S&amp;M</t>
  </si>
  <si>
    <t>G&amp;A</t>
  </si>
  <si>
    <t>OpInc</t>
  </si>
  <si>
    <t>PreTax</t>
  </si>
  <si>
    <t>OtherInc</t>
  </si>
  <si>
    <t>Taxes</t>
  </si>
  <si>
    <t>Net Income</t>
  </si>
  <si>
    <t>EPS</t>
  </si>
  <si>
    <t>Revenue Y/Y</t>
  </si>
  <si>
    <t>Server Products Y/Y</t>
  </si>
  <si>
    <t>Office Products Y/Y</t>
  </si>
  <si>
    <t>Ads Y/Y</t>
  </si>
  <si>
    <t>Net Cash</t>
  </si>
  <si>
    <t>AR</t>
  </si>
  <si>
    <t>Inventories</t>
  </si>
  <si>
    <t>PPE</t>
  </si>
  <si>
    <t>Leases</t>
  </si>
  <si>
    <t>Equity</t>
  </si>
  <si>
    <t>Goodwill</t>
  </si>
  <si>
    <t>Assets</t>
  </si>
  <si>
    <t>AP</t>
  </si>
  <si>
    <t>OLTL</t>
  </si>
  <si>
    <t>SE</t>
  </si>
  <si>
    <t>L+SE</t>
  </si>
  <si>
    <t>Q123</t>
  </si>
  <si>
    <t>Q223</t>
  </si>
  <si>
    <t>Tax</t>
  </si>
  <si>
    <t>ACTUAL QUARTER</t>
  </si>
  <si>
    <t>Q4</t>
  </si>
  <si>
    <t>Q3</t>
  </si>
  <si>
    <t>Q2</t>
  </si>
  <si>
    <t>Q1</t>
  </si>
  <si>
    <t>Q323</t>
  </si>
  <si>
    <t>Q423</t>
  </si>
  <si>
    <t>NPV</t>
  </si>
  <si>
    <t>Discount</t>
  </si>
  <si>
    <t>Terminal</t>
  </si>
  <si>
    <t>Return</t>
  </si>
  <si>
    <t>Current Share Price Expects 5% growth</t>
  </si>
  <si>
    <t>Segment</t>
  </si>
  <si>
    <t>% of Revenue</t>
  </si>
  <si>
    <t>Contains</t>
  </si>
  <si>
    <t>Growth</t>
  </si>
  <si>
    <t>Competition</t>
  </si>
  <si>
    <t>Productivity and Business Processes</t>
  </si>
  <si>
    <t>Intelligent Cloud</t>
  </si>
  <si>
    <t>More Personal Computing</t>
  </si>
  <si>
    <t>Office, Consulting, Dynamics</t>
  </si>
  <si>
    <t>Azure, Server Products, Cloud Services</t>
  </si>
  <si>
    <t>Windows, Xbox, Game Pass, Surface</t>
  </si>
  <si>
    <t>Google, Oracle, SAP, IBM</t>
  </si>
  <si>
    <t>Amazon, Google</t>
  </si>
  <si>
    <t>Apple, Sony, Samsung</t>
  </si>
  <si>
    <t>Net Income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</si>
</sst>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5" fillId="0" borderId="0" xfId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Border="1"/>
    <xf numFmtId="0" fontId="4" fillId="0" borderId="0" xfId="0" applyFont="1" applyBorder="1"/>
    <xf numFmtId="0" fontId="2" fillId="0" borderId="1" xfId="0" applyFont="1" applyBorder="1"/>
    <xf numFmtId="2" fontId="2" fillId="0" borderId="0" xfId="0" applyNumberFormat="1" applyFont="1"/>
    <xf numFmtId="8" fontId="2" fillId="0" borderId="0" xfId="0" applyNumberFormat="1" applyFont="1"/>
    <xf numFmtId="0" fontId="2" fillId="0" borderId="2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0" xfId="0" applyNumberFormat="1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1" xfId="0" applyNumberFormat="1" applyFont="1" applyBorder="1"/>
    <xf numFmtId="0" fontId="2" fillId="0" borderId="7" xfId="0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3" fontId="1" fillId="0" borderId="4" xfId="0" applyNumberFormat="1" applyFont="1" applyBorder="1"/>
    <xf numFmtId="4" fontId="1" fillId="0" borderId="5" xfId="0" applyNumberFormat="1" applyFont="1" applyBorder="1"/>
    <xf numFmtId="3" fontId="1" fillId="0" borderId="6" xfId="0" applyNumberFormat="1" applyFont="1" applyBorder="1"/>
    <xf numFmtId="9" fontId="1" fillId="0" borderId="7" xfId="0" applyNumberFormat="1" applyFont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142875</xdr:rowOff>
    </xdr:from>
    <xdr:to>
      <xdr:col>10</xdr:col>
      <xdr:colOff>104775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C2F1F6-88E8-9012-1B1C-B1A1E9DC8A0A}"/>
            </a:ext>
          </a:extLst>
        </xdr:cNvPr>
        <xdr:cNvCxnSpPr/>
      </xdr:nvCxnSpPr>
      <xdr:spPr>
        <a:xfrm>
          <a:off x="6791325" y="304800"/>
          <a:ext cx="0" cy="9229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609600</xdr:colOff>
      <xdr:row>0</xdr:row>
      <xdr:rowOff>38100</xdr:rowOff>
    </xdr:from>
    <xdr:to>
      <xdr:col>31</xdr:col>
      <xdr:colOff>0</xdr:colOff>
      <xdr:row>61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76AE607-B851-4531-B2C1-0F5CA29EE951}"/>
            </a:ext>
          </a:extLst>
        </xdr:cNvPr>
        <xdr:cNvCxnSpPr/>
      </xdr:nvCxnSpPr>
      <xdr:spPr>
        <a:xfrm>
          <a:off x="19812000" y="38100"/>
          <a:ext cx="9525" cy="986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787E-6F28-4BB0-A4F7-0F2CF5D65D20}">
  <dimension ref="A3:N20"/>
  <sheetViews>
    <sheetView workbookViewId="0">
      <selection activeCell="M4" sqref="M4"/>
    </sheetView>
  </sheetViews>
  <sheetFormatPr defaultRowHeight="12.75" x14ac:dyDescent="0.2"/>
  <cols>
    <col min="1" max="1" width="9.140625" style="1"/>
    <col min="2" max="2" width="32.5703125" style="1" bestFit="1" customWidth="1"/>
    <col min="3" max="3" width="12.28515625" style="1" bestFit="1" customWidth="1"/>
    <col min="4" max="4" width="37.42578125" style="1" bestFit="1" customWidth="1"/>
    <col min="5" max="5" width="9.140625" style="1"/>
    <col min="6" max="6" width="35.140625" style="1" bestFit="1" customWidth="1"/>
    <col min="7" max="16384" width="9.140625" style="1"/>
  </cols>
  <sheetData>
    <row r="3" spans="1:14" x14ac:dyDescent="0.2">
      <c r="B3" s="16" t="s">
        <v>73</v>
      </c>
      <c r="C3" s="18" t="s">
        <v>74</v>
      </c>
      <c r="D3" s="19" t="s">
        <v>75</v>
      </c>
      <c r="E3" s="18" t="s">
        <v>76</v>
      </c>
      <c r="F3" s="20" t="s">
        <v>77</v>
      </c>
      <c r="L3" s="1" t="s">
        <v>0</v>
      </c>
      <c r="M3" s="1">
        <v>291.91000000000003</v>
      </c>
    </row>
    <row r="4" spans="1:14" x14ac:dyDescent="0.2">
      <c r="B4" s="17" t="s">
        <v>78</v>
      </c>
      <c r="C4" s="21">
        <f>(15789/Model!I18)</f>
        <v>0.32019874264854997</v>
      </c>
      <c r="D4" s="11" t="s">
        <v>81</v>
      </c>
      <c r="E4" s="21">
        <f>(15789/13552)-1</f>
        <v>0.16506788665879579</v>
      </c>
      <c r="F4" s="22" t="s">
        <v>84</v>
      </c>
      <c r="L4" s="1" t="s">
        <v>1</v>
      </c>
      <c r="M4" s="2">
        <v>7457</v>
      </c>
      <c r="N4" s="1" t="s">
        <v>6</v>
      </c>
    </row>
    <row r="5" spans="1:14" x14ac:dyDescent="0.2">
      <c r="B5" s="17" t="s">
        <v>79</v>
      </c>
      <c r="C5" s="21">
        <f>(19051/Model!I18)</f>
        <v>0.38635165280876088</v>
      </c>
      <c r="D5" s="11" t="s">
        <v>82</v>
      </c>
      <c r="E5" s="21">
        <f>(19051/15118)-1</f>
        <v>0.2601534594523085</v>
      </c>
      <c r="F5" s="22" t="s">
        <v>85</v>
      </c>
      <c r="L5" s="1" t="s">
        <v>2</v>
      </c>
      <c r="M5" s="2">
        <f>PRODUCT(M4,M3)</f>
        <v>2176772.87</v>
      </c>
    </row>
    <row r="6" spans="1:14" x14ac:dyDescent="0.2">
      <c r="B6" s="23" t="s">
        <v>80</v>
      </c>
      <c r="C6" s="24">
        <f>(14520/Model!I18)</f>
        <v>0.29446359764753599</v>
      </c>
      <c r="D6" s="13" t="s">
        <v>83</v>
      </c>
      <c r="E6" s="24">
        <f>(14520/13036)-1</f>
        <v>0.11383860079779073</v>
      </c>
      <c r="F6" s="25" t="s">
        <v>86</v>
      </c>
      <c r="L6" s="1" t="s">
        <v>3</v>
      </c>
      <c r="M6" s="2">
        <v>103162</v>
      </c>
      <c r="N6" s="1" t="s">
        <v>6</v>
      </c>
    </row>
    <row r="7" spans="1:14" x14ac:dyDescent="0.2">
      <c r="A7" s="11"/>
      <c r="B7" s="11"/>
      <c r="C7" s="21"/>
      <c r="D7" s="11"/>
      <c r="E7" s="21"/>
      <c r="F7" s="11"/>
      <c r="L7" s="1" t="s">
        <v>4</v>
      </c>
      <c r="M7" s="2">
        <v>48177</v>
      </c>
      <c r="N7" s="1" t="s">
        <v>6</v>
      </c>
    </row>
    <row r="8" spans="1:14" x14ac:dyDescent="0.2">
      <c r="A8" s="11"/>
      <c r="B8" s="11"/>
      <c r="C8" s="21"/>
      <c r="D8" s="11"/>
      <c r="E8" s="21"/>
      <c r="F8" s="11"/>
      <c r="L8" s="1" t="s">
        <v>5</v>
      </c>
      <c r="M8" s="2">
        <f>SUM(M5,-M6,M7)</f>
        <v>2121787.87</v>
      </c>
    </row>
    <row r="9" spans="1:14" x14ac:dyDescent="0.2">
      <c r="A9" s="11"/>
      <c r="B9" s="11"/>
      <c r="C9" s="21"/>
      <c r="D9" s="11"/>
      <c r="E9" s="21"/>
      <c r="F9" s="11"/>
      <c r="G9" s="2"/>
    </row>
    <row r="10" spans="1:14" x14ac:dyDescent="0.2">
      <c r="A10" s="11"/>
      <c r="B10" s="11"/>
      <c r="C10" s="21"/>
      <c r="D10" s="11"/>
      <c r="E10" s="21"/>
      <c r="F10" s="11"/>
      <c r="G10" s="2"/>
    </row>
    <row r="11" spans="1:14" x14ac:dyDescent="0.2">
      <c r="A11" s="11"/>
      <c r="B11" s="11"/>
      <c r="C11" s="21"/>
      <c r="D11" s="11"/>
      <c r="E11" s="21"/>
      <c r="F11" s="11"/>
      <c r="G11" s="2"/>
    </row>
    <row r="12" spans="1:14" x14ac:dyDescent="0.2">
      <c r="A12" s="11"/>
      <c r="B12" s="11"/>
      <c r="C12" s="11"/>
      <c r="D12" s="11"/>
      <c r="E12" s="11"/>
      <c r="F12" s="11"/>
      <c r="G12" s="2"/>
    </row>
    <row r="13" spans="1:14" x14ac:dyDescent="0.2">
      <c r="G13" s="2"/>
    </row>
    <row r="14" spans="1:14" x14ac:dyDescent="0.2">
      <c r="G14" s="2"/>
      <c r="M14" s="2"/>
    </row>
    <row r="15" spans="1:14" x14ac:dyDescent="0.2">
      <c r="G15" s="2"/>
    </row>
    <row r="16" spans="1:14" x14ac:dyDescent="0.2">
      <c r="G16" s="2"/>
    </row>
    <row r="20" spans="7:7" x14ac:dyDescent="0.2">
      <c r="G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77F-5B7C-47F6-87A2-87389807C4D7}">
  <dimension ref="A1:DH59"/>
  <sheetViews>
    <sheetView tabSelected="1" zoomScaleNormal="100" workbookViewId="0">
      <pane xSplit="2" ySplit="2" topLeftCell="Q12" activePane="bottomRight" state="frozen"/>
      <selection pane="topRight" activeCell="C1" sqref="C1"/>
      <selection pane="bottomLeft" activeCell="A3" sqref="A3"/>
      <selection pane="bottomRight" activeCell="AH47" sqref="AH47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3" width="9.140625" style="1" customWidth="1"/>
    <col min="4" max="5" width="10.28515625" style="1" bestFit="1" customWidth="1"/>
    <col min="6" max="7" width="9.28515625" style="1" bestFit="1" customWidth="1"/>
    <col min="8" max="9" width="10.28515625" style="1" bestFit="1" customWidth="1"/>
    <col min="10" max="11" width="9.28515625" style="1" bestFit="1" customWidth="1"/>
    <col min="12" max="12" width="10.28515625" style="1" bestFit="1" customWidth="1"/>
    <col min="13" max="15" width="9.28515625" style="1" bestFit="1" customWidth="1"/>
    <col min="16" max="16" width="10.28515625" style="1" bestFit="1" customWidth="1"/>
    <col min="17" max="23" width="9.140625" style="1"/>
    <col min="24" max="31" width="9.28515625" style="1" bestFit="1" customWidth="1"/>
    <col min="32" max="32" width="9.28515625" style="1" customWidth="1"/>
    <col min="33" max="33" width="9" style="1" customWidth="1"/>
    <col min="34" max="34" width="11.7109375" style="1" bestFit="1" customWidth="1"/>
    <col min="35" max="35" width="9.140625" style="1" customWidth="1"/>
    <col min="36" max="78" width="9.28515625" style="1" bestFit="1" customWidth="1"/>
    <col min="79" max="100" width="10.140625" style="1" bestFit="1" customWidth="1"/>
    <col min="101" max="112" width="11.140625" style="1" bestFit="1" customWidth="1"/>
    <col min="113" max="16384" width="9.140625" style="1"/>
  </cols>
  <sheetData>
    <row r="1" spans="1:112" x14ac:dyDescent="0.2">
      <c r="A1" s="8" t="s">
        <v>18</v>
      </c>
      <c r="C1" s="3">
        <v>44104</v>
      </c>
      <c r="D1" s="3">
        <v>44196</v>
      </c>
      <c r="E1" s="10">
        <v>44286</v>
      </c>
      <c r="F1" s="3">
        <v>44377</v>
      </c>
      <c r="G1" s="3">
        <v>44469</v>
      </c>
      <c r="H1" s="3">
        <v>44561</v>
      </c>
      <c r="I1" s="10">
        <v>44651</v>
      </c>
      <c r="J1" s="3">
        <v>44742</v>
      </c>
      <c r="K1" s="3">
        <v>44834</v>
      </c>
      <c r="L1" s="3">
        <v>44926</v>
      </c>
      <c r="M1" s="3">
        <v>45016</v>
      </c>
      <c r="N1" s="3">
        <v>45107</v>
      </c>
      <c r="O1" s="3">
        <v>45199</v>
      </c>
      <c r="P1" s="3">
        <v>45291</v>
      </c>
    </row>
    <row r="2" spans="1:112" s="9" customFormat="1" x14ac:dyDescent="0.2"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6</v>
      </c>
      <c r="K2" s="9" t="s">
        <v>14</v>
      </c>
      <c r="L2" s="9" t="s">
        <v>15</v>
      </c>
      <c r="M2" s="9" t="s">
        <v>58</v>
      </c>
      <c r="N2" s="9" t="s">
        <v>59</v>
      </c>
      <c r="O2" s="9" t="s">
        <v>66</v>
      </c>
      <c r="P2" s="9" t="s">
        <v>67</v>
      </c>
      <c r="X2" s="9">
        <v>2015</v>
      </c>
      <c r="Y2" s="9">
        <v>2016</v>
      </c>
      <c r="Z2" s="9">
        <v>2017</v>
      </c>
      <c r="AA2" s="9">
        <f>Z2+1</f>
        <v>2018</v>
      </c>
      <c r="AB2" s="9">
        <f t="shared" ref="AB2:CM2" si="0">AA2+1</f>
        <v>2019</v>
      </c>
      <c r="AC2" s="9">
        <f t="shared" si="0"/>
        <v>2020</v>
      </c>
      <c r="AD2" s="9">
        <f t="shared" si="0"/>
        <v>2021</v>
      </c>
      <c r="AE2" s="9">
        <f t="shared" si="0"/>
        <v>2022</v>
      </c>
      <c r="AF2" s="9">
        <f t="shared" si="0"/>
        <v>2023</v>
      </c>
      <c r="AG2" s="9">
        <f t="shared" si="0"/>
        <v>2024</v>
      </c>
      <c r="AH2" s="9">
        <f t="shared" si="0"/>
        <v>2025</v>
      </c>
      <c r="AI2" s="9">
        <f t="shared" si="0"/>
        <v>2026</v>
      </c>
      <c r="AJ2" s="9">
        <f t="shared" si="0"/>
        <v>2027</v>
      </c>
      <c r="AK2" s="9">
        <f t="shared" si="0"/>
        <v>2028</v>
      </c>
      <c r="AL2" s="9">
        <f t="shared" si="0"/>
        <v>2029</v>
      </c>
      <c r="AM2" s="9">
        <f t="shared" si="0"/>
        <v>2030</v>
      </c>
      <c r="AN2" s="9">
        <f t="shared" si="0"/>
        <v>2031</v>
      </c>
      <c r="AO2" s="9">
        <f t="shared" si="0"/>
        <v>2032</v>
      </c>
      <c r="AP2" s="9">
        <f t="shared" si="0"/>
        <v>2033</v>
      </c>
      <c r="AQ2" s="9">
        <f t="shared" si="0"/>
        <v>2034</v>
      </c>
      <c r="AR2" s="9">
        <f t="shared" si="0"/>
        <v>2035</v>
      </c>
      <c r="AS2" s="9">
        <f t="shared" si="0"/>
        <v>2036</v>
      </c>
      <c r="AT2" s="9">
        <f t="shared" si="0"/>
        <v>2037</v>
      </c>
      <c r="AU2" s="9">
        <f t="shared" si="0"/>
        <v>2038</v>
      </c>
      <c r="AV2" s="9">
        <f t="shared" si="0"/>
        <v>2039</v>
      </c>
      <c r="AW2" s="9">
        <f t="shared" si="0"/>
        <v>2040</v>
      </c>
      <c r="AX2" s="9">
        <f t="shared" si="0"/>
        <v>2041</v>
      </c>
      <c r="AY2" s="9">
        <f t="shared" si="0"/>
        <v>2042</v>
      </c>
      <c r="AZ2" s="9">
        <f t="shared" si="0"/>
        <v>2043</v>
      </c>
      <c r="BA2" s="9">
        <f t="shared" si="0"/>
        <v>2044</v>
      </c>
      <c r="BB2" s="9">
        <f t="shared" si="0"/>
        <v>2045</v>
      </c>
      <c r="BC2" s="9">
        <f t="shared" si="0"/>
        <v>2046</v>
      </c>
      <c r="BD2" s="9">
        <f t="shared" si="0"/>
        <v>2047</v>
      </c>
      <c r="BE2" s="9">
        <f t="shared" si="0"/>
        <v>2048</v>
      </c>
      <c r="BF2" s="9">
        <f t="shared" si="0"/>
        <v>2049</v>
      </c>
      <c r="BG2" s="9">
        <f t="shared" si="0"/>
        <v>2050</v>
      </c>
      <c r="BH2" s="9">
        <f t="shared" si="0"/>
        <v>2051</v>
      </c>
      <c r="BI2" s="9">
        <f t="shared" si="0"/>
        <v>2052</v>
      </c>
      <c r="BJ2" s="9">
        <f t="shared" si="0"/>
        <v>2053</v>
      </c>
      <c r="BK2" s="9">
        <f t="shared" si="0"/>
        <v>2054</v>
      </c>
      <c r="BL2" s="9">
        <f t="shared" si="0"/>
        <v>2055</v>
      </c>
      <c r="BM2" s="9">
        <f t="shared" si="0"/>
        <v>2056</v>
      </c>
      <c r="BN2" s="9">
        <f t="shared" si="0"/>
        <v>2057</v>
      </c>
      <c r="BO2" s="9">
        <f t="shared" si="0"/>
        <v>2058</v>
      </c>
      <c r="BP2" s="9">
        <f t="shared" si="0"/>
        <v>2059</v>
      </c>
      <c r="BQ2" s="9">
        <f t="shared" si="0"/>
        <v>2060</v>
      </c>
      <c r="BR2" s="9">
        <f t="shared" si="0"/>
        <v>2061</v>
      </c>
      <c r="BS2" s="9">
        <f t="shared" si="0"/>
        <v>2062</v>
      </c>
      <c r="BT2" s="9">
        <f t="shared" si="0"/>
        <v>2063</v>
      </c>
      <c r="BU2" s="9">
        <f t="shared" si="0"/>
        <v>2064</v>
      </c>
      <c r="BV2" s="9">
        <f t="shared" si="0"/>
        <v>2065</v>
      </c>
      <c r="BW2" s="9">
        <f t="shared" si="0"/>
        <v>2066</v>
      </c>
      <c r="BX2" s="9">
        <f t="shared" si="0"/>
        <v>2067</v>
      </c>
      <c r="BY2" s="9">
        <f t="shared" si="0"/>
        <v>2068</v>
      </c>
      <c r="BZ2" s="9">
        <f t="shared" si="0"/>
        <v>2069</v>
      </c>
      <c r="CA2" s="9">
        <f t="shared" si="0"/>
        <v>2070</v>
      </c>
      <c r="CB2" s="9">
        <f t="shared" si="0"/>
        <v>2071</v>
      </c>
      <c r="CC2" s="9">
        <f t="shared" si="0"/>
        <v>2072</v>
      </c>
      <c r="CD2" s="9">
        <f t="shared" si="0"/>
        <v>2073</v>
      </c>
      <c r="CE2" s="9">
        <f t="shared" si="0"/>
        <v>2074</v>
      </c>
      <c r="CF2" s="9">
        <f t="shared" si="0"/>
        <v>2075</v>
      </c>
      <c r="CG2" s="9">
        <f t="shared" si="0"/>
        <v>2076</v>
      </c>
      <c r="CH2" s="9">
        <f t="shared" si="0"/>
        <v>2077</v>
      </c>
      <c r="CI2" s="9">
        <f t="shared" si="0"/>
        <v>2078</v>
      </c>
      <c r="CJ2" s="9">
        <f t="shared" si="0"/>
        <v>2079</v>
      </c>
      <c r="CK2" s="9">
        <f t="shared" si="0"/>
        <v>2080</v>
      </c>
      <c r="CL2" s="9">
        <f t="shared" si="0"/>
        <v>2081</v>
      </c>
      <c r="CM2" s="9">
        <f t="shared" si="0"/>
        <v>2082</v>
      </c>
      <c r="CN2" s="9">
        <f t="shared" ref="CN2:DH2" si="1">CM2+1</f>
        <v>2083</v>
      </c>
      <c r="CO2" s="9">
        <f t="shared" si="1"/>
        <v>2084</v>
      </c>
      <c r="CP2" s="9">
        <f t="shared" si="1"/>
        <v>2085</v>
      </c>
      <c r="CQ2" s="9">
        <f t="shared" si="1"/>
        <v>2086</v>
      </c>
      <c r="CR2" s="9">
        <f t="shared" si="1"/>
        <v>2087</v>
      </c>
      <c r="CS2" s="9">
        <f t="shared" si="1"/>
        <v>2088</v>
      </c>
      <c r="CT2" s="9">
        <f t="shared" si="1"/>
        <v>2089</v>
      </c>
      <c r="CU2" s="9">
        <f t="shared" si="1"/>
        <v>2090</v>
      </c>
      <c r="CV2" s="9">
        <f t="shared" si="1"/>
        <v>2091</v>
      </c>
      <c r="CW2" s="9">
        <f t="shared" si="1"/>
        <v>2092</v>
      </c>
      <c r="CX2" s="9">
        <f t="shared" si="1"/>
        <v>2093</v>
      </c>
      <c r="CY2" s="9">
        <f t="shared" si="1"/>
        <v>2094</v>
      </c>
      <c r="CZ2" s="9">
        <f t="shared" si="1"/>
        <v>2095</v>
      </c>
      <c r="DA2" s="9">
        <f t="shared" si="1"/>
        <v>2096</v>
      </c>
      <c r="DB2" s="9">
        <f t="shared" si="1"/>
        <v>2097</v>
      </c>
      <c r="DC2" s="9">
        <f t="shared" si="1"/>
        <v>2098</v>
      </c>
      <c r="DD2" s="9">
        <f t="shared" si="1"/>
        <v>2099</v>
      </c>
      <c r="DE2" s="9">
        <f t="shared" si="1"/>
        <v>2100</v>
      </c>
      <c r="DF2" s="9">
        <f t="shared" si="1"/>
        <v>2101</v>
      </c>
      <c r="DG2" s="9">
        <f t="shared" si="1"/>
        <v>2102</v>
      </c>
      <c r="DH2" s="9">
        <f t="shared" si="1"/>
        <v>2103</v>
      </c>
    </row>
    <row r="3" spans="1:112" x14ac:dyDescent="0.2">
      <c r="B3" s="1" t="s">
        <v>16</v>
      </c>
      <c r="C3" s="2">
        <v>19025</v>
      </c>
      <c r="D3" s="2">
        <v>21836</v>
      </c>
      <c r="E3" s="2">
        <v>20373</v>
      </c>
      <c r="F3" s="1">
        <v>22719</v>
      </c>
      <c r="G3" s="2">
        <v>22830</v>
      </c>
      <c r="H3" s="2">
        <v>26453</v>
      </c>
      <c r="I3" s="2">
        <v>24771</v>
      </c>
      <c r="J3" s="2">
        <v>26164</v>
      </c>
      <c r="K3" s="2">
        <f>J3*1.03</f>
        <v>26948.920000000002</v>
      </c>
      <c r="L3" s="2">
        <f t="shared" ref="L3:P3" si="2">K3*1.03</f>
        <v>27757.387600000002</v>
      </c>
      <c r="M3" s="2">
        <f t="shared" si="2"/>
        <v>28590.109228000001</v>
      </c>
      <c r="N3" s="2">
        <f t="shared" si="2"/>
        <v>29447.812504840003</v>
      </c>
      <c r="O3" s="2">
        <f t="shared" si="2"/>
        <v>30331.246879985203</v>
      </c>
      <c r="P3" s="2">
        <f t="shared" si="2"/>
        <v>31241.18428638476</v>
      </c>
      <c r="R3" s="11"/>
      <c r="S3" s="11"/>
      <c r="T3" s="11"/>
      <c r="W3" s="2"/>
      <c r="X3" s="2">
        <v>45248</v>
      </c>
      <c r="Y3" s="2">
        <v>46416</v>
      </c>
      <c r="Z3" s="2">
        <v>51078</v>
      </c>
      <c r="AA3" s="2">
        <v>55926</v>
      </c>
      <c r="AB3" s="2">
        <v>64199</v>
      </c>
      <c r="AC3" s="2">
        <v>73160</v>
      </c>
      <c r="AD3" s="2">
        <f>SUM(E3:H3)</f>
        <v>92375</v>
      </c>
      <c r="AE3" s="2">
        <v>100218</v>
      </c>
    </row>
    <row r="4" spans="1:112" x14ac:dyDescent="0.2">
      <c r="B4" s="1" t="s">
        <v>17</v>
      </c>
      <c r="C4" s="2">
        <v>18129</v>
      </c>
      <c r="D4" s="2">
        <v>21240</v>
      </c>
      <c r="E4" s="2">
        <v>21333</v>
      </c>
      <c r="F4" s="1">
        <v>23433</v>
      </c>
      <c r="G4" s="2">
        <v>22487</v>
      </c>
      <c r="H4" s="2">
        <v>25265</v>
      </c>
      <c r="I4" s="2">
        <v>24589</v>
      </c>
      <c r="J4" s="2">
        <v>25711</v>
      </c>
      <c r="K4" s="2">
        <f>J4*1.02</f>
        <v>26225.22</v>
      </c>
      <c r="L4" s="2">
        <f t="shared" ref="L4:P4" si="3">K4*1.02</f>
        <v>26749.724400000003</v>
      </c>
      <c r="M4" s="2">
        <f t="shared" si="3"/>
        <v>27284.718888000003</v>
      </c>
      <c r="N4" s="2">
        <f t="shared" si="3"/>
        <v>27830.413265760002</v>
      </c>
      <c r="O4" s="2">
        <f t="shared" si="3"/>
        <v>28387.021531075203</v>
      </c>
      <c r="P4" s="2">
        <f t="shared" si="3"/>
        <v>28954.761961696706</v>
      </c>
      <c r="R4" s="11"/>
      <c r="S4" s="11"/>
      <c r="T4" s="11"/>
      <c r="W4" s="2"/>
      <c r="X4" s="2">
        <v>44702</v>
      </c>
      <c r="Y4" s="2">
        <v>44738</v>
      </c>
      <c r="Z4" s="2">
        <v>45493</v>
      </c>
      <c r="AA4" s="2">
        <v>54434</v>
      </c>
      <c r="AB4" s="2">
        <v>61644</v>
      </c>
      <c r="AC4" s="2">
        <v>69855</v>
      </c>
      <c r="AD4" s="2">
        <f>SUM(E4:H4)</f>
        <v>92518</v>
      </c>
      <c r="AE4" s="2">
        <v>98052</v>
      </c>
    </row>
    <row r="5" spans="1:112" x14ac:dyDescent="0.2">
      <c r="C5" s="2"/>
      <c r="D5" s="2"/>
      <c r="E5" s="2"/>
      <c r="F5" s="2"/>
      <c r="G5" s="2"/>
      <c r="H5" s="2"/>
      <c r="I5" s="2"/>
      <c r="R5" s="11"/>
      <c r="S5" s="11"/>
      <c r="T5" s="11"/>
      <c r="W5" s="2"/>
      <c r="X5" s="2"/>
      <c r="Y5" s="2"/>
      <c r="Z5" s="2"/>
      <c r="AA5" s="2"/>
      <c r="AB5" s="2"/>
      <c r="AC5" s="2"/>
      <c r="AD5" s="2"/>
      <c r="AE5" s="2"/>
    </row>
    <row r="6" spans="1:112" x14ac:dyDescent="0.2">
      <c r="B6" s="1" t="s">
        <v>19</v>
      </c>
      <c r="C6" s="2">
        <v>11195</v>
      </c>
      <c r="D6" s="2">
        <v>12729</v>
      </c>
      <c r="E6" s="2">
        <v>13204</v>
      </c>
      <c r="F6" s="2">
        <f>52589-SUM(C6:E6)</f>
        <v>15461</v>
      </c>
      <c r="G6" s="2">
        <v>15069</v>
      </c>
      <c r="H6" s="2">
        <v>16375</v>
      </c>
      <c r="I6" s="2">
        <v>17038</v>
      </c>
      <c r="J6" s="2">
        <v>18839</v>
      </c>
      <c r="K6" s="2">
        <f>J6*1.03</f>
        <v>19404.170000000002</v>
      </c>
      <c r="L6" s="2">
        <f t="shared" ref="L6:P6" si="4">K6*1.03</f>
        <v>19986.295100000003</v>
      </c>
      <c r="M6" s="2">
        <f t="shared" si="4"/>
        <v>20585.883953000004</v>
      </c>
      <c r="N6" s="2">
        <f t="shared" si="4"/>
        <v>21203.460471590006</v>
      </c>
      <c r="O6" s="2">
        <f t="shared" si="4"/>
        <v>21839.564285737706</v>
      </c>
      <c r="P6" s="2">
        <f t="shared" si="4"/>
        <v>22494.751214309839</v>
      </c>
      <c r="R6" s="11"/>
      <c r="S6" s="11"/>
      <c r="T6" s="11"/>
      <c r="W6" s="2"/>
      <c r="X6" s="2">
        <v>18612</v>
      </c>
      <c r="Y6" s="2">
        <v>23868</v>
      </c>
      <c r="Z6" s="2">
        <v>21649</v>
      </c>
      <c r="AA6" s="2">
        <v>26129</v>
      </c>
      <c r="AB6" s="2">
        <v>32622</v>
      </c>
      <c r="AC6" s="2">
        <v>41379</v>
      </c>
      <c r="AD6" s="2">
        <f>SUM(E6:H6)</f>
        <v>60109</v>
      </c>
      <c r="AE6" s="2">
        <v>67321</v>
      </c>
      <c r="AF6" s="2">
        <f>AE6*1.12</f>
        <v>75399.520000000004</v>
      </c>
      <c r="AG6" s="2">
        <f t="shared" ref="AG6:AM6" si="5">AF6*1.12</f>
        <v>84447.462400000019</v>
      </c>
      <c r="AH6" s="2">
        <f t="shared" si="5"/>
        <v>94581.157888000031</v>
      </c>
      <c r="AI6" s="2">
        <f t="shared" si="5"/>
        <v>105930.89683456004</v>
      </c>
      <c r="AJ6" s="2">
        <f t="shared" si="5"/>
        <v>118642.60445470727</v>
      </c>
      <c r="AK6" s="2">
        <f t="shared" si="5"/>
        <v>132879.71698927216</v>
      </c>
      <c r="AL6" s="2">
        <f t="shared" si="5"/>
        <v>148825.28302798484</v>
      </c>
      <c r="AM6" s="2">
        <f t="shared" si="5"/>
        <v>166684.31699134305</v>
      </c>
    </row>
    <row r="7" spans="1:112" x14ac:dyDescent="0.2">
      <c r="B7" s="1" t="s">
        <v>20</v>
      </c>
      <c r="C7" s="2">
        <v>9278</v>
      </c>
      <c r="D7" s="2">
        <v>9881</v>
      </c>
      <c r="E7" s="2">
        <v>10016</v>
      </c>
      <c r="F7" s="2">
        <f>39872-SUM(C7:E7)</f>
        <v>10697</v>
      </c>
      <c r="G7" s="2">
        <v>10808</v>
      </c>
      <c r="H7" s="2">
        <v>11251</v>
      </c>
      <c r="I7" s="2">
        <v>11164</v>
      </c>
      <c r="J7" s="2">
        <v>11639</v>
      </c>
      <c r="K7" s="2">
        <f t="shared" ref="K7:P7" si="6">J7*1.03</f>
        <v>11988.17</v>
      </c>
      <c r="L7" s="2">
        <f t="shared" si="6"/>
        <v>12347.8151</v>
      </c>
      <c r="M7" s="2">
        <f t="shared" si="6"/>
        <v>12718.249553</v>
      </c>
      <c r="N7" s="2">
        <f t="shared" si="6"/>
        <v>13099.797039589999</v>
      </c>
      <c r="O7" s="2">
        <f t="shared" si="6"/>
        <v>13492.7909507777</v>
      </c>
      <c r="P7" s="2">
        <f t="shared" si="6"/>
        <v>13897.574679301031</v>
      </c>
      <c r="R7" s="11"/>
      <c r="S7" s="11"/>
      <c r="T7" s="11"/>
      <c r="W7" s="2"/>
      <c r="X7" s="2">
        <v>23538</v>
      </c>
      <c r="Y7" s="2">
        <v>19062</v>
      </c>
      <c r="Z7" s="2">
        <v>25573</v>
      </c>
      <c r="AA7" s="2">
        <v>28316</v>
      </c>
      <c r="AB7" s="2">
        <v>31769</v>
      </c>
      <c r="AC7" s="2">
        <v>35316</v>
      </c>
      <c r="AD7" s="2">
        <f t="shared" ref="AD7:AD14" si="7">SUM(E7:H7)</f>
        <v>42772</v>
      </c>
      <c r="AE7" s="2">
        <v>44862</v>
      </c>
      <c r="AF7" s="2">
        <f>AE7*1.05</f>
        <v>47105.1</v>
      </c>
      <c r="AG7" s="2">
        <f t="shared" ref="AG7:AM7" si="8">AF7*1.05</f>
        <v>49460.355000000003</v>
      </c>
      <c r="AH7" s="2">
        <f t="shared" si="8"/>
        <v>51933.372750000002</v>
      </c>
      <c r="AI7" s="2">
        <f t="shared" si="8"/>
        <v>54530.041387500001</v>
      </c>
      <c r="AJ7" s="2">
        <f t="shared" si="8"/>
        <v>57256.543456875006</v>
      </c>
      <c r="AK7" s="2">
        <f t="shared" si="8"/>
        <v>60119.37062971876</v>
      </c>
      <c r="AL7" s="2">
        <f t="shared" si="8"/>
        <v>63125.339161204698</v>
      </c>
      <c r="AM7" s="2">
        <f t="shared" si="8"/>
        <v>66281.606119264936</v>
      </c>
    </row>
    <row r="8" spans="1:112" x14ac:dyDescent="0.2">
      <c r="B8" s="1" t="s">
        <v>21</v>
      </c>
      <c r="C8" s="2">
        <v>5151</v>
      </c>
      <c r="D8" s="2">
        <v>5514</v>
      </c>
      <c r="E8" s="2">
        <v>5463</v>
      </c>
      <c r="F8" s="2">
        <f>22488-SUM(C8:E8)</f>
        <v>6360</v>
      </c>
      <c r="G8" s="2">
        <v>5676</v>
      </c>
      <c r="H8" s="2">
        <v>6600</v>
      </c>
      <c r="I8" s="2">
        <v>6077</v>
      </c>
      <c r="J8" s="2">
        <v>6408</v>
      </c>
      <c r="K8" s="2">
        <f t="shared" ref="K8:P8" si="9">J8*1.03</f>
        <v>6600.24</v>
      </c>
      <c r="L8" s="2">
        <f t="shared" si="9"/>
        <v>6798.2471999999998</v>
      </c>
      <c r="M8" s="2">
        <f t="shared" si="9"/>
        <v>7002.1946159999998</v>
      </c>
      <c r="N8" s="2">
        <f t="shared" si="9"/>
        <v>7212.2604544799997</v>
      </c>
      <c r="O8" s="2">
        <f t="shared" si="9"/>
        <v>7428.6282681144003</v>
      </c>
      <c r="P8" s="2">
        <f t="shared" si="9"/>
        <v>7651.4871161578321</v>
      </c>
      <c r="R8" s="11"/>
      <c r="S8" s="11"/>
      <c r="T8" s="11"/>
      <c r="W8" s="2"/>
      <c r="X8" s="2">
        <v>14826</v>
      </c>
      <c r="Y8" s="2">
        <v>17548</v>
      </c>
      <c r="Z8" s="2">
        <v>18593</v>
      </c>
      <c r="AA8" s="2">
        <v>19518</v>
      </c>
      <c r="AB8" s="2">
        <v>20395</v>
      </c>
      <c r="AC8" s="2">
        <v>21510</v>
      </c>
      <c r="AD8" s="2">
        <f t="shared" si="7"/>
        <v>24099</v>
      </c>
      <c r="AE8" s="2">
        <v>24761</v>
      </c>
      <c r="AF8" s="2">
        <f t="shared" ref="AF8:AM8" si="10">AE8*1.02</f>
        <v>25256.22</v>
      </c>
      <c r="AG8" s="2">
        <f t="shared" si="10"/>
        <v>25761.344400000002</v>
      </c>
      <c r="AH8" s="2">
        <f t="shared" si="10"/>
        <v>26276.571288000003</v>
      </c>
      <c r="AI8" s="2">
        <f t="shared" si="10"/>
        <v>26802.102713760003</v>
      </c>
      <c r="AJ8" s="2">
        <f t="shared" si="10"/>
        <v>27338.144768035203</v>
      </c>
      <c r="AK8" s="2">
        <f t="shared" si="10"/>
        <v>27884.907663395908</v>
      </c>
      <c r="AL8" s="2">
        <f t="shared" si="10"/>
        <v>28442.605816663829</v>
      </c>
      <c r="AM8" s="2">
        <f t="shared" si="10"/>
        <v>29011.457932997106</v>
      </c>
    </row>
    <row r="9" spans="1:112" x14ac:dyDescent="0.2">
      <c r="B9" s="1" t="s">
        <v>22</v>
      </c>
      <c r="C9" s="2">
        <v>3092</v>
      </c>
      <c r="D9" s="2">
        <v>5031</v>
      </c>
      <c r="E9" s="2">
        <v>3533</v>
      </c>
      <c r="F9" s="2">
        <f>15370-SUM(C9:E9)</f>
        <v>3714</v>
      </c>
      <c r="G9" s="2">
        <v>3593</v>
      </c>
      <c r="H9" s="2">
        <v>5442</v>
      </c>
      <c r="I9" s="2">
        <v>3740</v>
      </c>
      <c r="J9" s="2">
        <v>3455</v>
      </c>
      <c r="K9" s="2">
        <f t="shared" ref="K9:P9" si="11">J9*1.03</f>
        <v>3558.65</v>
      </c>
      <c r="L9" s="2">
        <f t="shared" si="11"/>
        <v>3665.4095000000002</v>
      </c>
      <c r="M9" s="2">
        <f t="shared" si="11"/>
        <v>3775.3717850000003</v>
      </c>
      <c r="N9" s="2">
        <f t="shared" si="11"/>
        <v>3888.6329385500003</v>
      </c>
      <c r="O9" s="2">
        <f t="shared" si="11"/>
        <v>4005.2919267065004</v>
      </c>
      <c r="P9" s="2">
        <f t="shared" si="11"/>
        <v>4125.4506845076958</v>
      </c>
      <c r="R9" s="11"/>
      <c r="S9" s="11"/>
      <c r="T9" s="11"/>
      <c r="W9" s="2"/>
      <c r="X9" s="2">
        <v>9121</v>
      </c>
      <c r="Y9" s="2">
        <v>9202</v>
      </c>
      <c r="Z9" s="2">
        <v>9051</v>
      </c>
      <c r="AA9" s="2">
        <v>10353</v>
      </c>
      <c r="AB9" s="2">
        <v>11386</v>
      </c>
      <c r="AC9" s="2">
        <v>11575</v>
      </c>
      <c r="AD9" s="2">
        <f t="shared" si="7"/>
        <v>16282</v>
      </c>
      <c r="AE9" s="2">
        <v>16230</v>
      </c>
      <c r="AF9" s="2">
        <f t="shared" ref="AF9:AM9" si="12">AE9*1.02</f>
        <v>16554.599999999999</v>
      </c>
      <c r="AG9" s="2">
        <f t="shared" si="12"/>
        <v>16885.691999999999</v>
      </c>
      <c r="AH9" s="2">
        <f t="shared" si="12"/>
        <v>17223.405839999999</v>
      </c>
      <c r="AI9" s="2">
        <f t="shared" si="12"/>
        <v>17567.873956799998</v>
      </c>
      <c r="AJ9" s="2">
        <f t="shared" si="12"/>
        <v>17919.231435935999</v>
      </c>
      <c r="AK9" s="2">
        <f t="shared" si="12"/>
        <v>18277.616064654718</v>
      </c>
      <c r="AL9" s="2">
        <f t="shared" si="12"/>
        <v>18643.168385947811</v>
      </c>
      <c r="AM9" s="2">
        <f t="shared" si="12"/>
        <v>19016.031753666768</v>
      </c>
    </row>
    <row r="10" spans="1:112" x14ac:dyDescent="0.2">
      <c r="B10" s="1" t="s">
        <v>23</v>
      </c>
      <c r="C10" s="2">
        <v>2206</v>
      </c>
      <c r="D10" s="2">
        <v>2577</v>
      </c>
      <c r="E10" s="2">
        <v>2562</v>
      </c>
      <c r="F10" s="2">
        <f>10289-SUM(C10:E10)</f>
        <v>2944</v>
      </c>
      <c r="G10" s="2">
        <v>3136</v>
      </c>
      <c r="H10" s="2">
        <v>3531</v>
      </c>
      <c r="I10" s="2">
        <v>3437</v>
      </c>
      <c r="J10" s="2">
        <v>3712</v>
      </c>
      <c r="K10" s="2">
        <f t="shared" ref="K10:P10" si="13">J10*1.03</f>
        <v>3823.36</v>
      </c>
      <c r="L10" s="2">
        <f t="shared" si="13"/>
        <v>3938.0608000000002</v>
      </c>
      <c r="M10" s="2">
        <f t="shared" si="13"/>
        <v>4056.2026240000005</v>
      </c>
      <c r="N10" s="2">
        <f t="shared" si="13"/>
        <v>4177.8887027200008</v>
      </c>
      <c r="O10" s="2">
        <f t="shared" si="13"/>
        <v>4303.2253638016009</v>
      </c>
      <c r="P10" s="2">
        <f t="shared" si="13"/>
        <v>4432.3221247156489</v>
      </c>
      <c r="R10" s="11"/>
      <c r="S10" s="11"/>
      <c r="T10" s="11"/>
      <c r="W10" s="2"/>
      <c r="X10" s="2">
        <v>0</v>
      </c>
      <c r="Y10" s="2">
        <v>0</v>
      </c>
      <c r="Z10" s="2">
        <v>6219</v>
      </c>
      <c r="AA10" s="2">
        <v>7012</v>
      </c>
      <c r="AB10" s="2">
        <v>7628</v>
      </c>
      <c r="AC10" s="2">
        <v>8077</v>
      </c>
      <c r="AD10" s="2">
        <f t="shared" si="7"/>
        <v>12173</v>
      </c>
      <c r="AE10" s="2">
        <v>13816</v>
      </c>
      <c r="AF10" s="2">
        <f t="shared" ref="AF10:AM10" si="14">AE10*1.02</f>
        <v>14092.32</v>
      </c>
      <c r="AG10" s="2">
        <f t="shared" si="14"/>
        <v>14374.1664</v>
      </c>
      <c r="AH10" s="2">
        <f t="shared" si="14"/>
        <v>14661.649728</v>
      </c>
      <c r="AI10" s="2">
        <f t="shared" si="14"/>
        <v>14954.88272256</v>
      </c>
      <c r="AJ10" s="2">
        <f t="shared" si="14"/>
        <v>15253.980377011199</v>
      </c>
      <c r="AK10" s="2">
        <f t="shared" si="14"/>
        <v>15559.059984551424</v>
      </c>
      <c r="AL10" s="2">
        <f t="shared" si="14"/>
        <v>15870.241184242454</v>
      </c>
      <c r="AM10" s="2">
        <f t="shared" si="14"/>
        <v>16187.646007927302</v>
      </c>
    </row>
    <row r="11" spans="1:112" x14ac:dyDescent="0.2">
      <c r="B11" s="1" t="s">
        <v>24</v>
      </c>
      <c r="C11" s="2">
        <v>1943</v>
      </c>
      <c r="D11" s="2">
        <v>2386</v>
      </c>
      <c r="E11" s="2">
        <v>2401</v>
      </c>
      <c r="F11" s="2">
        <f>9267-SUM(C11:E11)</f>
        <v>2537</v>
      </c>
      <c r="G11" s="2">
        <v>2656</v>
      </c>
      <c r="H11" s="2">
        <v>3064</v>
      </c>
      <c r="I11" s="2">
        <v>2945</v>
      </c>
      <c r="J11" s="2">
        <v>2926</v>
      </c>
      <c r="K11" s="2">
        <f t="shared" ref="K11:P11" si="15">J11*1.03</f>
        <v>3013.78</v>
      </c>
      <c r="L11" s="2">
        <f t="shared" si="15"/>
        <v>3104.1934000000001</v>
      </c>
      <c r="M11" s="2">
        <f t="shared" si="15"/>
        <v>3197.3192020000001</v>
      </c>
      <c r="N11" s="2">
        <f t="shared" si="15"/>
        <v>3293.2387780600002</v>
      </c>
      <c r="O11" s="2">
        <f t="shared" si="15"/>
        <v>3392.0359414018003</v>
      </c>
      <c r="P11" s="2">
        <f t="shared" si="15"/>
        <v>3493.7970196438546</v>
      </c>
      <c r="R11" s="11"/>
      <c r="S11" s="11"/>
      <c r="T11" s="11"/>
      <c r="W11" s="2"/>
      <c r="X11" s="2">
        <v>4557</v>
      </c>
      <c r="Y11" s="2">
        <v>5659</v>
      </c>
      <c r="Z11" s="2">
        <v>2271</v>
      </c>
      <c r="AA11" s="2">
        <v>5259</v>
      </c>
      <c r="AB11" s="2">
        <v>6754</v>
      </c>
      <c r="AC11" s="2">
        <v>8524</v>
      </c>
      <c r="AD11" s="2">
        <f t="shared" si="7"/>
        <v>10658</v>
      </c>
      <c r="AE11" s="2">
        <v>11591</v>
      </c>
      <c r="AF11" s="2">
        <f t="shared" ref="AF11:AM11" si="16">AE11*1.02</f>
        <v>11822.82</v>
      </c>
      <c r="AG11" s="2">
        <f t="shared" si="16"/>
        <v>12059.276400000001</v>
      </c>
      <c r="AH11" s="2">
        <f t="shared" si="16"/>
        <v>12300.461928000001</v>
      </c>
      <c r="AI11" s="2">
        <f t="shared" si="16"/>
        <v>12546.471166560001</v>
      </c>
      <c r="AJ11" s="2">
        <f t="shared" si="16"/>
        <v>12797.4005898912</v>
      </c>
      <c r="AK11" s="2">
        <f t="shared" si="16"/>
        <v>13053.348601689024</v>
      </c>
      <c r="AL11" s="2">
        <f t="shared" si="16"/>
        <v>13314.415573722805</v>
      </c>
      <c r="AM11" s="2">
        <f t="shared" si="16"/>
        <v>13580.703885197261</v>
      </c>
    </row>
    <row r="12" spans="1:112" x14ac:dyDescent="0.2">
      <c r="B12" s="1" t="s">
        <v>25</v>
      </c>
      <c r="C12" s="2">
        <v>1637</v>
      </c>
      <c r="D12" s="2">
        <v>2120</v>
      </c>
      <c r="E12" s="2">
        <v>1803</v>
      </c>
      <c r="F12" s="2">
        <f>6943-SUM(C12:E12)</f>
        <v>1383</v>
      </c>
      <c r="G12" s="2">
        <v>1791</v>
      </c>
      <c r="H12" s="2">
        <v>2285</v>
      </c>
      <c r="I12" s="2">
        <v>1891</v>
      </c>
      <c r="J12" s="2">
        <v>1440</v>
      </c>
      <c r="K12" s="2">
        <f t="shared" ref="K12:P12" si="17">J12*1.03</f>
        <v>1483.2</v>
      </c>
      <c r="L12" s="2">
        <f t="shared" si="17"/>
        <v>1527.6960000000001</v>
      </c>
      <c r="M12" s="2">
        <f t="shared" si="17"/>
        <v>1573.5268800000001</v>
      </c>
      <c r="N12" s="2">
        <f t="shared" si="17"/>
        <v>1620.7326864000001</v>
      </c>
      <c r="O12" s="2">
        <f t="shared" si="17"/>
        <v>1669.3546669920001</v>
      </c>
      <c r="P12" s="2">
        <f t="shared" si="17"/>
        <v>1719.4353070017603</v>
      </c>
      <c r="R12" s="11"/>
      <c r="S12" s="11"/>
      <c r="T12" s="11"/>
      <c r="W12" s="2"/>
      <c r="X12" s="2">
        <v>5090</v>
      </c>
      <c r="Y12" s="2">
        <v>7888</v>
      </c>
      <c r="Z12" s="2">
        <v>5542</v>
      </c>
      <c r="AA12" s="2">
        <v>5846</v>
      </c>
      <c r="AB12" s="2">
        <v>6124</v>
      </c>
      <c r="AC12" s="2">
        <v>6409</v>
      </c>
      <c r="AD12" s="2">
        <f t="shared" si="7"/>
        <v>7262</v>
      </c>
      <c r="AE12" s="2">
        <v>7407</v>
      </c>
      <c r="AF12" s="2">
        <f t="shared" ref="AF12:AM12" si="18">AE12*1.02</f>
        <v>7555.14</v>
      </c>
      <c r="AG12" s="2">
        <f t="shared" si="18"/>
        <v>7706.2428000000009</v>
      </c>
      <c r="AH12" s="2">
        <f t="shared" si="18"/>
        <v>7860.3676560000013</v>
      </c>
      <c r="AI12" s="2">
        <f t="shared" si="18"/>
        <v>8017.5750091200016</v>
      </c>
      <c r="AJ12" s="2">
        <f t="shared" si="18"/>
        <v>8177.9265093024014</v>
      </c>
      <c r="AK12" s="2">
        <f t="shared" si="18"/>
        <v>8341.4850394884488</v>
      </c>
      <c r="AL12" s="2">
        <f t="shared" si="18"/>
        <v>8508.3147402782179</v>
      </c>
      <c r="AM12" s="2">
        <f t="shared" si="18"/>
        <v>8678.4810350837815</v>
      </c>
    </row>
    <row r="13" spans="1:112" x14ac:dyDescent="0.2">
      <c r="B13" s="1" t="s">
        <v>26</v>
      </c>
      <c r="C13" s="2">
        <v>1620</v>
      </c>
      <c r="D13" s="2">
        <v>1695</v>
      </c>
      <c r="E13" s="2">
        <v>1599</v>
      </c>
      <c r="F13" s="2">
        <f>6791-SUM(C13:E13)</f>
        <v>1877</v>
      </c>
      <c r="G13" s="2">
        <v>1361</v>
      </c>
      <c r="H13" s="2">
        <v>1823</v>
      </c>
      <c r="I13" s="2">
        <v>1764</v>
      </c>
      <c r="J13" s="2">
        <v>2043</v>
      </c>
      <c r="K13" s="2">
        <f t="shared" ref="K13:P13" si="19">J13*1.03</f>
        <v>2104.29</v>
      </c>
      <c r="L13" s="2">
        <f t="shared" si="19"/>
        <v>2167.4187000000002</v>
      </c>
      <c r="M13" s="2">
        <f t="shared" si="19"/>
        <v>2232.4412610000004</v>
      </c>
      <c r="N13" s="2">
        <f t="shared" si="19"/>
        <v>2299.4144988300004</v>
      </c>
      <c r="O13" s="2">
        <f t="shared" si="19"/>
        <v>2368.3969337949006</v>
      </c>
      <c r="P13" s="2">
        <f t="shared" si="19"/>
        <v>2439.4488418087476</v>
      </c>
      <c r="R13" s="11"/>
      <c r="S13" s="11"/>
      <c r="T13" s="11"/>
      <c r="W13" s="2"/>
      <c r="X13" s="2">
        <v>11602</v>
      </c>
      <c r="Y13" s="2">
        <v>7466</v>
      </c>
      <c r="Z13" s="2">
        <v>5062</v>
      </c>
      <c r="AA13" s="2">
        <v>5134</v>
      </c>
      <c r="AB13" s="2">
        <v>6095</v>
      </c>
      <c r="AC13" s="2">
        <v>6457</v>
      </c>
      <c r="AD13" s="2">
        <f t="shared" si="7"/>
        <v>6660</v>
      </c>
      <c r="AE13" s="2">
        <v>6991</v>
      </c>
      <c r="AF13" s="2">
        <f t="shared" ref="AF13:AM13" si="20">AE13*1.02</f>
        <v>7130.82</v>
      </c>
      <c r="AG13" s="2">
        <f t="shared" si="20"/>
        <v>7273.4363999999996</v>
      </c>
      <c r="AH13" s="2">
        <f t="shared" si="20"/>
        <v>7418.9051279999994</v>
      </c>
      <c r="AI13" s="2">
        <f t="shared" si="20"/>
        <v>7567.2832305599995</v>
      </c>
      <c r="AJ13" s="2">
        <f t="shared" si="20"/>
        <v>7718.6288951711995</v>
      </c>
      <c r="AK13" s="2">
        <f t="shared" si="20"/>
        <v>7873.0014730746234</v>
      </c>
      <c r="AL13" s="2">
        <f t="shared" si="20"/>
        <v>8030.4615025361163</v>
      </c>
      <c r="AM13" s="2">
        <f t="shared" si="20"/>
        <v>8191.0707325868389</v>
      </c>
    </row>
    <row r="14" spans="1:112" x14ac:dyDescent="0.2">
      <c r="B14" s="1" t="s">
        <v>27</v>
      </c>
      <c r="C14" s="2">
        <v>1032</v>
      </c>
      <c r="D14" s="2">
        <v>1143</v>
      </c>
      <c r="E14" s="2">
        <v>1125</v>
      </c>
      <c r="F14" s="2">
        <f>4479-SUM(C14:E14)</f>
        <v>1179</v>
      </c>
      <c r="G14" s="2">
        <v>1227</v>
      </c>
      <c r="H14" s="2">
        <v>1357</v>
      </c>
      <c r="I14" s="2">
        <v>1304</v>
      </c>
      <c r="J14" s="2">
        <v>1403</v>
      </c>
      <c r="K14" s="2">
        <f t="shared" ref="K14:P14" si="21">J14*1.03</f>
        <v>1445.0900000000001</v>
      </c>
      <c r="L14" s="2">
        <f t="shared" si="21"/>
        <v>1488.4427000000003</v>
      </c>
      <c r="M14" s="2">
        <f t="shared" si="21"/>
        <v>1533.0959810000004</v>
      </c>
      <c r="N14" s="2">
        <f t="shared" si="21"/>
        <v>1579.0888604300005</v>
      </c>
      <c r="O14" s="2">
        <f t="shared" si="21"/>
        <v>1626.4615262429006</v>
      </c>
      <c r="P14" s="2">
        <f t="shared" si="21"/>
        <v>1675.2553720301876</v>
      </c>
      <c r="R14" s="11"/>
      <c r="S14" s="11"/>
      <c r="T14" s="11"/>
      <c r="W14" s="2"/>
      <c r="X14" s="2">
        <v>6234</v>
      </c>
      <c r="Y14" s="2">
        <v>2499</v>
      </c>
      <c r="Z14" s="2">
        <v>2611</v>
      </c>
      <c r="AA14" s="2">
        <v>2793</v>
      </c>
      <c r="AB14" s="2">
        <v>3070</v>
      </c>
      <c r="AC14" s="2">
        <v>3768</v>
      </c>
      <c r="AD14" s="2">
        <f t="shared" si="7"/>
        <v>4888</v>
      </c>
      <c r="AE14" s="2">
        <v>5291</v>
      </c>
      <c r="AF14" s="2">
        <f t="shared" ref="AF14:AM14" si="22">AE14*1.02</f>
        <v>5396.82</v>
      </c>
      <c r="AG14" s="2">
        <f t="shared" si="22"/>
        <v>5504.7564000000002</v>
      </c>
      <c r="AH14" s="2">
        <f t="shared" si="22"/>
        <v>5614.8515280000001</v>
      </c>
      <c r="AI14" s="2">
        <f t="shared" si="22"/>
        <v>5727.1485585600003</v>
      </c>
      <c r="AJ14" s="2">
        <f t="shared" si="22"/>
        <v>5841.6915297312007</v>
      </c>
      <c r="AK14" s="2">
        <f t="shared" si="22"/>
        <v>5958.5253603258252</v>
      </c>
      <c r="AL14" s="2">
        <f t="shared" si="22"/>
        <v>6077.6958675323422</v>
      </c>
      <c r="AM14" s="2">
        <f t="shared" si="22"/>
        <v>6199.2497848829889</v>
      </c>
    </row>
    <row r="15" spans="1:11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1"/>
      <c r="S15" s="11"/>
      <c r="T15" s="11"/>
      <c r="X15" s="2"/>
      <c r="Y15" s="2"/>
      <c r="Z15" s="2"/>
      <c r="AA15" s="2"/>
      <c r="AB15" s="2"/>
      <c r="AC15" s="2"/>
      <c r="AD15" s="2"/>
      <c r="AE15" s="2"/>
    </row>
    <row r="16" spans="1:112" x14ac:dyDescent="0.2">
      <c r="B16" s="1" t="s">
        <v>28</v>
      </c>
      <c r="C16" s="2">
        <v>15803</v>
      </c>
      <c r="D16" s="2">
        <v>19460</v>
      </c>
      <c r="E16" s="2">
        <v>16873</v>
      </c>
      <c r="F16" s="2">
        <v>18938</v>
      </c>
      <c r="G16" s="2">
        <v>16631</v>
      </c>
      <c r="H16" s="2">
        <v>20779</v>
      </c>
      <c r="I16" s="2">
        <v>17366</v>
      </c>
      <c r="J16" s="2">
        <v>17956</v>
      </c>
      <c r="K16" s="2">
        <f>J16*1.03</f>
        <v>18494.68</v>
      </c>
      <c r="L16" s="2">
        <f t="shared" ref="L16:P16" si="23">K16*1.03</f>
        <v>19049.520400000001</v>
      </c>
      <c r="M16" s="2">
        <f t="shared" si="23"/>
        <v>19621.006012000002</v>
      </c>
      <c r="N16" s="2">
        <f t="shared" si="23"/>
        <v>20209.636192360002</v>
      </c>
      <c r="O16" s="2">
        <f t="shared" si="23"/>
        <v>20815.925278130802</v>
      </c>
      <c r="P16" s="2">
        <f t="shared" si="23"/>
        <v>21440.403036474727</v>
      </c>
      <c r="R16" s="11"/>
      <c r="S16" s="11"/>
      <c r="T16" s="11"/>
      <c r="X16" s="2">
        <v>75596</v>
      </c>
      <c r="Y16" s="2">
        <v>67336</v>
      </c>
      <c r="Z16" s="2">
        <v>63811</v>
      </c>
      <c r="AA16" s="2">
        <v>64497</v>
      </c>
      <c r="AB16" s="2">
        <v>66069</v>
      </c>
      <c r="AC16" s="2">
        <v>68041</v>
      </c>
      <c r="AD16" s="2">
        <v>71074</v>
      </c>
      <c r="AE16" s="2">
        <v>72732</v>
      </c>
      <c r="AF16" s="2"/>
    </row>
    <row r="17" spans="2:112" x14ac:dyDescent="0.2">
      <c r="B17" s="1" t="s">
        <v>29</v>
      </c>
      <c r="C17" s="2">
        <v>21351</v>
      </c>
      <c r="D17" s="2">
        <v>23616</v>
      </c>
      <c r="E17" s="2">
        <v>24833</v>
      </c>
      <c r="F17" s="2">
        <v>27214</v>
      </c>
      <c r="G17" s="2">
        <v>28686</v>
      </c>
      <c r="H17" s="2">
        <v>30949</v>
      </c>
      <c r="I17" s="2">
        <v>31944</v>
      </c>
      <c r="J17" s="2">
        <v>33959</v>
      </c>
      <c r="K17" s="2">
        <f>J17*1.04</f>
        <v>35317.360000000001</v>
      </c>
      <c r="L17" s="2">
        <f t="shared" ref="L17:P17" si="24">K17*1.04</f>
        <v>36730.054400000001</v>
      </c>
      <c r="M17" s="2">
        <f t="shared" si="24"/>
        <v>38199.256576</v>
      </c>
      <c r="N17" s="2">
        <f t="shared" si="24"/>
        <v>39727.226839039999</v>
      </c>
      <c r="O17" s="2">
        <f t="shared" si="24"/>
        <v>41316.315912601603</v>
      </c>
      <c r="P17" s="2">
        <f t="shared" si="24"/>
        <v>42968.968549105666</v>
      </c>
      <c r="R17" s="11"/>
      <c r="S17" s="11"/>
      <c r="T17" s="11"/>
      <c r="U17" s="11"/>
      <c r="X17" s="2">
        <v>17624</v>
      </c>
      <c r="Y17" s="2">
        <v>23818</v>
      </c>
      <c r="Z17" s="2">
        <v>32760</v>
      </c>
      <c r="AA17" s="2">
        <v>45863</v>
      </c>
      <c r="AB17" s="2">
        <v>59774</v>
      </c>
      <c r="AC17" s="2">
        <v>74974</v>
      </c>
      <c r="AD17" s="2">
        <v>97014</v>
      </c>
      <c r="AE17" s="2">
        <v>125538</v>
      </c>
      <c r="AF17" s="2"/>
    </row>
    <row r="18" spans="2:112" s="4" customFormat="1" x14ac:dyDescent="0.2">
      <c r="B18" s="4" t="s">
        <v>30</v>
      </c>
      <c r="C18" s="5">
        <f t="shared" ref="C18:D18" si="25">SUM(C16,C17)</f>
        <v>37154</v>
      </c>
      <c r="D18" s="5">
        <f t="shared" si="25"/>
        <v>43076</v>
      </c>
      <c r="E18" s="5">
        <f>SUM(E16,E17)</f>
        <v>41706</v>
      </c>
      <c r="F18" s="5">
        <f t="shared" ref="F18:I18" si="26">SUM(F16,F17)</f>
        <v>46152</v>
      </c>
      <c r="G18" s="5">
        <f t="shared" si="26"/>
        <v>45317</v>
      </c>
      <c r="H18" s="5">
        <f t="shared" si="26"/>
        <v>51728</v>
      </c>
      <c r="I18" s="5">
        <f t="shared" si="26"/>
        <v>49310</v>
      </c>
      <c r="J18" s="5">
        <v>51915</v>
      </c>
      <c r="K18" s="5">
        <f>SUM(K16,K17)</f>
        <v>53812.04</v>
      </c>
      <c r="L18" s="5">
        <f t="shared" ref="L18:P18" si="27">SUM(L16,L17)</f>
        <v>55779.574800000002</v>
      </c>
      <c r="M18" s="5">
        <f t="shared" si="27"/>
        <v>57820.262587999998</v>
      </c>
      <c r="N18" s="5">
        <f t="shared" si="27"/>
        <v>59936.863031400004</v>
      </c>
      <c r="O18" s="5">
        <f t="shared" si="27"/>
        <v>62132.241190732406</v>
      </c>
      <c r="P18" s="5">
        <f t="shared" si="27"/>
        <v>64409.371585580389</v>
      </c>
      <c r="R18" s="12"/>
      <c r="S18" s="12"/>
      <c r="T18" s="12"/>
      <c r="U18" s="12"/>
      <c r="W18" s="5"/>
      <c r="X18" s="5">
        <f t="shared" ref="X18" si="28">SUM(X16,X17)</f>
        <v>93220</v>
      </c>
      <c r="Y18" s="5">
        <f t="shared" ref="Y18" si="29">SUM(Y16,Y17)</f>
        <v>91154</v>
      </c>
      <c r="Z18" s="5">
        <f t="shared" ref="Z18" si="30">SUM(Z16,Z17)</f>
        <v>96571</v>
      </c>
      <c r="AA18" s="5">
        <f t="shared" ref="AA18" si="31">SUM(AA16,AA17)</f>
        <v>110360</v>
      </c>
      <c r="AB18" s="5">
        <f t="shared" ref="AB18" si="32">SUM(AB16,AB17)</f>
        <v>125843</v>
      </c>
      <c r="AC18" s="5">
        <f t="shared" ref="AC18" si="33">SUM(AC16,AC17)</f>
        <v>143015</v>
      </c>
      <c r="AD18" s="5">
        <f t="shared" ref="AD18" si="34">SUM(AD16,AD17)</f>
        <v>168088</v>
      </c>
      <c r="AE18" s="5">
        <f t="shared" ref="AE18" si="35">SUM(AE16,AE17)</f>
        <v>198270</v>
      </c>
      <c r="AF18" s="5">
        <f>SUM(AF6:AF14)</f>
        <v>210313.36000000004</v>
      </c>
      <c r="AG18" s="5">
        <f t="shared" ref="AG18:AM18" si="36">SUM(AG6:AG14)</f>
        <v>223472.73220000006</v>
      </c>
      <c r="AH18" s="5">
        <f t="shared" si="36"/>
        <v>237870.74373400002</v>
      </c>
      <c r="AI18" s="5">
        <f t="shared" si="36"/>
        <v>253644.27557997999</v>
      </c>
      <c r="AJ18" s="5">
        <f t="shared" si="36"/>
        <v>270946.15201666072</v>
      </c>
      <c r="AK18" s="5">
        <f t="shared" si="36"/>
        <v>289947.03180617088</v>
      </c>
      <c r="AL18" s="5">
        <f t="shared" si="36"/>
        <v>310837.52526011318</v>
      </c>
      <c r="AM18" s="5">
        <f t="shared" si="36"/>
        <v>333830.56424295</v>
      </c>
    </row>
    <row r="19" spans="2:112" x14ac:dyDescent="0.2">
      <c r="B19" s="1" t="s">
        <v>31</v>
      </c>
      <c r="C19" s="2">
        <f>3597+7405</f>
        <v>11002</v>
      </c>
      <c r="D19" s="2">
        <f>6058+8136</f>
        <v>14194</v>
      </c>
      <c r="E19" s="2">
        <f>4277+8768</f>
        <v>13045</v>
      </c>
      <c r="F19" s="2">
        <v>13991</v>
      </c>
      <c r="G19" s="2">
        <f>3792+9854</f>
        <v>13646</v>
      </c>
      <c r="H19" s="2">
        <f>6331+10629</f>
        <v>16960</v>
      </c>
      <c r="I19" s="2">
        <f>4584+11031</f>
        <v>15615</v>
      </c>
      <c r="J19" s="2">
        <v>16429</v>
      </c>
      <c r="K19" s="2">
        <f>J19*1.03</f>
        <v>16921.87</v>
      </c>
      <c r="L19" s="2">
        <f t="shared" ref="L19:P19" si="37">K19*1.03</f>
        <v>17429.526099999999</v>
      </c>
      <c r="M19" s="2">
        <f t="shared" si="37"/>
        <v>17952.411883000001</v>
      </c>
      <c r="N19" s="2">
        <f t="shared" si="37"/>
        <v>18490.984239490001</v>
      </c>
      <c r="O19" s="2">
        <f t="shared" si="37"/>
        <v>19045.7137666747</v>
      </c>
      <c r="P19" s="2">
        <f t="shared" si="37"/>
        <v>19617.085179674941</v>
      </c>
      <c r="R19" s="11"/>
      <c r="S19" s="11"/>
      <c r="T19" s="11"/>
      <c r="U19" s="11"/>
      <c r="X19" s="2">
        <v>33038</v>
      </c>
      <c r="Y19" s="2">
        <v>32780</v>
      </c>
      <c r="Z19" s="2">
        <v>34261</v>
      </c>
      <c r="AA19" s="2">
        <v>38353</v>
      </c>
      <c r="AB19" s="2">
        <v>42910</v>
      </c>
      <c r="AC19" s="2">
        <v>46078</v>
      </c>
      <c r="AD19" s="2">
        <v>52232</v>
      </c>
      <c r="AE19" s="2">
        <v>62650</v>
      </c>
      <c r="AF19" s="2">
        <f>AE19*1.02</f>
        <v>63903</v>
      </c>
      <c r="AG19" s="2">
        <f t="shared" ref="AG19:AM19" si="38">AF19*1.02</f>
        <v>65181.06</v>
      </c>
      <c r="AH19" s="2">
        <f t="shared" si="38"/>
        <v>66484.681199999992</v>
      </c>
      <c r="AI19" s="2">
        <f t="shared" si="38"/>
        <v>67814.374823999999</v>
      </c>
      <c r="AJ19" s="2">
        <f t="shared" si="38"/>
        <v>69170.662320479998</v>
      </c>
      <c r="AK19" s="2">
        <f t="shared" si="38"/>
        <v>70554.075566889602</v>
      </c>
      <c r="AL19" s="2">
        <f t="shared" si="38"/>
        <v>71965.157078227392</v>
      </c>
      <c r="AM19" s="2">
        <f t="shared" si="38"/>
        <v>73404.460219791945</v>
      </c>
    </row>
    <row r="20" spans="2:112" x14ac:dyDescent="0.2">
      <c r="B20" s="1" t="s">
        <v>32</v>
      </c>
      <c r="C20" s="2">
        <f t="shared" ref="C20:D20" si="39">C18-C19</f>
        <v>26152</v>
      </c>
      <c r="D20" s="2">
        <f t="shared" si="39"/>
        <v>28882</v>
      </c>
      <c r="E20" s="2">
        <f>E18-E19</f>
        <v>28661</v>
      </c>
      <c r="F20" s="2">
        <f t="shared" ref="F20:J20" si="40">F18-F19</f>
        <v>32161</v>
      </c>
      <c r="G20" s="2">
        <f t="shared" si="40"/>
        <v>31671</v>
      </c>
      <c r="H20" s="2">
        <f t="shared" si="40"/>
        <v>34768</v>
      </c>
      <c r="I20" s="2">
        <f t="shared" si="40"/>
        <v>33695</v>
      </c>
      <c r="J20" s="2">
        <f t="shared" si="40"/>
        <v>35486</v>
      </c>
      <c r="K20" s="2">
        <f t="shared" ref="K20" si="41">K18-K19</f>
        <v>36890.17</v>
      </c>
      <c r="L20" s="2">
        <f t="shared" ref="L20" si="42">L18-L19</f>
        <v>38350.048699999999</v>
      </c>
      <c r="M20" s="2">
        <f t="shared" ref="M20" si="43">M18-M19</f>
        <v>39867.850704999997</v>
      </c>
      <c r="N20" s="2">
        <f t="shared" ref="N20" si="44">N18-N19</f>
        <v>41445.87879191</v>
      </c>
      <c r="O20" s="2">
        <f t="shared" ref="O20" si="45">O18-O19</f>
        <v>43086.527424057706</v>
      </c>
      <c r="P20" s="2">
        <f t="shared" ref="P20" si="46">P18-P19</f>
        <v>44792.286405905448</v>
      </c>
      <c r="R20" s="11"/>
      <c r="S20" s="11"/>
      <c r="T20" s="11"/>
      <c r="U20" s="11"/>
      <c r="W20" s="2"/>
      <c r="X20" s="2">
        <f t="shared" ref="X20" si="47">X18-X19</f>
        <v>60182</v>
      </c>
      <c r="Y20" s="2">
        <f t="shared" ref="Y20" si="48">Y18-Y19</f>
        <v>58374</v>
      </c>
      <c r="Z20" s="2">
        <f t="shared" ref="Z20" si="49">Z18-Z19</f>
        <v>62310</v>
      </c>
      <c r="AA20" s="2">
        <f t="shared" ref="AA20" si="50">AA18-AA19</f>
        <v>72007</v>
      </c>
      <c r="AB20" s="2">
        <f t="shared" ref="AB20" si="51">AB18-AB19</f>
        <v>82933</v>
      </c>
      <c r="AC20" s="2">
        <f t="shared" ref="AC20" si="52">AC18-AC19</f>
        <v>96937</v>
      </c>
      <c r="AD20" s="2">
        <f t="shared" ref="AD20:AM20" si="53">AD18-AD19</f>
        <v>115856</v>
      </c>
      <c r="AE20" s="2">
        <f t="shared" si="53"/>
        <v>135620</v>
      </c>
      <c r="AF20" s="2">
        <f t="shared" si="53"/>
        <v>146410.36000000004</v>
      </c>
      <c r="AG20" s="2">
        <f t="shared" si="53"/>
        <v>158291.67220000006</v>
      </c>
      <c r="AH20" s="2">
        <f t="shared" si="53"/>
        <v>171386.06253400003</v>
      </c>
      <c r="AI20" s="2">
        <f t="shared" si="53"/>
        <v>185829.90075597999</v>
      </c>
      <c r="AJ20" s="2">
        <f t="shared" si="53"/>
        <v>201775.48969618074</v>
      </c>
      <c r="AK20" s="2">
        <f t="shared" si="53"/>
        <v>219392.95623928128</v>
      </c>
      <c r="AL20" s="2">
        <f t="shared" si="53"/>
        <v>238872.3681818858</v>
      </c>
      <c r="AM20" s="2">
        <f t="shared" si="53"/>
        <v>260426.10402315806</v>
      </c>
    </row>
    <row r="21" spans="2:112" x14ac:dyDescent="0.2">
      <c r="B21" s="1" t="s">
        <v>33</v>
      </c>
      <c r="C21" s="2">
        <v>3926</v>
      </c>
      <c r="D21" s="2">
        <v>4899</v>
      </c>
      <c r="E21" s="2">
        <v>5204</v>
      </c>
      <c r="F21" s="2">
        <v>6687</v>
      </c>
      <c r="G21" s="2">
        <v>5599</v>
      </c>
      <c r="H21" s="2">
        <v>5758</v>
      </c>
      <c r="I21" s="2">
        <v>6306</v>
      </c>
      <c r="J21" s="2">
        <v>6849</v>
      </c>
      <c r="K21" s="2">
        <f>J21*1.02</f>
        <v>6985.9800000000005</v>
      </c>
      <c r="L21" s="2">
        <f t="shared" ref="L21:P21" si="54">K21*1.02</f>
        <v>7125.6996000000008</v>
      </c>
      <c r="M21" s="2">
        <f t="shared" si="54"/>
        <v>7268.213592000001</v>
      </c>
      <c r="N21" s="2">
        <f t="shared" si="54"/>
        <v>7413.5778638400016</v>
      </c>
      <c r="O21" s="2">
        <f t="shared" si="54"/>
        <v>7561.8494211168018</v>
      </c>
      <c r="P21" s="2">
        <f t="shared" si="54"/>
        <v>7713.086409539138</v>
      </c>
      <c r="R21" s="11"/>
      <c r="S21" s="11"/>
      <c r="T21" s="11"/>
      <c r="U21" s="11"/>
      <c r="X21" s="2">
        <v>12046</v>
      </c>
      <c r="Y21" s="2">
        <v>11988</v>
      </c>
      <c r="Z21" s="2">
        <v>13037</v>
      </c>
      <c r="AA21" s="2">
        <v>14726</v>
      </c>
      <c r="AB21" s="2">
        <v>16876</v>
      </c>
      <c r="AC21" s="2">
        <v>19269</v>
      </c>
      <c r="AD21" s="2">
        <v>20716</v>
      </c>
      <c r="AE21" s="2">
        <v>24512</v>
      </c>
      <c r="AF21" s="2">
        <f>AE21*1.02</f>
        <v>25002.240000000002</v>
      </c>
      <c r="AG21" s="2">
        <f t="shared" ref="AG21:AM21" si="55">AF21*1.02</f>
        <v>25502.284800000001</v>
      </c>
      <c r="AH21" s="2">
        <f t="shared" si="55"/>
        <v>26012.330496000002</v>
      </c>
      <c r="AI21" s="2">
        <f t="shared" si="55"/>
        <v>26532.577105920001</v>
      </c>
      <c r="AJ21" s="2">
        <f t="shared" si="55"/>
        <v>27063.228648038403</v>
      </c>
      <c r="AK21" s="2">
        <f t="shared" si="55"/>
        <v>27604.493220999171</v>
      </c>
      <c r="AL21" s="2">
        <f t="shared" si="55"/>
        <v>28156.583085419155</v>
      </c>
      <c r="AM21" s="2">
        <f t="shared" si="55"/>
        <v>28719.714747127538</v>
      </c>
    </row>
    <row r="22" spans="2:112" x14ac:dyDescent="0.2">
      <c r="B22" s="1" t="s">
        <v>34</v>
      </c>
      <c r="C22" s="2">
        <v>4231</v>
      </c>
      <c r="D22" s="2">
        <v>4947</v>
      </c>
      <c r="E22" s="2">
        <v>5082</v>
      </c>
      <c r="F22" s="2">
        <v>5857</v>
      </c>
      <c r="G22" s="2">
        <v>4547</v>
      </c>
      <c r="H22" s="2">
        <v>5379</v>
      </c>
      <c r="I22" s="2">
        <v>5595</v>
      </c>
      <c r="J22" s="2">
        <v>6304</v>
      </c>
      <c r="K22" s="2">
        <f t="shared" ref="K22:P22" si="56">J22*1.02</f>
        <v>6430.08</v>
      </c>
      <c r="L22" s="2">
        <f t="shared" si="56"/>
        <v>6558.6815999999999</v>
      </c>
      <c r="M22" s="2">
        <f t="shared" si="56"/>
        <v>6689.8552319999999</v>
      </c>
      <c r="N22" s="2">
        <f t="shared" si="56"/>
        <v>6823.6523366399997</v>
      </c>
      <c r="O22" s="2">
        <f t="shared" si="56"/>
        <v>6960.1253833727997</v>
      </c>
      <c r="P22" s="2">
        <f t="shared" si="56"/>
        <v>7099.327891040256</v>
      </c>
      <c r="R22" s="11"/>
      <c r="S22" s="11"/>
      <c r="T22" s="11"/>
      <c r="U22" s="11"/>
      <c r="X22" s="2">
        <v>15713</v>
      </c>
      <c r="Y22" s="2">
        <v>14635</v>
      </c>
      <c r="Z22" s="2">
        <v>15461</v>
      </c>
      <c r="AA22" s="2">
        <v>17469</v>
      </c>
      <c r="AB22" s="2">
        <v>18213</v>
      </c>
      <c r="AC22" s="2">
        <v>19598</v>
      </c>
      <c r="AD22" s="2">
        <v>20117</v>
      </c>
      <c r="AE22" s="2">
        <v>21825</v>
      </c>
      <c r="AF22" s="2">
        <f t="shared" ref="AF22:AM22" si="57">AE22*1.02</f>
        <v>22261.5</v>
      </c>
      <c r="AG22" s="2">
        <f t="shared" si="57"/>
        <v>22706.73</v>
      </c>
      <c r="AH22" s="2">
        <f t="shared" si="57"/>
        <v>23160.864600000001</v>
      </c>
      <c r="AI22" s="2">
        <f t="shared" si="57"/>
        <v>23624.081892000002</v>
      </c>
      <c r="AJ22" s="2">
        <f t="shared" si="57"/>
        <v>24096.563529840001</v>
      </c>
      <c r="AK22" s="2">
        <f t="shared" si="57"/>
        <v>24578.494800436802</v>
      </c>
      <c r="AL22" s="2">
        <f t="shared" si="57"/>
        <v>25070.064696445537</v>
      </c>
      <c r="AM22" s="2">
        <f t="shared" si="57"/>
        <v>25571.465990374447</v>
      </c>
    </row>
    <row r="23" spans="2:112" x14ac:dyDescent="0.2">
      <c r="B23" s="1" t="s">
        <v>35</v>
      </c>
      <c r="C23" s="2">
        <v>1119</v>
      </c>
      <c r="D23" s="2">
        <v>1139</v>
      </c>
      <c r="E23" s="2">
        <v>1327</v>
      </c>
      <c r="F23" s="2">
        <v>1522</v>
      </c>
      <c r="G23" s="2">
        <v>1287</v>
      </c>
      <c r="H23" s="2">
        <v>1384</v>
      </c>
      <c r="I23" s="2">
        <v>1480</v>
      </c>
      <c r="J23" s="2">
        <v>1749</v>
      </c>
      <c r="K23" s="2">
        <f t="shared" ref="K23:P23" si="58">J23*1.02</f>
        <v>1783.98</v>
      </c>
      <c r="L23" s="2">
        <f t="shared" si="58"/>
        <v>1819.6596</v>
      </c>
      <c r="M23" s="2">
        <f t="shared" si="58"/>
        <v>1856.052792</v>
      </c>
      <c r="N23" s="2">
        <f t="shared" si="58"/>
        <v>1893.17384784</v>
      </c>
      <c r="O23" s="2">
        <f t="shared" si="58"/>
        <v>1931.0373247968</v>
      </c>
      <c r="P23" s="2">
        <f t="shared" si="58"/>
        <v>1969.6580712927362</v>
      </c>
      <c r="R23" s="11"/>
      <c r="S23" s="11"/>
      <c r="T23" s="11"/>
      <c r="U23" s="11"/>
      <c r="X23" s="2">
        <v>4611</v>
      </c>
      <c r="Y23" s="2">
        <v>4563</v>
      </c>
      <c r="Z23" s="2">
        <v>4481</v>
      </c>
      <c r="AA23" s="2">
        <v>4754</v>
      </c>
      <c r="AB23" s="2">
        <v>4885</v>
      </c>
      <c r="AC23" s="2">
        <v>5111</v>
      </c>
      <c r="AD23" s="2">
        <v>5107</v>
      </c>
      <c r="AE23" s="2">
        <v>5900</v>
      </c>
      <c r="AF23" s="2">
        <f t="shared" ref="AF23:AM23" si="59">AE23*1.02</f>
        <v>6018</v>
      </c>
      <c r="AG23" s="2">
        <f t="shared" si="59"/>
        <v>6138.36</v>
      </c>
      <c r="AH23" s="2">
        <f t="shared" si="59"/>
        <v>6261.1271999999999</v>
      </c>
      <c r="AI23" s="2">
        <f t="shared" si="59"/>
        <v>6386.3497440000001</v>
      </c>
      <c r="AJ23" s="2">
        <f t="shared" si="59"/>
        <v>6514.0767388800004</v>
      </c>
      <c r="AK23" s="2">
        <f t="shared" si="59"/>
        <v>6644.3582736576009</v>
      </c>
      <c r="AL23" s="2">
        <f t="shared" si="59"/>
        <v>6777.2454391307529</v>
      </c>
      <c r="AM23" s="2">
        <f t="shared" si="59"/>
        <v>6912.7903479133684</v>
      </c>
    </row>
    <row r="24" spans="2:112" x14ac:dyDescent="0.2">
      <c r="B24" s="1" t="s">
        <v>36</v>
      </c>
      <c r="C24" s="2">
        <v>15876</v>
      </c>
      <c r="D24" s="2">
        <v>17897</v>
      </c>
      <c r="E24" s="2">
        <v>17048</v>
      </c>
      <c r="F24" s="2">
        <v>19095</v>
      </c>
      <c r="G24" s="2">
        <v>20238</v>
      </c>
      <c r="H24" s="2">
        <v>22247</v>
      </c>
      <c r="I24" s="2">
        <v>20364</v>
      </c>
      <c r="J24" s="2">
        <v>20534</v>
      </c>
      <c r="K24" s="2">
        <f>J24*1.03</f>
        <v>21150.02</v>
      </c>
      <c r="L24" s="2">
        <f t="shared" ref="L24:P24" si="60">K24*1.03</f>
        <v>21784.5206</v>
      </c>
      <c r="M24" s="2">
        <f t="shared" si="60"/>
        <v>22438.056218000002</v>
      </c>
      <c r="N24" s="2">
        <f t="shared" si="60"/>
        <v>23111.197904540004</v>
      </c>
      <c r="O24" s="2">
        <f t="shared" si="60"/>
        <v>23804.533841676206</v>
      </c>
      <c r="P24" s="2">
        <f t="shared" si="60"/>
        <v>24518.669856926492</v>
      </c>
      <c r="X24" s="2">
        <v>18161</v>
      </c>
      <c r="Y24" s="2">
        <v>26078</v>
      </c>
      <c r="Z24" s="2">
        <v>29025</v>
      </c>
      <c r="AA24" s="2">
        <v>35058</v>
      </c>
      <c r="AB24" s="2">
        <v>42959</v>
      </c>
      <c r="AC24" s="2">
        <v>51959</v>
      </c>
      <c r="AD24" s="2">
        <v>69916</v>
      </c>
      <c r="AE24" s="2">
        <v>83383</v>
      </c>
      <c r="AF24" s="2">
        <f t="shared" ref="AF24:AM24" si="61">AE24*1.02</f>
        <v>85050.66</v>
      </c>
      <c r="AG24" s="2">
        <f t="shared" si="61"/>
        <v>86751.673200000005</v>
      </c>
      <c r="AH24" s="2">
        <f t="shared" si="61"/>
        <v>88486.706664000012</v>
      </c>
      <c r="AI24" s="2">
        <f t="shared" si="61"/>
        <v>90256.440797280011</v>
      </c>
      <c r="AJ24" s="2">
        <f t="shared" si="61"/>
        <v>92061.569613225613</v>
      </c>
      <c r="AK24" s="2">
        <f t="shared" si="61"/>
        <v>93902.801005490124</v>
      </c>
      <c r="AL24" s="2">
        <f t="shared" si="61"/>
        <v>95780.857025599922</v>
      </c>
      <c r="AM24" s="2">
        <f t="shared" si="61"/>
        <v>97696.474166111919</v>
      </c>
    </row>
    <row r="25" spans="2:112" x14ac:dyDescent="0.2">
      <c r="B25" s="1" t="s">
        <v>38</v>
      </c>
      <c r="C25" s="2">
        <v>248</v>
      </c>
      <c r="D25" s="2">
        <v>440</v>
      </c>
      <c r="E25" s="2">
        <v>188</v>
      </c>
      <c r="F25" s="2">
        <v>310</v>
      </c>
      <c r="G25" s="2">
        <v>286</v>
      </c>
      <c r="H25" s="2">
        <v>268</v>
      </c>
      <c r="I25" s="2">
        <v>-174</v>
      </c>
      <c r="J25" s="2">
        <v>333</v>
      </c>
      <c r="K25" s="2">
        <f>J25*1.01</f>
        <v>336.33</v>
      </c>
      <c r="L25" s="2">
        <f t="shared" ref="L25:P25" si="62">K25*1.01</f>
        <v>339.69329999999997</v>
      </c>
      <c r="M25" s="2">
        <f t="shared" si="62"/>
        <v>343.09023299999996</v>
      </c>
      <c r="N25" s="2">
        <f t="shared" si="62"/>
        <v>346.52113532999994</v>
      </c>
      <c r="O25" s="2">
        <f t="shared" si="62"/>
        <v>349.98634668329993</v>
      </c>
      <c r="P25" s="2">
        <f t="shared" si="62"/>
        <v>353.48621015013293</v>
      </c>
      <c r="X25" s="2">
        <v>-346</v>
      </c>
      <c r="Y25" s="2">
        <v>431</v>
      </c>
      <c r="Z25" s="2">
        <v>-876</v>
      </c>
      <c r="AA25" s="2">
        <v>-1416</v>
      </c>
      <c r="AB25" s="2">
        <v>729</v>
      </c>
      <c r="AC25" s="2">
        <v>77</v>
      </c>
      <c r="AD25" s="2">
        <v>1186</v>
      </c>
      <c r="AE25" s="2">
        <v>333</v>
      </c>
      <c r="AF25" s="2">
        <f t="shared" ref="AF25:AM25" si="63">AE25*1.02</f>
        <v>339.66</v>
      </c>
      <c r="AG25" s="2">
        <f t="shared" si="63"/>
        <v>346.45320000000004</v>
      </c>
      <c r="AH25" s="2">
        <f t="shared" si="63"/>
        <v>353.38226400000002</v>
      </c>
      <c r="AI25" s="2">
        <f t="shared" si="63"/>
        <v>360.44990928000004</v>
      </c>
      <c r="AJ25" s="2">
        <f t="shared" si="63"/>
        <v>367.65890746560007</v>
      </c>
      <c r="AK25" s="2">
        <f t="shared" si="63"/>
        <v>375.01208561491205</v>
      </c>
      <c r="AL25" s="2">
        <f t="shared" si="63"/>
        <v>382.5123273272103</v>
      </c>
      <c r="AM25" s="2">
        <f t="shared" si="63"/>
        <v>390.16257387375452</v>
      </c>
    </row>
    <row r="26" spans="2:112" x14ac:dyDescent="0.2">
      <c r="B26" s="1" t="s">
        <v>37</v>
      </c>
      <c r="C26" s="2">
        <f t="shared" ref="C26:D26" si="64">SUM(C24,C25)</f>
        <v>16124</v>
      </c>
      <c r="D26" s="2">
        <f t="shared" si="64"/>
        <v>18337</v>
      </c>
      <c r="E26" s="2">
        <f>SUM(E24,E25)</f>
        <v>17236</v>
      </c>
      <c r="F26" s="2">
        <f t="shared" ref="F26:J26" si="65">SUM(F24,F25)</f>
        <v>19405</v>
      </c>
      <c r="G26" s="2">
        <f t="shared" si="65"/>
        <v>20524</v>
      </c>
      <c r="H26" s="2">
        <f t="shared" si="65"/>
        <v>22515</v>
      </c>
      <c r="I26" s="2">
        <f t="shared" si="65"/>
        <v>20190</v>
      </c>
      <c r="J26" s="2">
        <f t="shared" si="65"/>
        <v>20867</v>
      </c>
      <c r="K26" s="2">
        <f t="shared" ref="K26" si="66">SUM(K24,K25)</f>
        <v>21486.350000000002</v>
      </c>
      <c r="L26" s="2">
        <f t="shared" ref="L26" si="67">SUM(L24,L25)</f>
        <v>22124.213899999999</v>
      </c>
      <c r="M26" s="2">
        <f t="shared" ref="M26" si="68">SUM(M24,M25)</f>
        <v>22781.146451000001</v>
      </c>
      <c r="N26" s="2">
        <f t="shared" ref="N26" si="69">SUM(N24,N25)</f>
        <v>23457.719039870004</v>
      </c>
      <c r="O26" s="2">
        <f t="shared" ref="O26" si="70">SUM(O24,O25)</f>
        <v>24154.520188359507</v>
      </c>
      <c r="P26" s="2">
        <f t="shared" ref="P26" si="71">SUM(P24,P25)</f>
        <v>24872.156067076623</v>
      </c>
      <c r="W26" s="2"/>
      <c r="X26" s="2">
        <f t="shared" ref="X26" si="72">SUM(X24,X25)</f>
        <v>17815</v>
      </c>
      <c r="Y26" s="2">
        <f>SUM(Y24,Y25)</f>
        <v>26509</v>
      </c>
      <c r="Z26" s="2">
        <f t="shared" ref="Z26" si="73">SUM(Z24,Z25)</f>
        <v>28149</v>
      </c>
      <c r="AA26" s="2">
        <f t="shared" ref="AA26" si="74">SUM(AA24,AA25)</f>
        <v>33642</v>
      </c>
      <c r="AB26" s="2">
        <f t="shared" ref="AB26" si="75">SUM(AB24,AB25)</f>
        <v>43688</v>
      </c>
      <c r="AC26" s="2">
        <f t="shared" ref="AC26" si="76">SUM(AC24,AC25)</f>
        <v>52036</v>
      </c>
      <c r="AD26" s="2">
        <f t="shared" ref="AD26:AE26" si="77">SUM(AD24,AD25)</f>
        <v>71102</v>
      </c>
      <c r="AE26" s="2">
        <f t="shared" si="77"/>
        <v>83716</v>
      </c>
      <c r="AF26" s="2">
        <f t="shared" ref="AF26:AL26" si="78">AF24+AF25</f>
        <v>85390.32</v>
      </c>
      <c r="AG26" s="2">
        <f t="shared" si="78"/>
        <v>87098.126400000008</v>
      </c>
      <c r="AH26" s="2">
        <f t="shared" si="78"/>
        <v>88840.088928000012</v>
      </c>
      <c r="AI26" s="2">
        <f t="shared" si="78"/>
        <v>90616.890706560007</v>
      </c>
      <c r="AJ26" s="2">
        <f t="shared" si="78"/>
        <v>92429.228520691206</v>
      </c>
      <c r="AK26" s="2">
        <f t="shared" si="78"/>
        <v>94277.813091105039</v>
      </c>
      <c r="AL26" s="2">
        <f t="shared" si="78"/>
        <v>96163.369352927126</v>
      </c>
      <c r="AM26" s="2">
        <f>AM24+AM25</f>
        <v>98086.636739985668</v>
      </c>
    </row>
    <row r="27" spans="2:112" x14ac:dyDescent="0.2">
      <c r="B27" s="1" t="s">
        <v>39</v>
      </c>
      <c r="C27" s="2">
        <f t="shared" ref="C27:F27" si="79">SUM(C26,-C28)</f>
        <v>2231</v>
      </c>
      <c r="D27" s="2">
        <f t="shared" si="79"/>
        <v>2874</v>
      </c>
      <c r="E27" s="2">
        <f t="shared" si="79"/>
        <v>1779</v>
      </c>
      <c r="F27" s="2">
        <f t="shared" si="79"/>
        <v>2947</v>
      </c>
      <c r="G27" s="2">
        <f>SUM(G26,-G28)</f>
        <v>19</v>
      </c>
      <c r="H27" s="2">
        <f>SUM(H26,-H28)</f>
        <v>3750</v>
      </c>
      <c r="I27" s="2">
        <f>SUM(I26,-I28)</f>
        <v>3462</v>
      </c>
      <c r="J27" s="2">
        <f>SUM(J26,-J28)</f>
        <v>4127</v>
      </c>
      <c r="K27" s="2">
        <f>K26*0.17</f>
        <v>3652.6795000000006</v>
      </c>
      <c r="L27" s="2">
        <f t="shared" ref="L27:P27" si="80">L26*0.17</f>
        <v>3761.1163630000001</v>
      </c>
      <c r="M27" s="2">
        <f t="shared" si="80"/>
        <v>3872.7948966700005</v>
      </c>
      <c r="N27" s="2">
        <f t="shared" si="80"/>
        <v>3987.812236777901</v>
      </c>
      <c r="O27" s="2">
        <f t="shared" si="80"/>
        <v>4106.2684320211165</v>
      </c>
      <c r="P27" s="2">
        <f t="shared" si="80"/>
        <v>4228.2665314030264</v>
      </c>
      <c r="W27" s="2"/>
      <c r="X27" s="2">
        <f t="shared" ref="X27:AC27" si="81">SUM(X26,-X28)</f>
        <v>-3389</v>
      </c>
      <c r="Y27" s="2">
        <f t="shared" si="81"/>
        <v>5970</v>
      </c>
      <c r="Z27" s="2">
        <f t="shared" si="81"/>
        <v>2660</v>
      </c>
      <c r="AA27" s="2">
        <f t="shared" si="81"/>
        <v>17071</v>
      </c>
      <c r="AB27" s="2">
        <f t="shared" si="81"/>
        <v>4448</v>
      </c>
      <c r="AC27" s="2">
        <f t="shared" si="81"/>
        <v>7755</v>
      </c>
      <c r="AD27" s="2">
        <f>SUM(AD26,-AD28)</f>
        <v>9831</v>
      </c>
      <c r="AE27" s="2">
        <f>SUM(AE26,-AE28)</f>
        <v>10978</v>
      </c>
      <c r="AF27" s="2">
        <f>AF26*0.15</f>
        <v>12808.548000000001</v>
      </c>
      <c r="AG27" s="2">
        <f t="shared" ref="AG27:AM27" si="82">AG26*0.15</f>
        <v>13064.71896</v>
      </c>
      <c r="AH27" s="2">
        <f t="shared" si="82"/>
        <v>13326.013339200001</v>
      </c>
      <c r="AI27" s="2">
        <f t="shared" si="82"/>
        <v>13592.533605984001</v>
      </c>
      <c r="AJ27" s="2">
        <f t="shared" si="82"/>
        <v>13864.38427810368</v>
      </c>
      <c r="AK27" s="2">
        <f t="shared" si="82"/>
        <v>14141.671963665756</v>
      </c>
      <c r="AL27" s="2">
        <f t="shared" si="82"/>
        <v>14424.505402939069</v>
      </c>
      <c r="AM27" s="2">
        <f t="shared" si="82"/>
        <v>14712.995510997849</v>
      </c>
    </row>
    <row r="28" spans="2:112" s="4" customFormat="1" x14ac:dyDescent="0.2">
      <c r="B28" s="4" t="s">
        <v>40</v>
      </c>
      <c r="C28" s="5">
        <v>13893</v>
      </c>
      <c r="D28" s="5">
        <v>15463</v>
      </c>
      <c r="E28" s="5">
        <v>15457</v>
      </c>
      <c r="F28" s="5">
        <v>16458</v>
      </c>
      <c r="G28" s="5">
        <v>20505</v>
      </c>
      <c r="H28" s="5">
        <v>18765</v>
      </c>
      <c r="I28" s="5">
        <v>16728</v>
      </c>
      <c r="J28" s="5">
        <v>16740</v>
      </c>
      <c r="K28" s="5">
        <f>K26-K27</f>
        <v>17833.6705</v>
      </c>
      <c r="L28" s="5">
        <f t="shared" ref="L28:P28" si="83">L26-L27</f>
        <v>18363.097536999998</v>
      </c>
      <c r="M28" s="5">
        <f t="shared" si="83"/>
        <v>18908.351554330002</v>
      </c>
      <c r="N28" s="5">
        <f t="shared" si="83"/>
        <v>19469.906803092104</v>
      </c>
      <c r="O28" s="5">
        <f t="shared" si="83"/>
        <v>20048.251756338392</v>
      </c>
      <c r="P28" s="5">
        <f t="shared" si="83"/>
        <v>20643.889535673596</v>
      </c>
      <c r="X28" s="5">
        <v>21204</v>
      </c>
      <c r="Y28" s="5">
        <v>20539</v>
      </c>
      <c r="Z28" s="5">
        <v>25489</v>
      </c>
      <c r="AA28" s="5">
        <v>16571</v>
      </c>
      <c r="AB28" s="5">
        <v>39240</v>
      </c>
      <c r="AC28" s="5">
        <v>44281</v>
      </c>
      <c r="AD28" s="5">
        <v>61271</v>
      </c>
      <c r="AE28" s="5">
        <v>72738</v>
      </c>
      <c r="AF28" s="5">
        <f>AF26-AF27</f>
        <v>72581.772000000012</v>
      </c>
      <c r="AG28" s="5">
        <f t="shared" ref="AG28:AM28" si="84">AG26-AG27</f>
        <v>74033.40744000001</v>
      </c>
      <c r="AH28" s="5">
        <f t="shared" si="84"/>
        <v>75514.075588800013</v>
      </c>
      <c r="AI28" s="5">
        <f t="shared" si="84"/>
        <v>77024.357100576002</v>
      </c>
      <c r="AJ28" s="5">
        <f t="shared" si="84"/>
        <v>78564.844242587526</v>
      </c>
      <c r="AK28" s="5">
        <f t="shared" si="84"/>
        <v>80136.141127439289</v>
      </c>
      <c r="AL28" s="5">
        <f t="shared" si="84"/>
        <v>81738.863949988052</v>
      </c>
      <c r="AM28" s="5">
        <f t="shared" si="84"/>
        <v>83373.641228987821</v>
      </c>
      <c r="AN28" s="5">
        <f>AM28*(1+$AH$46)</f>
        <v>87959.191496582149</v>
      </c>
      <c r="AO28" s="5">
        <f t="shared" ref="AO28:CW28" si="85">AN28*(1+$AH$46)</f>
        <v>92796.947028894167</v>
      </c>
      <c r="AP28" s="5">
        <f t="shared" si="85"/>
        <v>97900.779115483339</v>
      </c>
      <c r="AQ28" s="5">
        <f t="shared" si="85"/>
        <v>103285.32196683492</v>
      </c>
      <c r="AR28" s="5">
        <f t="shared" si="85"/>
        <v>108966.01467501084</v>
      </c>
      <c r="AS28" s="5">
        <f t="shared" si="85"/>
        <v>114959.14548213643</v>
      </c>
      <c r="AT28" s="5">
        <f t="shared" si="85"/>
        <v>121281.89848365393</v>
      </c>
      <c r="AU28" s="5">
        <f t="shared" si="85"/>
        <v>127952.40290025489</v>
      </c>
      <c r="AV28" s="5">
        <f t="shared" si="85"/>
        <v>134989.78505976891</v>
      </c>
      <c r="AW28" s="5">
        <f t="shared" si="85"/>
        <v>142414.22323805621</v>
      </c>
      <c r="AX28" s="5">
        <f t="shared" si="85"/>
        <v>150247.00551614928</v>
      </c>
      <c r="AY28" s="5">
        <f t="shared" si="85"/>
        <v>158510.59081953746</v>
      </c>
      <c r="AZ28" s="5">
        <f t="shared" si="85"/>
        <v>167228.67331461201</v>
      </c>
      <c r="BA28" s="5">
        <f t="shared" si="85"/>
        <v>176426.25034691565</v>
      </c>
      <c r="BB28" s="5">
        <f t="shared" si="85"/>
        <v>186129.69411599601</v>
      </c>
      <c r="BC28" s="5">
        <f t="shared" si="85"/>
        <v>196366.82729237579</v>
      </c>
      <c r="BD28" s="5">
        <f t="shared" si="85"/>
        <v>207167.00279345646</v>
      </c>
      <c r="BE28" s="5">
        <f t="shared" si="85"/>
        <v>218561.18794709654</v>
      </c>
      <c r="BF28" s="5">
        <f t="shared" si="85"/>
        <v>230582.05328418684</v>
      </c>
      <c r="BG28" s="5">
        <f t="shared" si="85"/>
        <v>243264.06621481711</v>
      </c>
      <c r="BH28" s="5">
        <f t="shared" si="85"/>
        <v>256643.58985663202</v>
      </c>
      <c r="BI28" s="5">
        <f t="shared" si="85"/>
        <v>270758.98729874677</v>
      </c>
      <c r="BJ28" s="5">
        <f t="shared" si="85"/>
        <v>285650.73160017782</v>
      </c>
      <c r="BK28" s="5">
        <f t="shared" si="85"/>
        <v>301361.52183818759</v>
      </c>
      <c r="BL28" s="5">
        <f t="shared" si="85"/>
        <v>317936.40553928789</v>
      </c>
      <c r="BM28" s="5">
        <f t="shared" si="85"/>
        <v>335422.90784394869</v>
      </c>
      <c r="BN28" s="5">
        <f t="shared" si="85"/>
        <v>353871.16777536587</v>
      </c>
      <c r="BO28" s="5">
        <f t="shared" si="85"/>
        <v>373334.08200301096</v>
      </c>
      <c r="BP28" s="5">
        <f t="shared" si="85"/>
        <v>393867.45651317656</v>
      </c>
      <c r="BQ28" s="5">
        <f t="shared" si="85"/>
        <v>415530.16662140127</v>
      </c>
      <c r="BR28" s="5">
        <f t="shared" si="85"/>
        <v>438384.32578557829</v>
      </c>
      <c r="BS28" s="5">
        <f t="shared" si="85"/>
        <v>462495.46370378509</v>
      </c>
      <c r="BT28" s="5">
        <f t="shared" si="85"/>
        <v>487932.71420749323</v>
      </c>
      <c r="BU28" s="5">
        <f t="shared" si="85"/>
        <v>514769.01348890533</v>
      </c>
      <c r="BV28" s="5">
        <f t="shared" si="85"/>
        <v>543081.30923079513</v>
      </c>
      <c r="BW28" s="5">
        <f t="shared" si="85"/>
        <v>572950.78123848885</v>
      </c>
      <c r="BX28" s="5">
        <f t="shared" si="85"/>
        <v>604463.07420660567</v>
      </c>
      <c r="BY28" s="5">
        <f t="shared" si="85"/>
        <v>637708.54328796896</v>
      </c>
      <c r="BZ28" s="5">
        <f t="shared" si="85"/>
        <v>672782.51316880726</v>
      </c>
      <c r="CA28" s="5">
        <f t="shared" si="85"/>
        <v>709785.55139309156</v>
      </c>
      <c r="CB28" s="5">
        <f t="shared" si="85"/>
        <v>748823.75671971159</v>
      </c>
      <c r="CC28" s="5">
        <f t="shared" si="85"/>
        <v>790009.06333929568</v>
      </c>
      <c r="CD28" s="5">
        <f t="shared" si="85"/>
        <v>833459.56182295689</v>
      </c>
      <c r="CE28" s="5">
        <f t="shared" si="85"/>
        <v>879299.83772321942</v>
      </c>
      <c r="CF28" s="5">
        <f t="shared" si="85"/>
        <v>927661.32879799639</v>
      </c>
      <c r="CG28" s="5">
        <f t="shared" si="85"/>
        <v>978682.70188188611</v>
      </c>
      <c r="CH28" s="5">
        <f t="shared" si="85"/>
        <v>1032510.2504853898</v>
      </c>
      <c r="CI28" s="5">
        <f t="shared" si="85"/>
        <v>1089298.3142620863</v>
      </c>
      <c r="CJ28" s="5">
        <f t="shared" si="85"/>
        <v>1149209.7215465009</v>
      </c>
      <c r="CK28" s="5">
        <f t="shared" si="85"/>
        <v>1212416.2562315585</v>
      </c>
      <c r="CL28" s="5">
        <f t="shared" si="85"/>
        <v>1279099.1503242941</v>
      </c>
      <c r="CM28" s="5">
        <f t="shared" si="85"/>
        <v>1349449.6035921301</v>
      </c>
      <c r="CN28" s="5">
        <f t="shared" si="85"/>
        <v>1423669.3317896973</v>
      </c>
      <c r="CO28" s="5">
        <f t="shared" si="85"/>
        <v>1501971.1450381305</v>
      </c>
      <c r="CP28" s="5">
        <f t="shared" si="85"/>
        <v>1584579.5580152276</v>
      </c>
      <c r="CQ28" s="5">
        <f t="shared" si="85"/>
        <v>1671731.4337060649</v>
      </c>
      <c r="CR28" s="5">
        <f t="shared" si="85"/>
        <v>1763676.6625598983</v>
      </c>
      <c r="CS28" s="5">
        <f t="shared" si="85"/>
        <v>1860678.8790006926</v>
      </c>
      <c r="CT28" s="5">
        <f t="shared" si="85"/>
        <v>1963016.2173457306</v>
      </c>
      <c r="CU28" s="5">
        <f t="shared" si="85"/>
        <v>2070982.1092997456</v>
      </c>
      <c r="CV28" s="5">
        <f t="shared" si="85"/>
        <v>2184886.1253112317</v>
      </c>
      <c r="CW28" s="5">
        <f t="shared" si="85"/>
        <v>2305054.8622033494</v>
      </c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2:112" x14ac:dyDescent="0.2">
      <c r="B29" s="1" t="s">
        <v>41</v>
      </c>
      <c r="C29" s="14">
        <f t="shared" ref="C29" si="86">C28/C30</f>
        <v>1.8362410785091197</v>
      </c>
      <c r="D29" s="14">
        <f t="shared" ref="D29" si="87">D28/D30</f>
        <v>2.0467240238252811</v>
      </c>
      <c r="E29" s="14">
        <f t="shared" ref="E29" si="88">E28/E30</f>
        <v>2.0502719193526993</v>
      </c>
      <c r="F29" s="14">
        <f>F28/F30</f>
        <v>2.207053774976532</v>
      </c>
      <c r="G29" s="14">
        <f t="shared" ref="G29:I29" si="89">G28/G30</f>
        <v>2.7292692666045522</v>
      </c>
      <c r="H29" s="14">
        <f t="shared" si="89"/>
        <v>2.5003331112591605</v>
      </c>
      <c r="I29" s="14">
        <f t="shared" si="89"/>
        <v>2.2324836514079807</v>
      </c>
      <c r="J29" s="14">
        <f>J28/J30</f>
        <v>2.2331910352187831</v>
      </c>
      <c r="K29" s="14">
        <f t="shared" ref="K29:P29" si="90">K28/K30</f>
        <v>2.4782203981012096</v>
      </c>
      <c r="L29" s="14">
        <f t="shared" si="90"/>
        <v>2.658115800793988</v>
      </c>
      <c r="M29" s="14">
        <f t="shared" si="90"/>
        <v>2.8510864845163399</v>
      </c>
      <c r="N29" s="14">
        <f t="shared" si="90"/>
        <v>3.0580836628806574</v>
      </c>
      <c r="O29" s="14">
        <f t="shared" si="90"/>
        <v>3.2801277946431542</v>
      </c>
      <c r="P29" s="14">
        <f t="shared" si="90"/>
        <v>3.518313626881949</v>
      </c>
      <c r="X29" s="6">
        <v>2.74</v>
      </c>
      <c r="Y29" s="6">
        <v>2.59</v>
      </c>
      <c r="Z29" s="6">
        <v>3.29</v>
      </c>
      <c r="AA29" s="6">
        <v>2.15</v>
      </c>
      <c r="AB29" s="6">
        <v>5.1100000000000003</v>
      </c>
      <c r="AC29" s="6">
        <v>5.82</v>
      </c>
      <c r="AD29" s="6">
        <v>8.1199999999999992</v>
      </c>
      <c r="AE29" s="6">
        <v>9.6999999999999993</v>
      </c>
    </row>
    <row r="30" spans="2:112" x14ac:dyDescent="0.2">
      <c r="B30" s="1" t="s">
        <v>1</v>
      </c>
      <c r="C30" s="2">
        <v>7566</v>
      </c>
      <c r="D30" s="2">
        <v>7555</v>
      </c>
      <c r="E30" s="2">
        <v>7539</v>
      </c>
      <c r="F30" s="2">
        <v>7457</v>
      </c>
      <c r="G30" s="2">
        <v>7513</v>
      </c>
      <c r="H30" s="2">
        <v>7505</v>
      </c>
      <c r="I30" s="2">
        <v>7493</v>
      </c>
      <c r="J30" s="2">
        <v>7496</v>
      </c>
      <c r="K30" s="2">
        <f>J30*0.96</f>
        <v>7196.16</v>
      </c>
      <c r="L30" s="2">
        <f t="shared" ref="L30:P30" si="91">K30*0.96</f>
        <v>6908.3135999999995</v>
      </c>
      <c r="M30" s="2">
        <f t="shared" si="91"/>
        <v>6631.9810559999996</v>
      </c>
      <c r="N30" s="2">
        <f t="shared" si="91"/>
        <v>6366.7018137599998</v>
      </c>
      <c r="O30" s="2">
        <f t="shared" si="91"/>
        <v>6112.0337412095996</v>
      </c>
      <c r="P30" s="2">
        <f t="shared" si="91"/>
        <v>5867.5523915612157</v>
      </c>
      <c r="X30" s="2">
        <v>7746</v>
      </c>
      <c r="Y30" s="2">
        <v>7925</v>
      </c>
      <c r="Z30" s="2">
        <v>7832</v>
      </c>
      <c r="AA30" s="2">
        <v>7700</v>
      </c>
      <c r="AB30" s="2">
        <v>7640</v>
      </c>
      <c r="AC30" s="2">
        <v>7570</v>
      </c>
      <c r="AD30" s="2">
        <v>7510</v>
      </c>
      <c r="AE30" s="2">
        <v>7460</v>
      </c>
    </row>
    <row r="31" spans="2:112" x14ac:dyDescent="0.2">
      <c r="C31" s="2"/>
      <c r="D31" s="2"/>
      <c r="E31" s="2"/>
      <c r="F31" s="2"/>
      <c r="G31" s="2"/>
      <c r="H31" s="2"/>
      <c r="I31" s="2"/>
    </row>
    <row r="32" spans="2:112" x14ac:dyDescent="0.2">
      <c r="B32" s="1" t="s">
        <v>42</v>
      </c>
      <c r="C32" s="7"/>
      <c r="D32" s="7"/>
      <c r="E32" s="7"/>
      <c r="F32" s="7"/>
      <c r="G32" s="7">
        <f>(G18/C18)-1</f>
        <v>0.21970716477364483</v>
      </c>
      <c r="H32" s="7">
        <f t="shared" ref="H32:J32" si="92">(H18/D18)-1</f>
        <v>0.2008543040208004</v>
      </c>
      <c r="I32" s="7">
        <f t="shared" si="92"/>
        <v>0.18232388625137874</v>
      </c>
      <c r="J32" s="7">
        <f t="shared" si="92"/>
        <v>0.12486999479979199</v>
      </c>
      <c r="K32" s="7">
        <f t="shared" ref="K32" si="93">(K18/G18)-1</f>
        <v>0.18745812829622444</v>
      </c>
      <c r="L32" s="7">
        <f t="shared" ref="L32" si="94">(L18/H18)-1</f>
        <v>7.832459789669044E-2</v>
      </c>
      <c r="M32" s="7">
        <f t="shared" ref="M32" si="95">(M18/I18)-1</f>
        <v>0.17258695169336846</v>
      </c>
      <c r="N32" s="7">
        <f t="shared" ref="N32" si="96">(N18/J18)-1</f>
        <v>0.15451917618029487</v>
      </c>
      <c r="O32" s="7">
        <f t="shared" ref="O32" si="97">(O18/K18)-1</f>
        <v>0.15461597796203974</v>
      </c>
      <c r="P32" s="7">
        <f t="shared" ref="P32" si="98">(P18/L18)-1</f>
        <v>0.15471248779724278</v>
      </c>
      <c r="W32" s="7"/>
      <c r="X32" s="7"/>
      <c r="Y32" s="7">
        <f t="shared" ref="Y32:AC32" si="99">(Y19/X19)-1</f>
        <v>-7.80918941824571E-3</v>
      </c>
      <c r="Z32" s="7">
        <f t="shared" si="99"/>
        <v>4.5179987797437482E-2</v>
      </c>
      <c r="AA32" s="7">
        <f t="shared" si="99"/>
        <v>0.11943609351741036</v>
      </c>
      <c r="AB32" s="7">
        <f t="shared" si="99"/>
        <v>0.11881730242745037</v>
      </c>
      <c r="AC32" s="7">
        <f t="shared" si="99"/>
        <v>7.3828944302027466E-2</v>
      </c>
      <c r="AD32" s="7">
        <f>(AD19/AC19)-1</f>
        <v>0.13355614392985804</v>
      </c>
      <c r="AE32" s="7">
        <f>(AE19/AD19)-1</f>
        <v>0.19945627201715421</v>
      </c>
      <c r="AF32" s="7"/>
      <c r="AG32" s="7"/>
      <c r="AH32" s="7"/>
      <c r="AI32" s="7"/>
      <c r="AJ32" s="7"/>
      <c r="AK32" s="7"/>
      <c r="AL32" s="7"/>
      <c r="AM32" s="7"/>
    </row>
    <row r="33" spans="2:39" x14ac:dyDescent="0.2">
      <c r="B33" s="1" t="s">
        <v>43</v>
      </c>
      <c r="C33" s="7"/>
      <c r="D33" s="7"/>
      <c r="E33" s="7"/>
      <c r="F33" s="7"/>
      <c r="G33" s="7">
        <f>(G6/C6)-1</f>
        <v>0.34604734256364456</v>
      </c>
      <c r="H33" s="7">
        <f t="shared" ref="H33" si="100">(H6/D6)-1</f>
        <v>0.28643255558174241</v>
      </c>
      <c r="I33" s="7">
        <f>(I6/E6)-1</f>
        <v>0.29036655558921542</v>
      </c>
      <c r="J33" s="7">
        <f>(J6/F6)-1</f>
        <v>0.21848522087833899</v>
      </c>
      <c r="K33" s="7">
        <f t="shared" ref="K33:K34" si="101">(K6/G6)-1</f>
        <v>0.28768796867741742</v>
      </c>
      <c r="L33" s="7">
        <f t="shared" ref="L33:L34" si="102">(L6/H6)-1</f>
        <v>0.22053710534351167</v>
      </c>
      <c r="M33" s="7">
        <f t="shared" ref="M33:M34" si="103">(M6/I6)-1</f>
        <v>0.20823359273388919</v>
      </c>
      <c r="N33" s="7">
        <f t="shared" ref="N33:N34" si="104">(N6/J6)-1</f>
        <v>0.12550881000000036</v>
      </c>
      <c r="O33" s="7">
        <f t="shared" ref="O33:O34" si="105">(O6/K6)-1</f>
        <v>0.12550881000000014</v>
      </c>
      <c r="P33" s="7">
        <f t="shared" ref="P33:P34" si="106">(P6/L6)-1</f>
        <v>0.12550881000000014</v>
      </c>
      <c r="W33" s="7"/>
      <c r="X33" s="7"/>
      <c r="Y33" s="7">
        <f t="shared" ref="Y33:AC33" si="107">(Y6/X6)-1</f>
        <v>0.28239845261121865</v>
      </c>
      <c r="Z33" s="7">
        <f t="shared" si="107"/>
        <v>-9.296966649907823E-2</v>
      </c>
      <c r="AA33" s="7">
        <f t="shared" si="107"/>
        <v>0.20693796480206927</v>
      </c>
      <c r="AB33" s="7">
        <f t="shared" si="107"/>
        <v>0.24849783765165134</v>
      </c>
      <c r="AC33" s="7">
        <f t="shared" si="107"/>
        <v>0.26843847710134261</v>
      </c>
      <c r="AD33" s="7">
        <f t="shared" ref="AD33:AE34" si="108">(AD6/AC6)-1</f>
        <v>0.45264506150462802</v>
      </c>
      <c r="AE33" s="7">
        <f t="shared" si="108"/>
        <v>0.11998203264070262</v>
      </c>
      <c r="AF33" s="7"/>
      <c r="AG33" s="7"/>
      <c r="AH33" s="7"/>
      <c r="AI33" s="7"/>
      <c r="AJ33" s="7"/>
      <c r="AK33" s="7"/>
      <c r="AL33" s="7"/>
      <c r="AM33" s="7"/>
    </row>
    <row r="34" spans="2:39" x14ac:dyDescent="0.2">
      <c r="B34" s="1" t="s">
        <v>44</v>
      </c>
      <c r="C34" s="7"/>
      <c r="D34" s="7"/>
      <c r="E34" s="7"/>
      <c r="F34" s="7"/>
      <c r="G34" s="7">
        <f>(G7/C7)-1</f>
        <v>0.16490622979090319</v>
      </c>
      <c r="H34" s="7">
        <f t="shared" ref="H34:J34" si="109">(H7/D7)-1</f>
        <v>0.13864993421718452</v>
      </c>
      <c r="I34" s="7">
        <f t="shared" si="109"/>
        <v>0.11461661341853024</v>
      </c>
      <c r="J34" s="7">
        <f t="shared" si="109"/>
        <v>8.8062073478545333E-2</v>
      </c>
      <c r="K34" s="7">
        <f t="shared" si="101"/>
        <v>0.10919411547002222</v>
      </c>
      <c r="L34" s="7">
        <f t="shared" si="102"/>
        <v>9.7486010132432632E-2</v>
      </c>
      <c r="M34" s="7">
        <f t="shared" si="103"/>
        <v>0.13921977364743809</v>
      </c>
      <c r="N34" s="7">
        <f t="shared" si="104"/>
        <v>0.12550880999999992</v>
      </c>
      <c r="O34" s="7">
        <f t="shared" si="105"/>
        <v>0.12550880999999992</v>
      </c>
      <c r="P34" s="7">
        <f t="shared" si="106"/>
        <v>0.12550881000000014</v>
      </c>
      <c r="W34" s="7"/>
      <c r="X34" s="7"/>
      <c r="Y34" s="7">
        <f t="shared" ref="Y34:AC34" si="110">(Y7/X7)-1</f>
        <v>-0.19016059138414476</v>
      </c>
      <c r="Z34" s="7">
        <f t="shared" si="110"/>
        <v>0.34156961494071969</v>
      </c>
      <c r="AA34" s="7">
        <f t="shared" si="110"/>
        <v>0.10726156493176386</v>
      </c>
      <c r="AB34" s="7">
        <f t="shared" si="110"/>
        <v>0.12194518999858728</v>
      </c>
      <c r="AC34" s="7">
        <f t="shared" si="110"/>
        <v>0.11164972142654794</v>
      </c>
      <c r="AD34" s="7">
        <f t="shared" si="108"/>
        <v>0.21112243742213166</v>
      </c>
      <c r="AE34" s="7">
        <f t="shared" si="108"/>
        <v>4.8863742635368856E-2</v>
      </c>
      <c r="AF34" s="7"/>
      <c r="AG34" s="7"/>
      <c r="AH34" s="7"/>
      <c r="AI34" s="7"/>
      <c r="AJ34" s="7"/>
      <c r="AK34" s="7"/>
      <c r="AL34" s="7"/>
      <c r="AM34" s="7"/>
    </row>
    <row r="35" spans="2:39" x14ac:dyDescent="0.2">
      <c r="B35" s="34" t="s">
        <v>87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W35" s="7"/>
      <c r="X35" s="7"/>
      <c r="Y35" s="7">
        <f>Y28/X28-1</f>
        <v>-3.1362007168458828E-2</v>
      </c>
      <c r="Z35" s="7">
        <f t="shared" ref="Z35:AE35" si="111">Z28/Y28-1</f>
        <v>0.24100491747407382</v>
      </c>
      <c r="AA35" s="7">
        <f t="shared" si="111"/>
        <v>-0.34987641727804153</v>
      </c>
      <c r="AB35" s="7">
        <f t="shared" si="111"/>
        <v>1.3679922756623015</v>
      </c>
      <c r="AC35" s="7">
        <f t="shared" si="111"/>
        <v>0.12846585117227316</v>
      </c>
      <c r="AD35" s="7">
        <f t="shared" si="111"/>
        <v>0.38368600528443353</v>
      </c>
      <c r="AE35" s="7">
        <f t="shared" si="111"/>
        <v>0.1871521600757291</v>
      </c>
      <c r="AF35" s="7"/>
      <c r="AG35" s="7"/>
      <c r="AH35" s="7"/>
      <c r="AI35" s="7"/>
      <c r="AJ35" s="7"/>
      <c r="AK35" s="7"/>
      <c r="AL35" s="7"/>
      <c r="AM35" s="7"/>
    </row>
    <row r="36" spans="2:39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2">
      <c r="B37" s="1" t="s">
        <v>45</v>
      </c>
      <c r="C37" s="7"/>
      <c r="D37" s="7"/>
      <c r="E37" s="7"/>
      <c r="F37" s="7"/>
      <c r="G37" s="7">
        <f>(G11/C11)-1</f>
        <v>0.36695831188883177</v>
      </c>
      <c r="H37" s="7">
        <f t="shared" ref="H37:J37" si="112">(H11/D11)-1</f>
        <v>0.28415758591785423</v>
      </c>
      <c r="I37" s="7">
        <f t="shared" si="112"/>
        <v>0.2265722615576844</v>
      </c>
      <c r="J37" s="7">
        <f t="shared" si="112"/>
        <v>0.15333070555774531</v>
      </c>
      <c r="K37" s="7">
        <f t="shared" ref="K37" si="113">(K11/G11)-1</f>
        <v>0.13470632530120485</v>
      </c>
      <c r="L37" s="7">
        <f t="shared" ref="L37" si="114">(L11/H11)-1</f>
        <v>1.3117950391644984E-2</v>
      </c>
      <c r="M37" s="7">
        <f t="shared" ref="M37" si="115">(M11/I11)-1</f>
        <v>8.5677148387096835E-2</v>
      </c>
      <c r="N37" s="7">
        <f t="shared" ref="N37" si="116">(N11/J11)-1</f>
        <v>0.12550881000000014</v>
      </c>
      <c r="O37" s="7">
        <f t="shared" ref="O37" si="117">(O11/K11)-1</f>
        <v>0.12550880999999992</v>
      </c>
      <c r="P37" s="7">
        <f t="shared" ref="P37" si="118">(P11/L11)-1</f>
        <v>0.12550881000000014</v>
      </c>
      <c r="W37" s="7"/>
      <c r="X37" s="7"/>
      <c r="Y37" s="7">
        <f t="shared" ref="Y37:AC37" si="119">(Y12/X12)-1</f>
        <v>0.54970530451866395</v>
      </c>
      <c r="Z37" s="7">
        <f t="shared" si="119"/>
        <v>-0.29741379310344829</v>
      </c>
      <c r="AA37" s="7">
        <f t="shared" si="119"/>
        <v>5.4853843377841827E-2</v>
      </c>
      <c r="AB37" s="7">
        <f t="shared" si="119"/>
        <v>4.7553882996920871E-2</v>
      </c>
      <c r="AC37" s="7">
        <f t="shared" si="119"/>
        <v>4.6538210320052231E-2</v>
      </c>
      <c r="AD37" s="7">
        <f>(AD12/AC12)-1</f>
        <v>0.13309408644094245</v>
      </c>
      <c r="AE37" s="7">
        <f>(AE12/AD12)-1</f>
        <v>1.996695125309822E-2</v>
      </c>
      <c r="AF37" s="7"/>
      <c r="AG37" s="7"/>
      <c r="AH37" s="7"/>
      <c r="AI37" s="7"/>
      <c r="AJ37" s="7"/>
      <c r="AK37" s="7"/>
      <c r="AL37" s="7"/>
      <c r="AM37" s="7"/>
    </row>
    <row r="38" spans="2:39" x14ac:dyDescent="0.2">
      <c r="B38" s="1" t="s">
        <v>60</v>
      </c>
      <c r="C38" s="7">
        <f t="shared" ref="C38:E38" si="120">(C27/C26)</f>
        <v>0.13836516993301909</v>
      </c>
      <c r="D38" s="7">
        <f t="shared" si="120"/>
        <v>0.15673228990565524</v>
      </c>
      <c r="E38" s="7">
        <f t="shared" si="120"/>
        <v>0.10321420283128337</v>
      </c>
      <c r="F38" s="7">
        <f>(F27/F26)</f>
        <v>0.15186807523834064</v>
      </c>
      <c r="G38" s="7">
        <f t="shared" ref="G38:J38" si="121">(G27/G26)</f>
        <v>9.2574546871954783E-4</v>
      </c>
      <c r="H38" s="7">
        <f t="shared" si="121"/>
        <v>0.16655562958027981</v>
      </c>
      <c r="I38" s="7">
        <f t="shared" si="121"/>
        <v>0.17147102526002972</v>
      </c>
      <c r="J38" s="7">
        <f t="shared" si="121"/>
        <v>0.19777639334834907</v>
      </c>
      <c r="K38" s="7">
        <f t="shared" ref="K38:P38" si="122">(K27/K26)</f>
        <v>0.17</v>
      </c>
      <c r="L38" s="7">
        <f t="shared" si="122"/>
        <v>0.17</v>
      </c>
      <c r="M38" s="7">
        <f t="shared" si="122"/>
        <v>0.17</v>
      </c>
      <c r="N38" s="7">
        <f t="shared" si="122"/>
        <v>0.17</v>
      </c>
      <c r="O38" s="7">
        <f t="shared" si="122"/>
        <v>0.17</v>
      </c>
      <c r="P38" s="7">
        <f t="shared" si="122"/>
        <v>0.17</v>
      </c>
      <c r="W38" s="7"/>
      <c r="X38" s="7"/>
      <c r="Y38" s="7">
        <f t="shared" ref="Y38:AC38" si="123">(Y27/Y26)</f>
        <v>0.22520653363008789</v>
      </c>
      <c r="Z38" s="7">
        <f t="shared" si="123"/>
        <v>9.4497140218124984E-2</v>
      </c>
      <c r="AA38" s="7">
        <f t="shared" si="123"/>
        <v>0.50743118720646807</v>
      </c>
      <c r="AB38" s="7">
        <f t="shared" si="123"/>
        <v>0.10181285478850027</v>
      </c>
      <c r="AC38" s="7">
        <f t="shared" si="123"/>
        <v>0.14903143977246522</v>
      </c>
      <c r="AD38" s="7">
        <f t="shared" ref="AD38:AE38" si="124">(AD27/AD26)</f>
        <v>0.13826615285083402</v>
      </c>
      <c r="AE38" s="7">
        <f t="shared" si="124"/>
        <v>0.13113383343685794</v>
      </c>
      <c r="AF38" s="7"/>
      <c r="AG38" s="7"/>
      <c r="AH38" s="7"/>
      <c r="AI38" s="7"/>
      <c r="AJ38" s="7"/>
      <c r="AK38" s="7"/>
      <c r="AL38" s="7"/>
      <c r="AM38" s="7"/>
    </row>
    <row r="39" spans="2:39" x14ac:dyDescent="0.2">
      <c r="B39" s="1" t="s">
        <v>32</v>
      </c>
      <c r="C39" s="7">
        <f t="shared" ref="C39:J39" si="125">C19/C18</f>
        <v>0.29611885665069709</v>
      </c>
      <c r="D39" s="7">
        <f t="shared" si="125"/>
        <v>0.32951063237069367</v>
      </c>
      <c r="E39" s="7">
        <f t="shared" si="125"/>
        <v>0.31278473121373424</v>
      </c>
      <c r="F39" s="7">
        <f t="shared" si="125"/>
        <v>0.30315045935170742</v>
      </c>
      <c r="G39" s="7">
        <f t="shared" si="125"/>
        <v>0.3011231987995675</v>
      </c>
      <c r="H39" s="7">
        <f t="shared" si="125"/>
        <v>0.32786885245901637</v>
      </c>
      <c r="I39" s="7">
        <f t="shared" si="125"/>
        <v>0.31667004664368281</v>
      </c>
      <c r="J39" s="7">
        <f t="shared" si="125"/>
        <v>0.31645959741885776</v>
      </c>
      <c r="K39" s="7">
        <f t="shared" ref="K39:P39" si="126">K19/K18</f>
        <v>0.31446252548686127</v>
      </c>
      <c r="L39" s="7">
        <f t="shared" si="126"/>
        <v>0.31247147656636493</v>
      </c>
      <c r="M39" s="7">
        <f t="shared" si="126"/>
        <v>0.31048651596275939</v>
      </c>
      <c r="N39" s="7">
        <f t="shared" si="126"/>
        <v>0.30850770801606447</v>
      </c>
      <c r="O39" s="7">
        <f t="shared" si="126"/>
        <v>0.30653511609549894</v>
      </c>
      <c r="P39" s="7">
        <f t="shared" si="126"/>
        <v>0.30456880259435265</v>
      </c>
      <c r="W39" s="7"/>
      <c r="X39" s="7"/>
      <c r="Y39" s="7">
        <f t="shared" ref="Y39:AC39" si="127">Y19/Y18</f>
        <v>0.35961120740724489</v>
      </c>
      <c r="Z39" s="7">
        <f t="shared" si="127"/>
        <v>0.35477524308539832</v>
      </c>
      <c r="AA39" s="7">
        <f t="shared" si="127"/>
        <v>0.34752627763682492</v>
      </c>
      <c r="AB39" s="7">
        <f t="shared" si="127"/>
        <v>0.34098042799361111</v>
      </c>
      <c r="AC39" s="7">
        <f t="shared" si="127"/>
        <v>0.32218998007202043</v>
      </c>
      <c r="AD39" s="7">
        <f t="shared" ref="AD39:AE39" si="128">AD19/AD18</f>
        <v>0.31074199228975297</v>
      </c>
      <c r="AE39" s="7">
        <f t="shared" si="128"/>
        <v>0.31598325515710901</v>
      </c>
      <c r="AF39" s="7"/>
      <c r="AG39" s="7"/>
      <c r="AH39" s="7"/>
      <c r="AI39" s="7"/>
      <c r="AJ39" s="7"/>
      <c r="AK39" s="7"/>
      <c r="AL39" s="7"/>
      <c r="AM39" s="7"/>
    </row>
    <row r="40" spans="2:39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W40" s="7"/>
      <c r="X40" s="7"/>
      <c r="Y40" s="7">
        <f t="shared" ref="Y40:AD40" si="129">Y28/X28-1</f>
        <v>-3.1362007168458828E-2</v>
      </c>
      <c r="Z40" s="7">
        <f t="shared" si="129"/>
        <v>0.24100491747407382</v>
      </c>
      <c r="AA40" s="7">
        <f t="shared" si="129"/>
        <v>-0.34987641727804153</v>
      </c>
      <c r="AB40" s="7">
        <f t="shared" si="129"/>
        <v>1.3679922756623015</v>
      </c>
      <c r="AC40" s="7">
        <f t="shared" si="129"/>
        <v>0.12846585117227316</v>
      </c>
      <c r="AD40" s="7">
        <f t="shared" si="129"/>
        <v>0.38368600528443353</v>
      </c>
      <c r="AE40" s="7">
        <f>AE28/AD28-1</f>
        <v>0.1871521600757291</v>
      </c>
      <c r="AF40" s="7"/>
      <c r="AG40" s="7"/>
      <c r="AH40" s="7"/>
      <c r="AI40" s="7"/>
      <c r="AJ40" s="7"/>
      <c r="AK40" s="7"/>
      <c r="AL40" s="7"/>
      <c r="AM40" s="7"/>
    </row>
    <row r="41" spans="2:39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W41" s="7"/>
      <c r="X41" s="7"/>
      <c r="Y41" s="7"/>
      <c r="Z41" s="7"/>
      <c r="AA41" s="7"/>
      <c r="AB41" s="7"/>
      <c r="AC41" s="7"/>
      <c r="AD41" s="7"/>
      <c r="AE41" s="7"/>
    </row>
    <row r="42" spans="2:39" x14ac:dyDescent="0.2">
      <c r="B42" s="1" t="s">
        <v>46</v>
      </c>
      <c r="C42" s="2">
        <f t="shared" ref="C42:N42" si="130">C43-C53</f>
        <v>53587</v>
      </c>
      <c r="D42" s="2">
        <f t="shared" si="130"/>
        <v>97196</v>
      </c>
      <c r="E42" s="2">
        <f t="shared" si="130"/>
        <v>54814</v>
      </c>
      <c r="F42" s="2">
        <f t="shared" si="130"/>
        <v>40590</v>
      </c>
      <c r="G42" s="2">
        <f t="shared" si="130"/>
        <v>50563</v>
      </c>
      <c r="H42" s="2">
        <f t="shared" si="130"/>
        <v>62090</v>
      </c>
      <c r="I42" s="2">
        <f t="shared" si="130"/>
        <v>54985</v>
      </c>
      <c r="J42" s="2">
        <f t="shared" si="130"/>
        <v>46595</v>
      </c>
      <c r="K42" s="2">
        <f t="shared" si="130"/>
        <v>65839.630499999999</v>
      </c>
      <c r="L42" s="2">
        <f t="shared" si="130"/>
        <v>85571.359236999997</v>
      </c>
      <c r="M42" s="2">
        <f t="shared" si="130"/>
        <v>105807.28305533002</v>
      </c>
      <c r="N42" s="2">
        <f t="shared" si="130"/>
        <v>126564.93495450211</v>
      </c>
      <c r="O42" s="2">
        <f t="shared" ref="O42:P42" si="131">O43-O53</f>
        <v>147862.29945403812</v>
      </c>
      <c r="P42" s="2">
        <f t="shared" si="131"/>
        <v>169717.82835061339</v>
      </c>
    </row>
    <row r="43" spans="2:39" x14ac:dyDescent="0.2">
      <c r="B43" s="1" t="s">
        <v>3</v>
      </c>
      <c r="C43" s="2">
        <f>14224+89437</f>
        <v>103661</v>
      </c>
      <c r="D43" s="2">
        <f>88151+14432</f>
        <v>102583</v>
      </c>
      <c r="E43" s="2">
        <f>90664+14224</f>
        <v>104888</v>
      </c>
      <c r="F43" s="2">
        <f>90664</f>
        <v>90664</v>
      </c>
      <c r="G43" s="2">
        <f>89437+11165</f>
        <v>100602</v>
      </c>
      <c r="H43" s="2">
        <f>20604+89746</f>
        <v>110350</v>
      </c>
      <c r="I43" s="2">
        <f>12498+90664</f>
        <v>103162</v>
      </c>
      <c r="J43" s="2">
        <f>79696+13931</f>
        <v>93627</v>
      </c>
      <c r="K43" s="2">
        <f>K28+J43</f>
        <v>111460.67050000001</v>
      </c>
      <c r="L43" s="2">
        <f t="shared" ref="L43:P43" si="132">L28+K43</f>
        <v>129823.768037</v>
      </c>
      <c r="M43" s="2">
        <f t="shared" si="132"/>
        <v>148732.11959133</v>
      </c>
      <c r="N43" s="2">
        <f t="shared" si="132"/>
        <v>168202.02639442211</v>
      </c>
      <c r="O43" s="2">
        <f t="shared" si="132"/>
        <v>188250.27815076051</v>
      </c>
      <c r="P43" s="2">
        <f t="shared" si="132"/>
        <v>208894.16768643411</v>
      </c>
    </row>
    <row r="44" spans="2:39" x14ac:dyDescent="0.2">
      <c r="B44" s="1" t="s">
        <v>47</v>
      </c>
      <c r="C44" s="2">
        <v>38043</v>
      </c>
      <c r="D44" s="2">
        <v>27312</v>
      </c>
      <c r="E44" s="2">
        <v>38043</v>
      </c>
      <c r="F44" s="2">
        <v>38043</v>
      </c>
      <c r="G44" s="2">
        <v>27349</v>
      </c>
      <c r="H44" s="2">
        <v>33520</v>
      </c>
      <c r="I44" s="2">
        <v>32613</v>
      </c>
      <c r="J44" s="2">
        <v>44261</v>
      </c>
      <c r="K44" s="2"/>
      <c r="L44" s="2"/>
      <c r="M44" s="2"/>
      <c r="N44" s="2"/>
    </row>
    <row r="45" spans="2:39" x14ac:dyDescent="0.2">
      <c r="B45" s="1" t="s">
        <v>48</v>
      </c>
      <c r="C45" s="2">
        <v>2636</v>
      </c>
      <c r="D45" s="2">
        <v>1924</v>
      </c>
      <c r="E45" s="2">
        <v>2636</v>
      </c>
      <c r="F45" s="2">
        <v>2636</v>
      </c>
      <c r="G45" s="2">
        <v>3411</v>
      </c>
      <c r="H45" s="2">
        <v>3019</v>
      </c>
      <c r="I45" s="2">
        <v>3296</v>
      </c>
      <c r="J45" s="2">
        <v>3742</v>
      </c>
      <c r="K45" s="2"/>
      <c r="L45" s="2"/>
      <c r="M45" s="2"/>
      <c r="N45" s="2"/>
    </row>
    <row r="46" spans="2:39" x14ac:dyDescent="0.2">
      <c r="B46" s="1" t="s">
        <v>49</v>
      </c>
      <c r="C46" s="2">
        <v>59715</v>
      </c>
      <c r="D46" s="2">
        <v>51737</v>
      </c>
      <c r="E46" s="2">
        <v>59715</v>
      </c>
      <c r="F46" s="2">
        <v>59715</v>
      </c>
      <c r="G46" s="2">
        <v>63772</v>
      </c>
      <c r="H46" s="2">
        <v>67214</v>
      </c>
      <c r="I46" s="2">
        <v>70298</v>
      </c>
      <c r="J46" s="2">
        <v>74398</v>
      </c>
      <c r="K46" s="2"/>
      <c r="L46" s="2"/>
      <c r="M46" s="2"/>
      <c r="N46" s="2"/>
      <c r="AG46" s="26" t="s">
        <v>70</v>
      </c>
      <c r="AH46" s="27">
        <v>5.5E-2</v>
      </c>
      <c r="AJ46" s="1" t="s">
        <v>72</v>
      </c>
    </row>
    <row r="47" spans="2:39" x14ac:dyDescent="0.2">
      <c r="B47" s="1" t="s">
        <v>50</v>
      </c>
      <c r="C47" s="2">
        <v>11088</v>
      </c>
      <c r="D47" s="2">
        <v>10298</v>
      </c>
      <c r="E47" s="2">
        <v>11088</v>
      </c>
      <c r="F47" s="2">
        <v>11088</v>
      </c>
      <c r="G47" s="2">
        <v>11575</v>
      </c>
      <c r="H47" s="2">
        <v>12354</v>
      </c>
      <c r="I47" s="2">
        <v>12916</v>
      </c>
      <c r="J47" s="2">
        <v>13148</v>
      </c>
      <c r="K47" s="2"/>
      <c r="L47" s="2"/>
      <c r="M47" s="2"/>
      <c r="N47" s="2"/>
      <c r="AG47" s="28" t="s">
        <v>69</v>
      </c>
      <c r="AH47" s="29">
        <v>0.06</v>
      </c>
    </row>
    <row r="48" spans="2:39" x14ac:dyDescent="0.2">
      <c r="B48" s="1" t="s">
        <v>51</v>
      </c>
      <c r="C48" s="2">
        <v>5984</v>
      </c>
      <c r="D48" s="2">
        <v>3794</v>
      </c>
      <c r="E48" s="2">
        <v>5984</v>
      </c>
      <c r="F48" s="2">
        <v>5984</v>
      </c>
      <c r="G48" s="2">
        <v>6393</v>
      </c>
      <c r="H48" s="2">
        <v>6994</v>
      </c>
      <c r="I48" s="2">
        <v>6907</v>
      </c>
      <c r="J48" s="2">
        <v>6891</v>
      </c>
      <c r="K48" s="2"/>
      <c r="L48" s="2"/>
      <c r="M48" s="2"/>
      <c r="N48" s="2"/>
      <c r="AG48" s="30" t="s">
        <v>68</v>
      </c>
      <c r="AH48" s="31">
        <f>NPV(AH47,AF28:CW28)</f>
        <v>3285079.1773080197</v>
      </c>
      <c r="AI48" s="15"/>
    </row>
    <row r="49" spans="2:36" x14ac:dyDescent="0.2">
      <c r="B49" s="1" t="s">
        <v>52</v>
      </c>
      <c r="C49" s="2">
        <v>49711</v>
      </c>
      <c r="D49" s="2">
        <v>44219</v>
      </c>
      <c r="E49" s="2">
        <v>49711</v>
      </c>
      <c r="F49" s="2">
        <v>49711</v>
      </c>
      <c r="G49" s="2">
        <v>50455</v>
      </c>
      <c r="H49" s="2">
        <v>50921</v>
      </c>
      <c r="I49" s="2">
        <v>67371</v>
      </c>
      <c r="J49" s="2">
        <v>67524</v>
      </c>
      <c r="K49" s="2"/>
      <c r="L49" s="2"/>
      <c r="M49" s="2"/>
      <c r="N49" s="2"/>
      <c r="AG49" s="30"/>
      <c r="AH49" s="31">
        <f>AH48/Main!M4</f>
        <v>440.53629841866967</v>
      </c>
      <c r="AJ49" s="2"/>
    </row>
    <row r="50" spans="2:36" x14ac:dyDescent="0.2">
      <c r="B50" s="1" t="s">
        <v>53</v>
      </c>
      <c r="C50" s="2">
        <v>333799</v>
      </c>
      <c r="D50" s="2">
        <v>304137</v>
      </c>
      <c r="E50" s="2">
        <v>333779</v>
      </c>
      <c r="F50" s="2">
        <v>333779</v>
      </c>
      <c r="G50" s="2">
        <v>335418</v>
      </c>
      <c r="H50" s="2">
        <v>340389</v>
      </c>
      <c r="I50" s="2">
        <v>344607</v>
      </c>
      <c r="J50" s="2">
        <v>364840</v>
      </c>
      <c r="K50" s="2"/>
      <c r="L50" s="2"/>
      <c r="M50" s="2"/>
      <c r="N50" s="2"/>
      <c r="AG50" s="17"/>
      <c r="AH50" s="22"/>
    </row>
    <row r="51" spans="2:36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AG51" s="32" t="s">
        <v>71</v>
      </c>
      <c r="AH51" s="33">
        <f>(AH49/Main!M3)-1</f>
        <v>0.50915110280110176</v>
      </c>
    </row>
    <row r="52" spans="2:36" x14ac:dyDescent="0.2">
      <c r="B52" s="1" t="s">
        <v>54</v>
      </c>
      <c r="C52" s="2">
        <v>8072</v>
      </c>
      <c r="D52" s="2">
        <v>12770</v>
      </c>
      <c r="E52" s="2">
        <v>8072</v>
      </c>
      <c r="F52" s="2">
        <v>15163</v>
      </c>
      <c r="G52" s="2">
        <v>14832</v>
      </c>
      <c r="H52" s="2">
        <v>15314</v>
      </c>
      <c r="I52" s="2">
        <v>16085</v>
      </c>
      <c r="J52" s="2">
        <v>19000</v>
      </c>
      <c r="K52" s="2"/>
      <c r="L52" s="2"/>
      <c r="M52" s="2"/>
      <c r="N52" s="2"/>
      <c r="AH52" s="7"/>
    </row>
    <row r="53" spans="2:36" x14ac:dyDescent="0.2">
      <c r="B53" s="1" t="s">
        <v>4</v>
      </c>
      <c r="C53" s="2">
        <v>50074</v>
      </c>
      <c r="D53" s="2">
        <v>5387</v>
      </c>
      <c r="E53" s="2">
        <v>50074</v>
      </c>
      <c r="F53" s="2">
        <v>50074</v>
      </c>
      <c r="G53" s="2">
        <v>50039</v>
      </c>
      <c r="H53" s="2">
        <v>48260</v>
      </c>
      <c r="I53" s="2">
        <v>48177</v>
      </c>
      <c r="J53" s="2">
        <v>47032</v>
      </c>
      <c r="K53" s="2">
        <f>J53*0.97</f>
        <v>45621.04</v>
      </c>
      <c r="L53" s="2">
        <f t="shared" ref="L53:P53" si="133">K53*0.97</f>
        <v>44252.408799999997</v>
      </c>
      <c r="M53" s="2">
        <f t="shared" si="133"/>
        <v>42924.836535999995</v>
      </c>
      <c r="N53" s="2">
        <f t="shared" si="133"/>
        <v>41637.091439919997</v>
      </c>
      <c r="O53" s="2">
        <f t="shared" si="133"/>
        <v>40387.978696722399</v>
      </c>
      <c r="P53" s="2">
        <f t="shared" si="133"/>
        <v>39176.339335820725</v>
      </c>
    </row>
    <row r="54" spans="2:36" x14ac:dyDescent="0.2">
      <c r="B54" s="1" t="s">
        <v>55</v>
      </c>
      <c r="C54" s="2">
        <v>13427</v>
      </c>
      <c r="D54" s="2">
        <v>12544</v>
      </c>
      <c r="E54" s="2">
        <v>13427</v>
      </c>
      <c r="F54" s="2">
        <v>13427</v>
      </c>
      <c r="G54" s="2">
        <v>14346</v>
      </c>
      <c r="H54" s="2">
        <v>14747</v>
      </c>
      <c r="I54" s="2">
        <v>15154</v>
      </c>
      <c r="J54" s="2">
        <v>15526</v>
      </c>
      <c r="K54" s="2"/>
      <c r="L54" s="2"/>
      <c r="M54" s="2"/>
      <c r="N54" s="2"/>
    </row>
    <row r="55" spans="2:36" x14ac:dyDescent="0.2">
      <c r="B55" s="1" t="s">
        <v>56</v>
      </c>
      <c r="C55" s="2">
        <v>141988</v>
      </c>
      <c r="D55" s="2">
        <v>130236</v>
      </c>
      <c r="E55" s="2">
        <v>141988</v>
      </c>
      <c r="F55" s="2">
        <v>141988</v>
      </c>
      <c r="G55" s="2">
        <v>151978</v>
      </c>
      <c r="H55" s="2">
        <v>160010</v>
      </c>
      <c r="I55" s="2">
        <v>162924</v>
      </c>
      <c r="J55" s="2">
        <v>166542</v>
      </c>
      <c r="K55" s="2"/>
      <c r="L55" s="2"/>
      <c r="M55" s="2"/>
      <c r="N55" s="2"/>
    </row>
    <row r="56" spans="2:36" x14ac:dyDescent="0.2">
      <c r="B56" s="1" t="s">
        <v>57</v>
      </c>
      <c r="C56" s="2">
        <v>333779</v>
      </c>
      <c r="D56" s="2">
        <v>304137</v>
      </c>
      <c r="E56" s="2">
        <v>333779</v>
      </c>
      <c r="F56" s="2">
        <v>333779</v>
      </c>
      <c r="G56" s="2">
        <v>335418</v>
      </c>
      <c r="H56" s="2">
        <v>340389</v>
      </c>
      <c r="I56" s="2">
        <v>344607</v>
      </c>
      <c r="J56" s="2">
        <v>364840</v>
      </c>
      <c r="K56" s="2"/>
      <c r="L56" s="2"/>
      <c r="M56" s="2"/>
      <c r="N56" s="2"/>
    </row>
    <row r="59" spans="2:36" x14ac:dyDescent="0.2">
      <c r="B59" s="1" t="s">
        <v>61</v>
      </c>
      <c r="C59" s="1" t="s">
        <v>65</v>
      </c>
      <c r="D59" s="1" t="s">
        <v>64</v>
      </c>
      <c r="E59" s="1" t="s">
        <v>63</v>
      </c>
      <c r="F59" s="1" t="s">
        <v>62</v>
      </c>
      <c r="G59" s="1" t="s">
        <v>65</v>
      </c>
      <c r="H59" s="1" t="s">
        <v>64</v>
      </c>
      <c r="I59" s="1" t="s">
        <v>63</v>
      </c>
      <c r="J59" s="1" t="s">
        <v>62</v>
      </c>
      <c r="K59" s="1" t="s">
        <v>65</v>
      </c>
      <c r="L59" s="1" t="s">
        <v>64</v>
      </c>
      <c r="M59" s="1" t="s">
        <v>63</v>
      </c>
      <c r="N59" s="1" t="s">
        <v>62</v>
      </c>
      <c r="O59" s="1" t="s">
        <v>65</v>
      </c>
      <c r="P59" s="1" t="s">
        <v>64</v>
      </c>
    </row>
  </sheetData>
  <hyperlinks>
    <hyperlink ref="A1" location="Main!A1" display="Main" xr:uid="{D165E763-050A-42FA-93EB-F4AF3AB9FE9F}"/>
  </hyperlinks>
  <pageMargins left="0.7" right="0.7" top="0.75" bottom="0.75" header="0.3" footer="0.3"/>
  <pageSetup orientation="portrait" r:id="rId1"/>
  <ignoredErrors>
    <ignoredError sqref="AD3:AD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2022-08-07T21:45:58Z</dcterms:created>
  <dcterms:modified xsi:type="dcterms:W3CDTF">2022-08-13T22:44:42Z</dcterms:modified>
</cp:coreProperties>
</file>