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20" windowWidth="24720" windowHeight="12285" activeTab="4"/>
  </bookViews>
  <sheets>
    <sheet name="Jak postupovat" sheetId="6" r:id="rId1"/>
    <sheet name="1. příruba" sheetId="2" r:id="rId2"/>
    <sheet name="2. příruba" sheetId="4" r:id="rId3"/>
    <sheet name="Šrouby" sheetId="5" r:id="rId4"/>
    <sheet name="Těsnění, zatížení" sheetId="1" r:id="rId5"/>
    <sheet name="Vyhodnocení" sheetId="7" r:id="rId6"/>
    <sheet name="Přílohy" sheetId="3" r:id="rId7"/>
  </sheets>
  <definedNames>
    <definedName name="_xlnm._FilterDatabase" localSheetId="1" hidden="1">'1. příruba'!$A$2:$A$110</definedName>
    <definedName name="_xlnm._FilterDatabase" localSheetId="2" hidden="1">'2. příruba'!$A$2:$A$110</definedName>
    <definedName name="_xlnm.Criteria" localSheetId="1">'1. příruba'!$A$2</definedName>
    <definedName name="_xlnm.Criteria" localSheetId="4">'Těsnění, zatížení'!#REF!</definedName>
    <definedName name="solver_adj" localSheetId="4" hidden="1">'Těsnění, zatížení'!$G$70:$G$74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1000</definedName>
    <definedName name="solver_lhs1" localSheetId="4" hidden="1">'Těsnění, zatížení'!$G$80</definedName>
    <definedName name="solver_lin" localSheetId="4" hidden="1">2</definedName>
    <definedName name="solver_neg" localSheetId="4" hidden="1">2</definedName>
    <definedName name="solver_num" localSheetId="4" hidden="1">1</definedName>
    <definedName name="solver_nwt" localSheetId="4" hidden="1">1</definedName>
    <definedName name="solver_opt" localSheetId="4" hidden="1">'Těsnění, zatížení'!$G$80</definedName>
    <definedName name="solver_pre" localSheetId="4" hidden="1">0.0000001</definedName>
    <definedName name="solver_rel1" localSheetId="4" hidden="1">1</definedName>
    <definedName name="solver_rhs1" localSheetId="4" hidden="1">0.001</definedName>
    <definedName name="solver_scl" localSheetId="4" hidden="1">2</definedName>
    <definedName name="solver_sho" localSheetId="4" hidden="1">2</definedName>
    <definedName name="solver_tim" localSheetId="4" hidden="1">500</definedName>
    <definedName name="solver_tol" localSheetId="4" hidden="1">0.001</definedName>
    <definedName name="solver_typ" localSheetId="4" hidden="1">2</definedName>
    <definedName name="solver_val" localSheetId="4" hidden="1">0</definedName>
  </definedNames>
  <calcPr calcId="145621" iterate="1"/>
</workbook>
</file>

<file path=xl/calcChain.xml><?xml version="1.0" encoding="utf-8"?>
<calcChain xmlns="http://schemas.openxmlformats.org/spreadsheetml/2006/main">
  <c r="AD21" i="1" l="1"/>
  <c r="L34" i="1"/>
  <c r="AD22" i="1"/>
  <c r="AD19" i="1"/>
  <c r="AD18" i="1"/>
  <c r="G16" i="5" l="1"/>
  <c r="H64" i="4"/>
  <c r="H101" i="4"/>
  <c r="H35" i="4"/>
  <c r="H101" i="2"/>
  <c r="H35" i="2" l="1"/>
  <c r="H29" i="2"/>
  <c r="H30" i="2" s="1"/>
  <c r="H28" i="2"/>
  <c r="H26" i="2"/>
  <c r="H24" i="2"/>
  <c r="H25" i="2" s="1"/>
  <c r="H27" i="2" s="1"/>
  <c r="I98" i="1"/>
  <c r="J98" i="1"/>
  <c r="H98" i="1"/>
  <c r="H31" i="2" l="1"/>
  <c r="AE8" i="1"/>
  <c r="AE4" i="1"/>
  <c r="AE7" i="1"/>
  <c r="AE3" i="1"/>
  <c r="G20" i="5"/>
  <c r="G19" i="5"/>
  <c r="G18" i="5"/>
  <c r="G17" i="5"/>
  <c r="G95" i="1"/>
  <c r="G88" i="1"/>
  <c r="G100" i="1" l="1"/>
  <c r="H100" i="1"/>
  <c r="G99" i="1"/>
  <c r="H99" i="1"/>
  <c r="G67" i="1"/>
  <c r="G65" i="1"/>
  <c r="G56" i="1"/>
  <c r="G60" i="1"/>
  <c r="G58" i="1"/>
  <c r="L36" i="1"/>
  <c r="L35" i="1"/>
  <c r="J37" i="4"/>
  <c r="J37" i="2"/>
  <c r="G50" i="1"/>
  <c r="G49" i="1"/>
  <c r="G14" i="5"/>
  <c r="H97" i="4"/>
  <c r="H96" i="4"/>
  <c r="H94" i="4"/>
  <c r="H93" i="4"/>
  <c r="H92" i="4"/>
  <c r="H90" i="4"/>
  <c r="H91" i="4" s="1"/>
  <c r="H95" i="4" s="1"/>
  <c r="H66" i="4"/>
  <c r="H62" i="4"/>
  <c r="H60" i="4"/>
  <c r="H61" i="4" s="1"/>
  <c r="H32" i="4"/>
  <c r="H37" i="4" s="1"/>
  <c r="H29" i="4"/>
  <c r="H30" i="4" s="1"/>
  <c r="H28" i="4"/>
  <c r="H26" i="4"/>
  <c r="H24" i="4"/>
  <c r="H25" i="4" s="1"/>
  <c r="H27" i="4" s="1"/>
  <c r="H43" i="4" s="1"/>
  <c r="H97" i="2"/>
  <c r="H98" i="2" s="1"/>
  <c r="H100" i="2" s="1"/>
  <c r="H96" i="2"/>
  <c r="H94" i="2"/>
  <c r="H93" i="2"/>
  <c r="H92" i="2"/>
  <c r="H90" i="2"/>
  <c r="H91" i="2" s="1"/>
  <c r="H95" i="2" s="1"/>
  <c r="H66" i="2"/>
  <c r="H67" i="2" s="1"/>
  <c r="H62" i="2"/>
  <c r="H64" i="2"/>
  <c r="H60" i="2"/>
  <c r="H61" i="2" s="1"/>
  <c r="H32" i="2"/>
  <c r="H53" i="1"/>
  <c r="G15" i="5" l="1"/>
  <c r="G21" i="5"/>
  <c r="H63" i="4"/>
  <c r="H67" i="4"/>
  <c r="H68" i="4" s="1"/>
  <c r="I102" i="1"/>
  <c r="J102" i="1"/>
  <c r="H102" i="1"/>
  <c r="H38" i="2"/>
  <c r="H34" i="2"/>
  <c r="H33" i="2"/>
  <c r="G52" i="1"/>
  <c r="J53" i="1"/>
  <c r="J52" i="1"/>
  <c r="G86" i="1"/>
  <c r="I53" i="1"/>
  <c r="H52" i="1"/>
  <c r="G53" i="1"/>
  <c r="I52" i="1"/>
  <c r="G62" i="1"/>
  <c r="G63" i="1" s="1"/>
  <c r="G64" i="1" s="1"/>
  <c r="G68" i="1" s="1"/>
  <c r="G101" i="1"/>
  <c r="G51" i="1"/>
  <c r="H98" i="4"/>
  <c r="H100" i="4" s="1"/>
  <c r="H110" i="4"/>
  <c r="H31" i="4"/>
  <c r="H34" i="4" s="1"/>
  <c r="H109" i="4"/>
  <c r="H38" i="4"/>
  <c r="H109" i="2"/>
  <c r="H110" i="2"/>
  <c r="H43" i="2"/>
  <c r="H99" i="2"/>
  <c r="H68" i="2"/>
  <c r="H63" i="2"/>
  <c r="H70" i="2" s="1"/>
  <c r="H37" i="2"/>
  <c r="H69" i="4" l="1"/>
  <c r="H70" i="4"/>
  <c r="H39" i="2"/>
  <c r="H36" i="2"/>
  <c r="H42" i="2" s="1"/>
  <c r="G57" i="1" s="1"/>
  <c r="H40" i="2"/>
  <c r="G54" i="1"/>
  <c r="H99" i="4"/>
  <c r="H102" i="4" s="1"/>
  <c r="H108" i="4" s="1"/>
  <c r="G93" i="1"/>
  <c r="H105" i="2"/>
  <c r="H107" i="2" s="1"/>
  <c r="H102" i="2"/>
  <c r="H108" i="2" s="1"/>
  <c r="G66" i="1"/>
  <c r="H33" i="4"/>
  <c r="H106" i="2"/>
  <c r="H69" i="2"/>
  <c r="H41" i="2" l="1"/>
  <c r="G84" i="1" s="1"/>
  <c r="H105" i="4"/>
  <c r="H107" i="4" s="1"/>
  <c r="H106" i="4"/>
  <c r="H36" i="4"/>
  <c r="H42" i="4" s="1"/>
  <c r="G59" i="1" s="1"/>
  <c r="H40" i="4"/>
  <c r="H39" i="4"/>
  <c r="H41" i="4" l="1"/>
  <c r="G91" i="1" s="1"/>
  <c r="AC6" i="1" l="1"/>
  <c r="AD6" i="1"/>
  <c r="AE6" i="1"/>
  <c r="AF6" i="1"/>
  <c r="D8" i="1"/>
  <c r="E8" i="1"/>
  <c r="F8" i="1"/>
  <c r="G8" i="1"/>
  <c r="AC10" i="1"/>
  <c r="AD10" i="1"/>
  <c r="AE10" i="1"/>
  <c r="AF10" i="1"/>
  <c r="AC20" i="1"/>
  <c r="AD20" i="1"/>
  <c r="AE20" i="1"/>
  <c r="AF20" i="1"/>
  <c r="AC23" i="1"/>
  <c r="AD23" i="1"/>
  <c r="AE23" i="1"/>
  <c r="AF23" i="1"/>
  <c r="AC24" i="1"/>
  <c r="AD24" i="1"/>
  <c r="AE24" i="1"/>
  <c r="AF24" i="1"/>
  <c r="V52" i="1"/>
  <c r="W52" i="1"/>
  <c r="X52" i="1"/>
  <c r="Y52" i="1"/>
  <c r="AC52" i="1"/>
  <c r="AD52" i="1"/>
  <c r="AE52" i="1"/>
  <c r="AF52" i="1"/>
  <c r="G75" i="1"/>
  <c r="G76" i="1"/>
  <c r="G77" i="1"/>
  <c r="G78" i="1"/>
  <c r="G79" i="1"/>
  <c r="G80" i="1"/>
  <c r="G81" i="1"/>
  <c r="G82" i="1"/>
  <c r="G85" i="1"/>
  <c r="G87" i="1"/>
  <c r="G89" i="1"/>
  <c r="G92" i="1"/>
  <c r="G94" i="1"/>
  <c r="G96" i="1"/>
  <c r="G98" i="1"/>
  <c r="G103" i="1"/>
  <c r="H103" i="1"/>
  <c r="I103" i="1"/>
  <c r="J103" i="1"/>
  <c r="G104" i="1"/>
  <c r="H104" i="1"/>
  <c r="I104" i="1"/>
  <c r="J104" i="1"/>
  <c r="G105" i="1"/>
  <c r="H105" i="1"/>
  <c r="I105" i="1"/>
  <c r="J105" i="1"/>
  <c r="G106" i="1"/>
  <c r="H106" i="1"/>
  <c r="I106" i="1"/>
  <c r="J106" i="1"/>
  <c r="G107" i="1"/>
  <c r="G108" i="1"/>
  <c r="G109" i="1"/>
  <c r="G110" i="1"/>
  <c r="G111" i="1"/>
  <c r="G112" i="1"/>
  <c r="G113" i="1"/>
  <c r="G114" i="1"/>
  <c r="G115" i="1"/>
  <c r="H116" i="1"/>
  <c r="I116" i="1"/>
  <c r="J116" i="1"/>
  <c r="H117" i="1"/>
  <c r="I117" i="1"/>
  <c r="J117" i="1"/>
  <c r="H118" i="1"/>
  <c r="I118" i="1"/>
  <c r="J118" i="1"/>
  <c r="H119" i="1"/>
  <c r="I119" i="1"/>
  <c r="J119" i="1"/>
  <c r="G120" i="1"/>
  <c r="H120" i="1"/>
  <c r="I120" i="1"/>
  <c r="J120" i="1"/>
  <c r="G121" i="1"/>
  <c r="H121" i="1"/>
  <c r="I121" i="1"/>
  <c r="J121" i="1"/>
  <c r="G122" i="1"/>
  <c r="H122" i="1"/>
  <c r="I122" i="1"/>
  <c r="J122" i="1"/>
  <c r="G124" i="1"/>
  <c r="G125" i="1"/>
  <c r="H125" i="1"/>
  <c r="I125" i="1"/>
  <c r="J125" i="1"/>
  <c r="G126" i="1"/>
  <c r="H126" i="1"/>
  <c r="I126" i="1"/>
  <c r="J126" i="1"/>
  <c r="G127" i="1"/>
  <c r="H127" i="1"/>
  <c r="I127" i="1"/>
  <c r="J127" i="1"/>
  <c r="G128" i="1"/>
  <c r="H128" i="1"/>
  <c r="G129" i="1"/>
  <c r="G130" i="1"/>
  <c r="H130" i="1"/>
  <c r="I130" i="1"/>
  <c r="J130" i="1"/>
  <c r="G131" i="1"/>
  <c r="H131" i="1"/>
  <c r="I131" i="1"/>
  <c r="J131" i="1"/>
  <c r="G132" i="1"/>
  <c r="H132" i="1"/>
  <c r="I132" i="1"/>
  <c r="J132" i="1"/>
  <c r="G3" i="7"/>
  <c r="H3" i="7"/>
  <c r="G4" i="7"/>
  <c r="G5" i="7"/>
  <c r="H5" i="7"/>
  <c r="I5" i="7"/>
  <c r="J5" i="7"/>
  <c r="G6" i="7"/>
  <c r="H6" i="7"/>
  <c r="I6" i="7"/>
  <c r="J6" i="7"/>
  <c r="G7" i="7"/>
  <c r="H7" i="7"/>
  <c r="I7" i="7"/>
  <c r="J7" i="7"/>
  <c r="G8" i="7"/>
  <c r="H8" i="7"/>
  <c r="I8" i="7"/>
  <c r="J8" i="7"/>
  <c r="G9" i="7"/>
  <c r="H9" i="7"/>
  <c r="I9" i="7"/>
  <c r="J9" i="7"/>
  <c r="G10" i="7"/>
  <c r="H10" i="7"/>
  <c r="I10" i="7"/>
  <c r="J10" i="7"/>
  <c r="G11" i="7"/>
  <c r="H11" i="7"/>
  <c r="I11" i="7"/>
  <c r="J11" i="7"/>
  <c r="G12" i="7"/>
</calcChain>
</file>

<file path=xl/sharedStrings.xml><?xml version="1.0" encoding="utf-8"?>
<sst xmlns="http://schemas.openxmlformats.org/spreadsheetml/2006/main" count="1354" uniqueCount="515">
  <si>
    <t>Tvar příruby</t>
  </si>
  <si>
    <t>Popis parametru</t>
  </si>
  <si>
    <t>Symbol</t>
  </si>
  <si>
    <t>Hodnota</t>
  </si>
  <si>
    <t>Nejmenší tloušťka stěny na tenkém konci krku</t>
  </si>
  <si>
    <t>Tloušťka stěny na silném konci krku</t>
  </si>
  <si>
    <t>Tloušťka připojené skořepiny</t>
  </si>
  <si>
    <t>Vnitřní průměr listu příruby</t>
  </si>
  <si>
    <t>Příruby přivařené ke kuželovým skořepinám</t>
  </si>
  <si>
    <t>Příruby přivařené ke kulovým skořepinám</t>
  </si>
  <si>
    <t>Plochá přivařovací příruba</t>
  </si>
  <si>
    <t>Zaslepovací příruba</t>
  </si>
  <si>
    <t>Točivá příruba s obrubou nebo lemem</t>
  </si>
  <si>
    <t>Násuvná příruba s krkem pro přivaření</t>
  </si>
  <si>
    <t>Závitová příruba s krkem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</si>
  <si>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0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</si>
  <si>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S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</si>
  <si>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2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</si>
  <si>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1</t>
    </r>
  </si>
  <si>
    <t>Střední průměr krku na tenčí straně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</si>
  <si>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1</t>
    </r>
    <r>
      <rPr>
        <sz val="12"/>
        <color theme="1"/>
        <rFont val="Calibri"/>
        <family val="2"/>
        <charset val="238"/>
        <scheme val="minor"/>
      </rPr>
      <t/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</si>
  <si>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2</t>
    </r>
    <r>
      <rPr>
        <sz val="12"/>
        <color theme="1"/>
        <rFont val="Calibri"/>
        <family val="2"/>
        <charset val="238"/>
        <scheme val="minor"/>
      </rPr>
      <t/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</si>
  <si>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3</t>
    </r>
    <r>
      <rPr>
        <sz val="12"/>
        <color theme="1"/>
        <rFont val="Calibri"/>
        <family val="2"/>
        <charset val="238"/>
        <scheme val="minor"/>
      </rPr>
      <t/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</si>
  <si>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4</t>
    </r>
    <r>
      <rPr>
        <sz val="12"/>
        <color theme="1"/>
        <rFont val="Calibri"/>
        <family val="2"/>
        <charset val="238"/>
        <scheme val="minor"/>
      </rPr>
      <t/>
    </r>
  </si>
  <si>
    <t>Střední průměr krku na silnější straně</t>
  </si>
  <si>
    <t>Roztečný průměr otvorů pro šrouby</t>
  </si>
  <si>
    <t>Vnější průměr příruby</t>
  </si>
  <si>
    <t>Průměr otvoru pro šroub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</si>
  <si>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5</t>
    </r>
  </si>
  <si>
    <t>Délka krku</t>
  </si>
  <si>
    <r>
      <t>l</t>
    </r>
    <r>
      <rPr>
        <vertAlign val="subscript"/>
        <sz val="12"/>
        <color theme="1"/>
        <rFont val="Calibri"/>
        <family val="2"/>
        <charset val="238"/>
        <scheme val="minor"/>
      </rPr>
      <t>H</t>
    </r>
  </si>
  <si>
    <r>
      <t>p</t>
    </r>
    <r>
      <rPr>
        <vertAlign val="subscript"/>
        <sz val="12"/>
        <color theme="1"/>
        <rFont val="Calibri"/>
        <family val="2"/>
        <charset val="238"/>
        <scheme val="minor"/>
      </rPr>
      <t>B</t>
    </r>
  </si>
  <si>
    <t>Počet šroubů</t>
  </si>
  <si>
    <r>
      <t>n</t>
    </r>
    <r>
      <rPr>
        <vertAlign val="subscript"/>
        <sz val="12"/>
        <color theme="1"/>
        <rFont val="Calibri"/>
        <family val="2"/>
        <charset val="238"/>
        <scheme val="minor"/>
      </rPr>
      <t>B</t>
    </r>
  </si>
  <si>
    <t>Účinný průměr otvorů pro šrouby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</si>
  <si>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5e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</si>
  <si>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3e</t>
    </r>
  </si>
  <si>
    <t>Účinná osová tloušťka příruby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</si>
  <si>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F</t>
    </r>
  </si>
  <si>
    <t xml:space="preserve"> </t>
  </si>
  <si>
    <t>Účinná šířka příruby</t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</si>
  <si>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F</t>
    </r>
  </si>
  <si>
    <t xml:space="preserve"> -</t>
  </si>
  <si>
    <t>Oprávněnost výpočtu (geometrická podmínka)</t>
  </si>
  <si>
    <t>Střední průměr příruby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</si>
  <si>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F</t>
    </r>
  </si>
  <si>
    <r>
      <t xml:space="preserve">Pomocná proměnná </t>
    </r>
    <r>
      <rPr>
        <sz val="12"/>
        <color theme="1"/>
        <rFont val="Calibri"/>
        <family val="2"/>
        <charset val="238"/>
      </rPr>
      <t>β</t>
    </r>
  </si>
  <si>
    <t>β</t>
  </si>
  <si>
    <t>Účinná tloušťka stěny ekvivalentní válcové skořepiny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</si>
  <si>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E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</si>
  <si>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E</t>
    </r>
  </si>
  <si>
    <r>
      <t xml:space="preserve">Pomocná proměnná </t>
    </r>
    <r>
      <rPr>
        <sz val="12"/>
        <color theme="1"/>
        <rFont val="Calibri"/>
        <family val="2"/>
        <charset val="238"/>
      </rPr>
      <t>γ</t>
    </r>
  </si>
  <si>
    <r>
      <t xml:space="preserve">Pomocná proměnná </t>
    </r>
    <r>
      <rPr>
        <sz val="12"/>
        <color theme="1"/>
        <rFont val="Times New Roman"/>
        <family val="1"/>
        <charset val="238"/>
      </rPr>
      <t>υ</t>
    </r>
  </si>
  <si>
    <r>
      <t xml:space="preserve">Pomocná proměnná </t>
    </r>
    <r>
      <rPr>
        <sz val="12"/>
        <color theme="1"/>
        <rFont val="Times New Roman"/>
        <family val="1"/>
        <charset val="238"/>
      </rPr>
      <t>λ</t>
    </r>
  </si>
  <si>
    <t>γ</t>
  </si>
  <si>
    <t>υ</t>
  </si>
  <si>
    <t>λ</t>
  </si>
  <si>
    <t>Opravný součinitel</t>
  </si>
  <si>
    <r>
      <t>c</t>
    </r>
    <r>
      <rPr>
        <vertAlign val="subscript"/>
        <sz val="12"/>
        <color theme="1"/>
        <rFont val="Calibri"/>
        <family val="2"/>
        <charset val="238"/>
        <scheme val="minor"/>
      </rPr>
      <t>F</t>
    </r>
  </si>
  <si>
    <t>Opravné rameno momentů</t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</si>
  <si>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S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</si>
  <si>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T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</si>
  <si>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R</t>
    </r>
  </si>
  <si>
    <t>Točivý modul pružnosti příruby</t>
  </si>
  <si>
    <r>
      <t>Z</t>
    </r>
    <r>
      <rPr>
        <vertAlign val="subscript"/>
        <sz val="12"/>
        <color theme="1"/>
        <rFont val="Calibri"/>
        <family val="2"/>
        <charset val="238"/>
        <scheme val="minor"/>
      </rPr>
      <t>F</t>
    </r>
  </si>
  <si>
    <t>Hloubka závitového otvoru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</si>
  <si>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5t</t>
    </r>
  </si>
  <si>
    <r>
      <t>l</t>
    </r>
    <r>
      <rPr>
        <vertAlign val="subscript"/>
        <sz val="12"/>
        <color theme="1"/>
        <rFont val="Calibri"/>
        <family val="2"/>
        <charset val="238"/>
        <scheme val="minor"/>
      </rPr>
      <t>5t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</si>
  <si>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Fb</t>
    </r>
  </si>
  <si>
    <t>Vzdálenost mezi šrouby</t>
  </si>
  <si>
    <t xml:space="preserve"> - 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</si>
  <si>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B0</t>
    </r>
  </si>
  <si>
    <t>Stoupání závitu</t>
  </si>
  <si>
    <r>
      <t>p</t>
    </r>
    <r>
      <rPr>
        <vertAlign val="subscript"/>
        <sz val="12"/>
        <color theme="1"/>
        <rFont val="Calibri"/>
        <family val="2"/>
        <charset val="238"/>
        <scheme val="minor"/>
      </rPr>
      <t>t</t>
    </r>
  </si>
  <si>
    <t>Účinný průměr šroubu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</si>
  <si>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Be</t>
    </r>
  </si>
  <si>
    <t>Účinná plocha průřezů šroubů</t>
  </si>
  <si>
    <r>
      <t>A</t>
    </r>
    <r>
      <rPr>
        <vertAlign val="subscript"/>
        <sz val="12"/>
        <color theme="1"/>
        <rFont val="Calibri"/>
        <family val="2"/>
        <charset val="238"/>
        <scheme val="minor"/>
      </rPr>
      <t>B</t>
    </r>
  </si>
  <si>
    <t>Průměr dříku šroubu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</si>
  <si>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Bs</t>
    </r>
  </si>
  <si>
    <r>
      <t>X</t>
    </r>
    <r>
      <rPr>
        <vertAlign val="subscript"/>
        <sz val="12"/>
        <color theme="1"/>
        <rFont val="Calibri"/>
        <family val="2"/>
        <charset val="238"/>
        <scheme val="minor"/>
      </rPr>
      <t>B</t>
    </r>
  </si>
  <si>
    <t>Délka dříku šroubu</t>
  </si>
  <si>
    <t xml:space="preserve">Délka zatížené části šroubu </t>
  </si>
  <si>
    <r>
      <t>l</t>
    </r>
    <r>
      <rPr>
        <vertAlign val="subscript"/>
        <sz val="12"/>
        <color theme="1"/>
        <rFont val="Calibri"/>
        <family val="2"/>
        <charset val="238"/>
        <scheme val="minor"/>
      </rPr>
      <t>S</t>
    </r>
  </si>
  <si>
    <r>
      <t>l</t>
    </r>
    <r>
      <rPr>
        <vertAlign val="subscript"/>
        <sz val="12"/>
        <color theme="1"/>
        <rFont val="Calibri"/>
        <family val="2"/>
        <charset val="238"/>
        <scheme val="minor"/>
      </rPr>
      <t>B</t>
    </r>
  </si>
  <si>
    <t>Délka zatížené části závitu</t>
  </si>
  <si>
    <r>
      <t>l</t>
    </r>
    <r>
      <rPr>
        <vertAlign val="subscript"/>
        <sz val="12"/>
        <color theme="1"/>
        <rFont val="Calibri"/>
        <family val="2"/>
        <charset val="238"/>
        <scheme val="minor"/>
      </rPr>
      <t>e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</si>
  <si>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G1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</si>
  <si>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G2</t>
    </r>
  </si>
  <si>
    <t>Teoretická šířka těsnění</t>
  </si>
  <si>
    <t>Teoretický průměr těsnění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</si>
  <si>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Gt</t>
    </r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</si>
  <si>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Gt</t>
    </r>
  </si>
  <si>
    <t>Teoretická těsnící plocha</t>
  </si>
  <si>
    <r>
      <t>A</t>
    </r>
    <r>
      <rPr>
        <vertAlign val="subscript"/>
        <sz val="12"/>
        <color theme="1"/>
        <rFont val="Calibri"/>
        <family val="2"/>
        <charset val="238"/>
        <scheme val="minor"/>
      </rPr>
      <t>Gt</t>
    </r>
  </si>
  <si>
    <t>Osový modul pružnosti šroubů</t>
  </si>
  <si>
    <t>Definice zatěžovacích stavů</t>
  </si>
  <si>
    <t>Vnější osová síla</t>
  </si>
  <si>
    <t>Vnější moment</t>
  </si>
  <si>
    <t>Tlak tekutiny</t>
  </si>
  <si>
    <t>0 (montážní)</t>
  </si>
  <si>
    <t>[MPa]</t>
  </si>
  <si>
    <t>[N]</t>
  </si>
  <si>
    <r>
      <t>F</t>
    </r>
    <r>
      <rPr>
        <vertAlign val="subscript"/>
        <sz val="12"/>
        <color theme="1"/>
        <rFont val="Calibri"/>
        <family val="2"/>
        <charset val="238"/>
        <scheme val="minor"/>
      </rPr>
      <t>AI</t>
    </r>
  </si>
  <si>
    <r>
      <t>M</t>
    </r>
    <r>
      <rPr>
        <vertAlign val="subscript"/>
        <sz val="12"/>
        <color theme="1"/>
        <rFont val="Calibri"/>
        <family val="2"/>
        <charset val="238"/>
        <scheme val="minor"/>
      </rPr>
      <t>AI</t>
    </r>
  </si>
  <si>
    <r>
      <t>P</t>
    </r>
    <r>
      <rPr>
        <vertAlign val="subscript"/>
        <sz val="12"/>
        <color theme="1"/>
        <rFont val="Calibri"/>
        <family val="2"/>
        <charset val="238"/>
        <scheme val="minor"/>
      </rPr>
      <t>I</t>
    </r>
  </si>
  <si>
    <t>Účinná těsnící plocha</t>
  </si>
  <si>
    <t>Účinná šířka těsnění</t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</si>
  <si>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Ge1</t>
    </r>
  </si>
  <si>
    <t>Tloušťka listu příruby na roztečné kružnici šroubů</t>
  </si>
  <si>
    <t>Jmenovitý průměr závitu závrtného šroubu</t>
  </si>
  <si>
    <t>Jmenovitý průměr závitu šroubu</t>
  </si>
  <si>
    <t>Parametry šroubů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</si>
  <si>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G</t>
    </r>
  </si>
  <si>
    <t>Střední průměr těsnění (varianta 2)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</si>
  <si>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G0</t>
    </r>
  </si>
  <si>
    <t>Zaoblení průřezu těsnění</t>
  </si>
  <si>
    <r>
      <t>r</t>
    </r>
    <r>
      <rPr>
        <vertAlign val="subscript"/>
        <sz val="12"/>
        <color theme="1"/>
        <rFont val="Calibri"/>
        <family val="2"/>
        <charset val="238"/>
        <scheme val="minor"/>
      </rPr>
      <t>2</t>
    </r>
  </si>
  <si>
    <t>Raiální úhel sklonu těsnící plochy</t>
  </si>
  <si>
    <r>
      <rPr>
        <sz val="12"/>
        <color theme="1"/>
        <rFont val="Calibri"/>
        <family val="2"/>
        <charset val="238"/>
      </rPr>
      <t>ϕ</t>
    </r>
    <r>
      <rPr>
        <vertAlign val="subscript"/>
        <sz val="12"/>
        <color theme="1"/>
        <rFont val="Calibri"/>
        <family val="2"/>
        <charset val="238"/>
        <scheme val="minor"/>
      </rPr>
      <t>G</t>
    </r>
  </si>
  <si>
    <t>Jednotky</t>
  </si>
  <si>
    <t>Kosinus úhlu sklonu těsnící plochy</t>
  </si>
  <si>
    <r>
      <t>cos ϕ</t>
    </r>
    <r>
      <rPr>
        <vertAlign val="subscript"/>
        <sz val="12"/>
        <color theme="1"/>
        <rFont val="Calibri"/>
        <family val="2"/>
        <charset val="238"/>
        <scheme val="minor"/>
      </rPr>
      <t>G</t>
    </r>
  </si>
  <si>
    <t>[mm]</t>
  </si>
  <si>
    <t>[-]</t>
  </si>
  <si>
    <t>Modul pružnosti těsnění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</si>
  <si>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GI</t>
    </r>
  </si>
  <si>
    <t>[°C]</t>
  </si>
  <si>
    <t>Účinný průměr těsnění</t>
  </si>
  <si>
    <r>
      <t>f</t>
    </r>
    <r>
      <rPr>
        <vertAlign val="subscript"/>
        <sz val="12"/>
        <color theme="1"/>
        <rFont val="Calibri"/>
        <family val="2"/>
        <charset val="238"/>
        <scheme val="minor"/>
      </rPr>
      <t>B0</t>
    </r>
  </si>
  <si>
    <t xml:space="preserve">Maximální dovolený tlak na těsnění </t>
  </si>
  <si>
    <r>
      <t>F</t>
    </r>
    <r>
      <rPr>
        <vertAlign val="subscript"/>
        <sz val="12"/>
        <color theme="1"/>
        <rFont val="Calibri"/>
        <family val="2"/>
        <charset val="238"/>
        <scheme val="minor"/>
      </rPr>
      <t>RIa</t>
    </r>
  </si>
  <si>
    <r>
      <t>F</t>
    </r>
    <r>
      <rPr>
        <vertAlign val="subscript"/>
        <sz val="12"/>
        <color theme="1"/>
        <rFont val="Calibri"/>
        <family val="2"/>
        <charset val="238"/>
        <scheme val="minor"/>
      </rPr>
      <t>RIb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</si>
  <si>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Ge1</t>
    </r>
  </si>
  <si>
    <t>Geometrie 1. příruby</t>
  </si>
  <si>
    <t>Geometrie 2. příruby</t>
  </si>
  <si>
    <t>Účinný roztečný průměr otvorů pro šrouby</t>
  </si>
  <si>
    <t>Poznámka číslo</t>
  </si>
  <si>
    <t>Úhel natočení připojené skořepiny</t>
  </si>
  <si>
    <r>
      <t>ϕ</t>
    </r>
    <r>
      <rPr>
        <vertAlign val="subscript"/>
        <sz val="12"/>
        <color theme="1"/>
        <rFont val="Calibri"/>
        <family val="2"/>
        <charset val="238"/>
        <scheme val="minor"/>
      </rPr>
      <t>S</t>
    </r>
  </si>
  <si>
    <t>[°,deg]</t>
  </si>
  <si>
    <t>Kosinus úhlu natočení skořepiny</t>
  </si>
  <si>
    <r>
      <t>cos ϕ</t>
    </r>
    <r>
      <rPr>
        <vertAlign val="subscript"/>
        <sz val="12"/>
        <color theme="1"/>
        <rFont val="Calibri"/>
        <family val="2"/>
        <charset val="238"/>
        <scheme val="minor"/>
      </rPr>
      <t>S</t>
    </r>
  </si>
  <si>
    <t>Část tloušťky příruby radiálně zatížena tlakem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</si>
  <si>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P</t>
    </r>
  </si>
  <si>
    <r>
      <t xml:space="preserve">Zadejte </t>
    </r>
    <r>
      <rPr>
        <b/>
        <sz val="12"/>
        <color theme="1"/>
        <rFont val="Calibri"/>
        <family val="2"/>
        <charset val="238"/>
        <scheme val="minor"/>
      </rPr>
      <t>1</t>
    </r>
    <r>
      <rPr>
        <sz val="12"/>
        <color theme="1"/>
        <rFont val="Calibri"/>
        <family val="2"/>
        <charset val="238"/>
        <scheme val="minor"/>
      </rPr>
      <t xml:space="preserve"> pro válcovou a kuželovou skořepinu, </t>
    </r>
    <r>
      <rPr>
        <b/>
        <sz val="12"/>
        <color theme="1"/>
        <rFont val="Calibri"/>
        <family val="2"/>
        <charset val="238"/>
        <scheme val="minor"/>
      </rPr>
      <t>2</t>
    </r>
    <r>
      <rPr>
        <sz val="12"/>
        <color theme="1"/>
        <rFont val="Calibri"/>
        <family val="2"/>
        <charset val="238"/>
        <scheme val="minor"/>
      </rPr>
      <t xml:space="preserve"> pro kulovou</t>
    </r>
  </si>
  <si>
    <r>
      <t>k</t>
    </r>
    <r>
      <rPr>
        <vertAlign val="subscript"/>
        <sz val="12"/>
        <color theme="1"/>
        <rFont val="Calibri"/>
        <family val="2"/>
        <charset val="238"/>
        <scheme val="minor"/>
      </rPr>
      <t>Q</t>
    </r>
  </si>
  <si>
    <r>
      <t>k</t>
    </r>
    <r>
      <rPr>
        <vertAlign val="subscript"/>
        <sz val="12"/>
        <color theme="1"/>
        <rFont val="Calibri"/>
        <family val="2"/>
        <charset val="238"/>
        <scheme val="minor"/>
      </rPr>
      <t>R</t>
    </r>
  </si>
  <si>
    <r>
      <t>[mm</t>
    </r>
    <r>
      <rPr>
        <vertAlign val="superscript"/>
        <sz val="12"/>
        <color theme="1"/>
        <rFont val="Calibri"/>
        <family val="2"/>
        <charset val="238"/>
        <scheme val="minor"/>
      </rPr>
      <t>-3</t>
    </r>
    <r>
      <rPr>
        <sz val="12"/>
        <color theme="1"/>
        <rFont val="Calibri"/>
        <family val="2"/>
        <charset val="238"/>
        <scheme val="minor"/>
      </rPr>
      <t>]</t>
    </r>
  </si>
  <si>
    <t>Integrální příruba s připojenou válcovou, kuželovou, nebo kulovou skořepinou</t>
  </si>
  <si>
    <t xml:space="preserve">Zaslepovací příruba         </t>
  </si>
  <si>
    <t>Příruby s krkem pro přivaření k válcovým skořepinám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</si>
  <si>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0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</si>
  <si>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X</t>
    </r>
  </si>
  <si>
    <r>
      <t>Tloušťka stěny zaslepovací příruby (uvnitř d</t>
    </r>
    <r>
      <rPr>
        <vertAlign val="subscript"/>
        <sz val="12"/>
        <color theme="1"/>
        <rFont val="Calibri"/>
        <family val="2"/>
        <charset val="238"/>
        <scheme val="minor"/>
      </rPr>
      <t>0</t>
    </r>
    <r>
      <rPr>
        <sz val="12"/>
        <color theme="1"/>
        <rFont val="Calibri"/>
        <family val="2"/>
        <charset val="238"/>
        <scheme val="minor"/>
      </rPr>
      <t>)</t>
    </r>
  </si>
  <si>
    <t>Tloušťka listu příruby v místě nejslabšího průřezu</t>
  </si>
  <si>
    <t>Průměr středového otvoru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</si>
  <si>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9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</si>
  <si>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X</t>
    </r>
  </si>
  <si>
    <t>Střední průměr místa nejslabšího průřezu</t>
  </si>
  <si>
    <r>
      <t xml:space="preserve">Pomocná proměnná </t>
    </r>
    <r>
      <rPr>
        <sz val="12"/>
        <color theme="1"/>
        <rFont val="Calibri"/>
        <family val="2"/>
        <charset val="238"/>
      </rPr>
      <t>ρ</t>
    </r>
  </si>
  <si>
    <t>ρ</t>
  </si>
  <si>
    <t>Nejmenší tloušťka stěny krku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</si>
  <si>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L</t>
    </r>
  </si>
  <si>
    <t>Účinná osová tloušťka točivé příruby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</si>
  <si>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Lb</t>
    </r>
  </si>
  <si>
    <t>Vnitřní průměr točivé příruby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</si>
  <si>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6</t>
    </r>
  </si>
  <si>
    <t>Průměr místa přenosu síly - minimální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</si>
  <si>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7min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</si>
  <si>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7max</t>
    </r>
  </si>
  <si>
    <t>Průměr místa přenosu síly - maximální</t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</si>
  <si>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8</t>
    </r>
  </si>
  <si>
    <t>Vnější průměr obruby nebo lemu</t>
  </si>
  <si>
    <t>Účinná šířka obruby nebo lemu</t>
  </si>
  <si>
    <t>Střední průměr obruby nebo lemu</t>
  </si>
  <si>
    <t>Účinná šířka točivé příruby</t>
  </si>
  <si>
    <t>Střední průměr točivé příruby</t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</si>
  <si>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L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</si>
  <si>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L</t>
    </r>
  </si>
  <si>
    <t>Točivý modul pružnosti točivé příruby</t>
  </si>
  <si>
    <r>
      <t>Z</t>
    </r>
    <r>
      <rPr>
        <vertAlign val="subscript"/>
        <sz val="12"/>
        <color theme="1"/>
        <rFont val="Calibri"/>
        <family val="2"/>
        <charset val="238"/>
        <scheme val="minor"/>
      </rPr>
      <t>L</t>
    </r>
  </si>
  <si>
    <t>Poznámky:</t>
  </si>
  <si>
    <t>Pro závitový otvor zde volíme 0!</t>
  </si>
  <si>
    <t>3)</t>
  </si>
  <si>
    <t>4)</t>
  </si>
  <si>
    <t>5)</t>
  </si>
  <si>
    <t>1)</t>
  </si>
  <si>
    <t>2)</t>
  </si>
  <si>
    <r>
      <t>[mm</t>
    </r>
    <r>
      <rPr>
        <vertAlign val="superscript"/>
        <sz val="12"/>
        <color theme="1"/>
        <rFont val="Calibri"/>
        <family val="2"/>
        <charset val="238"/>
        <scheme val="minor"/>
      </rPr>
      <t>2</t>
    </r>
    <r>
      <rPr>
        <sz val="12"/>
        <color theme="1"/>
        <rFont val="Calibri"/>
        <family val="2"/>
        <charset val="238"/>
        <scheme val="minor"/>
      </rPr>
      <t>]</t>
    </r>
  </si>
  <si>
    <r>
      <t>[mm</t>
    </r>
    <r>
      <rPr>
        <vertAlign val="superscript"/>
        <sz val="12"/>
        <color theme="1"/>
        <rFont val="Calibri"/>
        <family val="2"/>
        <charset val="238"/>
        <scheme val="minor"/>
      </rPr>
      <t>-1</t>
    </r>
    <r>
      <rPr>
        <sz val="12"/>
        <color theme="1"/>
        <rFont val="Calibri"/>
        <family val="2"/>
        <charset val="238"/>
        <scheme val="minor"/>
      </rPr>
      <t>]</t>
    </r>
  </si>
  <si>
    <t>[N.mm]</t>
  </si>
  <si>
    <t>Pozn.:</t>
  </si>
  <si>
    <t>Pro tahovou sílu &gt; 0, pro tlakovou &lt; 0</t>
  </si>
  <si>
    <t>Modul pružnosti 1. příruby, obruby, nebo lemu</t>
  </si>
  <si>
    <t>Modul pružnosti 1. točivé příruby</t>
  </si>
  <si>
    <t>Modul pružnosti 2. příruby, obruby, nebo lemu</t>
  </si>
  <si>
    <t>Modul pružnosti 2. točivé příruby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</si>
  <si>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F1I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</si>
  <si>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L1I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</si>
  <si>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F2I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</si>
  <si>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L2I</t>
    </r>
  </si>
  <si>
    <t>Moment vždy zadejte &gt; 0</t>
  </si>
  <si>
    <t>Pro geometrii přírub 1 a 2 zadejte 0</t>
  </si>
  <si>
    <t>Rameno momentů 1. příruby</t>
  </si>
  <si>
    <t>Rameno momentů 2. příruby</t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</si>
  <si>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G101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</si>
  <si>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G201</t>
    </r>
  </si>
  <si>
    <r>
      <t xml:space="preserve">Pomocná proměnná </t>
    </r>
    <r>
      <rPr>
        <sz val="12"/>
        <color theme="1"/>
        <rFont val="Calibri"/>
        <family val="2"/>
        <charset val="238"/>
      </rPr>
      <t>κ</t>
    </r>
    <r>
      <rPr>
        <vertAlign val="subscript"/>
        <sz val="12"/>
        <color theme="1"/>
        <rFont val="Calibri"/>
        <family val="2"/>
        <charset val="238"/>
      </rPr>
      <t>1</t>
    </r>
  </si>
  <si>
    <r>
      <t>κ</t>
    </r>
    <r>
      <rPr>
        <vertAlign val="subscript"/>
        <sz val="12"/>
        <color theme="1"/>
        <rFont val="Calibri"/>
        <family val="2"/>
        <charset val="238"/>
        <scheme val="minor"/>
      </rPr>
      <t>1</t>
    </r>
  </si>
  <si>
    <r>
      <t>κ</t>
    </r>
    <r>
      <rPr>
        <vertAlign val="subscript"/>
        <sz val="12"/>
        <color theme="1"/>
        <rFont val="Calibri"/>
        <family val="2"/>
        <charset val="238"/>
        <scheme val="minor"/>
      </rPr>
      <t>2</t>
    </r>
  </si>
  <si>
    <r>
      <t xml:space="preserve">Pomocná proměnná </t>
    </r>
    <r>
      <rPr>
        <sz val="12"/>
        <color theme="1"/>
        <rFont val="Calibri"/>
        <family val="2"/>
        <charset val="238"/>
      </rPr>
      <t>κ</t>
    </r>
    <r>
      <rPr>
        <vertAlign val="subscript"/>
        <sz val="12"/>
        <color theme="1"/>
        <rFont val="Calibri"/>
        <family val="2"/>
        <charset val="238"/>
      </rPr>
      <t>2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</si>
  <si>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G10i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</si>
  <si>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G20i</t>
    </r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</si>
  <si>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Gei-1</t>
    </r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</si>
  <si>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Gi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</si>
  <si>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Gei-1</t>
    </r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</si>
  <si>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G1</t>
    </r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</si>
  <si>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Gi-1</t>
    </r>
  </si>
  <si>
    <t>Účinná šířka těsnění - varianta</t>
  </si>
  <si>
    <t>Osový modul pružnosti těsnění</t>
  </si>
  <si>
    <t>Točivý modul pružnosti 1. příruby, obruby, nebo lemu</t>
  </si>
  <si>
    <t>Točivý modul pružnosti obruby, nebo lemu</t>
  </si>
  <si>
    <t>Točivý modul pružnosti 1. točivé příruby</t>
  </si>
  <si>
    <t>Točivý modul pružnosti 2. příruby, obruby, nebo lemu</t>
  </si>
  <si>
    <t>Točivý modul pružnosti 2. točivé příruby</t>
  </si>
  <si>
    <r>
      <t>Z</t>
    </r>
    <r>
      <rPr>
        <vertAlign val="subscript"/>
        <sz val="12"/>
        <color theme="1"/>
        <rFont val="Calibri"/>
        <family val="2"/>
        <charset val="238"/>
        <scheme val="minor"/>
      </rPr>
      <t>F1</t>
    </r>
  </si>
  <si>
    <r>
      <t>Z</t>
    </r>
    <r>
      <rPr>
        <vertAlign val="subscript"/>
        <sz val="12"/>
        <color theme="1"/>
        <rFont val="Calibri"/>
        <family val="2"/>
        <charset val="238"/>
        <scheme val="minor"/>
      </rPr>
      <t>L1</t>
    </r>
  </si>
  <si>
    <r>
      <t>Z</t>
    </r>
    <r>
      <rPr>
        <vertAlign val="subscript"/>
        <sz val="12"/>
        <color theme="1"/>
        <rFont val="Calibri"/>
        <family val="2"/>
        <charset val="238"/>
        <scheme val="minor"/>
      </rPr>
      <t>F2</t>
    </r>
  </si>
  <si>
    <r>
      <t>Z</t>
    </r>
    <r>
      <rPr>
        <vertAlign val="subscript"/>
        <sz val="12"/>
        <color theme="1"/>
        <rFont val="Calibri"/>
        <family val="2"/>
        <charset val="238"/>
        <scheme val="minor"/>
      </rPr>
      <t>L2</t>
    </r>
  </si>
  <si>
    <t>?</t>
  </si>
  <si>
    <t>Po zadání všech hodnot výše stiskněte klávesy Ctrl+i pro iterační přepočet účinných rozměrů těsnění!</t>
  </si>
  <si>
    <t xml:space="preserve">Účinná šířka těsnění </t>
  </si>
  <si>
    <t>Proběhlo makro Iterace správně? (Ctrl+i)</t>
  </si>
  <si>
    <t>Zadání parametů těsnění</t>
  </si>
  <si>
    <t>Příprava potřebných vstupů</t>
  </si>
  <si>
    <t>Hodnota (obecně/pro stav  I = 0, 1 ,2, 3)</t>
  </si>
  <si>
    <t xml:space="preserve">První přiblížení účinné geometrie </t>
  </si>
  <si>
    <t>Ramena momentů - 1. příruba</t>
  </si>
  <si>
    <t>Opravné rameno momentu osové síly</t>
  </si>
  <si>
    <t>Ramena momentů - 2. příruba</t>
  </si>
  <si>
    <r>
      <t>[mm</t>
    </r>
    <r>
      <rPr>
        <vertAlign val="superscript"/>
        <sz val="12"/>
        <color theme="1"/>
        <rFont val="Calibri"/>
        <family val="2"/>
        <charset val="238"/>
        <scheme val="minor"/>
      </rPr>
      <t>2</t>
    </r>
    <r>
      <rPr>
        <sz val="12"/>
        <color theme="1"/>
        <rFont val="Calibri"/>
        <family val="2"/>
        <charset val="238"/>
        <scheme val="minor"/>
      </rPr>
      <t>]</t>
    </r>
  </si>
  <si>
    <r>
      <t>Osová síla - varianta a) (vyplívá z F</t>
    </r>
    <r>
      <rPr>
        <vertAlign val="subscript"/>
        <sz val="12"/>
        <color theme="1"/>
        <rFont val="Calibri"/>
        <family val="2"/>
        <charset val="238"/>
        <scheme val="minor"/>
      </rPr>
      <t>AI</t>
    </r>
    <r>
      <rPr>
        <sz val="12"/>
        <color theme="1"/>
        <rFont val="Calibri"/>
        <family val="2"/>
        <charset val="238"/>
        <scheme val="minor"/>
      </rPr>
      <t xml:space="preserve"> a M</t>
    </r>
    <r>
      <rPr>
        <vertAlign val="subscript"/>
        <sz val="12"/>
        <color theme="1"/>
        <rFont val="Calibri"/>
        <family val="2"/>
        <charset val="238"/>
        <scheme val="minor"/>
      </rPr>
      <t>AI</t>
    </r>
    <r>
      <rPr>
        <sz val="12"/>
        <color theme="1"/>
        <rFont val="Calibri"/>
        <family val="2"/>
        <charset val="238"/>
        <scheme val="minor"/>
      </rPr>
      <t>)</t>
    </r>
  </si>
  <si>
    <r>
      <t>Osová síla - varianta b) (vyplívá z F</t>
    </r>
    <r>
      <rPr>
        <vertAlign val="subscript"/>
        <sz val="12"/>
        <color theme="1"/>
        <rFont val="Calibri"/>
        <family val="2"/>
        <charset val="238"/>
        <scheme val="minor"/>
      </rPr>
      <t>AI</t>
    </r>
    <r>
      <rPr>
        <sz val="12"/>
        <color theme="1"/>
        <rFont val="Calibri"/>
        <family val="2"/>
        <charset val="238"/>
        <scheme val="minor"/>
      </rPr>
      <t xml:space="preserve"> a M</t>
    </r>
    <r>
      <rPr>
        <vertAlign val="subscript"/>
        <sz val="12"/>
        <color theme="1"/>
        <rFont val="Calibri"/>
        <family val="2"/>
        <charset val="238"/>
        <scheme val="minor"/>
      </rPr>
      <t>AI</t>
    </r>
    <r>
      <rPr>
        <sz val="12"/>
        <color theme="1"/>
        <rFont val="Calibri"/>
        <family val="2"/>
        <charset val="238"/>
        <scheme val="minor"/>
      </rPr>
      <t xml:space="preserve">) </t>
    </r>
  </si>
  <si>
    <r>
      <t>[mm</t>
    </r>
    <r>
      <rPr>
        <vertAlign val="superscript"/>
        <sz val="12"/>
        <color theme="1"/>
        <rFont val="Calibri"/>
        <family val="2"/>
        <charset val="238"/>
        <scheme val="minor"/>
      </rPr>
      <t>-3</t>
    </r>
    <r>
      <rPr>
        <sz val="12"/>
        <color theme="1"/>
        <rFont val="Calibri"/>
        <family val="2"/>
        <charset val="238"/>
        <scheme val="minor"/>
      </rPr>
      <t>]</t>
    </r>
  </si>
  <si>
    <r>
      <t>[mm</t>
    </r>
    <r>
      <rPr>
        <vertAlign val="superscript"/>
        <sz val="12"/>
        <color theme="1"/>
        <rFont val="Calibri"/>
        <family val="2"/>
        <charset val="238"/>
        <scheme val="minor"/>
      </rPr>
      <t>-1</t>
    </r>
    <r>
      <rPr>
        <sz val="12"/>
        <color theme="1"/>
        <rFont val="Calibri"/>
        <family val="2"/>
        <charset val="238"/>
        <scheme val="minor"/>
      </rPr>
      <t>]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</si>
  <si>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Ft</t>
    </r>
  </si>
  <si>
    <t>Tloušťka mezi dosedací plochou těsnění a hlavou šroubu</t>
  </si>
  <si>
    <t>6)</t>
  </si>
  <si>
    <r>
      <t>Jsou-li použity podložky, je třeba je zde zahrnout. U točivé příruby odečteme e</t>
    </r>
    <r>
      <rPr>
        <vertAlign val="subscript"/>
        <sz val="12"/>
        <color theme="1"/>
        <rFont val="Calibri"/>
        <family val="2"/>
        <charset val="238"/>
        <scheme val="minor"/>
      </rPr>
      <t>L</t>
    </r>
    <r>
      <rPr>
        <sz val="12"/>
        <color theme="1"/>
        <rFont val="Calibri"/>
        <family val="2"/>
        <charset val="238"/>
        <scheme val="minor"/>
      </rPr>
      <t>!</t>
    </r>
  </si>
  <si>
    <t>Teplota těsnění</t>
  </si>
  <si>
    <t>Součinitel teplotní roztažnosti</t>
  </si>
  <si>
    <r>
      <t>[K</t>
    </r>
    <r>
      <rPr>
        <vertAlign val="superscript"/>
        <sz val="12"/>
        <color theme="1"/>
        <rFont val="Calibri"/>
        <family val="2"/>
        <charset val="238"/>
        <scheme val="minor"/>
      </rPr>
      <t>-1</t>
    </r>
    <r>
      <rPr>
        <sz val="12"/>
        <color theme="1"/>
        <rFont val="Calibri"/>
        <family val="2"/>
        <charset val="238"/>
        <scheme val="minor"/>
      </rPr>
      <t>]</t>
    </r>
  </si>
  <si>
    <r>
      <t>α</t>
    </r>
    <r>
      <rPr>
        <vertAlign val="subscript"/>
        <sz val="12"/>
        <color theme="1"/>
        <rFont val="Calibri"/>
        <family val="2"/>
        <charset val="238"/>
      </rPr>
      <t>GI</t>
    </r>
    <r>
      <rPr>
        <sz val="12"/>
        <color theme="1"/>
        <rFont val="Calibri"/>
        <family val="2"/>
        <charset val="238"/>
      </rPr>
      <t>.10</t>
    </r>
    <r>
      <rPr>
        <vertAlign val="superscript"/>
        <sz val="12"/>
        <color theme="1"/>
        <rFont val="Calibri"/>
        <family val="2"/>
        <charset val="238"/>
      </rPr>
      <t>6</t>
    </r>
  </si>
  <si>
    <t>Teplota 1. příruby, obruby, nebo lemu</t>
  </si>
  <si>
    <t>Teplota 2. příruby, obruby, nebo lemu</t>
  </si>
  <si>
    <t>Teplota 1. točivé příruby</t>
  </si>
  <si>
    <r>
      <t>T</t>
    </r>
    <r>
      <rPr>
        <vertAlign val="subscript"/>
        <sz val="12"/>
        <color theme="1"/>
        <rFont val="Calibri"/>
        <family val="2"/>
        <charset val="238"/>
        <scheme val="minor"/>
      </rPr>
      <t>GI</t>
    </r>
  </si>
  <si>
    <r>
      <t>α</t>
    </r>
    <r>
      <rPr>
        <vertAlign val="subscript"/>
        <sz val="12"/>
        <color theme="1"/>
        <rFont val="Calibri"/>
        <family val="2"/>
        <charset val="238"/>
      </rPr>
      <t>F1I</t>
    </r>
    <r>
      <rPr>
        <sz val="12"/>
        <color theme="1"/>
        <rFont val="Calibri"/>
        <family val="2"/>
        <charset val="238"/>
      </rPr>
      <t>.10</t>
    </r>
    <r>
      <rPr>
        <vertAlign val="superscript"/>
        <sz val="12"/>
        <color theme="1"/>
        <rFont val="Calibri"/>
        <family val="2"/>
        <charset val="238"/>
      </rPr>
      <t>6</t>
    </r>
  </si>
  <si>
    <r>
      <t>α</t>
    </r>
    <r>
      <rPr>
        <vertAlign val="subscript"/>
        <sz val="12"/>
        <color theme="1"/>
        <rFont val="Calibri"/>
        <family val="2"/>
        <charset val="238"/>
      </rPr>
      <t>L1I</t>
    </r>
    <r>
      <rPr>
        <sz val="12"/>
        <color theme="1"/>
        <rFont val="Calibri"/>
        <family val="2"/>
        <charset val="238"/>
      </rPr>
      <t>.10</t>
    </r>
    <r>
      <rPr>
        <vertAlign val="superscript"/>
        <sz val="12"/>
        <color theme="1"/>
        <rFont val="Calibri"/>
        <family val="2"/>
        <charset val="238"/>
      </rPr>
      <t>6</t>
    </r>
  </si>
  <si>
    <r>
      <rPr>
        <sz val="12"/>
        <color theme="1"/>
        <rFont val="Calibri"/>
        <family val="2"/>
        <charset val="238"/>
        <scheme val="minor"/>
      </rPr>
      <t>T</t>
    </r>
    <r>
      <rPr>
        <vertAlign val="subscript"/>
        <sz val="12"/>
        <color theme="1"/>
        <rFont val="Calibri"/>
        <family val="2"/>
        <charset val="238"/>
        <scheme val="minor"/>
      </rPr>
      <t>F1I</t>
    </r>
  </si>
  <si>
    <r>
      <t>T</t>
    </r>
    <r>
      <rPr>
        <vertAlign val="subscript"/>
        <sz val="12"/>
        <color theme="1"/>
        <rFont val="Calibri"/>
        <family val="2"/>
        <charset val="238"/>
        <scheme val="minor"/>
      </rPr>
      <t>F2I</t>
    </r>
  </si>
  <si>
    <r>
      <t>α</t>
    </r>
    <r>
      <rPr>
        <vertAlign val="subscript"/>
        <sz val="12"/>
        <color theme="1"/>
        <rFont val="Calibri"/>
        <family val="2"/>
        <charset val="238"/>
      </rPr>
      <t>F2I</t>
    </r>
    <r>
      <rPr>
        <sz val="12"/>
        <color theme="1"/>
        <rFont val="Calibri"/>
        <family val="2"/>
        <charset val="238"/>
      </rPr>
      <t>.10</t>
    </r>
    <r>
      <rPr>
        <vertAlign val="superscript"/>
        <sz val="12"/>
        <color theme="1"/>
        <rFont val="Calibri"/>
        <family val="2"/>
        <charset val="238"/>
      </rPr>
      <t>6</t>
    </r>
  </si>
  <si>
    <r>
      <t>T</t>
    </r>
    <r>
      <rPr>
        <vertAlign val="subscript"/>
        <sz val="12"/>
        <color theme="1"/>
        <rFont val="Calibri"/>
        <family val="2"/>
        <charset val="238"/>
        <scheme val="minor"/>
      </rPr>
      <t>L2I</t>
    </r>
  </si>
  <si>
    <r>
      <t>α</t>
    </r>
    <r>
      <rPr>
        <vertAlign val="subscript"/>
        <sz val="12"/>
        <color theme="1"/>
        <rFont val="Calibri"/>
        <family val="2"/>
        <charset val="238"/>
      </rPr>
      <t>L2I</t>
    </r>
    <r>
      <rPr>
        <sz val="12"/>
        <color theme="1"/>
        <rFont val="Calibri"/>
        <family val="2"/>
        <charset val="238"/>
      </rPr>
      <t>.10</t>
    </r>
    <r>
      <rPr>
        <vertAlign val="superscript"/>
        <sz val="12"/>
        <color theme="1"/>
        <rFont val="Calibri"/>
        <family val="2"/>
        <charset val="238"/>
      </rPr>
      <t>6</t>
    </r>
  </si>
  <si>
    <t>Teplota šroubů</t>
  </si>
  <si>
    <t>Modul pružnosti šroubů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</si>
  <si>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BI</t>
    </r>
  </si>
  <si>
    <r>
      <t>T</t>
    </r>
    <r>
      <rPr>
        <vertAlign val="subscript"/>
        <sz val="12"/>
        <color theme="1"/>
        <rFont val="Calibri"/>
        <family val="2"/>
        <charset val="238"/>
        <scheme val="minor"/>
      </rPr>
      <t>BI</t>
    </r>
  </si>
  <si>
    <r>
      <t>α</t>
    </r>
    <r>
      <rPr>
        <vertAlign val="subscript"/>
        <sz val="12"/>
        <color theme="1"/>
        <rFont val="Calibri"/>
        <family val="2"/>
        <charset val="238"/>
      </rPr>
      <t>BI</t>
    </r>
    <r>
      <rPr>
        <sz val="12"/>
        <color theme="1"/>
        <rFont val="Calibri"/>
        <family val="2"/>
        <charset val="238"/>
      </rPr>
      <t>.10</t>
    </r>
    <r>
      <rPr>
        <vertAlign val="superscript"/>
        <sz val="12"/>
        <color theme="1"/>
        <rFont val="Calibri"/>
        <family val="2"/>
        <charset val="238"/>
      </rPr>
      <t>6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</si>
  <si>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R1</t>
    </r>
  </si>
  <si>
    <r>
      <t>Tloušťka e</t>
    </r>
    <r>
      <rPr>
        <vertAlign val="subscript"/>
        <sz val="12"/>
        <color theme="1"/>
        <rFont val="Calibri"/>
        <family val="2"/>
        <charset val="238"/>
        <scheme val="minor"/>
      </rPr>
      <t>Ft1</t>
    </r>
    <r>
      <rPr>
        <sz val="12"/>
        <color theme="1"/>
        <rFont val="Calibri"/>
        <family val="2"/>
        <charset val="238"/>
        <scheme val="minor"/>
      </rPr>
      <t xml:space="preserve"> a e</t>
    </r>
    <r>
      <rPr>
        <vertAlign val="subscript"/>
        <sz val="12"/>
        <color theme="1"/>
        <rFont val="Calibri"/>
        <family val="2"/>
        <charset val="238"/>
        <scheme val="minor"/>
      </rPr>
      <t xml:space="preserve">Ft2 </t>
    </r>
    <r>
      <rPr>
        <sz val="12"/>
        <color theme="1"/>
        <rFont val="Calibri"/>
        <family val="2"/>
        <charset val="238"/>
        <scheme val="minor"/>
      </rPr>
      <t>pro první a druhou přírubu, obrubu, nebo lem</t>
    </r>
  </si>
  <si>
    <r>
      <t>Tloušťka e</t>
    </r>
    <r>
      <rPr>
        <vertAlign val="subscript"/>
        <sz val="12"/>
        <color theme="1"/>
        <rFont val="Calibri"/>
        <family val="2"/>
        <charset val="238"/>
        <scheme val="minor"/>
      </rPr>
      <t>L1</t>
    </r>
    <r>
      <rPr>
        <sz val="12"/>
        <color theme="1"/>
        <rFont val="Calibri"/>
        <family val="2"/>
        <charset val="238"/>
        <scheme val="minor"/>
      </rPr>
      <t xml:space="preserve"> a e</t>
    </r>
    <r>
      <rPr>
        <vertAlign val="subscript"/>
        <sz val="12"/>
        <color theme="1"/>
        <rFont val="Calibri"/>
        <family val="2"/>
        <charset val="238"/>
        <scheme val="minor"/>
      </rPr>
      <t xml:space="preserve">L2 </t>
    </r>
    <r>
      <rPr>
        <sz val="12"/>
        <color theme="1"/>
        <rFont val="Calibri"/>
        <family val="2"/>
        <charset val="238"/>
        <scheme val="minor"/>
      </rPr>
      <t>pro první a druhou točivou přírubu</t>
    </r>
  </si>
  <si>
    <r>
      <t>Splnění podmínky e</t>
    </r>
    <r>
      <rPr>
        <vertAlign val="subscript"/>
        <sz val="12"/>
        <color theme="1"/>
        <rFont val="Calibri"/>
        <family val="2"/>
        <charset val="238"/>
        <scheme val="minor"/>
      </rPr>
      <t>Ft1</t>
    </r>
    <r>
      <rPr>
        <vertAlign val="superscript"/>
        <sz val="12"/>
        <color theme="1"/>
        <rFont val="Calibri"/>
        <family val="2"/>
        <charset val="238"/>
        <scheme val="minor"/>
      </rPr>
      <t xml:space="preserve"> </t>
    </r>
    <r>
      <rPr>
        <sz val="12"/>
        <color theme="1"/>
        <rFont val="Calibri"/>
        <family val="2"/>
        <charset val="238"/>
        <scheme val="minor"/>
      </rPr>
      <t>+ e</t>
    </r>
    <r>
      <rPr>
        <vertAlign val="subscript"/>
        <sz val="12"/>
        <color theme="1"/>
        <rFont val="Calibri"/>
        <family val="2"/>
        <charset val="238"/>
        <scheme val="minor"/>
      </rPr>
      <t>Ft2</t>
    </r>
    <r>
      <rPr>
        <vertAlign val="superscript"/>
        <sz val="12"/>
        <color theme="1"/>
        <rFont val="Calibri"/>
        <family val="2"/>
        <charset val="238"/>
        <scheme val="minor"/>
      </rPr>
      <t xml:space="preserve"> </t>
    </r>
    <r>
      <rPr>
        <sz val="12"/>
        <color theme="1"/>
        <rFont val="Calibri"/>
        <family val="2"/>
        <charset val="238"/>
        <scheme val="minor"/>
      </rPr>
      <t>+ e</t>
    </r>
    <r>
      <rPr>
        <vertAlign val="subscript"/>
        <sz val="12"/>
        <color theme="1"/>
        <rFont val="Calibri"/>
        <family val="2"/>
        <charset val="238"/>
        <scheme val="minor"/>
      </rPr>
      <t>L1</t>
    </r>
    <r>
      <rPr>
        <sz val="12"/>
        <color theme="1"/>
        <rFont val="Calibri"/>
        <family val="2"/>
        <charset val="238"/>
        <scheme val="minor"/>
      </rPr>
      <t xml:space="preserve"> + e</t>
    </r>
    <r>
      <rPr>
        <vertAlign val="subscript"/>
        <sz val="12"/>
        <color theme="1"/>
        <rFont val="Calibri"/>
        <family val="2"/>
        <charset val="238"/>
        <scheme val="minor"/>
      </rPr>
      <t>L2</t>
    </r>
    <r>
      <rPr>
        <sz val="12"/>
        <color theme="1"/>
        <rFont val="Calibri"/>
        <family val="2"/>
        <charset val="238"/>
        <scheme val="minor"/>
      </rPr>
      <t xml:space="preserve"> + e</t>
    </r>
    <r>
      <rPr>
        <vertAlign val="subscript"/>
        <sz val="12"/>
        <color theme="1"/>
        <rFont val="Calibri"/>
        <family val="2"/>
        <charset val="238"/>
        <scheme val="minor"/>
      </rPr>
      <t>G</t>
    </r>
    <r>
      <rPr>
        <sz val="12"/>
        <color theme="1"/>
        <rFont val="Calibri"/>
        <family val="2"/>
        <charset val="238"/>
        <scheme val="minor"/>
      </rPr>
      <t xml:space="preserve"> = l</t>
    </r>
    <r>
      <rPr>
        <vertAlign val="subscript"/>
        <sz val="12"/>
        <color theme="1"/>
        <rFont val="Calibri"/>
        <family val="2"/>
        <charset val="238"/>
        <scheme val="minor"/>
      </rPr>
      <t>B</t>
    </r>
  </si>
  <si>
    <r>
      <rPr>
        <sz val="12"/>
        <color theme="1"/>
        <rFont val="Calibri"/>
        <family val="2"/>
        <charset val="238"/>
        <scheme val="minor"/>
      </rPr>
      <t>T</t>
    </r>
    <r>
      <rPr>
        <vertAlign val="subscript"/>
        <sz val="12"/>
        <color theme="1"/>
        <rFont val="Calibri"/>
        <family val="2"/>
        <charset val="238"/>
        <scheme val="minor"/>
      </rPr>
      <t>L1I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</si>
  <si>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L1</t>
    </r>
    <r>
      <rPr>
        <sz val="12"/>
        <color theme="1"/>
        <rFont val="Calibri"/>
        <family val="2"/>
        <charset val="238"/>
        <scheme val="minor"/>
      </rPr>
      <t>, e</t>
    </r>
    <r>
      <rPr>
        <vertAlign val="subscript"/>
        <sz val="12"/>
        <color theme="1"/>
        <rFont val="Calibri"/>
        <family val="2"/>
        <charset val="238"/>
        <scheme val="minor"/>
      </rPr>
      <t>L1</t>
    </r>
  </si>
  <si>
    <r>
      <t>[mm.N</t>
    </r>
    <r>
      <rPr>
        <vertAlign val="superscript"/>
        <sz val="12"/>
        <color theme="1"/>
        <rFont val="Calibri"/>
        <family val="2"/>
        <charset val="238"/>
        <scheme val="minor"/>
      </rPr>
      <t>-1</t>
    </r>
    <r>
      <rPr>
        <sz val="12"/>
        <color theme="1"/>
        <rFont val="Calibri"/>
        <family val="2"/>
        <charset val="238"/>
        <scheme val="minor"/>
      </rPr>
      <t>]</t>
    </r>
  </si>
  <si>
    <t>Nejnižší utahovací tlak na těsnění při požadované třídě netesnosti L</t>
  </si>
  <si>
    <r>
      <rPr>
        <sz val="12"/>
        <color theme="1"/>
        <rFont val="Calibri"/>
        <family val="2"/>
        <charset val="238"/>
      </rPr>
      <t>Q</t>
    </r>
    <r>
      <rPr>
        <vertAlign val="subscript"/>
        <sz val="12"/>
        <color theme="1"/>
        <rFont val="Calibri"/>
        <family val="2"/>
        <charset val="238"/>
      </rPr>
      <t>A</t>
    </r>
  </si>
  <si>
    <r>
      <t>[N</t>
    </r>
    <r>
      <rPr>
        <sz val="12"/>
        <color theme="1"/>
        <rFont val="Calibri"/>
        <family val="2"/>
        <charset val="238"/>
        <scheme val="minor"/>
      </rPr>
      <t>]</t>
    </r>
  </si>
  <si>
    <t>Minimální těsnící síla při montážním stavu a)</t>
  </si>
  <si>
    <r>
      <t>F</t>
    </r>
    <r>
      <rPr>
        <vertAlign val="subscript"/>
        <sz val="12"/>
        <color theme="1"/>
        <rFont val="Calibri"/>
        <family val="2"/>
        <charset val="238"/>
      </rPr>
      <t>GΔa</t>
    </r>
  </si>
  <si>
    <t>Minimální těsnící síla při montážním stavu b)</t>
  </si>
  <si>
    <r>
      <t>F</t>
    </r>
    <r>
      <rPr>
        <vertAlign val="subscript"/>
        <sz val="12"/>
        <color theme="1"/>
        <rFont val="Calibri"/>
        <family val="2"/>
        <charset val="238"/>
      </rPr>
      <t>GΔb</t>
    </r>
  </si>
  <si>
    <r>
      <t>P</t>
    </r>
    <r>
      <rPr>
        <vertAlign val="subscript"/>
        <sz val="12"/>
        <color theme="1"/>
        <rFont val="Calibri"/>
        <family val="2"/>
        <charset val="238"/>
      </rPr>
      <t>QR</t>
    </r>
  </si>
  <si>
    <r>
      <t>F</t>
    </r>
    <r>
      <rPr>
        <vertAlign val="subscript"/>
        <sz val="12"/>
        <color theme="1"/>
        <rFont val="Calibri"/>
        <family val="2"/>
        <charset val="238"/>
      </rPr>
      <t>G0req</t>
    </r>
  </si>
  <si>
    <r>
      <t>F</t>
    </r>
    <r>
      <rPr>
        <vertAlign val="subscript"/>
        <sz val="12"/>
        <color theme="1"/>
        <rFont val="Calibri"/>
        <family val="2"/>
        <charset val="238"/>
      </rPr>
      <t>B0req</t>
    </r>
  </si>
  <si>
    <t xml:space="preserve">Požadovaná těsnící síla </t>
  </si>
  <si>
    <t xml:space="preserve">Požadovaná síla ve šroubech </t>
  </si>
  <si>
    <t>Síla na těsnění - 1. přiblížení</t>
  </si>
  <si>
    <t xml:space="preserve">Síla na těsnění </t>
  </si>
  <si>
    <r>
      <t>F</t>
    </r>
    <r>
      <rPr>
        <vertAlign val="subscript"/>
        <sz val="12"/>
        <color theme="1"/>
        <rFont val="Calibri"/>
        <family val="2"/>
        <charset val="238"/>
        <scheme val="minor"/>
      </rPr>
      <t>G0p</t>
    </r>
  </si>
  <si>
    <r>
      <t>F</t>
    </r>
    <r>
      <rPr>
        <vertAlign val="subscript"/>
        <sz val="12"/>
        <color theme="1"/>
        <rFont val="Calibri"/>
        <family val="2"/>
        <charset val="238"/>
        <scheme val="minor"/>
      </rPr>
      <t>G0</t>
    </r>
  </si>
  <si>
    <t xml:space="preserve">Iterační výpočet účinné geometrie těsnění </t>
  </si>
  <si>
    <r>
      <t>X</t>
    </r>
    <r>
      <rPr>
        <vertAlign val="subscript"/>
        <sz val="12"/>
        <color theme="1"/>
        <rFont val="Calibri"/>
        <family val="2"/>
        <charset val="238"/>
        <scheme val="minor"/>
      </rPr>
      <t>G</t>
    </r>
  </si>
  <si>
    <t xml:space="preserve">Účinný průměr těsnění </t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</si>
  <si>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P1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</si>
  <si>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H1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</si>
  <si>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G1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</si>
  <si>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L1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</si>
  <si>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Q1</t>
    </r>
  </si>
  <si>
    <t xml:space="preserve">Opravné rameno momentu osové síly </t>
  </si>
  <si>
    <t xml:space="preserve">Opravné rameno momentu tlaku </t>
  </si>
  <si>
    <t xml:space="preserve">Opravné rameno krku </t>
  </si>
  <si>
    <t xml:space="preserve">Opravné rameno těsnění </t>
  </si>
  <si>
    <t xml:space="preserve">Opravné rameno listu točivé příruby </t>
  </si>
  <si>
    <t xml:space="preserve">Opravné rameno síly od tlaku </t>
  </si>
  <si>
    <r>
      <t>b</t>
    </r>
    <r>
      <rPr>
        <vertAlign val="subscript"/>
        <sz val="12"/>
        <color theme="1"/>
        <rFont val="Calibri"/>
        <family val="2"/>
        <charset val="238"/>
        <scheme val="minor"/>
      </rPr>
      <t>Gei</t>
    </r>
  </si>
  <si>
    <r>
      <t>d</t>
    </r>
    <r>
      <rPr>
        <vertAlign val="subscript"/>
        <sz val="12"/>
        <color theme="1"/>
        <rFont val="Calibri"/>
        <family val="2"/>
        <charset val="238"/>
        <scheme val="minor"/>
      </rPr>
      <t>Gei</t>
    </r>
  </si>
  <si>
    <r>
      <t>A</t>
    </r>
    <r>
      <rPr>
        <vertAlign val="subscript"/>
        <sz val="12"/>
        <color theme="1"/>
        <rFont val="Calibri"/>
        <family val="2"/>
        <charset val="238"/>
        <scheme val="minor"/>
      </rPr>
      <t>Ge</t>
    </r>
  </si>
  <si>
    <t>Osová síla od tlaku tekutiny</t>
  </si>
  <si>
    <t xml:space="preserve">Osová poddajnost spoje pro těsnící sílu </t>
  </si>
  <si>
    <t xml:space="preserve">Osová poddajnost spoje pro sílu od tlaku kapaliny </t>
  </si>
  <si>
    <t xml:space="preserve">Osová poddajnost spoje pro osové zatížení </t>
  </si>
  <si>
    <r>
      <t>Y</t>
    </r>
    <r>
      <rPr>
        <vertAlign val="subscript"/>
        <sz val="12"/>
        <color theme="1"/>
        <rFont val="Calibri"/>
        <family val="2"/>
        <charset val="238"/>
      </rPr>
      <t>GI</t>
    </r>
  </si>
  <si>
    <r>
      <t>Y</t>
    </r>
    <r>
      <rPr>
        <vertAlign val="subscript"/>
        <sz val="12"/>
        <color theme="1"/>
        <rFont val="Calibri"/>
        <family val="2"/>
        <charset val="238"/>
      </rPr>
      <t>QI</t>
    </r>
  </si>
  <si>
    <r>
      <t>Y</t>
    </r>
    <r>
      <rPr>
        <vertAlign val="subscript"/>
        <sz val="12"/>
        <color theme="1"/>
        <rFont val="Calibri"/>
        <family val="2"/>
        <charset val="238"/>
      </rPr>
      <t>RI</t>
    </r>
  </si>
  <si>
    <t xml:space="preserve">Minimální těsnící síla </t>
  </si>
  <si>
    <r>
      <t>F</t>
    </r>
    <r>
      <rPr>
        <vertAlign val="subscript"/>
        <sz val="12"/>
        <color theme="1"/>
        <rFont val="Calibri"/>
        <family val="2"/>
        <charset val="238"/>
      </rPr>
      <t>GImin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</si>
  <si>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P2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</si>
  <si>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H2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</si>
  <si>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G2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</si>
  <si>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L2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</si>
  <si>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Q2</t>
    </r>
  </si>
  <si>
    <r>
      <rPr>
        <sz val="12"/>
        <color theme="1"/>
        <rFont val="Calibri"/>
        <family val="2"/>
        <charset val="238"/>
      </rPr>
      <t>Q</t>
    </r>
    <r>
      <rPr>
        <vertAlign val="subscript"/>
        <sz val="12"/>
        <color theme="1"/>
        <rFont val="Calibri"/>
        <family val="2"/>
        <charset val="238"/>
      </rPr>
      <t>s</t>
    </r>
    <r>
      <rPr>
        <vertAlign val="subscript"/>
        <sz val="12"/>
        <color theme="1"/>
        <rFont val="Calibri"/>
        <family val="2"/>
        <charset val="238"/>
        <scheme val="minor"/>
      </rPr>
      <t>min(L)I</t>
    </r>
  </si>
  <si>
    <t>Rozptyl utahovací síly šroubu</t>
  </si>
  <si>
    <r>
      <t>ε</t>
    </r>
    <r>
      <rPr>
        <vertAlign val="subscript"/>
        <sz val="12"/>
        <color theme="1"/>
        <rFont val="Calibri"/>
        <family val="2"/>
        <charset val="238"/>
      </rPr>
      <t>1+</t>
    </r>
  </si>
  <si>
    <t>Rozptyl utahovací síly všech šroubů</t>
  </si>
  <si>
    <r>
      <t>ε</t>
    </r>
    <r>
      <rPr>
        <vertAlign val="subscript"/>
        <sz val="12"/>
        <color theme="1"/>
        <rFont val="Calibri"/>
        <family val="2"/>
        <charset val="238"/>
      </rPr>
      <t>-</t>
    </r>
  </si>
  <si>
    <r>
      <t>ε</t>
    </r>
    <r>
      <rPr>
        <vertAlign val="subscript"/>
        <sz val="12"/>
        <color theme="1"/>
        <rFont val="Calibri"/>
        <family val="2"/>
        <charset val="238"/>
      </rPr>
      <t>+</t>
    </r>
  </si>
  <si>
    <r>
      <t>F</t>
    </r>
    <r>
      <rPr>
        <vertAlign val="subscript"/>
        <sz val="12"/>
        <color theme="1"/>
        <rFont val="Calibri"/>
        <family val="2"/>
        <charset val="238"/>
      </rPr>
      <t>B0nom</t>
    </r>
  </si>
  <si>
    <r>
      <t>F</t>
    </r>
    <r>
      <rPr>
        <vertAlign val="subscript"/>
        <sz val="12"/>
        <color theme="1"/>
        <rFont val="Calibri"/>
        <family val="2"/>
        <charset val="238"/>
      </rPr>
      <t>B0max</t>
    </r>
  </si>
  <si>
    <t>Jmenovitá utahovací síla ve šroubech v montážním stavu</t>
  </si>
  <si>
    <t>Maximální utahovací síla ve šroubech v montážním stavu</t>
  </si>
  <si>
    <r>
      <t>F</t>
    </r>
    <r>
      <rPr>
        <vertAlign val="subscript"/>
        <sz val="12"/>
        <color theme="1"/>
        <rFont val="Calibri"/>
        <family val="2"/>
        <charset val="238"/>
        <scheme val="minor"/>
      </rPr>
      <t>QI</t>
    </r>
  </si>
  <si>
    <t xml:space="preserve">Tento rozptyl je způsoben nerovnoměrným dotažením šroubů. </t>
  </si>
  <si>
    <t xml:space="preserve">Číslo stavu I  </t>
  </si>
  <si>
    <t>Účinná osová tloušťka listu příruby</t>
  </si>
  <si>
    <t>7)</t>
  </si>
  <si>
    <t>Jmenovité (dovolené) napětí ve šroubu</t>
  </si>
  <si>
    <r>
      <t>ε</t>
    </r>
    <r>
      <rPr>
        <vertAlign val="subscript"/>
        <sz val="12"/>
        <color theme="1"/>
        <rFont val="Calibri"/>
        <family val="2"/>
        <charset val="238"/>
      </rPr>
      <t>1-</t>
    </r>
  </si>
  <si>
    <t>Typické hodnoty ε1- a ε1+ pro jednotlivé montážní metody</t>
  </si>
  <si>
    <t>Těsnění - varianta 1</t>
  </si>
  <si>
    <t>Těsnění - varianta 2</t>
  </si>
  <si>
    <t>Těsnění - varianta 3</t>
  </si>
  <si>
    <r>
      <t>Tloušťka</t>
    </r>
    <r>
      <rPr>
        <vertAlign val="subscript"/>
        <sz val="12"/>
        <color theme="1"/>
        <rFont val="Calibri"/>
        <family val="2"/>
        <charset val="238"/>
        <scheme val="minor"/>
      </rPr>
      <t xml:space="preserve"> </t>
    </r>
    <r>
      <rPr>
        <sz val="12"/>
        <color theme="1"/>
        <rFont val="Calibri"/>
        <family val="2"/>
        <charset val="238"/>
        <scheme val="minor"/>
      </rPr>
      <t>těsnění v nezatíženém stavu</t>
    </r>
  </si>
  <si>
    <t>Zadejte číslo geometrie 1. příruby (1, 2, 3)</t>
  </si>
  <si>
    <t>Zadejte číslo geometrie 2. příruby (1, 2, 3)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</si>
  <si>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Ft1</t>
    </r>
    <r>
      <rPr>
        <sz val="12"/>
        <color theme="1"/>
        <rFont val="Calibri"/>
        <family val="2"/>
        <charset val="238"/>
        <scheme val="minor"/>
      </rPr>
      <t>, e</t>
    </r>
    <r>
      <rPr>
        <vertAlign val="subscript"/>
        <sz val="12"/>
        <color theme="1"/>
        <rFont val="Calibri"/>
        <family val="2"/>
        <charset val="238"/>
        <scheme val="minor"/>
      </rPr>
      <t>Ft2</t>
    </r>
  </si>
  <si>
    <r>
      <t>Pro geometrii přírub 1 a 2 zadejte číslo</t>
    </r>
    <r>
      <rPr>
        <sz val="12"/>
        <color rgb="FFFF0000"/>
        <rFont val="Calibri"/>
        <family val="2"/>
        <charset val="238"/>
        <scheme val="minor"/>
      </rPr>
      <t xml:space="preserve"> různé od 0 !!! </t>
    </r>
    <r>
      <rPr>
        <sz val="12"/>
        <color theme="1"/>
        <rFont val="Calibri"/>
        <family val="2"/>
        <charset val="238"/>
        <scheme val="minor"/>
      </rPr>
      <t>(např. 0,01)</t>
    </r>
  </si>
  <si>
    <t>Maximální síla působící na těsnění v montážním stavu</t>
  </si>
  <si>
    <r>
      <t>F</t>
    </r>
    <r>
      <rPr>
        <vertAlign val="subscript"/>
        <sz val="12"/>
        <color theme="1"/>
        <rFont val="Calibri"/>
        <family val="2"/>
        <charset val="238"/>
      </rPr>
      <t>G0max</t>
    </r>
  </si>
  <si>
    <t>Jmenovitá síla působící na těsnění v montážním stavu</t>
  </si>
  <si>
    <r>
      <t>F</t>
    </r>
    <r>
      <rPr>
        <vertAlign val="subscript"/>
        <sz val="12"/>
        <color theme="1"/>
        <rFont val="Calibri"/>
        <family val="2"/>
        <charset val="238"/>
      </rPr>
      <t>G0nom</t>
    </r>
  </si>
  <si>
    <t>min</t>
  </si>
  <si>
    <t>av</t>
  </si>
  <si>
    <t>max</t>
  </si>
  <si>
    <t>Síla působící na těsnění v následujících stavech a)</t>
  </si>
  <si>
    <t>Síla působící na těsnění v následujících stavech b)</t>
  </si>
  <si>
    <r>
      <t>F</t>
    </r>
    <r>
      <rPr>
        <vertAlign val="subscript"/>
        <sz val="12"/>
        <color theme="1"/>
        <rFont val="Calibri"/>
        <family val="2"/>
        <charset val="238"/>
      </rPr>
      <t>GIa</t>
    </r>
  </si>
  <si>
    <r>
      <t>F</t>
    </r>
    <r>
      <rPr>
        <vertAlign val="subscript"/>
        <sz val="12"/>
        <color theme="1"/>
        <rFont val="Calibri"/>
        <family val="2"/>
        <charset val="238"/>
      </rPr>
      <t>GIb</t>
    </r>
  </si>
  <si>
    <t>Síla působící ve šroubech v následujících stavech a)</t>
  </si>
  <si>
    <t>Síla působící ve šroubech v následujících stavech b)</t>
  </si>
  <si>
    <r>
      <t>F</t>
    </r>
    <r>
      <rPr>
        <vertAlign val="subscript"/>
        <sz val="12"/>
        <color theme="1"/>
        <rFont val="Calibri"/>
        <family val="2"/>
        <charset val="238"/>
      </rPr>
      <t>BIa</t>
    </r>
  </si>
  <si>
    <r>
      <t>F</t>
    </r>
    <r>
      <rPr>
        <vertAlign val="subscript"/>
        <sz val="12"/>
        <color theme="1"/>
        <rFont val="Calibri"/>
        <family val="2"/>
        <charset val="238"/>
      </rPr>
      <t>BIb</t>
    </r>
  </si>
  <si>
    <t xml:space="preserve">Minimální účinný utahovací tlak na těsnění </t>
  </si>
  <si>
    <r>
      <t>Q</t>
    </r>
    <r>
      <rPr>
        <vertAlign val="subscript"/>
        <sz val="12"/>
        <color theme="1"/>
        <rFont val="Calibri"/>
        <family val="2"/>
        <charset val="238"/>
      </rPr>
      <t>GeImax</t>
    </r>
  </si>
  <si>
    <r>
      <t>Q</t>
    </r>
    <r>
      <rPr>
        <vertAlign val="subscript"/>
        <sz val="12"/>
        <color theme="1"/>
        <rFont val="Calibri"/>
        <family val="2"/>
        <charset val="238"/>
      </rPr>
      <t>GeImin</t>
    </r>
  </si>
  <si>
    <t>Výpočet zatížení v jednotlivých stavech</t>
  </si>
  <si>
    <t>Utahovací tlak na těsnění při montáži (předběžná hodnota, požadovaná je výsledkem)</t>
  </si>
  <si>
    <t>8)</t>
  </si>
  <si>
    <t>Součinitel tření v závitu</t>
  </si>
  <si>
    <r>
      <t>μ</t>
    </r>
    <r>
      <rPr>
        <vertAlign val="subscript"/>
        <sz val="12"/>
        <color theme="1"/>
        <rFont val="Calibri"/>
        <family val="2"/>
        <charset val="238"/>
      </rPr>
      <t>t</t>
    </r>
  </si>
  <si>
    <t>Utahovací moment šroubu</t>
  </si>
  <si>
    <t>[N.m]</t>
  </si>
  <si>
    <r>
      <t>k</t>
    </r>
    <r>
      <rPr>
        <vertAlign val="subscript"/>
        <sz val="12"/>
        <color theme="1"/>
        <rFont val="Calibri"/>
        <family val="2"/>
        <charset val="238"/>
      </rPr>
      <t>B</t>
    </r>
  </si>
  <si>
    <t>Součinitel složky utahovacího momentu</t>
  </si>
  <si>
    <r>
      <t>M</t>
    </r>
    <r>
      <rPr>
        <vertAlign val="subscript"/>
        <sz val="12"/>
        <color theme="1"/>
        <rFont val="Calibri"/>
        <family val="2"/>
        <charset val="238"/>
      </rPr>
      <t>t,B nom</t>
    </r>
  </si>
  <si>
    <t>Tažnost materiálu šroubu</t>
  </si>
  <si>
    <t>A</t>
  </si>
  <si>
    <t>[%]</t>
  </si>
  <si>
    <t>Pomocná proměnná (křehkost mat.)</t>
  </si>
  <si>
    <t>C</t>
  </si>
  <si>
    <t>Stupeň využití únosnosti šroubů</t>
  </si>
  <si>
    <r>
      <t>Ф</t>
    </r>
    <r>
      <rPr>
        <vertAlign val="subscript"/>
        <sz val="12"/>
        <color theme="1"/>
        <rFont val="Calibri"/>
        <family val="2"/>
        <charset val="238"/>
      </rPr>
      <t>BI</t>
    </r>
  </si>
  <si>
    <t>9)</t>
  </si>
  <si>
    <t>Tento je uvažován včetně vlivu utahovacího momentu.</t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</si>
  <si>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R2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</si>
  <si>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G10i-1</t>
    </r>
  </si>
  <si>
    <r>
      <t>h</t>
    </r>
    <r>
      <rPr>
        <vertAlign val="subscript"/>
        <sz val="12"/>
        <color theme="1"/>
        <rFont val="Calibri"/>
        <family val="2"/>
        <charset val="238"/>
        <scheme val="minor"/>
      </rPr>
      <t>G20i-1</t>
    </r>
  </si>
  <si>
    <t>Stupeň využití únosnosti těsnění</t>
  </si>
  <si>
    <r>
      <t>Ф</t>
    </r>
    <r>
      <rPr>
        <vertAlign val="subscript"/>
        <sz val="12"/>
        <color theme="1"/>
        <rFont val="Calibri"/>
        <family val="2"/>
        <charset val="238"/>
      </rPr>
      <t>GI</t>
    </r>
  </si>
  <si>
    <t>Potřebné montážní předpětí, síla ve šroubu</t>
  </si>
  <si>
    <t>-</t>
  </si>
  <si>
    <t>Δ</t>
  </si>
  <si>
    <t>Prodloužení šroubu při montáži</t>
  </si>
  <si>
    <t>[MPa],[N]</t>
  </si>
  <si>
    <t>Závěrečné zhodnocení</t>
  </si>
  <si>
    <t>Stupně využití únosnosti přírub nejsou uvedeny, jejich výpočet je složitý a nemá vypovýdající hodnotu. Navíc jestliže jsou splněny geometrické podmínky pro tvar příruby, je zajistěna dostatečná tuhost a pevnost. Běžně dochází dříve k selhání těsnění (ztrátě těsnosti), než k přetížení příruby.</t>
  </si>
  <si>
    <t>Jak postupovat při výpočtu?</t>
  </si>
  <si>
    <t>Obecná kontrola, zda je příruba dostatečně tuhá (dostatečný počet šroubů, tloušťka listu příruby,...).</t>
  </si>
  <si>
    <r>
      <t>, kde A</t>
    </r>
    <r>
      <rPr>
        <vertAlign val="subscript"/>
        <sz val="12"/>
        <color theme="1"/>
        <rFont val="Calibri"/>
        <family val="2"/>
        <charset val="238"/>
        <scheme val="minor"/>
      </rPr>
      <t>L</t>
    </r>
    <r>
      <rPr>
        <sz val="12"/>
        <color theme="1"/>
        <rFont val="Calibri"/>
        <family val="2"/>
        <charset val="238"/>
        <scheme val="minor"/>
      </rPr>
      <t xml:space="preserve"> je účinná plocha točivé příruby.</t>
    </r>
  </si>
  <si>
    <r>
      <t>, kde A</t>
    </r>
    <r>
      <rPr>
        <vertAlign val="subscript"/>
        <sz val="12"/>
        <color theme="1"/>
        <rFont val="Calibri"/>
        <family val="2"/>
        <charset val="238"/>
        <scheme val="minor"/>
      </rPr>
      <t>F</t>
    </r>
    <r>
      <rPr>
        <sz val="12"/>
        <color theme="1"/>
        <rFont val="Calibri"/>
        <family val="2"/>
        <charset val="238"/>
        <scheme val="minor"/>
      </rPr>
      <t xml:space="preserve"> je účinná celková plocha průřezu obruby nebo lemu.</t>
    </r>
  </si>
  <si>
    <t>Pro válcovou skořepinu zde volíme 0°.</t>
  </si>
  <si>
    <r>
      <t>, kde A</t>
    </r>
    <r>
      <rPr>
        <vertAlign val="subscript"/>
        <sz val="11"/>
        <color theme="1"/>
        <rFont val="Calibri"/>
        <family val="2"/>
        <charset val="238"/>
        <scheme val="minor"/>
      </rPr>
      <t>F</t>
    </r>
    <r>
      <rPr>
        <sz val="11"/>
        <color theme="1"/>
        <rFont val="Calibri"/>
        <family val="2"/>
        <charset val="238"/>
        <scheme val="minor"/>
      </rPr>
      <t xml:space="preserve"> je účinná celková plocha průřezu listu příruby. </t>
    </r>
  </si>
  <si>
    <r>
      <t>Pro závit k hlavě volíme d</t>
    </r>
    <r>
      <rPr>
        <vertAlign val="subscript"/>
        <sz val="12"/>
        <rFont val="Calibri"/>
        <family val="2"/>
        <charset val="238"/>
        <scheme val="minor"/>
      </rPr>
      <t>B0.</t>
    </r>
  </si>
  <si>
    <t>Pro závit k hlavě volíme 0.</t>
  </si>
  <si>
    <t>K tomuto napětí je v závěru vztažen stupeň využití šroubů.</t>
  </si>
  <si>
    <t>Viz přílohu.</t>
  </si>
  <si>
    <t>Parametry vycházející z ČSN EN 13555.</t>
  </si>
  <si>
    <t>V případě nesplnění podmínky zkontrolujte správnost zadání uvedených tlouštěk.</t>
  </si>
  <si>
    <r>
      <t>Varianty zohledňují přídavnou tahovou(a)/tlakovou(b) sílu od osového momentu M</t>
    </r>
    <r>
      <rPr>
        <vertAlign val="subscript"/>
        <sz val="12"/>
        <color theme="1"/>
        <rFont val="Calibri"/>
        <family val="2"/>
        <charset val="238"/>
        <scheme val="minor"/>
      </rPr>
      <t>AI.</t>
    </r>
  </si>
  <si>
    <t>Makro spusťte vždy po změmě parametrů této stránky a jí předřazených.</t>
  </si>
  <si>
    <t>Pokud se parametr nevyskytuje u daného typu, zadejte 0.</t>
  </si>
  <si>
    <r>
      <t>Tlak na odlehčené a zatížené straně od vnějšího momentu, vztaženo na A</t>
    </r>
    <r>
      <rPr>
        <vertAlign val="subscript"/>
        <sz val="12"/>
        <color theme="1"/>
        <rFont val="Calibri"/>
        <family val="2"/>
        <charset val="238"/>
        <scheme val="minor"/>
      </rPr>
      <t>ge</t>
    </r>
    <r>
      <rPr>
        <sz val="12"/>
        <color theme="1"/>
        <rFont val="Calibri"/>
        <family val="2"/>
        <charset val="238"/>
        <scheme val="minor"/>
      </rPr>
      <t>.</t>
    </r>
  </si>
  <si>
    <r>
      <t>Tlak na odlehčené a zatížené straně od vnějšího momentu, vztaženo na A</t>
    </r>
    <r>
      <rPr>
        <vertAlign val="subscript"/>
        <sz val="12"/>
        <color theme="1"/>
        <rFont val="Calibri"/>
        <family val="2"/>
        <charset val="238"/>
        <scheme val="minor"/>
      </rPr>
      <t>gt</t>
    </r>
    <r>
      <rPr>
        <sz val="12"/>
        <color theme="1"/>
        <rFont val="Calibri"/>
        <family val="2"/>
        <charset val="238"/>
        <scheme val="minor"/>
      </rPr>
      <t>.</t>
    </r>
  </si>
  <si>
    <t>Teplota při 1. zkoušce těsnění</t>
  </si>
  <si>
    <t>Náhradní modul pružnosti těsnění v závislosti na zatížení (ČSN EN 13 555)</t>
  </si>
  <si>
    <t>Tlak na těsnění</t>
  </si>
  <si>
    <t>Modul pružnosti</t>
  </si>
  <si>
    <t>Bod číslo ...</t>
  </si>
  <si>
    <r>
      <t>Q</t>
    </r>
    <r>
      <rPr>
        <vertAlign val="subscript"/>
        <sz val="12"/>
        <color theme="1"/>
        <rFont val="Calibri"/>
        <family val="2"/>
        <charset val="238"/>
      </rPr>
      <t>x</t>
    </r>
  </si>
  <si>
    <t>x</t>
  </si>
  <si>
    <r>
      <t>T</t>
    </r>
    <r>
      <rPr>
        <vertAlign val="subscript"/>
        <sz val="12"/>
        <color theme="1"/>
        <rFont val="Calibri"/>
        <family val="2"/>
        <charset val="238"/>
        <scheme val="minor"/>
      </rPr>
      <t>G1</t>
    </r>
  </si>
  <si>
    <r>
      <t>T</t>
    </r>
    <r>
      <rPr>
        <vertAlign val="subscript"/>
        <sz val="12"/>
        <color theme="1"/>
        <rFont val="Calibri"/>
        <family val="2"/>
        <charset val="238"/>
        <scheme val="minor"/>
      </rPr>
      <t>G2</t>
    </r>
  </si>
  <si>
    <t>Teplota při 2. zkoušce těsnění</t>
  </si>
  <si>
    <t>y</t>
  </si>
  <si>
    <r>
      <t>Q</t>
    </r>
    <r>
      <rPr>
        <vertAlign val="subscript"/>
        <sz val="12"/>
        <color theme="1"/>
        <rFont val="Calibri"/>
        <family val="2"/>
        <charset val="238"/>
      </rPr>
      <t>y</t>
    </r>
  </si>
  <si>
    <t xml:space="preserve"> - Dokument je uzamčen, aby se zamezilo riziku přepsání vzorce. V případě nutnosti je možno dokument odemknout a na vlastní nebezpečí výpočet upravit. Heslo je: 1591</t>
  </si>
  <si>
    <t xml:space="preserve">Aproximační koeficient </t>
  </si>
  <si>
    <r>
      <t>k</t>
    </r>
    <r>
      <rPr>
        <vertAlign val="subscript"/>
        <sz val="12"/>
        <color theme="1"/>
        <rFont val="Calibri"/>
        <family val="2"/>
        <charset val="238"/>
        <scheme val="minor"/>
      </rPr>
      <t>1x</t>
    </r>
  </si>
  <si>
    <r>
      <t>k</t>
    </r>
    <r>
      <rPr>
        <vertAlign val="subscript"/>
        <sz val="12"/>
        <color theme="1"/>
        <rFont val="Calibri"/>
        <family val="2"/>
        <charset val="238"/>
        <scheme val="minor"/>
      </rPr>
      <t>0x</t>
    </r>
  </si>
  <si>
    <r>
      <t>k</t>
    </r>
    <r>
      <rPr>
        <vertAlign val="subscript"/>
        <sz val="12"/>
        <color theme="1"/>
        <rFont val="Calibri"/>
        <family val="2"/>
        <charset val="238"/>
        <scheme val="minor"/>
      </rPr>
      <t>1y</t>
    </r>
  </si>
  <si>
    <r>
      <t>k</t>
    </r>
    <r>
      <rPr>
        <vertAlign val="subscript"/>
        <sz val="12"/>
        <color theme="1"/>
        <rFont val="Calibri"/>
        <family val="2"/>
        <charset val="238"/>
        <scheme val="minor"/>
      </rPr>
      <t>0y</t>
    </r>
  </si>
  <si>
    <r>
      <t>Výpočet proběhne přímkovou aproximací E</t>
    </r>
    <r>
      <rPr>
        <vertAlign val="subscript"/>
        <sz val="12"/>
        <color theme="1"/>
        <rFont val="Calibri"/>
        <family val="2"/>
        <charset val="238"/>
        <scheme val="minor"/>
      </rPr>
      <t>G</t>
    </r>
    <r>
      <rPr>
        <sz val="12"/>
        <color theme="1"/>
        <rFont val="Calibri"/>
        <family val="2"/>
        <charset val="238"/>
        <scheme val="minor"/>
      </rPr>
      <t xml:space="preserve"> a interpolací mezi teplotami.</t>
    </r>
  </si>
  <si>
    <t>Vyberte typ těsnění (1 ,2, 3 dle obrázku - viz vpravo)</t>
  </si>
  <si>
    <t>Vnitřní průměr stykové teoretické těsnící plochy</t>
  </si>
  <si>
    <t>Vnější průměr stykové teoretické těsnící plochy</t>
  </si>
  <si>
    <t>Úhel natočení 1. příruby</t>
  </si>
  <si>
    <t>Úhel natočení 2. příruby</t>
  </si>
  <si>
    <r>
      <t>θ</t>
    </r>
    <r>
      <rPr>
        <vertAlign val="subscript"/>
        <sz val="12"/>
        <color theme="1"/>
        <rFont val="Calibri"/>
        <family val="2"/>
        <charset val="238"/>
      </rPr>
      <t xml:space="preserve">F1 </t>
    </r>
  </si>
  <si>
    <r>
      <t>θ</t>
    </r>
    <r>
      <rPr>
        <vertAlign val="subscript"/>
        <sz val="12"/>
        <color theme="1"/>
        <rFont val="Calibri"/>
        <family val="2"/>
        <charset val="238"/>
      </rPr>
      <t xml:space="preserve">F2 </t>
    </r>
  </si>
  <si>
    <t>[deg]</t>
  </si>
  <si>
    <r>
      <rPr>
        <sz val="12"/>
        <color theme="1"/>
        <rFont val="Calibri"/>
        <family val="2"/>
        <charset val="238"/>
      </rPr>
      <t>Q</t>
    </r>
    <r>
      <rPr>
        <vertAlign val="subscript"/>
        <sz val="12"/>
        <color theme="1"/>
        <rFont val="Calibri"/>
        <family val="2"/>
        <charset val="238"/>
        <scheme val="minor"/>
      </rPr>
      <t>smax I</t>
    </r>
  </si>
  <si>
    <t>Součinitel tečení těsnění</t>
  </si>
  <si>
    <t xml:space="preserve">Celkový úhel stykových ploch </t>
  </si>
  <si>
    <r>
      <t>θ</t>
    </r>
    <r>
      <rPr>
        <vertAlign val="subscript"/>
        <sz val="12"/>
        <color theme="1"/>
        <rFont val="Calibri"/>
        <family val="2"/>
        <charset val="238"/>
      </rPr>
      <t>Int</t>
    </r>
  </si>
  <si>
    <t xml:space="preserve"> - Pečlivě čtěte poznámky (jsou-li označeny číslem u daného parametru). Jejich text se nachází pod příslušnou tabulkou.</t>
  </si>
  <si>
    <t xml:space="preserve"> - V případě nejasností kontaktujte autora na email iwanik@email.cz</t>
  </si>
  <si>
    <t xml:space="preserve"> - NYNÍ POČÍTÁM PRO dG1, ne pro de (g37 MÍSTO g77)</t>
  </si>
  <si>
    <r>
      <t>σ</t>
    </r>
    <r>
      <rPr>
        <vertAlign val="subscript"/>
        <sz val="12"/>
        <color theme="1"/>
        <rFont val="Calibri"/>
        <family val="2"/>
        <charset val="238"/>
      </rPr>
      <t>BI</t>
    </r>
  </si>
  <si>
    <t>Napětí v ose šroubu (bez uvažování ohybu a krutu)</t>
  </si>
  <si>
    <r>
      <t>Pokud jsou použity podložky, L</t>
    </r>
    <r>
      <rPr>
        <vertAlign val="subscript"/>
        <sz val="12"/>
        <color theme="1"/>
        <rFont val="Calibri"/>
        <family val="2"/>
        <charset val="238"/>
        <scheme val="minor"/>
      </rPr>
      <t>B</t>
    </r>
    <r>
      <rPr>
        <sz val="12"/>
        <color theme="1"/>
        <rFont val="Calibri"/>
        <family val="2"/>
        <charset val="238"/>
        <scheme val="minor"/>
      </rPr>
      <t xml:space="preserve"> je vždy až k matici</t>
    </r>
    <r>
      <rPr>
        <vertAlign val="subscript"/>
        <sz val="12"/>
        <color theme="1"/>
        <rFont val="Calibri"/>
        <family val="2"/>
        <charset val="238"/>
        <scheme val="minor"/>
      </rPr>
      <t>.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</si>
  <si>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gx</t>
    </r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</si>
  <si>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gy</t>
    </r>
  </si>
  <si>
    <r>
      <t>Modul E</t>
    </r>
    <r>
      <rPr>
        <vertAlign val="subscript"/>
        <sz val="12"/>
        <color theme="1"/>
        <rFont val="Calibri"/>
        <family val="2"/>
        <charset val="238"/>
        <scheme val="minor"/>
      </rPr>
      <t>Gx</t>
    </r>
    <r>
      <rPr>
        <sz val="12"/>
        <color theme="1"/>
        <rFont val="Calibri"/>
        <family val="2"/>
        <charset val="238"/>
        <scheme val="minor"/>
      </rPr>
      <t xml:space="preserve"> [MPa]</t>
    </r>
  </si>
  <si>
    <r>
      <t>Modul E</t>
    </r>
    <r>
      <rPr>
        <vertAlign val="subscript"/>
        <sz val="12"/>
        <color theme="1"/>
        <rFont val="Calibri"/>
        <family val="2"/>
        <charset val="238"/>
        <scheme val="minor"/>
      </rPr>
      <t xml:space="preserve">Gy </t>
    </r>
    <r>
      <rPr>
        <sz val="12"/>
        <color theme="1"/>
        <rFont val="Calibri"/>
        <family val="2"/>
        <charset val="238"/>
        <scheme val="minor"/>
      </rPr>
      <t>[MPa]</t>
    </r>
  </si>
  <si>
    <t xml:space="preserve">Maximální účinný utahovací tlak na těsnění </t>
  </si>
  <si>
    <r>
      <t>Střední účinný utahovací tlak na těsnění - pro určení E</t>
    </r>
    <r>
      <rPr>
        <vertAlign val="subscript"/>
        <sz val="12"/>
        <color theme="1"/>
        <rFont val="Calibri"/>
        <family val="2"/>
        <charset val="238"/>
        <scheme val="minor"/>
      </rPr>
      <t>G</t>
    </r>
  </si>
  <si>
    <r>
      <t>Q</t>
    </r>
    <r>
      <rPr>
        <vertAlign val="subscript"/>
        <sz val="12"/>
        <color theme="1"/>
        <rFont val="Calibri"/>
        <family val="2"/>
        <charset val="238"/>
      </rPr>
      <t>GeIav</t>
    </r>
  </si>
  <si>
    <t>10)</t>
  </si>
  <si>
    <r>
      <t>Uvažováno pro Q</t>
    </r>
    <r>
      <rPr>
        <vertAlign val="subscript"/>
        <sz val="12"/>
        <color theme="1"/>
        <rFont val="Calibri"/>
        <family val="2"/>
        <charset val="238"/>
        <scheme val="minor"/>
      </rPr>
      <t xml:space="preserve">GeImax </t>
    </r>
    <r>
      <rPr>
        <sz val="12"/>
        <color theme="1"/>
        <rFont val="Calibri"/>
        <family val="2"/>
        <charset val="238"/>
        <scheme val="minor"/>
      </rPr>
      <t>na rozdíl od ČSN EN 1591.</t>
    </r>
  </si>
  <si>
    <t>11)</t>
  </si>
  <si>
    <r>
      <t xml:space="preserve"> - Přímková závislost E</t>
    </r>
    <r>
      <rPr>
        <vertAlign val="subscript"/>
        <sz val="12"/>
        <color theme="1"/>
        <rFont val="Calibri"/>
        <family val="2"/>
        <charset val="238"/>
        <scheme val="minor"/>
      </rPr>
      <t>G</t>
    </r>
    <r>
      <rPr>
        <sz val="12"/>
        <color theme="1"/>
        <rFont val="Calibri"/>
        <family val="2"/>
        <charset val="238"/>
        <scheme val="minor"/>
      </rPr>
      <t xml:space="preserve"> na Q je dána rovnicí E</t>
    </r>
    <r>
      <rPr>
        <vertAlign val="subscript"/>
        <sz val="12"/>
        <color theme="1"/>
        <rFont val="Calibri"/>
        <family val="2"/>
        <charset val="238"/>
        <scheme val="minor"/>
      </rPr>
      <t>G</t>
    </r>
    <r>
      <rPr>
        <sz val="12"/>
        <color theme="1"/>
        <rFont val="Calibri"/>
        <family val="2"/>
        <charset val="238"/>
        <scheme val="minor"/>
      </rPr>
      <t xml:space="preserve"> = k</t>
    </r>
    <r>
      <rPr>
        <vertAlign val="subscript"/>
        <sz val="12"/>
        <color theme="1"/>
        <rFont val="Calibri"/>
        <family val="2"/>
        <charset val="238"/>
        <scheme val="minor"/>
      </rPr>
      <t>1</t>
    </r>
    <r>
      <rPr>
        <sz val="12"/>
        <color theme="1"/>
        <rFont val="Calibri"/>
        <family val="2"/>
        <charset val="238"/>
        <scheme val="minor"/>
      </rPr>
      <t xml:space="preserve"> . Q</t>
    </r>
    <r>
      <rPr>
        <vertAlign val="subscript"/>
        <sz val="12"/>
        <color theme="1"/>
        <rFont val="Calibri"/>
        <family val="2"/>
        <charset val="238"/>
        <scheme val="minor"/>
      </rPr>
      <t>Ge</t>
    </r>
    <r>
      <rPr>
        <sz val="12"/>
        <color theme="1"/>
        <rFont val="Calibri"/>
        <family val="2"/>
        <charset val="238"/>
        <scheme val="minor"/>
      </rPr>
      <t xml:space="preserve"> + k</t>
    </r>
    <r>
      <rPr>
        <vertAlign val="subscript"/>
        <sz val="12"/>
        <color theme="1"/>
        <rFont val="Calibri"/>
        <family val="2"/>
        <charset val="238"/>
        <scheme val="minor"/>
      </rPr>
      <t>0</t>
    </r>
  </si>
  <si>
    <t>Osový posuv od teplotního zatížení (kompenzovaný)</t>
  </si>
  <si>
    <r>
      <t>ΔU</t>
    </r>
    <r>
      <rPr>
        <vertAlign val="subscript"/>
        <sz val="12"/>
        <color theme="1"/>
        <rFont val="Calibri"/>
        <family val="2"/>
        <charset val="238"/>
      </rPr>
      <t>I</t>
    </r>
    <r>
      <rPr>
        <sz val="12"/>
        <color theme="1"/>
        <rFont val="Calibri"/>
        <family val="2"/>
        <charset val="238"/>
      </rPr>
      <t>/1,35</t>
    </r>
  </si>
  <si>
    <t>Body kompresní křivky (ČSN EN 13 555)</t>
  </si>
  <si>
    <t>Číslo stavu</t>
  </si>
  <si>
    <t>Stlačení těsnění</t>
  </si>
  <si>
    <r>
      <t>e</t>
    </r>
    <r>
      <rPr>
        <vertAlign val="subscript"/>
        <sz val="12"/>
        <color theme="1"/>
        <rFont val="Calibri"/>
        <family val="2"/>
        <charset val="238"/>
        <scheme val="minor"/>
      </rPr>
      <t>Qx</t>
    </r>
  </si>
  <si>
    <r>
      <t>Stlačení e</t>
    </r>
    <r>
      <rPr>
        <vertAlign val="subscript"/>
        <sz val="12"/>
        <color theme="1"/>
        <rFont val="Calibri"/>
        <family val="2"/>
        <charset val="238"/>
        <scheme val="minor"/>
      </rPr>
      <t>Qy</t>
    </r>
  </si>
  <si>
    <r>
      <rPr>
        <sz val="12"/>
        <color theme="1"/>
        <rFont val="Calibri"/>
        <family val="2"/>
        <charset val="238"/>
        <scheme val="minor"/>
      </rPr>
      <t>e</t>
    </r>
    <r>
      <rPr>
        <vertAlign val="subscript"/>
        <sz val="12"/>
        <color theme="1"/>
        <rFont val="Calibri"/>
        <family val="2"/>
        <charset val="238"/>
        <scheme val="minor"/>
      </rPr>
      <t>Qy</t>
    </r>
  </si>
  <si>
    <r>
      <t>Stlačení e</t>
    </r>
    <r>
      <rPr>
        <vertAlign val="subscript"/>
        <sz val="12"/>
        <color theme="1"/>
        <rFont val="Calibri"/>
        <family val="2"/>
        <charset val="238"/>
        <scheme val="minor"/>
      </rPr>
      <t xml:space="preserve">Q </t>
    </r>
    <r>
      <rPr>
        <sz val="12"/>
        <color theme="1"/>
        <rFont val="Calibri"/>
        <family val="2"/>
        <charset val="238"/>
        <scheme val="minor"/>
      </rPr>
      <t>pro danou T</t>
    </r>
    <r>
      <rPr>
        <vertAlign val="subscript"/>
        <sz val="12"/>
        <color theme="1"/>
        <rFont val="Calibri"/>
        <family val="2"/>
        <charset val="238"/>
        <scheme val="minor"/>
      </rPr>
      <t>G</t>
    </r>
  </si>
  <si>
    <r>
      <t xml:space="preserve"> - Modul E</t>
    </r>
    <r>
      <rPr>
        <vertAlign val="subscript"/>
        <sz val="12"/>
        <color theme="1"/>
        <rFont val="Calibri"/>
        <family val="2"/>
        <charset val="238"/>
        <scheme val="minor"/>
      </rPr>
      <t>G</t>
    </r>
    <r>
      <rPr>
        <sz val="12"/>
        <color theme="1"/>
        <rFont val="Calibri"/>
        <family val="2"/>
        <charset val="238"/>
        <scheme val="minor"/>
      </rPr>
      <t xml:space="preserve"> je interpolace modulů </t>
    </r>
    <r>
      <rPr>
        <i/>
        <sz val="12"/>
        <color theme="1"/>
        <rFont val="Calibri"/>
        <family val="2"/>
        <charset val="238"/>
        <scheme val="minor"/>
      </rPr>
      <t>x</t>
    </r>
    <r>
      <rPr>
        <sz val="12"/>
        <color theme="1"/>
        <rFont val="Calibri"/>
        <family val="2"/>
        <charset val="238"/>
        <scheme val="minor"/>
      </rPr>
      <t xml:space="preserve"> a </t>
    </r>
    <r>
      <rPr>
        <i/>
        <sz val="12"/>
        <color theme="1"/>
        <rFont val="Calibri"/>
        <family val="2"/>
        <charset val="238"/>
        <scheme val="minor"/>
      </rPr>
      <t>y</t>
    </r>
    <r>
      <rPr>
        <sz val="12"/>
        <color theme="1"/>
        <rFont val="Calibri"/>
        <family val="2"/>
        <charset val="238"/>
        <scheme val="minor"/>
      </rPr>
      <t xml:space="preserve"> podle teploty daného stavu, obdobně dále stlačení</t>
    </r>
  </si>
  <si>
    <t>ROZDÍL VŮČI MONTÁŽI</t>
  </si>
  <si>
    <t>Vyhodnocení výsledků</t>
  </si>
  <si>
    <t>Hodnota (pro stav  I = 0, 1 ,2, 3)</t>
  </si>
  <si>
    <t>Rozptyl je důsledek momentového zatížení působícího na příruby (od potrubí).</t>
  </si>
  <si>
    <t>Úhel natočení stykových ploch v místě těsnění (přibližně)</t>
  </si>
  <si>
    <r>
      <t>Dostatečná tuhost přírub (podmínka d</t>
    </r>
    <r>
      <rPr>
        <vertAlign val="subscript"/>
        <sz val="12"/>
        <color theme="1"/>
        <rFont val="Calibri"/>
        <family val="2"/>
        <charset val="238"/>
        <scheme val="minor"/>
      </rPr>
      <t>Ge</t>
    </r>
    <r>
      <rPr>
        <sz val="12"/>
        <color theme="1"/>
        <rFont val="Calibri"/>
        <family val="2"/>
        <charset val="238"/>
        <scheme val="minor"/>
      </rPr>
      <t xml:space="preserve"> &gt; d</t>
    </r>
    <r>
      <rPr>
        <vertAlign val="subscript"/>
        <sz val="12"/>
        <color theme="1"/>
        <rFont val="Calibri"/>
        <family val="2"/>
        <charset val="238"/>
        <scheme val="minor"/>
      </rPr>
      <t>Gt</t>
    </r>
    <r>
      <rPr>
        <sz val="12"/>
        <color theme="1"/>
        <rFont val="Calibri"/>
        <family val="2"/>
        <charset val="238"/>
        <scheme val="minor"/>
      </rPr>
      <t>)</t>
    </r>
  </si>
  <si>
    <t>Teplotní zatížení sníženo oproti ČSN EN 1591 - výsledky se více blíží skutečnosti.</t>
  </si>
  <si>
    <r>
      <t>Pokud je d</t>
    </r>
    <r>
      <rPr>
        <vertAlign val="subscript"/>
        <sz val="12"/>
        <color theme="1"/>
        <rFont val="Calibri"/>
        <family val="2"/>
        <charset val="238"/>
        <scheme val="minor"/>
      </rPr>
      <t>Ge</t>
    </r>
    <r>
      <rPr>
        <sz val="12"/>
        <color theme="1"/>
        <rFont val="Calibri"/>
        <family val="2"/>
        <charset val="238"/>
        <scheme val="minor"/>
      </rPr>
      <t xml:space="preserve"> &lt; d</t>
    </r>
    <r>
      <rPr>
        <vertAlign val="subscript"/>
        <sz val="12"/>
        <color theme="1"/>
        <rFont val="Calibri"/>
        <family val="2"/>
        <charset val="238"/>
        <scheme val="minor"/>
      </rPr>
      <t>Gt</t>
    </r>
    <r>
      <rPr>
        <sz val="12"/>
        <color theme="1"/>
        <rFont val="Calibri"/>
        <family val="2"/>
        <charset val="238"/>
        <scheme val="minor"/>
      </rPr>
      <t>, vypočtený montážní tlak bude menší než skutečný a těsnění bude pravděpodobně významně odléhat (u vnitřního průměru) již při malém vnějším zatížení.</t>
    </r>
  </si>
  <si>
    <r>
      <t xml:space="preserve"> - Pro homogenní, izotropní model těsnění je stlačení ve všech bodech konstantní (nazávisle na modulu E</t>
    </r>
    <r>
      <rPr>
        <vertAlign val="subscript"/>
        <sz val="12"/>
        <color theme="1"/>
        <rFont val="Calibri"/>
        <family val="2"/>
        <charset val="238"/>
        <scheme val="minor"/>
      </rPr>
      <t>G</t>
    </r>
    <r>
      <rPr>
        <sz val="12"/>
        <color theme="1"/>
        <rFont val="Calibri"/>
        <family val="2"/>
        <charset val="238"/>
        <scheme val="minor"/>
      </rPr>
      <t>).</t>
    </r>
  </si>
  <si>
    <t>Účinný střední průměr ekv. skořepiny</t>
  </si>
  <si>
    <t xml:space="preserve"> - Nejdříve je vhodné seznámit se s textem dokumentu ČSN EN 1591-1. Symbolika v tomto výpočtovém programu mu odpovídá.</t>
  </si>
  <si>
    <t>a) definice geometrie</t>
  </si>
  <si>
    <t>1.</t>
  </si>
  <si>
    <t>2.</t>
  </si>
  <si>
    <t>3.</t>
  </si>
  <si>
    <t>4.</t>
  </si>
  <si>
    <t>5.</t>
  </si>
  <si>
    <r>
      <t xml:space="preserve"> - Pokud Excel upozorní na </t>
    </r>
    <r>
      <rPr>
        <i/>
        <sz val="12"/>
        <color theme="1"/>
        <rFont val="Calibri"/>
        <family val="2"/>
        <charset val="238"/>
        <scheme val="minor"/>
      </rPr>
      <t xml:space="preserve">cyklický odkaz, </t>
    </r>
    <r>
      <rPr>
        <sz val="12"/>
        <color theme="1"/>
        <rFont val="Calibri"/>
        <family val="2"/>
        <charset val="238"/>
        <scheme val="minor"/>
      </rPr>
      <t xml:space="preserve">je třeba v menu </t>
    </r>
    <r>
      <rPr>
        <i/>
        <sz val="12"/>
        <color theme="1"/>
        <rFont val="Calibri"/>
        <family val="2"/>
        <charset val="238"/>
        <scheme val="minor"/>
      </rPr>
      <t>Možnosti aplikace Excel</t>
    </r>
    <r>
      <rPr>
        <sz val="12"/>
        <color theme="1"/>
        <rFont val="Calibri"/>
        <family val="2"/>
        <charset val="238"/>
        <scheme val="minor"/>
      </rPr>
      <t xml:space="preserve"> v záložce </t>
    </r>
    <r>
      <rPr>
        <i/>
        <sz val="12"/>
        <color theme="1"/>
        <rFont val="Calibri"/>
        <family val="2"/>
        <charset val="238"/>
        <scheme val="minor"/>
      </rPr>
      <t>Vzorce</t>
    </r>
    <r>
      <rPr>
        <sz val="12"/>
        <color theme="1"/>
        <rFont val="Calibri"/>
        <family val="2"/>
        <charset val="238"/>
        <scheme val="minor"/>
      </rPr>
      <t xml:space="preserve"> povolit iterativníí přepočet.</t>
    </r>
  </si>
  <si>
    <r>
      <rPr>
        <sz val="12"/>
        <rFont val="Calibri"/>
        <family val="2"/>
        <charset val="238"/>
        <scheme val="minor"/>
      </rPr>
      <t xml:space="preserve">Na listech </t>
    </r>
    <r>
      <rPr>
        <i/>
        <sz val="12"/>
        <rFont val="Calibri"/>
        <family val="2"/>
        <charset val="238"/>
        <scheme val="minor"/>
      </rPr>
      <t xml:space="preserve">1. příruba </t>
    </r>
    <r>
      <rPr>
        <sz val="12"/>
        <rFont val="Calibri"/>
        <family val="2"/>
        <charset val="238"/>
        <scheme val="minor"/>
      </rPr>
      <t>a</t>
    </r>
    <r>
      <rPr>
        <i/>
        <sz val="12"/>
        <rFont val="Calibri"/>
        <family val="2"/>
        <charset val="238"/>
        <scheme val="minor"/>
      </rPr>
      <t xml:space="preserve"> 2. příruba </t>
    </r>
    <r>
      <rPr>
        <sz val="12"/>
        <rFont val="Calibri"/>
        <family val="2"/>
        <charset val="238"/>
        <scheme val="minor"/>
      </rPr>
      <t>vyberte dle obrázků geometrii nejbližší té vaší. Pomocí filtru (tvar příruby) můžete ostatní geometrie skrýt.</t>
    </r>
  </si>
  <si>
    <t>Podle zakóvaných rozměrů na obrázcích doplňte vlastní rozměry do šedých políček. Pod čarou se vypočítají závislé parametry.</t>
  </si>
  <si>
    <t>Po zadání parametrů zkontrolujte splnění podmínek vyznačených v tabulce červeně. Jejich znění viz ČSN EN 1591-1.</t>
  </si>
  <si>
    <r>
      <t>Na listu</t>
    </r>
    <r>
      <rPr>
        <i/>
        <sz val="12"/>
        <color theme="1"/>
        <rFont val="Calibri"/>
        <family val="2"/>
        <charset val="238"/>
        <scheme val="minor"/>
      </rPr>
      <t xml:space="preserve"> Šrouby</t>
    </r>
    <r>
      <rPr>
        <sz val="12"/>
        <color theme="1"/>
        <rFont val="Calibri"/>
        <family val="2"/>
        <charset val="238"/>
        <scheme val="minor"/>
      </rPr>
      <t xml:space="preserve"> zadejte parametry šroubů. Potřebné informace najdete na přiloženém obrázku, či v poznámkách.</t>
    </r>
  </si>
  <si>
    <t>b) zatěžovací stavy</t>
  </si>
  <si>
    <r>
      <t xml:space="preserve">Na listu </t>
    </r>
    <r>
      <rPr>
        <i/>
        <sz val="12"/>
        <color theme="1"/>
        <rFont val="Calibri"/>
        <family val="2"/>
        <charset val="238"/>
        <scheme val="minor"/>
      </rPr>
      <t xml:space="preserve">Těsnění, zatížení </t>
    </r>
    <r>
      <rPr>
        <sz val="12"/>
        <color theme="1"/>
        <rFont val="Calibri"/>
        <family val="2"/>
        <charset val="238"/>
        <scheme val="minor"/>
      </rPr>
      <t xml:space="preserve">v tabulce </t>
    </r>
    <r>
      <rPr>
        <i/>
        <sz val="12"/>
        <color theme="1"/>
        <rFont val="Calibri"/>
        <family val="2"/>
        <charset val="238"/>
        <scheme val="minor"/>
      </rPr>
      <t xml:space="preserve">Definice zatěžovacích stavů </t>
    </r>
    <r>
      <rPr>
        <sz val="12"/>
        <color theme="1"/>
        <rFont val="Calibri"/>
        <family val="2"/>
        <charset val="238"/>
        <scheme val="minor"/>
      </rPr>
      <t>vyplňte hodnoty zatížení v jednotlivých stavech.</t>
    </r>
  </si>
  <si>
    <t>V té samé tabulce zadejte teploty součástí v jednotlivých zatěžovacích stavech a jim odpovídající mechanické vlastnosti.</t>
  </si>
  <si>
    <r>
      <t>Vyplňujte pouze šedá pole! Modul pružnosti těsnění E</t>
    </r>
    <r>
      <rPr>
        <vertAlign val="subscript"/>
        <sz val="12"/>
        <color theme="1"/>
        <rFont val="Calibri"/>
        <family val="2"/>
        <charset val="238"/>
        <scheme val="minor"/>
      </rPr>
      <t xml:space="preserve">G </t>
    </r>
    <r>
      <rPr>
        <sz val="12"/>
        <color theme="1"/>
        <rFont val="Calibri"/>
        <family val="2"/>
        <charset val="238"/>
        <scheme val="minor"/>
      </rPr>
      <t>se určí automaticky!</t>
    </r>
  </si>
  <si>
    <t>c) parametry těsnění</t>
  </si>
  <si>
    <t>Geometrie a parametry těsnění</t>
  </si>
  <si>
    <r>
      <t xml:space="preserve">Na listu </t>
    </r>
    <r>
      <rPr>
        <i/>
        <sz val="12"/>
        <color theme="1"/>
        <rFont val="Calibri"/>
        <family val="2"/>
        <charset val="238"/>
        <scheme val="minor"/>
      </rPr>
      <t xml:space="preserve">Těsnění, zatížení </t>
    </r>
    <r>
      <rPr>
        <sz val="12"/>
        <color theme="1"/>
        <rFont val="Calibri"/>
        <family val="2"/>
        <charset val="238"/>
        <scheme val="minor"/>
      </rPr>
      <t>doplňte do tabulky níže vybranou kombinaci (číslo) geometrie.</t>
    </r>
  </si>
  <si>
    <r>
      <t>Zadejte rozměry těsnění a jeho charakteriskické hodnoty (Q</t>
    </r>
    <r>
      <rPr>
        <vertAlign val="subscript"/>
        <sz val="12"/>
        <color theme="1"/>
        <rFont val="Calibri"/>
        <family val="2"/>
        <charset val="238"/>
        <scheme val="minor"/>
      </rPr>
      <t>A</t>
    </r>
    <r>
      <rPr>
        <sz val="12"/>
        <color theme="1"/>
        <rFont val="Calibri"/>
        <family val="2"/>
        <charset val="238"/>
        <scheme val="minor"/>
      </rPr>
      <t>,…).</t>
    </r>
  </si>
  <si>
    <t>Obr. 1: Náhradní modul pružnosti dle EN 13555</t>
  </si>
  <si>
    <t>V tabulce náhradní modul pružnosti zadejte několik bodů závislosti dle EN 13555 - obr. 1, vždy pro 2 různé teploty.</t>
  </si>
  <si>
    <t xml:space="preserve">4. </t>
  </si>
  <si>
    <t>Na příslušném grafu pod tabulkou je vidět použitá lineární aproximace závislosti a pro kontrolu i pracovní body odpovídající zatěžovacím stavům.</t>
  </si>
  <si>
    <r>
      <t xml:space="preserve">Stlačení </t>
    </r>
    <r>
      <rPr>
        <sz val="12"/>
        <color theme="1"/>
        <rFont val="Calibri"/>
        <family val="2"/>
        <charset val="238"/>
        <scheme val="minor"/>
      </rPr>
      <t>e</t>
    </r>
    <r>
      <rPr>
        <vertAlign val="subscript"/>
        <sz val="12"/>
        <color theme="1"/>
        <rFont val="Calibri"/>
        <family val="2"/>
        <charset val="238"/>
        <scheme val="minor"/>
      </rPr>
      <t>Qx</t>
    </r>
  </si>
  <si>
    <t>Obr. 2: Kompresní křivka těsnění dle EN 13555</t>
  </si>
  <si>
    <t xml:space="preserve">Podobně zadáme pracovní část kompresní křivky (co nejvíce lineární) v tabulce níže (obr. 2). Opět pro dvě teploty, opět vidíme pracovní body v grafu pod tabulkou. </t>
  </si>
  <si>
    <t>d) vyhodnocení</t>
  </si>
  <si>
    <r>
      <t xml:space="preserve">Po zadání všech parametrů stiskneme klávesy </t>
    </r>
    <r>
      <rPr>
        <i/>
        <sz val="12"/>
        <color theme="1"/>
        <rFont val="Calibri"/>
        <family val="2"/>
        <charset val="238"/>
        <scheme val="minor"/>
      </rPr>
      <t>Ctrl+i</t>
    </r>
    <r>
      <rPr>
        <sz val="12"/>
        <color theme="1"/>
        <rFont val="Calibri"/>
        <family val="2"/>
        <charset val="238"/>
        <scheme val="minor"/>
      </rPr>
      <t xml:space="preserve"> , čímž spustíme iterační výpočet.</t>
    </r>
  </si>
  <si>
    <r>
      <t xml:space="preserve">Zkontrolujeme splnění všech podmínek ve výpočtu v tabulce </t>
    </r>
    <r>
      <rPr>
        <i/>
        <sz val="12"/>
        <color theme="1"/>
        <rFont val="Calibri"/>
        <family val="2"/>
        <charset val="238"/>
        <scheme val="minor"/>
      </rPr>
      <t>Geometrie a parametry těsnění.</t>
    </r>
  </si>
  <si>
    <r>
      <t>Na listu</t>
    </r>
    <r>
      <rPr>
        <i/>
        <sz val="12"/>
        <color theme="1"/>
        <rFont val="Calibri"/>
        <family val="2"/>
        <charset val="238"/>
        <scheme val="minor"/>
      </rPr>
      <t xml:space="preserve"> Vyhodnocení</t>
    </r>
    <r>
      <rPr>
        <sz val="12"/>
        <color theme="1"/>
        <rFont val="Calibri"/>
        <family val="2"/>
        <charset val="238"/>
        <scheme val="minor"/>
      </rPr>
      <t xml:space="preserve"> získáme výsledky výpočtu uspořádané do přehledné tabulky. Potřebné vysvětlivky najdeme opět v poznámkách pod tabulkou.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</si>
</sst>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.00000"/>
    <numFmt numFmtId="165" formatCode="#,##0.000000"/>
    <numFmt numFmtId="166" formatCode="0.0"/>
    <numFmt numFmtId="167" formatCode="0.00000000"/>
    <numFmt numFmtId="168" formatCode="#,##0.00000000"/>
    <numFmt numFmtId="169" formatCode="0.0000"/>
    <numFmt numFmtId="170" formatCode="0.000"/>
    <numFmt numFmtId="171" formatCode="#,##0.0000000"/>
    <numFmt numFmtId="172" formatCode="0.000000"/>
  </numFmts>
  <fonts count="27" x14ac:knownFonts="1">
    <font>
      <sz val="12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vertAlign val="subscript"/>
      <sz val="12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</font>
    <font>
      <sz val="12"/>
      <color theme="1"/>
      <name val="Times New Roman"/>
      <family val="1"/>
      <charset val="238"/>
    </font>
    <font>
      <sz val="12"/>
      <color rgb="FFFF0000"/>
      <name val="Calibri"/>
      <family val="2"/>
      <charset val="238"/>
      <scheme val="minor"/>
    </font>
    <font>
      <sz val="12"/>
      <color theme="3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vertAlign val="superscript"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20"/>
      <name val="Calibri"/>
      <family val="2"/>
      <charset val="238"/>
      <scheme val="minor"/>
    </font>
    <font>
      <u/>
      <sz val="16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vertAlign val="subscript"/>
      <sz val="12"/>
      <name val="Calibri"/>
      <family val="2"/>
      <charset val="238"/>
      <scheme val="minor"/>
    </font>
    <font>
      <vertAlign val="subscript"/>
      <sz val="12"/>
      <color theme="1"/>
      <name val="Calibri"/>
      <family val="2"/>
      <charset val="238"/>
    </font>
    <font>
      <i/>
      <sz val="12"/>
      <color theme="1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sz val="12"/>
      <color rgb="FFFE7030"/>
      <name val="Calibri"/>
      <family val="2"/>
      <charset val="238"/>
      <scheme val="minor"/>
    </font>
    <font>
      <vertAlign val="superscript"/>
      <sz val="12"/>
      <color theme="1"/>
      <name val="Calibri"/>
      <family val="2"/>
      <charset val="238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i/>
      <sz val="12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010"/>
        <bgColor indexed="64"/>
      </patternFill>
    </fill>
    <fill>
      <patternFill patternType="solid">
        <fgColor rgb="FFFEFC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3AC8F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rgb="FF00B050"/>
      </left>
      <right/>
      <top style="thick">
        <color rgb="FF00B050"/>
      </top>
      <bottom/>
      <diagonal/>
    </border>
    <border>
      <left style="medium">
        <color indexed="64"/>
      </left>
      <right style="thin">
        <color indexed="64"/>
      </right>
      <top style="thick">
        <color rgb="FF00B050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B050"/>
      </top>
      <bottom style="thick">
        <color indexed="64"/>
      </bottom>
      <diagonal/>
    </border>
    <border>
      <left style="thick">
        <color rgb="FF00B050"/>
      </left>
      <right style="thin">
        <color indexed="64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rgb="FF00B050"/>
      </right>
      <top style="thick">
        <color rgb="FF00B050"/>
      </top>
      <bottom style="thick">
        <color indexed="64"/>
      </bottom>
      <diagonal/>
    </border>
    <border>
      <left style="thick">
        <color rgb="FF00B050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rgb="FF00B050"/>
      </right>
      <top/>
      <bottom style="thin">
        <color indexed="64"/>
      </bottom>
      <diagonal/>
    </border>
    <border>
      <left style="thick">
        <color rgb="FF00B05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B050"/>
      </right>
      <top style="thin">
        <color indexed="64"/>
      </top>
      <bottom style="thin">
        <color indexed="64"/>
      </bottom>
      <diagonal/>
    </border>
    <border>
      <left style="thick">
        <color rgb="FF00B05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rgb="FF00B050"/>
      </right>
      <top style="thin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n">
        <color indexed="64"/>
      </top>
      <bottom style="thick">
        <color rgb="FF00B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5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00B050"/>
      </bottom>
      <diagonal/>
    </border>
    <border>
      <left style="medium">
        <color indexed="64"/>
      </left>
      <right/>
      <top style="thin">
        <color indexed="64"/>
      </top>
      <bottom style="thick">
        <color rgb="FF00B050"/>
      </bottom>
      <diagonal/>
    </border>
    <border>
      <left/>
      <right style="thick">
        <color rgb="FF00B050"/>
      </right>
      <top style="thin">
        <color indexed="64"/>
      </top>
      <bottom style="thick">
        <color rgb="FF00B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rgb="FF00B050"/>
      </right>
      <top style="thin">
        <color indexed="64"/>
      </top>
      <bottom/>
      <diagonal/>
    </border>
    <border>
      <left style="thick">
        <color rgb="FF00B050"/>
      </left>
      <right style="medium">
        <color indexed="64"/>
      </right>
      <top style="thick">
        <color rgb="FF00B050"/>
      </top>
      <bottom style="thick">
        <color indexed="64"/>
      </bottom>
      <diagonal/>
    </border>
    <border>
      <left style="thick">
        <color rgb="FF00B050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theme="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4"/>
      </top>
      <bottom style="thick">
        <color indexed="64"/>
      </bottom>
      <diagonal/>
    </border>
    <border>
      <left style="thick">
        <color theme="4"/>
      </left>
      <right style="thin">
        <color indexed="6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 style="thin">
        <color indexed="64"/>
      </right>
      <top style="thick">
        <color theme="4"/>
      </top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ck">
        <color theme="4"/>
      </top>
      <bottom style="thick">
        <color theme="4"/>
      </bottom>
      <diagonal/>
    </border>
    <border>
      <left style="thin">
        <color indexed="6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/>
      <top/>
      <bottom/>
      <diagonal/>
    </border>
    <border>
      <left style="thick">
        <color theme="4"/>
      </left>
      <right style="medium">
        <color indexed="64"/>
      </right>
      <top style="thick">
        <color theme="4"/>
      </top>
      <bottom style="thick">
        <color indexed="64"/>
      </bottom>
      <diagonal/>
    </border>
    <border>
      <left style="thin">
        <color indexed="64"/>
      </left>
      <right style="thick">
        <color theme="4"/>
      </right>
      <top style="thick">
        <color theme="4"/>
      </top>
      <bottom style="thick">
        <color indexed="64"/>
      </bottom>
      <diagonal/>
    </border>
    <border>
      <left style="thick">
        <color theme="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theme="4"/>
      </right>
      <top/>
      <bottom style="thin">
        <color indexed="64"/>
      </bottom>
      <diagonal/>
    </border>
    <border>
      <left style="thick">
        <color theme="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theme="4"/>
      </right>
      <top style="thin">
        <color indexed="64"/>
      </top>
      <bottom style="medium">
        <color indexed="64"/>
      </bottom>
      <diagonal/>
    </border>
    <border>
      <left style="thick">
        <color theme="4"/>
      </left>
      <right style="medium">
        <color indexed="64"/>
      </right>
      <top/>
      <bottom style="thick">
        <color indexed="64"/>
      </bottom>
      <diagonal/>
    </border>
    <border>
      <left style="thick">
        <color theme="4"/>
      </left>
      <right style="medium">
        <color indexed="64"/>
      </right>
      <top style="thin">
        <color indexed="64"/>
      </top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theme="4"/>
      </bottom>
      <diagonal/>
    </border>
    <border>
      <left style="medium">
        <color indexed="64"/>
      </left>
      <right/>
      <top style="thin">
        <color indexed="64"/>
      </top>
      <bottom style="thick">
        <color theme="4"/>
      </bottom>
      <diagonal/>
    </border>
    <border>
      <left/>
      <right style="thick">
        <color theme="4"/>
      </right>
      <top style="thin">
        <color indexed="64"/>
      </top>
      <bottom style="thick">
        <color theme="4"/>
      </bottom>
      <diagonal/>
    </border>
    <border>
      <left/>
      <right style="thick">
        <color theme="4"/>
      </right>
      <top style="thin">
        <color indexed="64"/>
      </top>
      <bottom/>
      <diagonal/>
    </border>
    <border>
      <left style="thick">
        <color theme="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/>
      <top/>
      <bottom style="thick">
        <color theme="9" tint="-0.249977111117893"/>
      </bottom>
      <diagonal/>
    </border>
    <border>
      <left style="thin">
        <color indexed="64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/>
      <top style="thick">
        <color theme="9" tint="-0.249977111117893"/>
      </top>
      <bottom style="thick">
        <color theme="9" tint="-0.249977111117893"/>
      </bottom>
      <diagonal/>
    </border>
    <border>
      <left style="thick">
        <color theme="9" tint="-0.249977111117893"/>
      </left>
      <right/>
      <top style="thick">
        <color theme="9" tint="-0.249977111117893"/>
      </top>
      <bottom style="thick">
        <color theme="9" tint="-0.249977111117893"/>
      </bottom>
      <diagonal/>
    </border>
    <border>
      <left style="thick">
        <color theme="9" tint="-0.249977111117893"/>
      </left>
      <right/>
      <top/>
      <bottom/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thick">
        <color theme="9" tint="-0.249977111117893"/>
      </left>
      <right style="thin">
        <color indexed="64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/>
      <bottom/>
      <diagonal/>
    </border>
    <border>
      <left style="thick">
        <color theme="9" tint="-0.249977111117893"/>
      </left>
      <right/>
      <top/>
      <bottom style="thick">
        <color theme="9" tint="-0.249977111117893"/>
      </bottom>
      <diagonal/>
    </border>
    <border>
      <left/>
      <right style="thick">
        <color theme="9" tint="-0.249977111117893"/>
      </right>
      <top/>
      <bottom style="thick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theme="9" tint="-0.249977111117893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theme="9" tint="-0.249977111117893"/>
      </bottom>
      <diagonal/>
    </border>
    <border>
      <left/>
      <right/>
      <top style="thick">
        <color theme="9" tint="-0.249977111117893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9" tint="-0.249977111117893"/>
      </top>
      <bottom style="thin">
        <color indexed="64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n">
        <color indexed="64"/>
      </bottom>
      <diagonal/>
    </border>
    <border>
      <left style="thick">
        <color theme="9" tint="-0.249977111117893"/>
      </left>
      <right/>
      <top style="thick">
        <color theme="9" tint="-0.249977111117893"/>
      </top>
      <bottom style="thin">
        <color indexed="64"/>
      </bottom>
      <diagonal/>
    </border>
    <border>
      <left/>
      <right style="medium">
        <color indexed="64"/>
      </right>
      <top style="thick">
        <color theme="9" tint="-0.249977111117893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theme="9" tint="-0.249977111117893"/>
      </right>
      <top style="thin">
        <color indexed="64"/>
      </top>
      <bottom style="thin">
        <color indexed="64"/>
      </bottom>
      <diagonal/>
    </border>
    <border>
      <left style="thick">
        <color theme="9" tint="-0.249977111117893"/>
      </left>
      <right/>
      <top style="thin">
        <color indexed="64"/>
      </top>
      <bottom style="thin">
        <color indexed="64"/>
      </bottom>
      <diagonal/>
    </border>
    <border>
      <left style="thick">
        <color theme="9" tint="-0.24997711111789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theme="9" tint="-0.249977111117893"/>
      </right>
      <top style="thin">
        <color indexed="64"/>
      </top>
      <bottom style="thin">
        <color indexed="64"/>
      </bottom>
      <diagonal/>
    </border>
    <border>
      <left/>
      <right style="thick">
        <color theme="9" tint="-0.249977111117893"/>
      </right>
      <top/>
      <bottom style="thin">
        <color indexed="64"/>
      </bottom>
      <diagonal/>
    </border>
    <border>
      <left style="thick">
        <color theme="9" tint="-0.249977111117893"/>
      </left>
      <right/>
      <top/>
      <bottom style="thin">
        <color indexed="64"/>
      </bottom>
      <diagonal/>
    </border>
    <border>
      <left/>
      <right style="thick">
        <color theme="9" tint="-0.249977111117893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00B050"/>
      </right>
      <top style="thin">
        <color indexed="64"/>
      </top>
      <bottom style="thin">
        <color indexed="64"/>
      </bottom>
      <diagonal/>
    </border>
    <border>
      <left style="thick">
        <color rgb="FF00B050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3"/>
      </top>
      <bottom/>
      <diagonal/>
    </border>
    <border>
      <left style="thick">
        <color theme="3"/>
      </left>
      <right style="thin">
        <color indexed="64"/>
      </right>
      <top style="thick">
        <color theme="3"/>
      </top>
      <bottom/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3"/>
      </left>
      <right/>
      <top/>
      <bottom style="thin">
        <color indexed="64"/>
      </bottom>
      <diagonal/>
    </border>
    <border>
      <left style="thick">
        <color theme="3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theme="3"/>
      </right>
      <top style="thin">
        <color indexed="64"/>
      </top>
      <bottom style="thin">
        <color indexed="64"/>
      </bottom>
      <diagonal/>
    </border>
    <border>
      <left style="thick">
        <color theme="3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theme="3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theme="3"/>
      </right>
      <top/>
      <bottom style="thin">
        <color indexed="64"/>
      </bottom>
      <diagonal/>
    </border>
    <border>
      <left style="medium">
        <color indexed="64"/>
      </left>
      <right style="thick">
        <color theme="3"/>
      </right>
      <top style="thin">
        <color indexed="64"/>
      </top>
      <bottom/>
      <diagonal/>
    </border>
    <border>
      <left style="thick">
        <color theme="3"/>
      </left>
      <right/>
      <top style="thin">
        <color indexed="64"/>
      </top>
      <bottom style="thick">
        <color theme="3"/>
      </bottom>
      <diagonal/>
    </border>
    <border>
      <left/>
      <right style="medium">
        <color indexed="64"/>
      </right>
      <top style="thin">
        <color indexed="64"/>
      </top>
      <bottom style="thick">
        <color theme="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theme="3"/>
      </bottom>
      <diagonal/>
    </border>
    <border>
      <left/>
      <right/>
      <top style="thin">
        <color indexed="64"/>
      </top>
      <bottom style="thick">
        <color theme="3"/>
      </bottom>
      <diagonal/>
    </border>
    <border>
      <left style="medium">
        <color indexed="64"/>
      </left>
      <right style="thick">
        <color theme="3"/>
      </right>
      <top style="thin">
        <color indexed="64"/>
      </top>
      <bottom style="thick">
        <color theme="3"/>
      </bottom>
      <diagonal/>
    </border>
    <border>
      <left style="thin">
        <color indexed="64"/>
      </left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/>
      <right/>
      <top style="thick">
        <color theme="3"/>
      </top>
      <bottom style="thick">
        <color theme="3"/>
      </bottom>
      <diagonal/>
    </border>
    <border>
      <left style="thick">
        <color theme="6" tint="-0.499984740745262"/>
      </left>
      <right style="thick">
        <color theme="6" tint="-0.499984740745262"/>
      </right>
      <top style="thick">
        <color theme="6" tint="-0.499984740745262"/>
      </top>
      <bottom style="thick">
        <color theme="6" tint="-0.499984740745262"/>
      </bottom>
      <diagonal/>
    </border>
    <border>
      <left/>
      <right style="thick">
        <color theme="6" tint="-0.499984740745262"/>
      </right>
      <top style="thin">
        <color indexed="64"/>
      </top>
      <bottom style="thin">
        <color indexed="64"/>
      </bottom>
      <diagonal/>
    </border>
    <border>
      <left style="thick">
        <color theme="6" tint="-0.499984740745262"/>
      </left>
      <right style="thin">
        <color indexed="64"/>
      </right>
      <top/>
      <bottom style="thin">
        <color indexed="64"/>
      </bottom>
      <diagonal/>
    </border>
    <border>
      <left style="thick">
        <color theme="6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6" tint="-0.499984740745262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theme="6" tint="-0.499984740745262"/>
      </right>
      <top style="thin">
        <color indexed="64"/>
      </top>
      <bottom style="medium">
        <color indexed="64"/>
      </bottom>
      <diagonal/>
    </border>
    <border>
      <left style="thick">
        <color theme="6" tint="-0.499984740745262"/>
      </left>
      <right style="thin">
        <color indexed="64"/>
      </right>
      <top/>
      <bottom style="medium">
        <color indexed="64"/>
      </bottom>
      <diagonal/>
    </border>
    <border>
      <left/>
      <right style="thick">
        <color theme="6" tint="-0.499984740745262"/>
      </right>
      <top/>
      <bottom style="medium">
        <color indexed="64"/>
      </bottom>
      <diagonal/>
    </border>
    <border>
      <left style="thick">
        <color theme="6" tint="-0.499984740745262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theme="6" tint="-0.499984740745262"/>
      </right>
      <top style="medium">
        <color indexed="64"/>
      </top>
      <bottom style="medium">
        <color indexed="64"/>
      </bottom>
      <diagonal/>
    </border>
    <border>
      <left style="thick">
        <color theme="6" tint="-0.499984740745262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theme="6" tint="-0.499984740745262"/>
      </right>
      <top/>
      <bottom style="thin">
        <color indexed="64"/>
      </bottom>
      <diagonal/>
    </border>
    <border>
      <left style="medium">
        <color indexed="64"/>
      </left>
      <right style="thick">
        <color theme="6" tint="-0.49998474074526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theme="6" tint="-0.499984740745262"/>
      </right>
      <top style="medium">
        <color indexed="64"/>
      </top>
      <bottom style="thin">
        <color indexed="64"/>
      </bottom>
      <diagonal/>
    </border>
    <border>
      <left style="thick">
        <color theme="6" tint="-0.499984740745262"/>
      </left>
      <right style="thin">
        <color indexed="64"/>
      </right>
      <top style="thick">
        <color theme="6" tint="-0.499984740745262"/>
      </top>
      <bottom style="thick">
        <color theme="6" tint="-0.499984740745262"/>
      </bottom>
      <diagonal/>
    </border>
    <border>
      <left style="thin">
        <color indexed="64"/>
      </left>
      <right style="thin">
        <color indexed="64"/>
      </right>
      <top style="thick">
        <color theme="6" tint="-0.499984740745262"/>
      </top>
      <bottom style="thick">
        <color theme="6" tint="-0.499984740745262"/>
      </bottom>
      <diagonal/>
    </border>
    <border>
      <left style="thick">
        <color theme="6" tint="-0.499984740745262"/>
      </left>
      <right/>
      <top style="thick">
        <color theme="6" tint="-0.499984740745262"/>
      </top>
      <bottom style="medium">
        <color indexed="64"/>
      </bottom>
      <diagonal/>
    </border>
    <border>
      <left/>
      <right/>
      <top style="thick">
        <color theme="6" tint="-0.499984740745262"/>
      </top>
      <bottom style="medium">
        <color indexed="64"/>
      </bottom>
      <diagonal/>
    </border>
    <border>
      <left/>
      <right style="medium">
        <color indexed="64"/>
      </right>
      <top style="thick">
        <color theme="6" tint="-0.499984740745262"/>
      </top>
      <bottom style="medium">
        <color indexed="64"/>
      </bottom>
      <diagonal/>
    </border>
    <border>
      <left style="thin">
        <color indexed="64"/>
      </left>
      <right style="thick">
        <color theme="6" tint="-0.499984740745262"/>
      </right>
      <top style="thick">
        <color theme="6" tint="-0.499984740745262"/>
      </top>
      <bottom style="thick">
        <color theme="6" tint="-0.499984740745262"/>
      </bottom>
      <diagonal/>
    </border>
    <border>
      <left style="thick">
        <color theme="6" tint="-0.499984740745262"/>
      </left>
      <right style="thin">
        <color indexed="64"/>
      </right>
      <top/>
      <bottom style="thick">
        <color theme="6" tint="-0.499984740745262"/>
      </bottom>
      <diagonal/>
    </border>
    <border>
      <left style="thin">
        <color indexed="64"/>
      </left>
      <right style="thin">
        <color indexed="64"/>
      </right>
      <top/>
      <bottom style="thick">
        <color theme="6" tint="-0.499984740745262"/>
      </bottom>
      <diagonal/>
    </border>
    <border>
      <left style="thin">
        <color indexed="64"/>
      </left>
      <right style="thick">
        <color theme="6" tint="-0.499984740745262"/>
      </right>
      <top/>
      <bottom style="thick">
        <color theme="6" tint="-0.499984740745262"/>
      </bottom>
      <diagonal/>
    </border>
    <border>
      <left style="thick">
        <color theme="6" tint="-0.499984740745262"/>
      </left>
      <right style="thin">
        <color indexed="64"/>
      </right>
      <top/>
      <bottom/>
      <diagonal/>
    </border>
    <border>
      <left/>
      <right style="thick">
        <color theme="6" tint="-0.499984740745262"/>
      </right>
      <top/>
      <bottom/>
      <diagonal/>
    </border>
    <border>
      <left style="medium">
        <color indexed="64"/>
      </left>
      <right/>
      <top style="thick">
        <color theme="6" tint="-0.499984740745262"/>
      </top>
      <bottom style="medium">
        <color indexed="64"/>
      </bottom>
      <diagonal/>
    </border>
    <border>
      <left/>
      <right style="thick">
        <color theme="6" tint="-0.499984740745262"/>
      </right>
      <top style="thick">
        <color theme="6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theme="9" tint="-0.249977111117893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6" tint="-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theme="6" tint="-0.499984740745262"/>
      </bottom>
      <diagonal/>
    </border>
    <border>
      <left/>
      <right style="medium">
        <color indexed="64"/>
      </right>
      <top/>
      <bottom style="thick">
        <color theme="6" tint="-0.499984740745262"/>
      </bottom>
      <diagonal/>
    </border>
    <border>
      <left/>
      <right style="thick">
        <color theme="6" tint="-0.499984740745262"/>
      </right>
      <top/>
      <bottom style="thick">
        <color theme="6" tint="-0.499984740745262"/>
      </bottom>
      <diagonal/>
    </border>
    <border>
      <left style="thick">
        <color theme="6" tint="-0.499984740745262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theme="6" tint="-0.499984740745262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3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3"/>
      </left>
      <right/>
      <top/>
      <bottom/>
      <diagonal/>
    </border>
    <border>
      <left style="thick">
        <color rgb="FFFF0000"/>
      </left>
      <right/>
      <top/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theme="3"/>
      </left>
      <right style="thick">
        <color rgb="FFFF0000"/>
      </right>
      <top/>
      <bottom/>
      <diagonal/>
    </border>
    <border>
      <left style="thick">
        <color rgb="FFFF0000"/>
      </left>
      <right/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thick">
        <color rgb="FFFF0000"/>
      </bottom>
      <diagonal/>
    </border>
    <border>
      <left/>
      <right/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n">
        <color indexed="64"/>
      </bottom>
      <diagonal/>
    </border>
    <border>
      <left/>
      <right/>
      <top style="thick">
        <color rgb="FFFF0000"/>
      </top>
      <bottom/>
      <diagonal/>
    </border>
    <border>
      <left/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/>
      <bottom style="thin">
        <color indexed="64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/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/>
      <top style="medium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medium">
        <color indexed="64"/>
      </bottom>
      <diagonal/>
    </border>
    <border>
      <left/>
      <right style="thick">
        <color rgb="FFFF0000"/>
      </right>
      <top/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theme="6" tint="-0.499984740745262"/>
      </left>
      <right/>
      <top/>
      <bottom style="thick">
        <color theme="6" tint="-0.499984740745262"/>
      </bottom>
      <diagonal/>
    </border>
    <border>
      <left/>
      <right/>
      <top/>
      <bottom style="thick">
        <color theme="6" tint="-0.499984740745262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ck">
        <color rgb="FFFF0000"/>
      </bottom>
      <diagonal/>
    </border>
    <border>
      <left style="medium">
        <color indexed="64"/>
      </left>
      <right/>
      <top style="medium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FF0000"/>
      </bottom>
      <diagonal/>
    </border>
    <border>
      <left/>
      <right style="medium">
        <color indexed="64"/>
      </right>
      <top style="medium">
        <color indexed="64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/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/>
      <right/>
      <top style="thick">
        <color theme="3" tint="0.39997558519241921"/>
      </top>
      <bottom style="thick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ck">
        <color theme="3" tint="0.39997558519241921"/>
      </top>
      <bottom style="thick">
        <color theme="3" tint="0.39997558519241921"/>
      </bottom>
      <diagonal/>
    </border>
    <border>
      <left style="thick">
        <color theme="6" tint="-0.499984740745262"/>
      </left>
      <right style="thin">
        <color indexed="64"/>
      </right>
      <top style="thick">
        <color theme="3" tint="0.39997558519241921"/>
      </top>
      <bottom style="thick">
        <color theme="3" tint="0.39997558519241921"/>
      </bottom>
      <diagonal/>
    </border>
    <border>
      <left style="thick">
        <color theme="3" tint="0.39997558519241921"/>
      </left>
      <right style="thick">
        <color theme="3" tint="0.39997558519241921"/>
      </right>
      <top style="thick">
        <color theme="3" tint="0.39997558519241921"/>
      </top>
      <bottom style="thick">
        <color theme="3" tint="0.39997558519241921"/>
      </bottom>
      <diagonal/>
    </border>
    <border>
      <left style="thick">
        <color theme="3" tint="0.39997558519241921"/>
      </left>
      <right style="thin">
        <color indexed="64"/>
      </right>
      <top style="thick">
        <color theme="3" tint="0.39997558519241921"/>
      </top>
      <bottom style="thick">
        <color theme="3" tint="0.39997558519241921"/>
      </bottom>
      <diagonal/>
    </border>
    <border>
      <left style="thin">
        <color indexed="64"/>
      </left>
      <right style="thick">
        <color theme="3" tint="0.39997558519241921"/>
      </right>
      <top style="thick">
        <color theme="3" tint="0.39997558519241921"/>
      </top>
      <bottom style="thick">
        <color theme="3" tint="0.39997558519241921"/>
      </bottom>
      <diagonal/>
    </border>
    <border>
      <left/>
      <right/>
      <top style="thick">
        <color theme="3" tint="0.39997558519241921"/>
      </top>
      <bottom/>
      <diagonal/>
    </border>
    <border>
      <left style="thin">
        <color indexed="64"/>
      </left>
      <right/>
      <top style="thick">
        <color theme="3" tint="0.39997558519241921"/>
      </top>
      <bottom style="thick">
        <color theme="3" tint="0.39997558519241921"/>
      </bottom>
      <diagonal/>
    </border>
    <border>
      <left style="thick">
        <color theme="3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ck">
        <color theme="3" tint="0.3999755851924192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theme="3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3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theme="3" tint="0.39997558519241921"/>
      </bottom>
      <diagonal/>
    </border>
    <border>
      <left style="medium">
        <color indexed="64"/>
      </left>
      <right style="medium">
        <color indexed="64"/>
      </right>
      <top style="thick">
        <color theme="3" tint="0.3999755851924192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theme="3" tint="0.39997558519241921"/>
      </bottom>
      <diagonal/>
    </border>
    <border>
      <left/>
      <right style="thick">
        <color theme="3" tint="0.39997558519241921"/>
      </right>
      <top/>
      <bottom style="thin">
        <color indexed="64"/>
      </bottom>
      <diagonal/>
    </border>
    <border>
      <left/>
      <right style="thick">
        <color theme="3" tint="0.39997558519241921"/>
      </right>
      <top style="thin">
        <color indexed="64"/>
      </top>
      <bottom style="thin">
        <color indexed="64"/>
      </bottom>
      <diagonal/>
    </border>
    <border>
      <left/>
      <right style="thick">
        <color theme="3" tint="0.39997558519241921"/>
      </right>
      <top style="thin">
        <color indexed="64"/>
      </top>
      <bottom/>
      <diagonal/>
    </border>
    <border>
      <left style="medium">
        <color indexed="64"/>
      </left>
      <right/>
      <top style="thick">
        <color theme="3" tint="0.39997558519241921"/>
      </top>
      <bottom style="thin">
        <color indexed="64"/>
      </bottom>
      <diagonal/>
    </border>
    <border>
      <left/>
      <right style="medium">
        <color indexed="64"/>
      </right>
      <top style="thick">
        <color theme="3" tint="0.3999755851924192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theme="3" tint="0.39997558519241921"/>
      </bottom>
      <diagonal/>
    </border>
    <border>
      <left/>
      <right style="medium">
        <color indexed="64"/>
      </right>
      <top style="thin">
        <color indexed="64"/>
      </top>
      <bottom style="thick">
        <color theme="3" tint="0.39997558519241921"/>
      </bottom>
      <diagonal/>
    </border>
    <border>
      <left/>
      <right/>
      <top style="thin">
        <color indexed="64"/>
      </top>
      <bottom style="thick">
        <color theme="3" tint="0.39997558519241921"/>
      </bottom>
      <diagonal/>
    </border>
  </borders>
  <cellStyleXfs count="1">
    <xf numFmtId="0" fontId="0" fillId="0" borderId="0"/>
  </cellStyleXfs>
  <cellXfs count="722">
    <xf numFmtId="0" fontId="0" fillId="0" borderId="0" xfId="0"/>
    <xf numFmtId="2" fontId="0" fillId="0" borderId="0" xfId="0" applyNumberFormat="1"/>
    <xf numFmtId="0" fontId="4" fillId="0" borderId="0" xfId="0" applyFont="1"/>
    <xf numFmtId="0" fontId="8" fillId="0" borderId="0" xfId="0" applyFont="1"/>
    <xf numFmtId="0" fontId="0" fillId="0" borderId="0" xfId="0" applyBorder="1" applyAlignment="1">
      <alignment horizontal="center"/>
    </xf>
    <xf numFmtId="2" fontId="0" fillId="0" borderId="0" xfId="0" applyNumberFormat="1" applyAlignment="1">
      <alignment horizontal="right" indent="1"/>
    </xf>
    <xf numFmtId="0" fontId="0" fillId="0" borderId="0" xfId="0" applyBorder="1" applyAlignment="1">
      <alignment horizontal="center" vertical="center"/>
    </xf>
    <xf numFmtId="0" fontId="0" fillId="0" borderId="0" xfId="0"/>
    <xf numFmtId="0" fontId="0" fillId="0" borderId="0" xfId="0"/>
    <xf numFmtId="0" fontId="0" fillId="4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3" fontId="0" fillId="4" borderId="13" xfId="0" applyNumberFormat="1" applyFill="1" applyBorder="1" applyAlignment="1">
      <alignment horizontal="center" vertical="center"/>
    </xf>
    <xf numFmtId="3" fontId="0" fillId="4" borderId="12" xfId="0" applyNumberFormat="1" applyFill="1" applyBorder="1" applyAlignment="1">
      <alignment horizontal="center" vertical="center"/>
    </xf>
    <xf numFmtId="3" fontId="0" fillId="4" borderId="11" xfId="0" applyNumberFormat="1" applyFill="1" applyBorder="1" applyAlignment="1">
      <alignment horizontal="center" vertical="center"/>
    </xf>
    <xf numFmtId="4" fontId="0" fillId="4" borderId="14" xfId="0" applyNumberFormat="1" applyFill="1" applyBorder="1" applyAlignment="1">
      <alignment horizontal="right" indent="1"/>
    </xf>
    <xf numFmtId="4" fontId="0" fillId="4" borderId="15" xfId="0" applyNumberFormat="1" applyFill="1" applyBorder="1" applyAlignment="1">
      <alignment horizontal="right" indent="1"/>
    </xf>
    <xf numFmtId="0" fontId="0" fillId="4" borderId="12" xfId="0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right" indent="1"/>
    </xf>
    <xf numFmtId="0" fontId="0" fillId="4" borderId="17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0" xfId="0" applyAlignment="1"/>
    <xf numFmtId="0" fontId="0" fillId="0" borderId="0" xfId="0"/>
    <xf numFmtId="0" fontId="0" fillId="0" borderId="0" xfId="0"/>
    <xf numFmtId="0" fontId="0" fillId="4" borderId="11" xfId="0" applyFill="1" applyBorder="1" applyAlignment="1">
      <alignment horizontal="center"/>
    </xf>
    <xf numFmtId="0" fontId="0" fillId="0" borderId="0" xfId="0" applyBorder="1"/>
    <xf numFmtId="0" fontId="2" fillId="0" borderId="0" xfId="0" applyFont="1" applyAlignment="1"/>
    <xf numFmtId="0" fontId="0" fillId="0" borderId="0" xfId="0" applyFill="1" applyAlignment="1">
      <alignment horizontal="right" vertical="center" readingOrder="1"/>
    </xf>
    <xf numFmtId="165" fontId="0" fillId="4" borderId="15" xfId="0" applyNumberFormat="1" applyFill="1" applyBorder="1" applyAlignment="1">
      <alignment horizontal="right"/>
    </xf>
    <xf numFmtId="0" fontId="0" fillId="4" borderId="33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10" fillId="4" borderId="35" xfId="0" applyFont="1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8" fillId="4" borderId="35" xfId="0" applyFont="1" applyFill="1" applyBorder="1" applyAlignment="1">
      <alignment horizontal="center"/>
    </xf>
    <xf numFmtId="0" fontId="9" fillId="4" borderId="42" xfId="0" applyFont="1" applyFill="1" applyBorder="1" applyAlignment="1">
      <alignment horizontal="center"/>
    </xf>
    <xf numFmtId="4" fontId="8" fillId="4" borderId="43" xfId="0" applyNumberFormat="1" applyFont="1" applyFill="1" applyBorder="1" applyAlignment="1">
      <alignment horizontal="center" vertical="center"/>
    </xf>
    <xf numFmtId="3" fontId="0" fillId="4" borderId="42" xfId="0" applyNumberFormat="1" applyFill="1" applyBorder="1" applyAlignment="1">
      <alignment horizontal="center" vertical="center"/>
    </xf>
    <xf numFmtId="0" fontId="9" fillId="4" borderId="48" xfId="0" applyFont="1" applyFill="1" applyBorder="1" applyAlignment="1">
      <alignment horizontal="center"/>
    </xf>
    <xf numFmtId="4" fontId="8" fillId="4" borderId="49" xfId="0" applyNumberFormat="1" applyFont="1" applyFill="1" applyBorder="1" applyAlignment="1">
      <alignment horizontal="center" vertical="center"/>
    </xf>
    <xf numFmtId="3" fontId="0" fillId="4" borderId="48" xfId="0" applyNumberFormat="1" applyFill="1" applyBorder="1" applyAlignment="1">
      <alignment horizontal="center" vertical="center"/>
    </xf>
    <xf numFmtId="4" fontId="8" fillId="4" borderId="53" xfId="0" applyNumberFormat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center" vertical="center" wrapText="1"/>
    </xf>
    <xf numFmtId="0" fontId="12" fillId="6" borderId="58" xfId="0" applyFont="1" applyFill="1" applyBorder="1" applyAlignment="1">
      <alignment horizontal="center" vertical="center" wrapText="1"/>
    </xf>
    <xf numFmtId="0" fontId="2" fillId="6" borderId="58" xfId="0" applyFont="1" applyFill="1" applyBorder="1" applyAlignment="1">
      <alignment horizontal="center" vertical="center" wrapText="1"/>
    </xf>
    <xf numFmtId="0" fontId="0" fillId="4" borderId="66" xfId="0" applyFill="1" applyBorder="1" applyAlignment="1">
      <alignment horizontal="center"/>
    </xf>
    <xf numFmtId="0" fontId="0" fillId="4" borderId="68" xfId="0" applyFill="1" applyBorder="1" applyAlignment="1">
      <alignment horizontal="center"/>
    </xf>
    <xf numFmtId="0" fontId="10" fillId="4" borderId="68" xfId="0" applyFont="1" applyFill="1" applyBorder="1" applyAlignment="1">
      <alignment horizontal="center"/>
    </xf>
    <xf numFmtId="0" fontId="0" fillId="4" borderId="70" xfId="0" applyFill="1" applyBorder="1" applyAlignment="1">
      <alignment horizontal="center"/>
    </xf>
    <xf numFmtId="0" fontId="8" fillId="4" borderId="68" xfId="0" applyFont="1" applyFill="1" applyBorder="1" applyAlignment="1">
      <alignment horizontal="center"/>
    </xf>
    <xf numFmtId="0" fontId="9" fillId="4" borderId="76" xfId="0" applyFont="1" applyFill="1" applyBorder="1" applyAlignment="1">
      <alignment horizontal="center"/>
    </xf>
    <xf numFmtId="4" fontId="8" fillId="4" borderId="77" xfId="0" applyNumberFormat="1" applyFont="1" applyFill="1" applyBorder="1" applyAlignment="1">
      <alignment horizontal="center" vertical="center"/>
    </xf>
    <xf numFmtId="3" fontId="0" fillId="4" borderId="76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2" borderId="51" xfId="0" applyFill="1" applyBorder="1" applyAlignment="1">
      <alignment horizontal="center"/>
    </xf>
    <xf numFmtId="0" fontId="10" fillId="4" borderId="32" xfId="0" applyFont="1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4" borderId="52" xfId="0" applyFill="1" applyBorder="1" applyAlignment="1">
      <alignment horizontal="center"/>
    </xf>
    <xf numFmtId="0" fontId="10" fillId="4" borderId="36" xfId="0" applyFont="1" applyFill="1" applyBorder="1" applyAlignment="1">
      <alignment horizontal="center"/>
    </xf>
    <xf numFmtId="0" fontId="10" fillId="4" borderId="38" xfId="0" applyFont="1" applyFill="1" applyBorder="1" applyAlignment="1">
      <alignment horizontal="center"/>
    </xf>
    <xf numFmtId="0" fontId="0" fillId="2" borderId="63" xfId="0" applyFill="1" applyBorder="1" applyAlignment="1">
      <alignment horizontal="center"/>
    </xf>
    <xf numFmtId="0" fontId="10" fillId="4" borderId="65" xfId="0" applyFont="1" applyFill="1" applyBorder="1" applyAlignment="1">
      <alignment horizontal="center"/>
    </xf>
    <xf numFmtId="0" fontId="0" fillId="4" borderId="67" xfId="0" applyFill="1" applyBorder="1" applyAlignment="1">
      <alignment horizontal="center"/>
    </xf>
    <xf numFmtId="0" fontId="0" fillId="4" borderId="69" xfId="0" applyFill="1" applyBorder="1" applyAlignment="1">
      <alignment horizontal="center"/>
    </xf>
    <xf numFmtId="0" fontId="0" fillId="4" borderId="65" xfId="0" applyFill="1" applyBorder="1" applyAlignment="1">
      <alignment horizontal="center"/>
    </xf>
    <xf numFmtId="0" fontId="9" fillId="4" borderId="80" xfId="0" applyFont="1" applyFill="1" applyBorder="1" applyAlignment="1">
      <alignment horizontal="center"/>
    </xf>
    <xf numFmtId="0" fontId="0" fillId="4" borderId="72" xfId="0" applyFill="1" applyBorder="1" applyAlignment="1">
      <alignment horizontal="center"/>
    </xf>
    <xf numFmtId="0" fontId="0" fillId="2" borderId="71" xfId="0" applyFill="1" applyBorder="1" applyAlignment="1">
      <alignment horizontal="center"/>
    </xf>
    <xf numFmtId="0" fontId="10" fillId="4" borderId="69" xfId="0" applyFont="1" applyFill="1" applyBorder="1" applyAlignment="1">
      <alignment horizontal="center"/>
    </xf>
    <xf numFmtId="0" fontId="10" fillId="4" borderId="72" xfId="0" applyFont="1" applyFill="1" applyBorder="1" applyAlignment="1">
      <alignment horizontal="center"/>
    </xf>
    <xf numFmtId="0" fontId="12" fillId="7" borderId="84" xfId="0" applyFont="1" applyFill="1" applyBorder="1" applyAlignment="1">
      <alignment horizontal="center" vertical="center" wrapText="1"/>
    </xf>
    <xf numFmtId="0" fontId="12" fillId="7" borderId="85" xfId="0" applyFont="1" applyFill="1" applyBorder="1" applyAlignment="1">
      <alignment horizontal="center" vertical="center" wrapText="1"/>
    </xf>
    <xf numFmtId="0" fontId="2" fillId="7" borderId="85" xfId="0" applyFont="1" applyFill="1" applyBorder="1" applyAlignment="1">
      <alignment horizontal="center" vertical="center" wrapText="1"/>
    </xf>
    <xf numFmtId="0" fontId="2" fillId="7" borderId="87" xfId="0" applyFont="1" applyFill="1" applyBorder="1" applyAlignment="1">
      <alignment horizontal="center" vertical="center" wrapText="1"/>
    </xf>
    <xf numFmtId="0" fontId="0" fillId="4" borderId="98" xfId="0" applyFill="1" applyBorder="1" applyAlignment="1">
      <alignment horizontal="center"/>
    </xf>
    <xf numFmtId="0" fontId="0" fillId="4" borderId="95" xfId="0" applyFill="1" applyBorder="1" applyAlignment="1">
      <alignment horizontal="center"/>
    </xf>
    <xf numFmtId="0" fontId="0" fillId="4" borderId="96" xfId="0" applyFill="1" applyBorder="1" applyAlignment="1">
      <alignment horizontal="center"/>
    </xf>
    <xf numFmtId="3" fontId="0" fillId="4" borderId="98" xfId="0" applyNumberFormat="1" applyFill="1" applyBorder="1" applyAlignment="1">
      <alignment horizontal="center" vertical="center"/>
    </xf>
    <xf numFmtId="0" fontId="0" fillId="4" borderId="99" xfId="0" applyFill="1" applyBorder="1" applyAlignment="1">
      <alignment horizontal="center"/>
    </xf>
    <xf numFmtId="3" fontId="0" fillId="4" borderId="95" xfId="0" applyNumberFormat="1" applyFill="1" applyBorder="1" applyAlignment="1">
      <alignment horizontal="center" vertical="center"/>
    </xf>
    <xf numFmtId="0" fontId="0" fillId="4" borderId="90" xfId="0" applyFill="1" applyBorder="1" applyAlignment="1">
      <alignment horizontal="center"/>
    </xf>
    <xf numFmtId="0" fontId="0" fillId="4" borderId="103" xfId="0" applyFill="1" applyBorder="1" applyAlignment="1">
      <alignment horizontal="center"/>
    </xf>
    <xf numFmtId="0" fontId="0" fillId="4" borderId="106" xfId="0" applyFill="1" applyBorder="1" applyAlignment="1">
      <alignment horizontal="center"/>
    </xf>
    <xf numFmtId="0" fontId="0" fillId="4" borderId="109" xfId="0" applyFill="1" applyBorder="1" applyAlignment="1">
      <alignment horizontal="center"/>
    </xf>
    <xf numFmtId="0" fontId="0" fillId="4" borderId="107" xfId="0" applyFill="1" applyBorder="1" applyAlignment="1">
      <alignment horizontal="center"/>
    </xf>
    <xf numFmtId="3" fontId="0" fillId="4" borderId="96" xfId="0" applyNumberFormat="1" applyFill="1" applyBorder="1" applyAlignment="1">
      <alignment horizontal="center" vertical="center"/>
    </xf>
    <xf numFmtId="0" fontId="0" fillId="4" borderId="92" xfId="0" applyFill="1" applyBorder="1" applyAlignment="1">
      <alignment horizontal="center"/>
    </xf>
    <xf numFmtId="4" fontId="0" fillId="4" borderId="13" xfId="0" applyNumberFormat="1" applyFill="1" applyBorder="1" applyAlignment="1">
      <alignment horizontal="right" indent="1"/>
    </xf>
    <xf numFmtId="4" fontId="0" fillId="4" borderId="12" xfId="0" applyNumberFormat="1" applyFill="1" applyBorder="1" applyAlignment="1">
      <alignment horizontal="right" indent="1"/>
    </xf>
    <xf numFmtId="164" fontId="0" fillId="4" borderId="96" xfId="0" applyNumberFormat="1" applyFill="1" applyBorder="1" applyAlignment="1">
      <alignment horizontal="right" indent="1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3" fontId="0" fillId="4" borderId="12" xfId="0" applyNumberFormat="1" applyFill="1" applyBorder="1" applyAlignment="1">
      <alignment horizontal="right" indent="1"/>
    </xf>
    <xf numFmtId="0" fontId="0" fillId="0" borderId="0" xfId="0"/>
    <xf numFmtId="0" fontId="19" fillId="0" borderId="0" xfId="0" applyFont="1"/>
    <xf numFmtId="0" fontId="6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167" fontId="0" fillId="0" borderId="0" xfId="0" applyNumberFormat="1" applyFont="1" applyAlignment="1">
      <alignment horizontal="right" indent="1"/>
    </xf>
    <xf numFmtId="0" fontId="0" fillId="0" borderId="0" xfId="0" applyFont="1"/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6" fillId="4" borderId="13" xfId="0" applyFont="1" applyFill="1" applyBorder="1" applyAlignment="1">
      <alignment horizontal="center"/>
    </xf>
    <xf numFmtId="0" fontId="8" fillId="0" borderId="0" xfId="0" applyFont="1" applyFill="1"/>
    <xf numFmtId="0" fontId="0" fillId="4" borderId="116" xfId="0" applyFill="1" applyBorder="1" applyAlignment="1">
      <alignment horizontal="center" vertical="center"/>
    </xf>
    <xf numFmtId="2" fontId="0" fillId="4" borderId="12" xfId="0" applyNumberFormat="1" applyFill="1" applyBorder="1" applyAlignment="1">
      <alignment horizontal="right" vertical="center" indent="1"/>
    </xf>
    <xf numFmtId="0" fontId="6" fillId="4" borderId="12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0" fillId="4" borderId="116" xfId="0" applyFill="1" applyBorder="1" applyAlignment="1">
      <alignment horizontal="center"/>
    </xf>
    <xf numFmtId="2" fontId="0" fillId="4" borderId="12" xfId="0" applyNumberFormat="1" applyFont="1" applyFill="1" applyBorder="1" applyAlignment="1">
      <alignment horizontal="right" indent="1"/>
    </xf>
    <xf numFmtId="166" fontId="0" fillId="4" borderId="116" xfId="0" applyNumberFormat="1" applyFont="1" applyFill="1" applyBorder="1" applyAlignment="1">
      <alignment horizontal="right" indent="1"/>
    </xf>
    <xf numFmtId="167" fontId="0" fillId="4" borderId="12" xfId="0" applyNumberFormat="1" applyFont="1" applyFill="1" applyBorder="1" applyAlignment="1">
      <alignment horizontal="right" indent="1"/>
    </xf>
    <xf numFmtId="166" fontId="0" fillId="4" borderId="12" xfId="0" applyNumberFormat="1" applyFont="1" applyFill="1" applyBorder="1" applyAlignment="1">
      <alignment horizontal="right" indent="1"/>
    </xf>
    <xf numFmtId="166" fontId="0" fillId="4" borderId="13" xfId="0" applyNumberFormat="1" applyFont="1" applyFill="1" applyBorder="1" applyAlignment="1">
      <alignment horizontal="right" indent="1"/>
    </xf>
    <xf numFmtId="166" fontId="0" fillId="4" borderId="12" xfId="0" applyNumberFormat="1" applyFill="1" applyBorder="1" applyAlignment="1">
      <alignment horizontal="center"/>
    </xf>
    <xf numFmtId="3" fontId="0" fillId="4" borderId="10" xfId="0" applyNumberFormat="1" applyFont="1" applyFill="1" applyBorder="1" applyAlignment="1">
      <alignment horizontal="center" vertical="center"/>
    </xf>
    <xf numFmtId="0" fontId="0" fillId="4" borderId="14" xfId="0" applyFont="1" applyFill="1" applyBorder="1" applyAlignment="1">
      <alignment horizontal="center"/>
    </xf>
    <xf numFmtId="2" fontId="0" fillId="4" borderId="120" xfId="0" applyNumberFormat="1" applyFont="1" applyFill="1" applyBorder="1" applyAlignment="1">
      <alignment horizontal="right" indent="1"/>
    </xf>
    <xf numFmtId="2" fontId="0" fillId="4" borderId="121" xfId="0" applyNumberFormat="1" applyFont="1" applyFill="1" applyBorder="1" applyAlignment="1">
      <alignment horizontal="right" indent="1"/>
    </xf>
    <xf numFmtId="2" fontId="0" fillId="4" borderId="119" xfId="0" applyNumberFormat="1" applyFont="1" applyFill="1" applyBorder="1" applyAlignment="1">
      <alignment horizontal="right" indent="1"/>
    </xf>
    <xf numFmtId="3" fontId="0" fillId="4" borderId="110" xfId="0" applyNumberFormat="1" applyFont="1" applyFill="1" applyBorder="1" applyAlignment="1">
      <alignment horizontal="center" vertical="center"/>
    </xf>
    <xf numFmtId="3" fontId="0" fillId="4" borderId="123" xfId="0" applyNumberFormat="1" applyFont="1" applyFill="1" applyBorder="1" applyAlignment="1">
      <alignment horizontal="center" vertical="center"/>
    </xf>
    <xf numFmtId="3" fontId="0" fillId="4" borderId="15" xfId="0" applyNumberFormat="1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/>
    </xf>
    <xf numFmtId="3" fontId="0" fillId="4" borderId="17" xfId="0" applyNumberFormat="1" applyFont="1" applyFill="1" applyBorder="1" applyAlignment="1">
      <alignment horizontal="center" vertical="center"/>
    </xf>
    <xf numFmtId="2" fontId="0" fillId="4" borderId="14" xfId="0" applyNumberFormat="1" applyFont="1" applyFill="1" applyBorder="1" applyAlignment="1">
      <alignment horizontal="right" indent="1"/>
    </xf>
    <xf numFmtId="2" fontId="0" fillId="4" borderId="15" xfId="0" applyNumberFormat="1" applyFont="1" applyFill="1" applyBorder="1" applyAlignment="1">
      <alignment horizontal="right" indent="1"/>
    </xf>
    <xf numFmtId="2" fontId="0" fillId="4" borderId="49" xfId="0" applyNumberFormat="1" applyFont="1" applyFill="1" applyBorder="1" applyAlignment="1">
      <alignment horizontal="right" indent="1"/>
    </xf>
    <xf numFmtId="0" fontId="0" fillId="4" borderId="110" xfId="0" applyFill="1" applyBorder="1" applyAlignment="1">
      <alignment horizontal="center"/>
    </xf>
    <xf numFmtId="167" fontId="0" fillId="4" borderId="16" xfId="0" applyNumberFormat="1" applyFont="1" applyFill="1" applyBorder="1" applyAlignment="1">
      <alignment horizontal="right" indent="1"/>
    </xf>
    <xf numFmtId="0" fontId="0" fillId="4" borderId="116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2" fontId="0" fillId="4" borderId="16" xfId="0" applyNumberFormat="1" applyFont="1" applyFill="1" applyBorder="1" applyAlignment="1">
      <alignment horizontal="right" indent="1"/>
    </xf>
    <xf numFmtId="0" fontId="0" fillId="4" borderId="11" xfId="0" applyFont="1" applyFill="1" applyBorder="1" applyAlignment="1">
      <alignment horizontal="center" vertical="center"/>
    </xf>
    <xf numFmtId="166" fontId="0" fillId="4" borderId="15" xfId="0" applyNumberFormat="1" applyFont="1" applyFill="1" applyBorder="1" applyAlignment="1">
      <alignment horizontal="right" indent="1"/>
    </xf>
    <xf numFmtId="168" fontId="0" fillId="4" borderId="15" xfId="0" applyNumberFormat="1" applyFont="1" applyFill="1" applyBorder="1" applyAlignment="1">
      <alignment horizontal="right" indent="1"/>
    </xf>
    <xf numFmtId="168" fontId="0" fillId="4" borderId="16" xfId="0" applyNumberFormat="1" applyFont="1" applyFill="1" applyBorder="1" applyAlignment="1">
      <alignment horizontal="right" indent="1"/>
    </xf>
    <xf numFmtId="0" fontId="0" fillId="4" borderId="116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4" borderId="17" xfId="0" applyNumberFormat="1" applyFont="1" applyFill="1" applyBorder="1" applyAlignment="1">
      <alignment horizontal="right" indent="1"/>
    </xf>
    <xf numFmtId="2" fontId="0" fillId="4" borderId="10" xfId="0" applyNumberFormat="1" applyFont="1" applyFill="1" applyBorder="1" applyAlignment="1">
      <alignment horizontal="right" indent="1"/>
    </xf>
    <xf numFmtId="166" fontId="0" fillId="4" borderId="10" xfId="0" applyNumberFormat="1" applyFont="1" applyFill="1" applyBorder="1" applyAlignment="1">
      <alignment horizontal="right" indent="1"/>
    </xf>
    <xf numFmtId="0" fontId="6" fillId="4" borderId="10" xfId="0" applyFont="1" applyFill="1" applyBorder="1" applyAlignment="1">
      <alignment horizontal="center"/>
    </xf>
    <xf numFmtId="3" fontId="0" fillId="4" borderId="12" xfId="0" applyNumberFormat="1" applyFont="1" applyFill="1" applyBorder="1" applyAlignment="1">
      <alignment horizontal="right" indent="1"/>
    </xf>
    <xf numFmtId="0" fontId="6" fillId="4" borderId="110" xfId="0" applyFont="1" applyFill="1" applyBorder="1" applyAlignment="1">
      <alignment horizontal="center"/>
    </xf>
    <xf numFmtId="0" fontId="0" fillId="4" borderId="17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166" fontId="0" fillId="4" borderId="14" xfId="0" applyNumberFormat="1" applyFill="1" applyBorder="1" applyAlignment="1">
      <alignment horizontal="right" indent="1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34" xfId="0" applyFill="1" applyBorder="1" applyAlignment="1">
      <alignment horizontal="center"/>
    </xf>
    <xf numFmtId="0" fontId="0" fillId="4" borderId="136" xfId="0" applyFill="1" applyBorder="1" applyAlignment="1">
      <alignment horizontal="center"/>
    </xf>
    <xf numFmtId="0" fontId="0" fillId="4" borderId="137" xfId="0" applyFill="1" applyBorder="1" applyAlignment="1">
      <alignment horizontal="center"/>
    </xf>
    <xf numFmtId="0" fontId="0" fillId="4" borderId="138" xfId="0" applyFill="1" applyBorder="1" applyAlignment="1">
      <alignment horizontal="center"/>
    </xf>
    <xf numFmtId="0" fontId="6" fillId="4" borderId="141" xfId="0" applyFont="1" applyFill="1" applyBorder="1" applyAlignment="1">
      <alignment horizontal="center"/>
    </xf>
    <xf numFmtId="0" fontId="0" fillId="4" borderId="143" xfId="0" applyFill="1" applyBorder="1" applyAlignment="1">
      <alignment horizontal="center"/>
    </xf>
    <xf numFmtId="0" fontId="0" fillId="9" borderId="145" xfId="0" applyFill="1" applyBorder="1" applyAlignment="1">
      <alignment horizontal="center"/>
    </xf>
    <xf numFmtId="0" fontId="0" fillId="9" borderId="131" xfId="0" applyFill="1" applyBorder="1" applyAlignment="1">
      <alignment horizontal="center"/>
    </xf>
    <xf numFmtId="0" fontId="0" fillId="9" borderId="146" xfId="0" applyFill="1" applyBorder="1" applyAlignment="1">
      <alignment horizontal="center"/>
    </xf>
    <xf numFmtId="0" fontId="22" fillId="4" borderId="149" xfId="0" applyFont="1" applyFill="1" applyBorder="1" applyAlignment="1">
      <alignment horizontal="center"/>
    </xf>
    <xf numFmtId="0" fontId="0" fillId="4" borderId="149" xfId="0" applyFill="1" applyBorder="1" applyAlignment="1">
      <alignment horizontal="center"/>
    </xf>
    <xf numFmtId="0" fontId="0" fillId="4" borderId="153" xfId="0" applyFill="1" applyBorder="1" applyAlignment="1">
      <alignment horizontal="center"/>
    </xf>
    <xf numFmtId="0" fontId="0" fillId="4" borderId="159" xfId="0" applyFill="1" applyBorder="1" applyAlignment="1">
      <alignment horizontal="center"/>
    </xf>
    <xf numFmtId="0" fontId="0" fillId="4" borderId="160" xfId="0" applyFill="1" applyBorder="1" applyAlignment="1">
      <alignment horizontal="center"/>
    </xf>
    <xf numFmtId="0" fontId="0" fillId="4" borderId="161" xfId="0" applyFill="1" applyBorder="1" applyAlignment="1">
      <alignment horizontal="center"/>
    </xf>
    <xf numFmtId="0" fontId="0" fillId="4" borderId="149" xfId="0" applyFill="1" applyBorder="1"/>
    <xf numFmtId="0" fontId="12" fillId="10" borderId="0" xfId="0" applyFont="1" applyFill="1" applyBorder="1" applyAlignment="1">
      <alignment horizontal="center" vertical="center" wrapText="1"/>
    </xf>
    <xf numFmtId="0" fontId="2" fillId="10" borderId="172" xfId="0" applyFont="1" applyFill="1" applyBorder="1" applyAlignment="1">
      <alignment horizontal="center" vertical="center" wrapText="1"/>
    </xf>
    <xf numFmtId="0" fontId="2" fillId="10" borderId="148" xfId="0" applyFont="1" applyFill="1" applyBorder="1" applyAlignment="1">
      <alignment horizontal="center" vertical="center" wrapText="1"/>
    </xf>
    <xf numFmtId="0" fontId="0" fillId="2" borderId="155" xfId="0" applyFill="1" applyBorder="1" applyAlignment="1">
      <alignment horizontal="center"/>
    </xf>
    <xf numFmtId="0" fontId="22" fillId="4" borderId="159" xfId="0" applyFont="1" applyFill="1" applyBorder="1" applyAlignment="1">
      <alignment horizontal="center"/>
    </xf>
    <xf numFmtId="0" fontId="2" fillId="4" borderId="128" xfId="0" applyFont="1" applyFill="1" applyBorder="1" applyAlignment="1">
      <alignment vertical="center" wrapText="1"/>
    </xf>
    <xf numFmtId="0" fontId="2" fillId="4" borderId="14" xfId="0" applyFont="1" applyFill="1" applyBorder="1" applyAlignment="1">
      <alignment vertical="center" wrapText="1"/>
    </xf>
    <xf numFmtId="0" fontId="2" fillId="4" borderId="17" xfId="0" applyFont="1" applyFill="1" applyBorder="1" applyAlignment="1">
      <alignment vertical="center" wrapText="1"/>
    </xf>
    <xf numFmtId="0" fontId="20" fillId="4" borderId="128" xfId="0" applyFont="1" applyFill="1" applyBorder="1" applyAlignment="1"/>
    <xf numFmtId="0" fontId="20" fillId="4" borderId="14" xfId="0" applyFont="1" applyFill="1" applyBorder="1" applyAlignment="1"/>
    <xf numFmtId="0" fontId="20" fillId="4" borderId="17" xfId="0" applyFont="1" applyFill="1" applyBorder="1" applyAlignment="1"/>
    <xf numFmtId="166" fontId="0" fillId="4" borderId="53" xfId="0" applyNumberFormat="1" applyFont="1" applyFill="1" applyBorder="1" applyAlignment="1"/>
    <xf numFmtId="166" fontId="0" fillId="4" borderId="49" xfId="0" applyNumberFormat="1" applyFont="1" applyFill="1" applyBorder="1" applyAlignment="1"/>
    <xf numFmtId="166" fontId="0" fillId="4" borderId="175" xfId="0" applyNumberFormat="1" applyFont="1" applyFill="1" applyBorder="1" applyAlignment="1"/>
    <xf numFmtId="166" fontId="0" fillId="4" borderId="127" xfId="0" applyNumberFormat="1" applyFont="1" applyFill="1" applyBorder="1" applyAlignment="1"/>
    <xf numFmtId="166" fontId="0" fillId="4" borderId="0" xfId="0" applyNumberFormat="1" applyFont="1" applyFill="1" applyBorder="1" applyAlignment="1"/>
    <xf numFmtId="166" fontId="0" fillId="4" borderId="93" xfId="0" applyNumberFormat="1" applyFont="1" applyFill="1" applyBorder="1" applyAlignment="1"/>
    <xf numFmtId="166" fontId="0" fillId="4" borderId="177" xfId="0" applyNumberFormat="1" applyFont="1" applyFill="1" applyBorder="1" applyAlignment="1"/>
    <xf numFmtId="166" fontId="0" fillId="4" borderId="178" xfId="0" applyNumberFormat="1" applyFont="1" applyFill="1" applyBorder="1" applyAlignment="1"/>
    <xf numFmtId="166" fontId="0" fillId="4" borderId="179" xfId="0" applyNumberFormat="1" applyFont="1" applyFill="1" applyBorder="1" applyAlignment="1"/>
    <xf numFmtId="166" fontId="0" fillId="4" borderId="128" xfId="0" applyNumberFormat="1" applyFont="1" applyFill="1" applyBorder="1" applyAlignment="1"/>
    <xf numFmtId="166" fontId="0" fillId="4" borderId="17" xfId="0" applyNumberFormat="1" applyFont="1" applyFill="1" applyBorder="1" applyAlignment="1"/>
    <xf numFmtId="0" fontId="2" fillId="4" borderId="121" xfId="0" applyFont="1" applyFill="1" applyBorder="1" applyAlignment="1">
      <alignment vertical="center" wrapText="1"/>
    </xf>
    <xf numFmtId="0" fontId="2" fillId="4" borderId="15" xfId="0" applyFont="1" applyFill="1" applyBorder="1" applyAlignment="1">
      <alignment vertical="center" wrapText="1"/>
    </xf>
    <xf numFmtId="0" fontId="2" fillId="4" borderId="10" xfId="0" applyFont="1" applyFill="1" applyBorder="1" applyAlignment="1">
      <alignment vertical="center" wrapText="1"/>
    </xf>
    <xf numFmtId="0" fontId="20" fillId="4" borderId="121" xfId="0" applyFont="1" applyFill="1" applyBorder="1" applyAlignment="1"/>
    <xf numFmtId="0" fontId="20" fillId="4" borderId="15" xfId="0" applyFont="1" applyFill="1" applyBorder="1" applyAlignment="1"/>
    <xf numFmtId="0" fontId="20" fillId="4" borderId="10" xfId="0" applyFont="1" applyFill="1" applyBorder="1" applyAlignment="1"/>
    <xf numFmtId="0" fontId="20" fillId="4" borderId="118" xfId="0" applyFont="1" applyFill="1" applyBorder="1" applyAlignment="1"/>
    <xf numFmtId="0" fontId="0" fillId="4" borderId="178" xfId="0" applyFont="1" applyFill="1" applyBorder="1" applyAlignment="1">
      <alignment vertical="center" wrapText="1"/>
    </xf>
    <xf numFmtId="0" fontId="0" fillId="4" borderId="15" xfId="0" applyFont="1" applyFill="1" applyBorder="1" applyAlignment="1">
      <alignment vertical="center" wrapText="1"/>
    </xf>
    <xf numFmtId="0" fontId="0" fillId="4" borderId="10" xfId="0" applyFont="1" applyFill="1" applyBorder="1" applyAlignment="1">
      <alignment vertical="center" wrapText="1"/>
    </xf>
    <xf numFmtId="0" fontId="0" fillId="4" borderId="179" xfId="0" applyFont="1" applyFill="1" applyBorder="1" applyAlignment="1">
      <alignment vertical="center" wrapText="1"/>
    </xf>
    <xf numFmtId="0" fontId="0" fillId="4" borderId="121" xfId="0" applyFont="1" applyFill="1" applyBorder="1" applyAlignment="1">
      <alignment vertical="center" wrapText="1"/>
    </xf>
    <xf numFmtId="0" fontId="0" fillId="4" borderId="177" xfId="0" applyFont="1" applyFill="1" applyBorder="1" applyAlignment="1">
      <alignment vertical="center" wrapText="1"/>
    </xf>
    <xf numFmtId="166" fontId="0" fillId="4" borderId="14" xfId="0" applyNumberFormat="1" applyFont="1" applyFill="1" applyBorder="1" applyAlignment="1"/>
    <xf numFmtId="166" fontId="0" fillId="4" borderId="121" xfId="0" applyNumberFormat="1" applyFont="1" applyFill="1" applyBorder="1" applyAlignment="1"/>
    <xf numFmtId="166" fontId="0" fillId="4" borderId="15" xfId="0" applyNumberFormat="1" applyFont="1" applyFill="1" applyBorder="1" applyAlignment="1"/>
    <xf numFmtId="166" fontId="0" fillId="4" borderId="10" xfId="0" applyNumberFormat="1" applyFont="1" applyFill="1" applyBorder="1" applyAlignment="1"/>
    <xf numFmtId="0" fontId="2" fillId="4" borderId="124" xfId="0" applyFont="1" applyFill="1" applyBorder="1" applyAlignment="1"/>
    <xf numFmtId="0" fontId="2" fillId="4" borderId="180" xfId="0" applyFont="1" applyFill="1" applyBorder="1" applyAlignment="1">
      <alignment vertical="center" wrapText="1"/>
    </xf>
    <xf numFmtId="0" fontId="2" fillId="4" borderId="118" xfId="0" applyFont="1" applyFill="1" applyBorder="1" applyAlignment="1"/>
    <xf numFmtId="0" fontId="2" fillId="4" borderId="181" xfId="0" applyFont="1" applyFill="1" applyBorder="1" applyAlignment="1"/>
    <xf numFmtId="0" fontId="0" fillId="4" borderId="79" xfId="0" applyFill="1" applyBorder="1" applyAlignment="1">
      <alignment horizontal="center"/>
    </xf>
    <xf numFmtId="0" fontId="0" fillId="4" borderId="50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166" fontId="0" fillId="4" borderId="121" xfId="0" applyNumberFormat="1" applyFill="1" applyBorder="1" applyAlignment="1"/>
    <xf numFmtId="0" fontId="6" fillId="4" borderId="182" xfId="0" applyFont="1" applyFill="1" applyBorder="1" applyAlignment="1">
      <alignment horizontal="center" vertical="center"/>
    </xf>
    <xf numFmtId="0" fontId="0" fillId="4" borderId="183" xfId="0" applyFill="1" applyBorder="1" applyAlignment="1">
      <alignment horizontal="center"/>
    </xf>
    <xf numFmtId="0" fontId="0" fillId="4" borderId="184" xfId="0" applyFill="1" applyBorder="1" applyAlignment="1">
      <alignment horizontal="center"/>
    </xf>
    <xf numFmtId="166" fontId="10" fillId="4" borderId="53" xfId="0" applyNumberFormat="1" applyFont="1" applyFill="1" applyBorder="1" applyAlignment="1">
      <alignment vertical="center" wrapText="1"/>
    </xf>
    <xf numFmtId="166" fontId="10" fillId="4" borderId="49" xfId="0" applyNumberFormat="1" applyFont="1" applyFill="1" applyBorder="1" applyAlignment="1">
      <alignment vertical="center" wrapText="1"/>
    </xf>
    <xf numFmtId="166" fontId="10" fillId="4" borderId="175" xfId="0" applyNumberFormat="1" applyFont="1" applyFill="1" applyBorder="1" applyAlignment="1">
      <alignment vertical="center" wrapText="1"/>
    </xf>
    <xf numFmtId="166" fontId="10" fillId="4" borderId="127" xfId="0" applyNumberFormat="1" applyFont="1" applyFill="1" applyBorder="1" applyAlignment="1">
      <alignment vertical="center" wrapText="1"/>
    </xf>
    <xf numFmtId="166" fontId="10" fillId="4" borderId="93" xfId="0" applyNumberFormat="1" applyFont="1" applyFill="1" applyBorder="1" applyAlignment="1">
      <alignment vertical="center" wrapText="1"/>
    </xf>
    <xf numFmtId="166" fontId="10" fillId="4" borderId="121" xfId="0" applyNumberFormat="1" applyFont="1" applyFill="1" applyBorder="1" applyAlignment="1">
      <alignment vertical="center" wrapText="1"/>
    </xf>
    <xf numFmtId="166" fontId="10" fillId="4" borderId="15" xfId="0" applyNumberFormat="1" applyFont="1" applyFill="1" applyBorder="1" applyAlignment="1">
      <alignment vertical="center" wrapText="1"/>
    </xf>
    <xf numFmtId="166" fontId="10" fillId="4" borderId="10" xfId="0" applyNumberFormat="1" applyFont="1" applyFill="1" applyBorder="1" applyAlignment="1">
      <alignment vertical="center" wrapText="1"/>
    </xf>
    <xf numFmtId="0" fontId="8" fillId="4" borderId="134" xfId="0" applyFont="1" applyFill="1" applyBorder="1" applyAlignment="1">
      <alignment horizontal="center"/>
    </xf>
    <xf numFmtId="167" fontId="10" fillId="4" borderId="12" xfId="0" applyNumberFormat="1" applyFont="1" applyFill="1" applyBorder="1" applyAlignment="1">
      <alignment horizontal="right" indent="1"/>
    </xf>
    <xf numFmtId="0" fontId="6" fillId="4" borderId="13" xfId="0" applyFont="1" applyFill="1" applyBorder="1" applyAlignment="1">
      <alignment horizontal="center" vertical="center"/>
    </xf>
    <xf numFmtId="2" fontId="0" fillId="4" borderId="13" xfId="0" applyNumberFormat="1" applyFont="1" applyFill="1" applyBorder="1" applyAlignment="1">
      <alignment horizontal="right" indent="1"/>
    </xf>
    <xf numFmtId="0" fontId="6" fillId="4" borderId="181" xfId="0" applyFont="1" applyFill="1" applyBorder="1" applyAlignment="1">
      <alignment horizontal="center" vertical="center"/>
    </xf>
    <xf numFmtId="2" fontId="8" fillId="4" borderId="12" xfId="0" applyNumberFormat="1" applyFont="1" applyFill="1" applyBorder="1" applyAlignment="1">
      <alignment horizontal="center"/>
    </xf>
    <xf numFmtId="2" fontId="8" fillId="4" borderId="15" xfId="0" applyNumberFormat="1" applyFont="1" applyFill="1" applyBorder="1" applyAlignment="1">
      <alignment horizontal="center"/>
    </xf>
    <xf numFmtId="169" fontId="0" fillId="4" borderId="12" xfId="0" applyNumberFormat="1" applyFont="1" applyFill="1" applyBorder="1" applyAlignment="1">
      <alignment horizontal="right" indent="1"/>
    </xf>
    <xf numFmtId="2" fontId="0" fillId="4" borderId="15" xfId="0" applyNumberFormat="1" applyFont="1" applyFill="1" applyBorder="1" applyAlignment="1"/>
    <xf numFmtId="2" fontId="0" fillId="4" borderId="10" xfId="0" applyNumberFormat="1" applyFont="1" applyFill="1" applyBorder="1" applyAlignment="1"/>
    <xf numFmtId="170" fontId="0" fillId="4" borderId="182" xfId="0" applyNumberFormat="1" applyFont="1" applyFill="1" applyBorder="1" applyAlignment="1">
      <alignment horizontal="right" indent="1"/>
    </xf>
    <xf numFmtId="0" fontId="0" fillId="0" borderId="0" xfId="0" applyFill="1" applyAlignment="1">
      <alignment horizontal="right"/>
    </xf>
    <xf numFmtId="0" fontId="0" fillId="0" borderId="192" xfId="0" applyBorder="1" applyAlignment="1">
      <alignment horizontal="center"/>
    </xf>
    <xf numFmtId="0" fontId="0" fillId="0" borderId="0" xfId="0" applyFill="1" applyBorder="1" applyAlignment="1"/>
    <xf numFmtId="4" fontId="0" fillId="0" borderId="0" xfId="0" applyNumberFormat="1" applyFill="1" applyBorder="1" applyAlignment="1">
      <alignment horizontal="right" indent="1"/>
    </xf>
    <xf numFmtId="3" fontId="0" fillId="0" borderId="0" xfId="0" applyNumberForma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0" fontId="0" fillId="0" borderId="194" xfId="0" applyBorder="1"/>
    <xf numFmtId="0" fontId="0" fillId="0" borderId="198" xfId="0" applyBorder="1"/>
    <xf numFmtId="0" fontId="0" fillId="0" borderId="198" xfId="0" applyBorder="1" applyAlignment="1">
      <alignment horizontal="center"/>
    </xf>
    <xf numFmtId="0" fontId="0" fillId="0" borderId="198" xfId="0" applyFill="1" applyBorder="1" applyAlignment="1">
      <alignment horizontal="center"/>
    </xf>
    <xf numFmtId="0" fontId="0" fillId="4" borderId="208" xfId="0" applyFill="1" applyBorder="1" applyAlignment="1">
      <alignment horizontal="center"/>
    </xf>
    <xf numFmtId="0" fontId="0" fillId="4" borderId="209" xfId="0" applyFill="1" applyBorder="1" applyAlignment="1">
      <alignment horizontal="center"/>
    </xf>
    <xf numFmtId="1" fontId="0" fillId="4" borderId="11" xfId="0" applyNumberFormat="1" applyFill="1" applyBorder="1" applyAlignment="1">
      <alignment horizontal="center" vertical="center"/>
    </xf>
    <xf numFmtId="1" fontId="0" fillId="4" borderId="110" xfId="0" applyNumberFormat="1" applyFill="1" applyBorder="1" applyAlignment="1">
      <alignment horizontal="center" vertical="center"/>
    </xf>
    <xf numFmtId="0" fontId="25" fillId="0" borderId="0" xfId="0" applyFont="1" applyAlignment="1"/>
    <xf numFmtId="0" fontId="25" fillId="0" borderId="0" xfId="0" applyFont="1" applyAlignment="1">
      <alignment horizontal="left"/>
    </xf>
    <xf numFmtId="0" fontId="0" fillId="4" borderId="213" xfId="0" applyFill="1" applyBorder="1" applyAlignment="1">
      <alignment horizontal="center"/>
    </xf>
    <xf numFmtId="0" fontId="0" fillId="4" borderId="214" xfId="0" applyFill="1" applyBorder="1" applyAlignment="1">
      <alignment horizontal="center"/>
    </xf>
    <xf numFmtId="166" fontId="0" fillId="4" borderId="216" xfId="0" applyNumberFormat="1" applyFill="1" applyBorder="1" applyAlignment="1">
      <alignment horizontal="right" indent="1"/>
    </xf>
    <xf numFmtId="0" fontId="0" fillId="4" borderId="217" xfId="0" applyFill="1" applyBorder="1" applyAlignment="1">
      <alignment horizontal="center"/>
    </xf>
    <xf numFmtId="0" fontId="6" fillId="4" borderId="217" xfId="0" applyFont="1" applyFill="1" applyBorder="1" applyAlignment="1">
      <alignment horizontal="center"/>
    </xf>
    <xf numFmtId="166" fontId="0" fillId="4" borderId="219" xfId="0" applyNumberFormat="1" applyFill="1" applyBorder="1" applyAlignment="1">
      <alignment horizontal="right" indent="1"/>
    </xf>
    <xf numFmtId="1" fontId="0" fillId="4" borderId="116" xfId="0" applyNumberFormat="1" applyFill="1" applyBorder="1" applyAlignment="1">
      <alignment horizontal="center" vertical="center"/>
    </xf>
    <xf numFmtId="1" fontId="0" fillId="4" borderId="220" xfId="0" applyNumberFormat="1" applyFill="1" applyBorder="1" applyAlignment="1">
      <alignment horizontal="center" vertical="center"/>
    </xf>
    <xf numFmtId="1" fontId="0" fillId="4" borderId="123" xfId="0" applyNumberFormat="1" applyFill="1" applyBorder="1" applyAlignment="1">
      <alignment horizontal="center" vertical="center"/>
    </xf>
    <xf numFmtId="0" fontId="0" fillId="0" borderId="0" xfId="0" applyAlignment="1">
      <alignment horizontal="right" indent="1"/>
    </xf>
    <xf numFmtId="1" fontId="0" fillId="4" borderId="12" xfId="0" applyNumberFormat="1" applyFont="1" applyFill="1" applyBorder="1" applyAlignment="1">
      <alignment horizontal="right" indent="1"/>
    </xf>
    <xf numFmtId="0" fontId="0" fillId="4" borderId="222" xfId="0" applyFill="1" applyBorder="1" applyAlignment="1">
      <alignment horizontal="center"/>
    </xf>
    <xf numFmtId="0" fontId="0" fillId="4" borderId="223" xfId="0" applyFill="1" applyBorder="1" applyAlignment="1">
      <alignment horizontal="center"/>
    </xf>
    <xf numFmtId="0" fontId="0" fillId="4" borderId="224" xfId="0" applyFill="1" applyBorder="1" applyAlignment="1">
      <alignment horizontal="center"/>
    </xf>
    <xf numFmtId="0" fontId="0" fillId="4" borderId="225" xfId="0" applyFill="1" applyBorder="1" applyAlignment="1">
      <alignment horizontal="center"/>
    </xf>
    <xf numFmtId="0" fontId="0" fillId="4" borderId="141" xfId="0" applyFill="1" applyBorder="1" applyAlignment="1">
      <alignment horizontal="center"/>
    </xf>
    <xf numFmtId="170" fontId="0" fillId="4" borderId="12" xfId="0" applyNumberFormat="1" applyFont="1" applyFill="1" applyBorder="1" applyAlignment="1">
      <alignment horizontal="right" indent="1"/>
    </xf>
    <xf numFmtId="166" fontId="10" fillId="4" borderId="0" xfId="0" applyNumberFormat="1" applyFont="1" applyFill="1" applyBorder="1" applyAlignment="1">
      <alignment horizontal="center" vertical="center" wrapText="1"/>
    </xf>
    <xf numFmtId="166" fontId="10" fillId="4" borderId="15" xfId="0" applyNumberFormat="1" applyFont="1" applyFill="1" applyBorder="1" applyAlignment="1">
      <alignment horizontal="center" vertical="center" wrapText="1"/>
    </xf>
    <xf numFmtId="170" fontId="0" fillId="4" borderId="13" xfId="0" applyNumberFormat="1" applyFont="1" applyFill="1" applyBorder="1" applyAlignment="1">
      <alignment horizontal="right" indent="1"/>
    </xf>
    <xf numFmtId="166" fontId="0" fillId="4" borderId="11" xfId="0" applyNumberFormat="1" applyFill="1" applyBorder="1" applyAlignment="1">
      <alignment horizontal="right" indent="1"/>
    </xf>
    <xf numFmtId="166" fontId="0" fillId="4" borderId="13" xfId="0" applyNumberFormat="1" applyFill="1" applyBorder="1" applyAlignment="1">
      <alignment horizontal="right" indent="1"/>
    </xf>
    <xf numFmtId="166" fontId="0" fillId="4" borderId="208" xfId="0" applyNumberFormat="1" applyFill="1" applyBorder="1" applyAlignment="1">
      <alignment horizontal="right" indent="1"/>
    </xf>
    <xf numFmtId="171" fontId="0" fillId="4" borderId="15" xfId="0" applyNumberFormat="1" applyFill="1" applyBorder="1" applyAlignment="1">
      <alignment horizontal="right"/>
    </xf>
    <xf numFmtId="169" fontId="0" fillId="0" borderId="0" xfId="0" applyNumberFormat="1"/>
    <xf numFmtId="0" fontId="3" fillId="4" borderId="209" xfId="0" applyFont="1" applyFill="1" applyBorder="1" applyAlignment="1">
      <alignment horizontal="center"/>
    </xf>
    <xf numFmtId="0" fontId="0" fillId="0" borderId="228" xfId="0" applyBorder="1"/>
    <xf numFmtId="4" fontId="0" fillId="0" borderId="194" xfId="0" applyNumberFormat="1" applyFill="1" applyBorder="1" applyAlignment="1">
      <alignment horizontal="right" indent="1"/>
    </xf>
    <xf numFmtId="3" fontId="0" fillId="0" borderId="194" xfId="0" applyNumberFormat="1" applyFill="1" applyBorder="1" applyAlignment="1">
      <alignment horizontal="center" vertical="center"/>
    </xf>
    <xf numFmtId="0" fontId="0" fillId="0" borderId="194" xfId="0" applyFill="1" applyBorder="1" applyAlignment="1">
      <alignment horizontal="center"/>
    </xf>
    <xf numFmtId="0" fontId="0" fillId="0" borderId="194" xfId="0" applyFill="1" applyBorder="1"/>
    <xf numFmtId="0" fontId="0" fillId="4" borderId="231" xfId="0" applyFill="1" applyBorder="1" applyAlignment="1">
      <alignment horizontal="center"/>
    </xf>
    <xf numFmtId="0" fontId="0" fillId="0" borderId="215" xfId="0" applyBorder="1"/>
    <xf numFmtId="166" fontId="0" fillId="4" borderId="205" xfId="0" applyNumberFormat="1" applyFill="1" applyBorder="1" applyAlignment="1">
      <alignment horizontal="right" indent="1"/>
    </xf>
    <xf numFmtId="166" fontId="0" fillId="4" borderId="209" xfId="0" applyNumberFormat="1" applyFill="1" applyBorder="1" applyAlignment="1">
      <alignment horizontal="right" indent="1"/>
    </xf>
    <xf numFmtId="166" fontId="0" fillId="4" borderId="224" xfId="0" applyNumberFormat="1" applyFill="1" applyBorder="1" applyAlignment="1">
      <alignment horizontal="right" indent="1"/>
    </xf>
    <xf numFmtId="0" fontId="0" fillId="4" borderId="230" xfId="0" applyFill="1" applyBorder="1"/>
    <xf numFmtId="0" fontId="0" fillId="4" borderId="178" xfId="0" applyFill="1" applyBorder="1"/>
    <xf numFmtId="0" fontId="0" fillId="4" borderId="242" xfId="0" applyFill="1" applyBorder="1" applyAlignment="1">
      <alignment horizontal="center"/>
    </xf>
    <xf numFmtId="0" fontId="0" fillId="4" borderId="232" xfId="0" applyFill="1" applyBorder="1" applyAlignment="1">
      <alignment horizontal="center"/>
    </xf>
    <xf numFmtId="0" fontId="0" fillId="4" borderId="237" xfId="0" applyFill="1" applyBorder="1"/>
    <xf numFmtId="0" fontId="0" fillId="4" borderId="238" xfId="0" applyFill="1" applyBorder="1" applyAlignment="1">
      <alignment horizontal="center"/>
    </xf>
    <xf numFmtId="0" fontId="6" fillId="4" borderId="239" xfId="0" applyFont="1" applyFill="1" applyBorder="1" applyAlignment="1">
      <alignment horizontal="center"/>
    </xf>
    <xf numFmtId="169" fontId="0" fillId="4" borderId="233" xfId="0" applyNumberFormat="1" applyFill="1" applyBorder="1" applyAlignment="1">
      <alignment horizontal="right" indent="1"/>
    </xf>
    <xf numFmtId="169" fontId="0" fillId="4" borderId="234" xfId="0" applyNumberFormat="1" applyFill="1" applyBorder="1" applyAlignment="1">
      <alignment horizontal="right" indent="1"/>
    </xf>
    <xf numFmtId="169" fontId="0" fillId="4" borderId="235" xfId="0" applyNumberFormat="1" applyFill="1" applyBorder="1" applyAlignment="1">
      <alignment horizontal="right" indent="1"/>
    </xf>
    <xf numFmtId="0" fontId="6" fillId="4" borderId="24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9" fontId="0" fillId="4" borderId="118" xfId="0" applyNumberFormat="1" applyFill="1" applyBorder="1" applyAlignment="1">
      <alignment horizontal="right" indent="1"/>
    </xf>
    <xf numFmtId="169" fontId="0" fillId="4" borderId="181" xfId="0" applyNumberFormat="1" applyFill="1" applyBorder="1" applyAlignment="1">
      <alignment horizontal="right" indent="1"/>
    </xf>
    <xf numFmtId="0" fontId="6" fillId="4" borderId="241" xfId="0" applyFont="1" applyFill="1" applyBorder="1" applyAlignment="1">
      <alignment horizontal="center"/>
    </xf>
    <xf numFmtId="169" fontId="0" fillId="4" borderId="120" xfId="0" applyNumberFormat="1" applyFill="1" applyBorder="1" applyAlignment="1"/>
    <xf numFmtId="169" fontId="0" fillId="4" borderId="123" xfId="0" applyNumberFormat="1" applyFill="1" applyBorder="1" applyAlignment="1"/>
    <xf numFmtId="169" fontId="0" fillId="4" borderId="119" xfId="0" applyNumberFormat="1" applyFill="1" applyBorder="1" applyAlignment="1"/>
    <xf numFmtId="169" fontId="0" fillId="4" borderId="16" xfId="0" applyNumberFormat="1" applyFill="1" applyBorder="1" applyAlignment="1"/>
    <xf numFmtId="169" fontId="0" fillId="4" borderId="110" xfId="0" applyNumberFormat="1" applyFill="1" applyBorder="1" applyAlignment="1"/>
    <xf numFmtId="169" fontId="0" fillId="4" borderId="210" xfId="0" applyNumberFormat="1" applyFill="1" applyBorder="1" applyAlignment="1"/>
    <xf numFmtId="169" fontId="0" fillId="4" borderId="212" xfId="0" applyNumberFormat="1" applyFill="1" applyBorder="1" applyAlignment="1"/>
    <xf numFmtId="169" fontId="0" fillId="4" borderId="11" xfId="0" applyNumberFormat="1" applyFill="1" applyBorder="1" applyAlignment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0" fillId="4" borderId="10" xfId="0" applyFill="1" applyBorder="1"/>
    <xf numFmtId="0" fontId="0" fillId="4" borderId="108" xfId="0" applyFill="1" applyBorder="1"/>
    <xf numFmtId="0" fontId="0" fillId="4" borderId="14" xfId="0" applyFill="1" applyBorder="1"/>
    <xf numFmtId="0" fontId="0" fillId="4" borderId="17" xfId="0" applyFill="1" applyBorder="1"/>
    <xf numFmtId="0" fontId="0" fillId="4" borderId="133" xfId="0" applyFill="1" applyBorder="1"/>
    <xf numFmtId="0" fontId="0" fillId="4" borderId="123" xfId="0" applyFill="1" applyBorder="1" applyAlignment="1">
      <alignment horizontal="center"/>
    </xf>
    <xf numFmtId="0" fontId="0" fillId="4" borderId="178" xfId="0" applyFill="1" applyBorder="1" applyAlignment="1">
      <alignment horizontal="center"/>
    </xf>
    <xf numFmtId="0" fontId="0" fillId="4" borderId="179" xfId="0" applyFill="1" applyBorder="1" applyAlignment="1">
      <alignment horizontal="center"/>
    </xf>
    <xf numFmtId="0" fontId="2" fillId="12" borderId="243" xfId="0" applyFont="1" applyFill="1" applyBorder="1" applyAlignment="1">
      <alignment horizontal="center" vertical="center" wrapText="1"/>
    </xf>
    <xf numFmtId="0" fontId="2" fillId="12" borderId="246" xfId="0" applyFont="1" applyFill="1" applyBorder="1" applyAlignment="1">
      <alignment horizontal="center" vertical="center" wrapText="1"/>
    </xf>
    <xf numFmtId="0" fontId="0" fillId="0" borderId="249" xfId="0" applyBorder="1"/>
    <xf numFmtId="0" fontId="12" fillId="12" borderId="246" xfId="0" applyFont="1" applyFill="1" applyBorder="1" applyAlignment="1">
      <alignment horizontal="center" vertical="center" wrapText="1"/>
    </xf>
    <xf numFmtId="0" fontId="0" fillId="0" borderId="251" xfId="0" applyBorder="1"/>
    <xf numFmtId="0" fontId="6" fillId="4" borderId="256" xfId="0" applyFont="1" applyFill="1" applyBorder="1" applyAlignment="1">
      <alignment horizontal="center" vertical="center"/>
    </xf>
    <xf numFmtId="0" fontId="0" fillId="4" borderId="257" xfId="0" applyFill="1" applyBorder="1" applyAlignment="1">
      <alignment horizontal="center"/>
    </xf>
    <xf numFmtId="0" fontId="2" fillId="4" borderId="258" xfId="0" applyFont="1" applyFill="1" applyBorder="1" applyAlignment="1">
      <alignment horizontal="center" vertical="center" wrapText="1"/>
    </xf>
    <xf numFmtId="0" fontId="2" fillId="4" borderId="259" xfId="0" applyFont="1" applyFill="1" applyBorder="1" applyAlignment="1">
      <alignment horizontal="center" vertical="center" wrapText="1"/>
    </xf>
    <xf numFmtId="0" fontId="22" fillId="4" borderId="259" xfId="0" applyFont="1" applyFill="1" applyBorder="1" applyAlignment="1">
      <alignment horizontal="center"/>
    </xf>
    <xf numFmtId="0" fontId="10" fillId="4" borderId="259" xfId="0" applyFont="1" applyFill="1" applyBorder="1" applyAlignment="1">
      <alignment horizontal="center"/>
    </xf>
    <xf numFmtId="0" fontId="0" fillId="4" borderId="259" xfId="0" applyFill="1" applyBorder="1" applyAlignment="1">
      <alignment horizontal="center"/>
    </xf>
    <xf numFmtId="0" fontId="0" fillId="4" borderId="260" xfId="0" applyFill="1" applyBorder="1" applyAlignment="1">
      <alignment horizontal="center"/>
    </xf>
    <xf numFmtId="0" fontId="0" fillId="4" borderId="256" xfId="0" applyFill="1" applyBorder="1" applyAlignment="1">
      <alignment horizontal="center"/>
    </xf>
    <xf numFmtId="3" fontId="0" fillId="4" borderId="12" xfId="0" applyNumberFormat="1" applyFont="1" applyFill="1" applyBorder="1" applyAlignment="1">
      <alignment horizontal="center" vertical="center"/>
    </xf>
    <xf numFmtId="3" fontId="0" fillId="4" borderId="257" xfId="0" applyNumberFormat="1" applyFont="1" applyFill="1" applyBorder="1" applyAlignment="1">
      <alignment horizontal="center" vertical="center"/>
    </xf>
    <xf numFmtId="0" fontId="2" fillId="4" borderId="263" xfId="0" applyFont="1" applyFill="1" applyBorder="1" applyAlignment="1">
      <alignment vertical="center" wrapText="1"/>
    </xf>
    <xf numFmtId="0" fontId="2" fillId="4" borderId="265" xfId="0" applyFont="1" applyFill="1" applyBorder="1" applyAlignment="1">
      <alignment vertical="center" wrapText="1"/>
    </xf>
    <xf numFmtId="0" fontId="2" fillId="4" borderId="264" xfId="0" applyFont="1" applyFill="1" applyBorder="1" applyAlignment="1">
      <alignment vertical="center" wrapText="1"/>
    </xf>
    <xf numFmtId="2" fontId="0" fillId="4" borderId="256" xfId="0" applyNumberFormat="1" applyFont="1" applyFill="1" applyBorder="1" applyAlignment="1">
      <alignment horizontal="right" vertical="center" wrapText="1" indent="1"/>
    </xf>
    <xf numFmtId="2" fontId="0" fillId="4" borderId="261" xfId="0" applyNumberFormat="1" applyFont="1" applyFill="1" applyBorder="1" applyAlignment="1">
      <alignment horizontal="right" vertical="center" wrapText="1" indent="1"/>
    </xf>
    <xf numFmtId="2" fontId="0" fillId="4" borderId="262" xfId="0" applyNumberFormat="1" applyFont="1" applyFill="1" applyBorder="1" applyAlignment="1">
      <alignment horizontal="right" vertical="center" wrapText="1" indent="1"/>
    </xf>
    <xf numFmtId="2" fontId="0" fillId="4" borderId="121" xfId="0" applyNumberFormat="1" applyFont="1" applyFill="1" applyBorder="1" applyAlignment="1">
      <alignment horizontal="right" vertical="center" wrapText="1" indent="1"/>
    </xf>
    <xf numFmtId="2" fontId="0" fillId="4" borderId="15" xfId="0" applyNumberFormat="1" applyFont="1" applyFill="1" applyBorder="1" applyAlignment="1">
      <alignment horizontal="right" vertical="center" wrapText="1" indent="1"/>
    </xf>
    <xf numFmtId="2" fontId="0" fillId="4" borderId="10" xfId="0" applyNumberFormat="1" applyFont="1" applyFill="1" applyBorder="1" applyAlignment="1">
      <alignment horizontal="right" vertical="center" wrapText="1" indent="1"/>
    </xf>
    <xf numFmtId="170" fontId="0" fillId="4" borderId="12" xfId="0" applyNumberFormat="1" applyFont="1" applyFill="1" applyBorder="1" applyAlignment="1">
      <alignment horizontal="right" vertical="center" wrapText="1" indent="1"/>
    </xf>
    <xf numFmtId="169" fontId="0" fillId="4" borderId="10" xfId="0" applyNumberFormat="1" applyFont="1" applyFill="1" applyBorder="1" applyAlignment="1">
      <alignment horizontal="right" indent="1"/>
    </xf>
    <xf numFmtId="2" fontId="0" fillId="4" borderId="257" xfId="0" applyNumberFormat="1" applyFont="1" applyFill="1" applyBorder="1" applyAlignment="1">
      <alignment horizontal="center"/>
    </xf>
    <xf numFmtId="0" fontId="0" fillId="0" borderId="0" xfId="0" applyProtection="1"/>
    <xf numFmtId="0" fontId="12" fillId="3" borderId="23" xfId="0" applyFont="1" applyFill="1" applyBorder="1" applyAlignment="1" applyProtection="1">
      <alignment horizontal="center" vertical="center" wrapText="1"/>
    </xf>
    <xf numFmtId="0" fontId="2" fillId="3" borderId="23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 wrapText="1"/>
    </xf>
    <xf numFmtId="0" fontId="0" fillId="2" borderId="51" xfId="0" applyFill="1" applyBorder="1" applyAlignment="1" applyProtection="1">
      <alignment horizontal="center"/>
    </xf>
    <xf numFmtId="0" fontId="10" fillId="4" borderId="32" xfId="0" applyFont="1" applyFill="1" applyBorder="1" applyAlignment="1" applyProtection="1">
      <alignment horizontal="center"/>
    </xf>
    <xf numFmtId="0" fontId="0" fillId="4" borderId="17" xfId="0" applyFill="1" applyBorder="1" applyAlignment="1" applyProtection="1">
      <alignment horizontal="center"/>
    </xf>
    <xf numFmtId="3" fontId="0" fillId="4" borderId="13" xfId="0" applyNumberFormat="1" applyFill="1" applyBorder="1" applyAlignment="1" applyProtection="1">
      <alignment horizontal="center" vertical="center"/>
    </xf>
    <xf numFmtId="0" fontId="0" fillId="4" borderId="33" xfId="0" applyFill="1" applyBorder="1" applyAlignment="1" applyProtection="1">
      <alignment horizontal="center"/>
    </xf>
    <xf numFmtId="0" fontId="0" fillId="0" borderId="0" xfId="0" applyAlignment="1" applyProtection="1"/>
    <xf numFmtId="0" fontId="0" fillId="4" borderId="34" xfId="0" applyFill="1" applyBorder="1" applyAlignment="1" applyProtection="1">
      <alignment horizontal="center"/>
    </xf>
    <xf numFmtId="0" fontId="0" fillId="4" borderId="10" xfId="0" applyFill="1" applyBorder="1" applyAlignment="1" applyProtection="1">
      <alignment horizontal="center"/>
    </xf>
    <xf numFmtId="3" fontId="0" fillId="4" borderId="12" xfId="0" applyNumberFormat="1" applyFill="1" applyBorder="1" applyAlignment="1" applyProtection="1">
      <alignment horizontal="center" vertical="center"/>
    </xf>
    <xf numFmtId="0" fontId="0" fillId="4" borderId="35" xfId="0" applyFill="1" applyBorder="1" applyAlignment="1" applyProtection="1">
      <alignment horizontal="center"/>
    </xf>
    <xf numFmtId="0" fontId="4" fillId="0" borderId="0" xfId="0" applyFont="1" applyProtection="1"/>
    <xf numFmtId="0" fontId="10" fillId="4" borderId="35" xfId="0" applyFont="1" applyFill="1" applyBorder="1" applyAlignment="1" applyProtection="1">
      <alignment horizontal="center"/>
    </xf>
    <xf numFmtId="0" fontId="0" fillId="4" borderId="12" xfId="0" applyFill="1" applyBorder="1" applyAlignment="1" applyProtection="1">
      <alignment horizontal="center"/>
    </xf>
    <xf numFmtId="0" fontId="0" fillId="4" borderId="111" xfId="0" applyFill="1" applyBorder="1" applyAlignment="1" applyProtection="1">
      <alignment horizontal="center"/>
    </xf>
    <xf numFmtId="0" fontId="0" fillId="4" borderId="36" xfId="0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 vertical="center"/>
    </xf>
    <xf numFmtId="0" fontId="0" fillId="4" borderId="37" xfId="0" applyFill="1" applyBorder="1" applyAlignment="1" applyProtection="1">
      <alignment horizontal="center"/>
    </xf>
    <xf numFmtId="0" fontId="0" fillId="4" borderId="32" xfId="0" applyFill="1" applyBorder="1" applyAlignment="1" applyProtection="1">
      <alignment horizontal="center"/>
    </xf>
    <xf numFmtId="0" fontId="0" fillId="4" borderId="13" xfId="0" applyFill="1" applyBorder="1" applyAlignment="1" applyProtection="1">
      <alignment horizontal="center"/>
    </xf>
    <xf numFmtId="4" fontId="0" fillId="4" borderId="14" xfId="0" applyNumberFormat="1" applyFill="1" applyBorder="1" applyAlignment="1" applyProtection="1">
      <alignment horizontal="right" indent="1"/>
    </xf>
    <xf numFmtId="4" fontId="0" fillId="4" borderId="15" xfId="0" applyNumberFormat="1" applyFill="1" applyBorder="1" applyAlignment="1" applyProtection="1">
      <alignment horizontal="right" indent="1"/>
    </xf>
    <xf numFmtId="0" fontId="0" fillId="4" borderId="12" xfId="0" applyFill="1" applyBorder="1" applyAlignment="1" applyProtection="1">
      <alignment horizontal="center" vertical="center"/>
    </xf>
    <xf numFmtId="2" fontId="0" fillId="0" borderId="0" xfId="0" applyNumberFormat="1" applyProtection="1"/>
    <xf numFmtId="0" fontId="8" fillId="4" borderId="35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71" fontId="0" fillId="4" borderId="15" xfId="0" applyNumberFormat="1" applyFill="1" applyBorder="1" applyAlignment="1" applyProtection="1">
      <alignment horizontal="right" indent="1"/>
    </xf>
    <xf numFmtId="0" fontId="9" fillId="4" borderId="38" xfId="0" applyFont="1" applyFill="1" applyBorder="1" applyAlignment="1" applyProtection="1">
      <alignment horizontal="center"/>
    </xf>
    <xf numFmtId="0" fontId="9" fillId="4" borderId="48" xfId="0" applyFont="1" applyFill="1" applyBorder="1" applyAlignment="1" applyProtection="1">
      <alignment horizontal="center"/>
    </xf>
    <xf numFmtId="4" fontId="8" fillId="4" borderId="53" xfId="0" applyNumberFormat="1" applyFont="1" applyFill="1" applyBorder="1" applyAlignment="1" applyProtection="1">
      <alignment horizontal="center" vertical="center"/>
    </xf>
    <xf numFmtId="3" fontId="0" fillId="4" borderId="48" xfId="0" applyNumberFormat="1" applyFill="1" applyBorder="1" applyAlignment="1" applyProtection="1">
      <alignment horizontal="center" vertical="center"/>
    </xf>
    <xf numFmtId="0" fontId="0" fillId="4" borderId="50" xfId="0" applyFill="1" applyBorder="1" applyAlignment="1" applyProtection="1">
      <alignment horizontal="center"/>
    </xf>
    <xf numFmtId="0" fontId="0" fillId="0" borderId="0" xfId="0" applyFill="1" applyBorder="1" applyProtection="1"/>
    <xf numFmtId="0" fontId="0" fillId="0" borderId="0" xfId="0" applyFill="1" applyProtection="1"/>
    <xf numFmtId="0" fontId="0" fillId="0" borderId="0" xfId="0" applyFill="1" applyAlignment="1" applyProtection="1">
      <alignment horizontal="right" vertical="center" readingOrder="1"/>
    </xf>
    <xf numFmtId="0" fontId="4" fillId="0" borderId="0" xfId="0" applyFont="1" applyFill="1" applyProtection="1"/>
    <xf numFmtId="0" fontId="10" fillId="0" borderId="0" xfId="0" applyFont="1" applyProtection="1"/>
    <xf numFmtId="0" fontId="2" fillId="5" borderId="112" xfId="0" applyFont="1" applyFill="1" applyBorder="1" applyAlignment="1" applyProtection="1">
      <alignment horizontal="center" wrapText="1"/>
      <protection locked="0"/>
    </xf>
    <xf numFmtId="4" fontId="0" fillId="5" borderId="14" xfId="0" applyNumberFormat="1" applyFill="1" applyBorder="1" applyAlignment="1" applyProtection="1">
      <alignment horizontal="right" indent="1"/>
      <protection locked="0"/>
    </xf>
    <xf numFmtId="4" fontId="0" fillId="5" borderId="15" xfId="0" applyNumberFormat="1" applyFill="1" applyBorder="1" applyAlignment="1" applyProtection="1">
      <alignment horizontal="right" indent="1"/>
      <protection locked="0"/>
    </xf>
    <xf numFmtId="4" fontId="0" fillId="5" borderId="48" xfId="0" applyNumberFormat="1" applyFill="1" applyBorder="1" applyAlignment="1" applyProtection="1">
      <alignment horizontal="right" indent="1"/>
      <protection locked="0"/>
    </xf>
    <xf numFmtId="4" fontId="0" fillId="5" borderId="12" xfId="0" applyNumberFormat="1" applyFill="1" applyBorder="1" applyAlignment="1" applyProtection="1">
      <alignment horizontal="right" indent="1"/>
      <protection locked="0"/>
    </xf>
    <xf numFmtId="3" fontId="0" fillId="5" borderId="15" xfId="0" applyNumberFormat="1" applyFill="1" applyBorder="1" applyAlignment="1" applyProtection="1">
      <alignment horizontal="right" indent="1"/>
      <protection locked="0"/>
    </xf>
    <xf numFmtId="3" fontId="0" fillId="5" borderId="16" xfId="0" applyNumberFormat="1" applyFill="1" applyBorder="1" applyAlignment="1" applyProtection="1">
      <alignment horizontal="right" indent="1"/>
      <protection locked="0"/>
    </xf>
    <xf numFmtId="4" fontId="0" fillId="5" borderId="16" xfId="0" applyNumberFormat="1" applyFill="1" applyBorder="1" applyAlignment="1" applyProtection="1">
      <alignment horizontal="right" indent="1"/>
      <protection locked="0"/>
    </xf>
    <xf numFmtId="0" fontId="2" fillId="5" borderId="62" xfId="0" applyFont="1" applyFill="1" applyBorder="1" applyAlignment="1" applyProtection="1">
      <alignment horizontal="center" wrapText="1"/>
      <protection locked="0"/>
    </xf>
    <xf numFmtId="4" fontId="0" fillId="8" borderId="98" xfId="0" applyNumberFormat="1" applyFill="1" applyBorder="1" applyAlignment="1" applyProtection="1">
      <alignment horizontal="right" indent="1"/>
      <protection locked="0"/>
    </xf>
    <xf numFmtId="4" fontId="0" fillId="8" borderId="95" xfId="0" applyNumberFormat="1" applyFill="1" applyBorder="1" applyAlignment="1" applyProtection="1">
      <alignment horizontal="right" indent="1"/>
      <protection locked="0"/>
    </xf>
    <xf numFmtId="4" fontId="0" fillId="8" borderId="12" xfId="0" applyNumberFormat="1" applyFill="1" applyBorder="1" applyAlignment="1" applyProtection="1">
      <alignment horizontal="right" indent="1"/>
      <protection locked="0"/>
    </xf>
    <xf numFmtId="3" fontId="0" fillId="8" borderId="13" xfId="0" applyNumberFormat="1" applyFill="1" applyBorder="1" applyAlignment="1" applyProtection="1">
      <alignment horizontal="right" indent="1"/>
      <protection locked="0"/>
    </xf>
    <xf numFmtId="4" fontId="0" fillId="8" borderId="13" xfId="0" applyNumberFormat="1" applyFill="1" applyBorder="1" applyAlignment="1" applyProtection="1">
      <alignment horizontal="right" indent="1"/>
      <protection locked="0"/>
    </xf>
    <xf numFmtId="4" fontId="0" fillId="8" borderId="11" xfId="0" applyNumberFormat="1" applyFill="1" applyBorder="1" applyAlignment="1" applyProtection="1">
      <alignment horizontal="right" indent="1"/>
      <protection locked="0"/>
    </xf>
    <xf numFmtId="166" fontId="0" fillId="8" borderId="208" xfId="0" applyNumberFormat="1" applyFill="1" applyBorder="1" applyAlignment="1" applyProtection="1">
      <alignment horizontal="right" vertical="center" indent="1"/>
      <protection locked="0"/>
    </xf>
    <xf numFmtId="166" fontId="0" fillId="8" borderId="201" xfId="0" applyNumberFormat="1" applyFill="1" applyBorder="1" applyAlignment="1" applyProtection="1">
      <alignment horizontal="right" vertical="center" indent="1"/>
      <protection locked="0"/>
    </xf>
    <xf numFmtId="2" fontId="10" fillId="8" borderId="0" xfId="0" applyNumberFormat="1" applyFont="1" applyFill="1" applyAlignment="1" applyProtection="1">
      <alignment horizontal="right" indent="1"/>
      <protection locked="0"/>
    </xf>
    <xf numFmtId="2" fontId="0" fillId="8" borderId="13" xfId="0" applyNumberFormat="1" applyFill="1" applyBorder="1" applyAlignment="1" applyProtection="1">
      <alignment horizontal="right" vertical="center" indent="1"/>
      <protection locked="0"/>
    </xf>
    <xf numFmtId="169" fontId="0" fillId="8" borderId="209" xfId="0" applyNumberForma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3" fontId="0" fillId="8" borderId="13" xfId="0" applyNumberFormat="1" applyFont="1" applyFill="1" applyBorder="1" applyAlignment="1" applyProtection="1">
      <alignment horizontal="center"/>
      <protection locked="0"/>
    </xf>
    <xf numFmtId="3" fontId="0" fillId="8" borderId="12" xfId="0" applyNumberFormat="1" applyFont="1" applyFill="1" applyBorder="1" applyAlignment="1" applyProtection="1">
      <alignment horizontal="center"/>
      <protection locked="0"/>
    </xf>
    <xf numFmtId="2" fontId="0" fillId="8" borderId="12" xfId="0" applyNumberFormat="1" applyFont="1" applyFill="1" applyBorder="1" applyAlignment="1" applyProtection="1">
      <alignment horizontal="right" indent="1"/>
      <protection locked="0"/>
    </xf>
    <xf numFmtId="2" fontId="10" fillId="8" borderId="15" xfId="0" applyNumberFormat="1" applyFont="1" applyFill="1" applyBorder="1" applyAlignment="1" applyProtection="1">
      <alignment horizontal="right" vertical="center" wrapText="1" indent="1"/>
      <protection locked="0"/>
    </xf>
    <xf numFmtId="2" fontId="10" fillId="8" borderId="12" xfId="0" applyNumberFormat="1" applyFont="1" applyFill="1" applyBorder="1" applyAlignment="1" applyProtection="1">
      <alignment horizontal="right" vertical="center" wrapText="1" indent="1"/>
      <protection locked="0"/>
    </xf>
    <xf numFmtId="2" fontId="0" fillId="8" borderId="11" xfId="0" applyNumberFormat="1" applyFont="1" applyFill="1" applyBorder="1" applyAlignment="1" applyProtection="1">
      <alignment horizontal="right" indent="1"/>
      <protection locked="0"/>
    </xf>
    <xf numFmtId="166" fontId="0" fillId="8" borderId="128" xfId="0" applyNumberFormat="1" applyFill="1" applyBorder="1" applyAlignment="1">
      <alignment horizontal="right" indent="1"/>
    </xf>
    <xf numFmtId="166" fontId="0" fillId="8" borderId="13" xfId="0" applyNumberFormat="1" applyFill="1" applyBorder="1" applyAlignment="1">
      <alignment horizontal="right" indent="1"/>
    </xf>
    <xf numFmtId="166" fontId="0" fillId="8" borderId="17" xfId="0" applyNumberFormat="1" applyFill="1" applyBorder="1" applyAlignment="1">
      <alignment horizontal="right" indent="1"/>
    </xf>
    <xf numFmtId="166" fontId="0" fillId="8" borderId="15" xfId="0" applyNumberFormat="1" applyFill="1" applyBorder="1" applyAlignment="1">
      <alignment horizontal="right" indent="1"/>
    </xf>
    <xf numFmtId="166" fontId="0" fillId="8" borderId="121" xfId="0" applyNumberFormat="1" applyFill="1" applyBorder="1" applyAlignment="1">
      <alignment horizontal="right" indent="1"/>
    </xf>
    <xf numFmtId="166" fontId="0" fillId="8" borderId="12" xfId="0" applyNumberFormat="1" applyFill="1" applyBorder="1" applyAlignment="1">
      <alignment horizontal="right" indent="1"/>
    </xf>
    <xf numFmtId="166" fontId="0" fillId="8" borderId="10" xfId="0" applyNumberFormat="1" applyFill="1" applyBorder="1" applyAlignment="1">
      <alignment horizontal="right" indent="1"/>
    </xf>
    <xf numFmtId="166" fontId="0" fillId="8" borderId="16" xfId="0" applyNumberFormat="1" applyFill="1" applyBorder="1" applyAlignment="1">
      <alignment horizontal="right" indent="1"/>
    </xf>
    <xf numFmtId="166" fontId="0" fillId="8" borderId="119" xfId="0" applyNumberFormat="1" applyFill="1" applyBorder="1" applyAlignment="1">
      <alignment horizontal="right" indent="1"/>
    </xf>
    <xf numFmtId="166" fontId="0" fillId="8" borderId="11" xfId="0" applyNumberFormat="1" applyFill="1" applyBorder="1" applyAlignment="1">
      <alignment horizontal="right" indent="1"/>
    </xf>
    <xf numFmtId="166" fontId="0" fillId="8" borderId="110" xfId="0" applyNumberFormat="1" applyFill="1" applyBorder="1" applyAlignment="1">
      <alignment horizontal="right" indent="1"/>
    </xf>
    <xf numFmtId="166" fontId="0" fillId="8" borderId="14" xfId="0" applyNumberFormat="1" applyFill="1" applyBorder="1" applyAlignment="1">
      <alignment horizontal="right" indent="1"/>
    </xf>
    <xf numFmtId="1" fontId="0" fillId="8" borderId="12" xfId="0" applyNumberFormat="1" applyFill="1" applyBorder="1" applyAlignment="1">
      <alignment horizontal="right" indent="1"/>
    </xf>
    <xf numFmtId="166" fontId="0" fillId="8" borderId="141" xfId="0" applyNumberFormat="1" applyFill="1" applyBorder="1" applyAlignment="1">
      <alignment horizontal="right" indent="1"/>
    </xf>
    <xf numFmtId="166" fontId="0" fillId="8" borderId="140" xfId="0" applyNumberFormat="1" applyFill="1" applyBorder="1" applyAlignment="1">
      <alignment horizontal="right" indent="1"/>
    </xf>
    <xf numFmtId="166" fontId="0" fillId="8" borderId="142" xfId="0" applyNumberFormat="1" applyFill="1" applyBorder="1" applyAlignment="1">
      <alignment horizontal="right" indent="1"/>
    </xf>
    <xf numFmtId="0" fontId="0" fillId="0" borderId="0" xfId="0"/>
    <xf numFmtId="0" fontId="10" fillId="8" borderId="0" xfId="0" applyFont="1" applyFill="1" applyAlignment="1">
      <alignment horizontal="right" indent="1"/>
    </xf>
    <xf numFmtId="1" fontId="0" fillId="8" borderId="209" xfId="0" applyNumberFormat="1" applyFill="1" applyBorder="1" applyAlignment="1">
      <alignment horizontal="right" vertical="center" indent="1"/>
    </xf>
    <xf numFmtId="0" fontId="0" fillId="0" borderId="0" xfId="0"/>
    <xf numFmtId="0" fontId="10" fillId="0" borderId="0" xfId="0" applyFont="1" applyFill="1" applyAlignment="1">
      <alignment horizontal="center"/>
    </xf>
    <xf numFmtId="1" fontId="0" fillId="8" borderId="13" xfId="0" applyNumberFormat="1" applyFill="1" applyBorder="1" applyAlignment="1">
      <alignment horizontal="right" vertical="center" indent="1"/>
    </xf>
    <xf numFmtId="172" fontId="0" fillId="8" borderId="209" xfId="0" applyNumberFormat="1" applyFill="1" applyBorder="1" applyAlignment="1" applyProtection="1">
      <alignment horizontal="right" vertical="center" indent="1"/>
      <protection locked="0"/>
    </xf>
    <xf numFmtId="0" fontId="0" fillId="0" borderId="0" xfId="0" applyFill="1" applyBorder="1" applyAlignment="1">
      <alignment horizontal="left" wrapText="1"/>
    </xf>
    <xf numFmtId="0" fontId="20" fillId="3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25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10" fillId="0" borderId="0" xfId="0" applyFont="1" applyFill="1" applyAlignment="1">
      <alignment horizontal="left" wrapText="1"/>
    </xf>
    <xf numFmtId="0" fontId="0" fillId="0" borderId="0" xfId="0" applyFill="1" applyAlignment="1" applyProtection="1">
      <alignment horizontal="left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0" fillId="0" borderId="0" xfId="0" applyFill="1" applyProtection="1"/>
    <xf numFmtId="0" fontId="4" fillId="0" borderId="0" xfId="0" applyFont="1" applyAlignment="1" applyProtection="1">
      <alignment horizontal="left"/>
    </xf>
    <xf numFmtId="0" fontId="0" fillId="4" borderId="3" xfId="0" applyFill="1" applyBorder="1"/>
    <xf numFmtId="0" fontId="0" fillId="4" borderId="1" xfId="0" applyFill="1" applyBorder="1"/>
    <xf numFmtId="0" fontId="0" fillId="4" borderId="7" xfId="0" applyFill="1" applyBorder="1"/>
    <xf numFmtId="0" fontId="14" fillId="0" borderId="0" xfId="0" applyFont="1" applyFill="1" applyAlignment="1" applyProtection="1">
      <alignment horizontal="right"/>
    </xf>
    <xf numFmtId="0" fontId="10" fillId="4" borderId="39" xfId="0" applyFont="1" applyFill="1" applyBorder="1"/>
    <xf numFmtId="0" fontId="10" fillId="4" borderId="40" xfId="0" applyFont="1" applyFill="1" applyBorder="1"/>
    <xf numFmtId="0" fontId="10" fillId="4" borderId="41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4" xfId="0" applyFill="1" applyBorder="1"/>
    <xf numFmtId="0" fontId="0" fillId="4" borderId="2" xfId="0" applyFill="1" applyBorder="1"/>
    <xf numFmtId="0" fontId="0" fillId="4" borderId="8" xfId="0" applyFill="1" applyBorder="1"/>
    <xf numFmtId="0" fontId="0" fillId="4" borderId="3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13" fillId="3" borderId="26" xfId="0" applyFont="1" applyFill="1" applyBorder="1" applyAlignment="1" applyProtection="1">
      <alignment horizontal="center" vertical="center" wrapText="1" shrinkToFit="1"/>
    </xf>
    <xf numFmtId="0" fontId="13" fillId="3" borderId="27" xfId="0" applyFont="1" applyFill="1" applyBorder="1" applyAlignment="1" applyProtection="1">
      <alignment horizontal="center" vertical="center" wrapText="1" shrinkToFit="1"/>
    </xf>
    <xf numFmtId="0" fontId="13" fillId="3" borderId="28" xfId="0" applyFont="1" applyFill="1" applyBorder="1" applyAlignment="1" applyProtection="1">
      <alignment horizontal="center" vertical="center" wrapText="1" shrinkToFit="1"/>
    </xf>
    <xf numFmtId="0" fontId="12" fillId="3" borderId="26" xfId="0" applyFont="1" applyFill="1" applyBorder="1" applyAlignment="1" applyProtection="1">
      <alignment horizontal="center" vertical="center" wrapText="1"/>
    </xf>
    <xf numFmtId="0" fontId="12" fillId="3" borderId="27" xfId="0" applyFont="1" applyFill="1" applyBorder="1" applyAlignment="1" applyProtection="1">
      <alignment horizontal="center" vertical="center" wrapText="1"/>
    </xf>
    <xf numFmtId="0" fontId="12" fillId="3" borderId="28" xfId="0" applyFont="1" applyFill="1" applyBorder="1" applyAlignment="1" applyProtection="1">
      <alignment horizontal="center" vertical="center" wrapText="1"/>
    </xf>
    <xf numFmtId="0" fontId="0" fillId="4" borderId="3" xfId="0" applyFill="1" applyBorder="1" applyProtection="1"/>
    <xf numFmtId="0" fontId="0" fillId="4" borderId="1" xfId="0" applyFill="1" applyBorder="1" applyProtection="1"/>
    <xf numFmtId="0" fontId="0" fillId="4" borderId="7" xfId="0" applyFill="1" applyBorder="1" applyProtection="1"/>
    <xf numFmtId="0" fontId="10" fillId="4" borderId="4" xfId="0" applyFont="1" applyFill="1" applyBorder="1" applyProtection="1"/>
    <xf numFmtId="0" fontId="10" fillId="4" borderId="2" xfId="0" applyFont="1" applyFill="1" applyBorder="1" applyProtection="1"/>
    <xf numFmtId="0" fontId="10" fillId="4" borderId="8" xfId="0" applyFont="1" applyFill="1" applyBorder="1" applyProtection="1"/>
    <xf numFmtId="0" fontId="0" fillId="4" borderId="4" xfId="0" applyFill="1" applyBorder="1" applyProtection="1"/>
    <xf numFmtId="0" fontId="0" fillId="4" borderId="2" xfId="0" applyFill="1" applyBorder="1" applyProtection="1"/>
    <xf numFmtId="0" fontId="0" fillId="4" borderId="8" xfId="0" applyFill="1" applyBorder="1" applyProtection="1"/>
    <xf numFmtId="0" fontId="12" fillId="2" borderId="24" xfId="0" applyFont="1" applyFill="1" applyBorder="1" applyAlignment="1" applyProtection="1">
      <alignment horizontal="center" vertical="center" wrapText="1"/>
    </xf>
    <xf numFmtId="0" fontId="12" fillId="2" borderId="25" xfId="0" applyFont="1" applyFill="1" applyBorder="1" applyAlignment="1" applyProtection="1">
      <alignment horizontal="center" vertical="center" wrapText="1"/>
    </xf>
    <xf numFmtId="0" fontId="12" fillId="2" borderId="31" xfId="0" applyFont="1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left"/>
    </xf>
    <xf numFmtId="0" fontId="0" fillId="4" borderId="1" xfId="0" applyFill="1" applyBorder="1" applyAlignment="1" applyProtection="1">
      <alignment horizontal="left"/>
    </xf>
    <xf numFmtId="0" fontId="0" fillId="4" borderId="7" xfId="0" applyFill="1" applyBorder="1" applyAlignment="1" applyProtection="1">
      <alignment horizontal="left"/>
    </xf>
    <xf numFmtId="0" fontId="10" fillId="4" borderId="45" xfId="0" applyFont="1" applyFill="1" applyBorder="1" applyProtection="1"/>
    <xf numFmtId="0" fontId="10" fillId="4" borderId="46" xfId="0" applyFont="1" applyFill="1" applyBorder="1" applyProtection="1"/>
    <xf numFmtId="0" fontId="10" fillId="4" borderId="47" xfId="0" applyFont="1" applyFill="1" applyBorder="1" applyProtection="1"/>
    <xf numFmtId="0" fontId="0" fillId="4" borderId="5" xfId="0" applyFill="1" applyBorder="1" applyProtection="1"/>
    <xf numFmtId="0" fontId="0" fillId="4" borderId="6" xfId="0" applyFill="1" applyBorder="1" applyProtection="1"/>
    <xf numFmtId="0" fontId="0" fillId="4" borderId="9" xfId="0" applyFill="1" applyBorder="1" applyProtection="1"/>
    <xf numFmtId="0" fontId="2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4" borderId="45" xfId="0" applyFont="1" applyFill="1" applyBorder="1"/>
    <xf numFmtId="0" fontId="10" fillId="4" borderId="46" xfId="0" applyFont="1" applyFill="1" applyBorder="1"/>
    <xf numFmtId="0" fontId="10" fillId="4" borderId="47" xfId="0" applyFont="1" applyFill="1" applyBorder="1"/>
    <xf numFmtId="0" fontId="12" fillId="2" borderId="24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 wrapText="1"/>
    </xf>
    <xf numFmtId="0" fontId="12" fillId="2" borderId="31" xfId="0" applyFont="1" applyFill="1" applyBorder="1" applyAlignment="1">
      <alignment horizontal="center" vertical="center" wrapText="1"/>
    </xf>
    <xf numFmtId="0" fontId="10" fillId="4" borderId="4" xfId="0" applyFont="1" applyFill="1" applyBorder="1"/>
    <xf numFmtId="0" fontId="10" fillId="4" borderId="2" xfId="0" applyFont="1" applyFill="1" applyBorder="1"/>
    <xf numFmtId="0" fontId="10" fillId="4" borderId="8" xfId="0" applyFont="1" applyFill="1" applyBorder="1"/>
    <xf numFmtId="0" fontId="2" fillId="0" borderId="0" xfId="0" applyFont="1" applyAlignment="1">
      <alignment horizontal="center"/>
    </xf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/>
    <xf numFmtId="0" fontId="0" fillId="0" borderId="0" xfId="0" applyAlignment="1">
      <alignment horizontal="left"/>
    </xf>
    <xf numFmtId="0" fontId="10" fillId="4" borderId="73" xfId="0" applyFont="1" applyFill="1" applyBorder="1"/>
    <xf numFmtId="0" fontId="10" fillId="4" borderId="74" xfId="0" applyFont="1" applyFill="1" applyBorder="1"/>
    <xf numFmtId="0" fontId="10" fillId="4" borderId="75" xfId="0" applyFont="1" applyFill="1" applyBorder="1"/>
    <xf numFmtId="0" fontId="14" fillId="0" borderId="0" xfId="0" applyFont="1" applyFill="1" applyAlignment="1">
      <alignment horizontal="right"/>
    </xf>
    <xf numFmtId="0" fontId="4" fillId="0" borderId="0" xfId="0" applyFont="1" applyAlignment="1">
      <alignment horizontal="left"/>
    </xf>
    <xf numFmtId="0" fontId="12" fillId="2" borderId="54" xfId="0" applyFont="1" applyFill="1" applyBorder="1" applyAlignment="1">
      <alignment horizontal="center" vertical="center" wrapText="1"/>
    </xf>
    <xf numFmtId="0" fontId="12" fillId="2" borderId="55" xfId="0" applyFont="1" applyFill="1" applyBorder="1" applyAlignment="1">
      <alignment horizontal="center" vertical="center" wrapText="1"/>
    </xf>
    <xf numFmtId="0" fontId="12" fillId="2" borderId="64" xfId="0" applyFont="1" applyFill="1" applyBorder="1" applyAlignment="1">
      <alignment horizontal="center" vertical="center" wrapText="1"/>
    </xf>
    <xf numFmtId="0" fontId="13" fillId="6" borderId="59" xfId="0" applyFont="1" applyFill="1" applyBorder="1" applyAlignment="1">
      <alignment horizontal="center" vertical="center" wrapText="1" shrinkToFit="1"/>
    </xf>
    <xf numFmtId="0" fontId="13" fillId="6" borderId="60" xfId="0" applyFont="1" applyFill="1" applyBorder="1" applyAlignment="1">
      <alignment horizontal="center" vertical="center" wrapText="1" shrinkToFit="1"/>
    </xf>
    <xf numFmtId="0" fontId="13" fillId="6" borderId="61" xfId="0" applyFont="1" applyFill="1" applyBorder="1" applyAlignment="1">
      <alignment horizontal="center" vertical="center" wrapText="1" shrinkToFit="1"/>
    </xf>
    <xf numFmtId="0" fontId="12" fillId="6" borderId="56" xfId="0" applyFont="1" applyFill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 wrapText="1"/>
    </xf>
    <xf numFmtId="0" fontId="12" fillId="6" borderId="2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91" xfId="0" applyFill="1" applyBorder="1"/>
    <xf numFmtId="0" fontId="0" fillId="4" borderId="82" xfId="0" applyFill="1" applyBorder="1"/>
    <xf numFmtId="0" fontId="0" fillId="4" borderId="94" xfId="0" applyFill="1" applyBorder="1"/>
    <xf numFmtId="0" fontId="15" fillId="7" borderId="85" xfId="0" applyFont="1" applyFill="1" applyBorder="1" applyAlignment="1">
      <alignment horizontal="center" vertical="center"/>
    </xf>
    <xf numFmtId="0" fontId="15" fillId="7" borderId="84" xfId="0" applyFont="1" applyFill="1" applyBorder="1" applyAlignment="1">
      <alignment horizontal="center" vertical="center"/>
    </xf>
    <xf numFmtId="0" fontId="15" fillId="7" borderId="88" xfId="0" applyFont="1" applyFill="1" applyBorder="1" applyAlignment="1">
      <alignment horizontal="center" vertical="center"/>
    </xf>
    <xf numFmtId="0" fontId="0" fillId="4" borderId="104" xfId="0" applyFill="1" applyBorder="1"/>
    <xf numFmtId="0" fontId="0" fillId="4" borderId="15" xfId="0" applyFill="1" applyBorder="1"/>
    <xf numFmtId="0" fontId="0" fillId="4" borderId="10" xfId="0" applyFill="1" applyBorder="1"/>
    <xf numFmtId="0" fontId="0" fillId="4" borderId="108" xfId="0" applyFill="1" applyBorder="1"/>
    <xf numFmtId="0" fontId="0" fillId="4" borderId="14" xfId="0" applyFill="1" applyBorder="1"/>
    <xf numFmtId="0" fontId="12" fillId="7" borderId="89" xfId="0" applyFont="1" applyFill="1" applyBorder="1" applyAlignment="1">
      <alignment horizontal="center" vertical="center" wrapText="1"/>
    </xf>
    <xf numFmtId="0" fontId="12" fillId="7" borderId="81" xfId="0" applyFont="1" applyFill="1" applyBorder="1" applyAlignment="1">
      <alignment horizontal="center" vertical="center" wrapText="1"/>
    </xf>
    <xf numFmtId="0" fontId="12" fillId="7" borderId="83" xfId="0" applyFont="1" applyFill="1" applyBorder="1" applyAlignment="1">
      <alignment horizontal="center" vertical="center" wrapText="1"/>
    </xf>
    <xf numFmtId="0" fontId="0" fillId="4" borderId="105" xfId="0" applyFill="1" applyBorder="1"/>
    <xf numFmtId="0" fontId="0" fillId="4" borderId="100" xfId="0" applyFill="1" applyBorder="1"/>
    <xf numFmtId="0" fontId="0" fillId="4" borderId="97" xfId="0" applyFill="1" applyBorder="1"/>
    <xf numFmtId="0" fontId="0" fillId="4" borderId="101" xfId="0" applyFill="1" applyBorder="1"/>
    <xf numFmtId="0" fontId="0" fillId="4" borderId="86" xfId="0" applyFill="1" applyBorder="1"/>
    <xf numFmtId="0" fontId="0" fillId="4" borderId="0" xfId="0" applyFill="1" applyBorder="1"/>
    <xf numFmtId="0" fontId="0" fillId="4" borderId="93" xfId="0" applyFill="1" applyBorder="1"/>
    <xf numFmtId="0" fontId="14" fillId="0" borderId="0" xfId="0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0" fontId="0" fillId="4" borderId="176" xfId="0" applyFill="1" applyBorder="1"/>
    <xf numFmtId="0" fontId="0" fillId="4" borderId="199" xfId="0" applyFill="1" applyBorder="1" applyAlignment="1">
      <alignment horizontal="left" vertical="center"/>
    </xf>
    <xf numFmtId="0" fontId="0" fillId="4" borderId="200" xfId="0" applyFill="1" applyBorder="1" applyAlignment="1">
      <alignment horizontal="left" vertical="center"/>
    </xf>
    <xf numFmtId="0" fontId="0" fillId="4" borderId="205" xfId="0" applyFill="1" applyBorder="1" applyAlignment="1">
      <alignment horizontal="left" vertical="center"/>
    </xf>
    <xf numFmtId="0" fontId="0" fillId="4" borderId="233" xfId="0" applyFill="1" applyBorder="1" applyAlignment="1">
      <alignment horizontal="left"/>
    </xf>
    <xf numFmtId="0" fontId="0" fillId="4" borderId="236" xfId="0" applyFill="1" applyBorder="1" applyAlignment="1">
      <alignment horizontal="left"/>
    </xf>
    <xf numFmtId="169" fontId="9" fillId="0" borderId="0" xfId="0" applyNumberFormat="1" applyFont="1" applyAlignment="1">
      <alignment horizontal="center" vertical="top"/>
    </xf>
    <xf numFmtId="0" fontId="0" fillId="0" borderId="0" xfId="0" applyFill="1" applyBorder="1" applyAlignment="1">
      <alignment horizontal="left"/>
    </xf>
    <xf numFmtId="0" fontId="0" fillId="4" borderId="206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8" xfId="0" applyFill="1" applyBorder="1" applyAlignment="1">
      <alignment horizontal="left" vertical="center" wrapText="1"/>
    </xf>
    <xf numFmtId="0" fontId="0" fillId="4" borderId="14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207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10" xfId="0" applyFill="1" applyBorder="1" applyAlignment="1">
      <alignment horizontal="left" vertical="center"/>
    </xf>
    <xf numFmtId="0" fontId="0" fillId="4" borderId="0" xfId="0" applyFill="1" applyBorder="1" applyAlignment="1">
      <alignment horizontal="left"/>
    </xf>
    <xf numFmtId="0" fontId="0" fillId="4" borderId="93" xfId="0" applyFill="1" applyBorder="1" applyAlignment="1">
      <alignment horizontal="left"/>
    </xf>
    <xf numFmtId="0" fontId="0" fillId="4" borderId="193" xfId="0" applyFill="1" applyBorder="1" applyAlignment="1">
      <alignment horizontal="left" vertical="center"/>
    </xf>
    <xf numFmtId="0" fontId="0" fillId="4" borderId="14" xfId="0" applyFill="1" applyBorder="1" applyAlignment="1">
      <alignment horizontal="left" vertical="center"/>
    </xf>
    <xf numFmtId="0" fontId="0" fillId="4" borderId="17" xfId="0" applyFill="1" applyBorder="1" applyAlignment="1">
      <alignment horizontal="left" vertical="center"/>
    </xf>
    <xf numFmtId="0" fontId="0" fillId="4" borderId="124" xfId="0" applyFill="1" applyBorder="1" applyAlignment="1">
      <alignment horizontal="left"/>
    </xf>
    <xf numFmtId="0" fontId="0" fillId="4" borderId="122" xfId="0" applyFill="1" applyBorder="1" applyAlignment="1">
      <alignment horizontal="left"/>
    </xf>
    <xf numFmtId="0" fontId="0" fillId="4" borderId="210" xfId="0" applyFill="1" applyBorder="1" applyAlignment="1">
      <alignment horizontal="center"/>
    </xf>
    <xf numFmtId="0" fontId="0" fillId="4" borderId="201" xfId="0" applyFill="1" applyBorder="1" applyAlignment="1">
      <alignment horizontal="center"/>
    </xf>
    <xf numFmtId="0" fontId="0" fillId="4" borderId="212" xfId="0" applyFill="1" applyBorder="1" applyAlignment="1">
      <alignment horizontal="center"/>
    </xf>
    <xf numFmtId="0" fontId="0" fillId="4" borderId="202" xfId="0" applyFill="1" applyBorder="1" applyAlignment="1">
      <alignment horizontal="left" vertical="center" wrapText="1"/>
    </xf>
    <xf numFmtId="0" fontId="0" fillId="4" borderId="203" xfId="0" applyFill="1" applyBorder="1" applyAlignment="1">
      <alignment horizontal="left" vertical="center" wrapText="1"/>
    </xf>
    <xf numFmtId="0" fontId="0" fillId="4" borderId="204" xfId="0" applyFill="1" applyBorder="1" applyAlignment="1">
      <alignment horizontal="left" vertical="center" wrapText="1"/>
    </xf>
    <xf numFmtId="0" fontId="0" fillId="4" borderId="186" xfId="0" applyFill="1" applyBorder="1" applyAlignment="1">
      <alignment horizontal="center"/>
    </xf>
    <xf numFmtId="0" fontId="0" fillId="4" borderId="123" xfId="0" applyFill="1" applyBorder="1" applyAlignment="1">
      <alignment horizontal="center"/>
    </xf>
    <xf numFmtId="0" fontId="0" fillId="4" borderId="178" xfId="0" applyFill="1" applyBorder="1" applyAlignment="1">
      <alignment horizontal="center"/>
    </xf>
    <xf numFmtId="0" fontId="0" fillId="4" borderId="179" xfId="0" applyFill="1" applyBorder="1" applyAlignment="1">
      <alignment horizontal="center"/>
    </xf>
    <xf numFmtId="0" fontId="15" fillId="11" borderId="228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5" fillId="11" borderId="229" xfId="0" applyFont="1" applyFill="1" applyBorder="1" applyAlignment="1">
      <alignment horizontal="center" vertical="center"/>
    </xf>
    <xf numFmtId="0" fontId="15" fillId="11" borderId="215" xfId="0" applyFont="1" applyFill="1" applyBorder="1" applyAlignment="1">
      <alignment horizontal="center" vertical="center"/>
    </xf>
    <xf numFmtId="0" fontId="15" fillId="11" borderId="194" xfId="0" applyFont="1" applyFill="1" applyBorder="1" applyAlignment="1">
      <alignment horizontal="center" vertical="center"/>
    </xf>
    <xf numFmtId="0" fontId="15" fillId="11" borderId="216" xfId="0" applyFont="1" applyFill="1" applyBorder="1" applyAlignment="1">
      <alignment horizontal="center" vertical="center"/>
    </xf>
    <xf numFmtId="0" fontId="0" fillId="0" borderId="211" xfId="0" applyBorder="1" applyAlignment="1">
      <alignment horizontal="left" vertical="top"/>
    </xf>
    <xf numFmtId="0" fontId="15" fillId="11" borderId="195" xfId="0" applyFont="1" applyFill="1" applyBorder="1" applyAlignment="1">
      <alignment horizontal="center" vertical="center"/>
    </xf>
    <xf numFmtId="0" fontId="15" fillId="11" borderId="196" xfId="0" applyFont="1" applyFill="1" applyBorder="1" applyAlignment="1">
      <alignment horizontal="center" vertical="center"/>
    </xf>
    <xf numFmtId="0" fontId="15" fillId="11" borderId="197" xfId="0" applyFont="1" applyFill="1" applyBorder="1" applyAlignment="1">
      <alignment horizontal="center" vertical="center"/>
    </xf>
    <xf numFmtId="3" fontId="0" fillId="4" borderId="118" xfId="0" applyNumberFormat="1" applyFont="1" applyFill="1" applyBorder="1" applyAlignment="1">
      <alignment horizontal="center" vertical="center"/>
    </xf>
    <xf numFmtId="3" fontId="0" fillId="4" borderId="157" xfId="0" applyNumberFormat="1" applyFont="1" applyFill="1" applyBorder="1" applyAlignment="1">
      <alignment horizontal="center" vertical="center"/>
    </xf>
    <xf numFmtId="0" fontId="0" fillId="4" borderId="151" xfId="0" applyFont="1" applyFill="1" applyBorder="1"/>
    <xf numFmtId="0" fontId="0" fillId="4" borderId="1" xfId="0" applyFont="1" applyFill="1" applyBorder="1"/>
    <xf numFmtId="0" fontId="0" fillId="4" borderId="7" xfId="0" applyFont="1" applyFill="1" applyBorder="1"/>
    <xf numFmtId="0" fontId="0" fillId="4" borderId="151" xfId="0" applyFill="1" applyBorder="1"/>
    <xf numFmtId="0" fontId="0" fillId="4" borderId="152" xfId="0" applyFont="1" applyFill="1" applyBorder="1"/>
    <xf numFmtId="0" fontId="0" fillId="4" borderId="6" xfId="0" applyFont="1" applyFill="1" applyBorder="1"/>
    <xf numFmtId="0" fontId="0" fillId="4" borderId="9" xfId="0" applyFont="1" applyFill="1" applyBorder="1"/>
    <xf numFmtId="0" fontId="8" fillId="4" borderId="3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0" fillId="4" borderId="102" xfId="0" applyFill="1" applyBorder="1"/>
    <xf numFmtId="0" fontId="2" fillId="4" borderId="118" xfId="0" applyFont="1" applyFill="1" applyBorder="1" applyAlignment="1">
      <alignment horizontal="center"/>
    </xf>
    <xf numFmtId="0" fontId="2" fillId="4" borderId="124" xfId="0" applyFont="1" applyFill="1" applyBorder="1" applyAlignment="1">
      <alignment horizontal="center"/>
    </xf>
    <xf numFmtId="0" fontId="2" fillId="4" borderId="122" xfId="0" applyFont="1" applyFill="1" applyBorder="1" applyAlignment="1">
      <alignment horizontal="center"/>
    </xf>
    <xf numFmtId="0" fontId="0" fillId="4" borderId="221" xfId="0" applyFill="1" applyBorder="1" applyAlignment="1">
      <alignment horizontal="left"/>
    </xf>
    <xf numFmtId="0" fontId="0" fillId="4" borderId="123" xfId="0" applyFill="1" applyBorder="1" applyAlignment="1">
      <alignment horizontal="left"/>
    </xf>
    <xf numFmtId="0" fontId="0" fillId="4" borderId="215" xfId="0" applyFill="1" applyBorder="1" applyAlignment="1">
      <alignment horizontal="left"/>
    </xf>
    <xf numFmtId="0" fontId="0" fillId="4" borderId="218" xfId="0" applyFill="1" applyBorder="1" applyAlignment="1">
      <alignment horizontal="left"/>
    </xf>
    <xf numFmtId="0" fontId="0" fillId="4" borderId="199" xfId="0" applyFill="1" applyBorder="1" applyAlignment="1">
      <alignment horizontal="left"/>
    </xf>
    <xf numFmtId="0" fontId="0" fillId="4" borderId="20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4" borderId="110" xfId="0" applyFill="1" applyBorder="1" applyAlignment="1">
      <alignment horizontal="left"/>
    </xf>
    <xf numFmtId="0" fontId="0" fillId="4" borderId="191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201" xfId="0" applyFill="1" applyBorder="1" applyAlignment="1">
      <alignment horizontal="left"/>
    </xf>
    <xf numFmtId="0" fontId="0" fillId="4" borderId="212" xfId="0" applyFill="1" applyBorder="1" applyAlignment="1">
      <alignment horizontal="left"/>
    </xf>
    <xf numFmtId="0" fontId="0" fillId="4" borderId="158" xfId="0" applyFont="1" applyFill="1" applyBorder="1"/>
    <xf numFmtId="0" fontId="0" fillId="4" borderId="125" xfId="0" applyFont="1" applyFill="1" applyBorder="1"/>
    <xf numFmtId="0" fontId="0" fillId="4" borderId="117" xfId="0" applyFont="1" applyFill="1" applyBorder="1"/>
    <xf numFmtId="0" fontId="12" fillId="10" borderId="168" xfId="0" applyFont="1" applyFill="1" applyBorder="1" applyAlignment="1">
      <alignment horizontal="center" vertical="center" wrapText="1"/>
    </xf>
    <xf numFmtId="0" fontId="12" fillId="10" borderId="169" xfId="0" applyFont="1" applyFill="1" applyBorder="1" applyAlignment="1">
      <alignment horizontal="center" vertical="center" wrapText="1"/>
    </xf>
    <xf numFmtId="0" fontId="12" fillId="10" borderId="170" xfId="0" applyFont="1" applyFill="1" applyBorder="1" applyAlignment="1">
      <alignment horizontal="center" vertical="center" wrapText="1"/>
    </xf>
    <xf numFmtId="0" fontId="12" fillId="10" borderId="171" xfId="0" applyFont="1" applyFill="1" applyBorder="1" applyAlignment="1">
      <alignment horizontal="center" vertical="center" wrapText="1"/>
    </xf>
    <xf numFmtId="0" fontId="12" fillId="10" borderId="21" xfId="0" applyFont="1" applyFill="1" applyBorder="1" applyAlignment="1">
      <alignment horizontal="center" vertical="center" wrapText="1"/>
    </xf>
    <xf numFmtId="0" fontId="12" fillId="10" borderId="22" xfId="0" applyFont="1" applyFill="1" applyBorder="1" applyAlignment="1">
      <alignment horizontal="center" vertical="center" wrapText="1"/>
    </xf>
    <xf numFmtId="0" fontId="2" fillId="4" borderId="164" xfId="0" applyFont="1" applyFill="1" applyBorder="1" applyAlignment="1">
      <alignment horizontal="center" vertical="center" wrapText="1"/>
    </xf>
    <xf numFmtId="0" fontId="2" fillId="4" borderId="165" xfId="0" applyFont="1" applyFill="1" applyBorder="1" applyAlignment="1">
      <alignment horizontal="center" vertical="center" wrapText="1"/>
    </xf>
    <xf numFmtId="0" fontId="2" fillId="4" borderId="166" xfId="0" applyFont="1" applyFill="1" applyBorder="1" applyAlignment="1">
      <alignment horizontal="center" vertical="center" wrapText="1"/>
    </xf>
    <xf numFmtId="0" fontId="20" fillId="4" borderId="156" xfId="0" applyFont="1" applyFill="1" applyBorder="1" applyAlignment="1">
      <alignment horizontal="center"/>
    </xf>
    <xf numFmtId="0" fontId="20" fillId="4" borderId="124" xfId="0" applyFont="1" applyFill="1" applyBorder="1" applyAlignment="1">
      <alignment horizontal="center"/>
    </xf>
    <xf numFmtId="0" fontId="2" fillId="4" borderId="156" xfId="0" applyFont="1" applyFill="1" applyBorder="1" applyAlignment="1">
      <alignment horizontal="center"/>
    </xf>
    <xf numFmtId="0" fontId="20" fillId="4" borderId="118" xfId="0" applyFont="1" applyFill="1" applyBorder="1" applyAlignment="1">
      <alignment horizontal="center"/>
    </xf>
    <xf numFmtId="0" fontId="20" fillId="4" borderId="122" xfId="0" applyFont="1" applyFill="1" applyBorder="1" applyAlignment="1">
      <alignment horizontal="center"/>
    </xf>
    <xf numFmtId="0" fontId="10" fillId="0" borderId="0" xfId="0" applyFont="1" applyFill="1" applyAlignment="1">
      <alignment wrapText="1"/>
    </xf>
    <xf numFmtId="0" fontId="21" fillId="4" borderId="118" xfId="0" applyFont="1" applyFill="1" applyBorder="1" applyAlignment="1">
      <alignment horizontal="center"/>
    </xf>
    <xf numFmtId="0" fontId="21" fillId="4" borderId="157" xfId="0" applyFont="1" applyFill="1" applyBorder="1" applyAlignment="1">
      <alignment horizontal="center"/>
    </xf>
    <xf numFmtId="0" fontId="2" fillId="4" borderId="173" xfId="0" applyFont="1" applyFill="1" applyBorder="1" applyAlignment="1">
      <alignment horizontal="center" vertical="center" wrapText="1"/>
    </xf>
    <xf numFmtId="0" fontId="2" fillId="4" borderId="174" xfId="0" applyFont="1" applyFill="1" applyBorder="1" applyAlignment="1">
      <alignment horizontal="center" vertical="center" wrapText="1"/>
    </xf>
    <xf numFmtId="0" fontId="0" fillId="4" borderId="102" xfId="0" applyFont="1" applyFill="1" applyBorder="1"/>
    <xf numFmtId="0" fontId="0" fillId="4" borderId="118" xfId="0" applyFont="1" applyFill="1" applyBorder="1" applyAlignment="1">
      <alignment horizontal="center"/>
    </xf>
    <xf numFmtId="0" fontId="0" fillId="4" borderId="157" xfId="0" applyFont="1" applyFill="1" applyBorder="1" applyAlignment="1">
      <alignment horizontal="center"/>
    </xf>
    <xf numFmtId="0" fontId="0" fillId="4" borderId="152" xfId="0" applyFill="1" applyBorder="1"/>
    <xf numFmtId="0" fontId="0" fillId="4" borderId="150" xfId="0" applyFill="1" applyBorder="1"/>
    <xf numFmtId="0" fontId="0" fillId="4" borderId="2" xfId="0" applyFont="1" applyFill="1" applyBorder="1"/>
    <xf numFmtId="0" fontId="0" fillId="4" borderId="113" xfId="0" applyFont="1" applyFill="1" applyBorder="1"/>
    <xf numFmtId="0" fontId="10" fillId="2" borderId="154" xfId="0" applyFont="1" applyFill="1" applyBorder="1" applyAlignment="1">
      <alignment horizontal="center"/>
    </xf>
    <xf numFmtId="0" fontId="10" fillId="2" borderId="115" xfId="0" applyFont="1" applyFill="1" applyBorder="1" applyAlignment="1">
      <alignment horizontal="center"/>
    </xf>
    <xf numFmtId="0" fontId="10" fillId="2" borderId="126" xfId="0" applyFont="1" applyFill="1" applyBorder="1" applyAlignment="1">
      <alignment horizontal="center"/>
    </xf>
    <xf numFmtId="0" fontId="0" fillId="4" borderId="185" xfId="0" applyFill="1" applyBorder="1"/>
    <xf numFmtId="2" fontId="0" fillId="4" borderId="121" xfId="0" applyNumberFormat="1" applyFont="1" applyFill="1" applyBorder="1" applyAlignment="1">
      <alignment horizontal="center"/>
    </xf>
    <xf numFmtId="2" fontId="0" fillId="4" borderId="15" xfId="0" applyNumberFormat="1" applyFont="1" applyFill="1" applyBorder="1" applyAlignment="1">
      <alignment horizontal="center"/>
    </xf>
    <xf numFmtId="2" fontId="0" fillId="4" borderId="10" xfId="0" applyNumberFormat="1" applyFont="1" applyFill="1" applyBorder="1" applyAlignment="1">
      <alignment horizontal="center"/>
    </xf>
    <xf numFmtId="0" fontId="0" fillId="4" borderId="132" xfId="0" applyFill="1" applyBorder="1"/>
    <xf numFmtId="0" fontId="0" fillId="4" borderId="17" xfId="0" applyFill="1" applyBorder="1"/>
    <xf numFmtId="0" fontId="0" fillId="4" borderId="133" xfId="0" applyFill="1" applyBorder="1"/>
    <xf numFmtId="0" fontId="0" fillId="4" borderId="135" xfId="0" applyFill="1" applyBorder="1"/>
    <xf numFmtId="0" fontId="0" fillId="4" borderId="110" xfId="0" applyFill="1" applyBorder="1"/>
    <xf numFmtId="0" fontId="0" fillId="4" borderId="139" xfId="0" applyFill="1" applyBorder="1"/>
    <xf numFmtId="0" fontId="0" fillId="4" borderId="140" xfId="0" applyFill="1" applyBorder="1"/>
    <xf numFmtId="0" fontId="15" fillId="10" borderId="162" xfId="0" applyFont="1" applyFill="1" applyBorder="1" applyAlignment="1">
      <alignment horizontal="center" vertical="center"/>
    </xf>
    <xf numFmtId="0" fontId="15" fillId="10" borderId="163" xfId="0" applyFont="1" applyFill="1" applyBorder="1" applyAlignment="1">
      <alignment horizontal="center" vertical="center"/>
    </xf>
    <xf numFmtId="0" fontId="15" fillId="10" borderId="167" xfId="0" applyFont="1" applyFill="1" applyBorder="1" applyAlignment="1">
      <alignment horizontal="center" vertical="center"/>
    </xf>
    <xf numFmtId="0" fontId="0" fillId="0" borderId="190" xfId="0" applyBorder="1" applyAlignment="1">
      <alignment horizontal="left"/>
    </xf>
    <xf numFmtId="0" fontId="0" fillId="4" borderId="8" xfId="0" applyFont="1" applyFill="1" applyBorder="1"/>
    <xf numFmtId="0" fontId="15" fillId="9" borderId="130" xfId="0" applyFont="1" applyFill="1" applyBorder="1" applyAlignment="1">
      <alignment horizontal="center" vertical="center"/>
    </xf>
    <xf numFmtId="0" fontId="15" fillId="9" borderId="129" xfId="0" applyFont="1" applyFill="1" applyBorder="1" applyAlignment="1">
      <alignment horizontal="center" vertical="center"/>
    </xf>
    <xf numFmtId="0" fontId="15" fillId="9" borderId="144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right"/>
    </xf>
    <xf numFmtId="0" fontId="0" fillId="4" borderId="158" xfId="0" applyFill="1" applyBorder="1"/>
    <xf numFmtId="0" fontId="0" fillId="9" borderId="145" xfId="0" applyFill="1" applyBorder="1" applyAlignment="1">
      <alignment horizontal="right"/>
    </xf>
    <xf numFmtId="0" fontId="0" fillId="9" borderId="147" xfId="0" applyFill="1" applyBorder="1" applyAlignment="1">
      <alignment horizontal="right"/>
    </xf>
    <xf numFmtId="0" fontId="0" fillId="9" borderId="146" xfId="0" applyFill="1" applyBorder="1" applyAlignment="1">
      <alignment horizontal="right"/>
    </xf>
    <xf numFmtId="0" fontId="0" fillId="4" borderId="114" xfId="0" applyFont="1" applyFill="1" applyBorder="1"/>
    <xf numFmtId="0" fontId="0" fillId="4" borderId="118" xfId="0" applyFill="1" applyBorder="1" applyAlignment="1">
      <alignment horizontal="center"/>
    </xf>
    <xf numFmtId="0" fontId="0" fillId="4" borderId="157" xfId="0" applyFill="1" applyBorder="1" applyAlignment="1">
      <alignment horizontal="center"/>
    </xf>
    <xf numFmtId="0" fontId="0" fillId="4" borderId="187" xfId="0" applyFill="1" applyBorder="1" applyAlignment="1">
      <alignment horizontal="left"/>
    </xf>
    <xf numFmtId="0" fontId="0" fillId="4" borderId="188" xfId="0" applyFill="1" applyBorder="1" applyAlignment="1">
      <alignment horizontal="left"/>
    </xf>
    <xf numFmtId="0" fontId="0" fillId="4" borderId="189" xfId="0" applyFill="1" applyBorder="1" applyAlignment="1">
      <alignment horizontal="left"/>
    </xf>
    <xf numFmtId="2" fontId="0" fillId="4" borderId="120" xfId="0" applyNumberFormat="1" applyFont="1" applyFill="1" applyBorder="1" applyAlignment="1">
      <alignment horizontal="center"/>
    </xf>
    <xf numFmtId="2" fontId="0" fillId="4" borderId="186" xfId="0" applyNumberFormat="1" applyFont="1" applyFill="1" applyBorder="1" applyAlignment="1">
      <alignment horizontal="center"/>
    </xf>
    <xf numFmtId="2" fontId="0" fillId="4" borderId="123" xfId="0" applyNumberFormat="1" applyFont="1" applyFill="1" applyBorder="1" applyAlignment="1">
      <alignment horizontal="center"/>
    </xf>
    <xf numFmtId="0" fontId="0" fillId="4" borderId="185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14" fillId="0" borderId="0" xfId="0" applyFont="1" applyAlignment="1">
      <alignment horizontal="right"/>
    </xf>
    <xf numFmtId="2" fontId="0" fillId="4" borderId="118" xfId="0" applyNumberFormat="1" applyFont="1" applyFill="1" applyBorder="1" applyAlignment="1">
      <alignment horizontal="center"/>
    </xf>
    <xf numFmtId="2" fontId="0" fillId="4" borderId="124" xfId="0" applyNumberFormat="1" applyFont="1" applyFill="1" applyBorder="1" applyAlignment="1">
      <alignment horizontal="center"/>
    </xf>
    <xf numFmtId="2" fontId="0" fillId="4" borderId="122" xfId="0" applyNumberFormat="1" applyFont="1" applyFill="1" applyBorder="1" applyAlignment="1">
      <alignment horizontal="center"/>
    </xf>
    <xf numFmtId="0" fontId="0" fillId="4" borderId="226" xfId="0" applyFill="1" applyBorder="1"/>
    <xf numFmtId="0" fontId="0" fillId="4" borderId="227" xfId="0" applyFill="1" applyBorder="1"/>
    <xf numFmtId="0" fontId="0" fillId="4" borderId="183" xfId="0" applyFill="1" applyBorder="1"/>
    <xf numFmtId="0" fontId="0" fillId="4" borderId="254" xfId="0" applyFill="1" applyBorder="1"/>
    <xf numFmtId="0" fontId="0" fillId="4" borderId="254" xfId="0" applyFont="1" applyFill="1" applyBorder="1"/>
    <xf numFmtId="0" fontId="0" fillId="4" borderId="255" xfId="0" applyFont="1" applyFill="1" applyBorder="1"/>
    <xf numFmtId="0" fontId="15" fillId="12" borderId="247" xfId="0" applyFont="1" applyFill="1" applyBorder="1" applyAlignment="1">
      <alignment horizontal="center" vertical="center"/>
    </xf>
    <xf numFmtId="0" fontId="15" fillId="12" borderId="244" xfId="0" applyFont="1" applyFill="1" applyBorder="1" applyAlignment="1">
      <alignment horizontal="center" vertical="center"/>
    </xf>
    <xf numFmtId="0" fontId="15" fillId="12" borderId="250" xfId="0" applyFont="1" applyFill="1" applyBorder="1" applyAlignment="1">
      <alignment horizontal="center" vertical="center"/>
    </xf>
    <xf numFmtId="0" fontId="12" fillId="12" borderId="245" xfId="0" applyFont="1" applyFill="1" applyBorder="1" applyAlignment="1">
      <alignment horizontal="center" vertical="center" wrapText="1"/>
    </xf>
    <xf numFmtId="0" fontId="12" fillId="12" borderId="244" xfId="0" applyFont="1" applyFill="1" applyBorder="1" applyAlignment="1">
      <alignment horizontal="center" vertical="center" wrapText="1"/>
    </xf>
    <xf numFmtId="0" fontId="12" fillId="12" borderId="250" xfId="0" applyFont="1" applyFill="1" applyBorder="1" applyAlignment="1">
      <alignment horizontal="center" vertical="center" wrapText="1"/>
    </xf>
    <xf numFmtId="0" fontId="12" fillId="12" borderId="247" xfId="0" applyFont="1" applyFill="1" applyBorder="1" applyAlignment="1">
      <alignment horizontal="center" vertical="center" wrapText="1"/>
    </xf>
    <xf numFmtId="0" fontId="12" fillId="12" borderId="248" xfId="0" applyFont="1" applyFill="1" applyBorder="1" applyAlignment="1">
      <alignment horizontal="center" vertical="center" wrapText="1"/>
    </xf>
    <xf numFmtId="0" fontId="0" fillId="4" borderId="252" xfId="0" applyFill="1" applyBorder="1" applyAlignment="1">
      <alignment horizontal="left"/>
    </xf>
    <xf numFmtId="0" fontId="0" fillId="4" borderId="253" xfId="0" applyFill="1" applyBorder="1" applyAlignment="1">
      <alignment horizontal="left"/>
    </xf>
    <xf numFmtId="0" fontId="24" fillId="0" borderId="0" xfId="0" applyFont="1" applyAlignment="1">
      <alignment horizontal="center"/>
    </xf>
  </cellXfs>
  <cellStyles count="1">
    <cellStyle name="Normální" xfId="0" builtinId="0"/>
  </cellStyles>
  <dxfs count="0"/>
  <tableStyles count="0" defaultTableStyle="TableStyleMedium9" defaultPivotStyle="PivotStyleLight16"/>
  <colors>
    <mruColors>
      <color rgb="FFA0F010"/>
      <color rgb="FFFEFCD8"/>
      <color rgb="FF3AC8F4"/>
      <color rgb="FFFE7030"/>
      <color rgb="FF36A9F8"/>
      <color rgb="FF1085F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cs-CZ"/>
              <a:t>Modul E</a:t>
            </a:r>
            <a:r>
              <a:rPr lang="cs-CZ" baseline="-25000"/>
              <a:t>G</a:t>
            </a:r>
            <a:r>
              <a:rPr lang="en-US" baseline="-25000"/>
              <a:t>x</a:t>
            </a:r>
            <a:r>
              <a:rPr lang="cs-CZ"/>
              <a:t> - 1. zkouška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11589063617521"/>
          <c:y val="0.16850846586456841"/>
          <c:w val="0.81744404334011989"/>
          <c:h val="0.67828453314372505"/>
        </c:manualLayout>
      </c:layout>
      <c:scatterChart>
        <c:scatterStyle val="lineMarker"/>
        <c:varyColors val="0"/>
        <c:ser>
          <c:idx val="0"/>
          <c:order val="0"/>
          <c:tx>
            <c:v>Závislost E na Q</c:v>
          </c:tx>
          <c:spPr>
            <a:ln>
              <a:solidFill>
                <a:srgbClr val="3AC8F4"/>
              </a:solidFill>
            </a:ln>
          </c:spPr>
          <c:marker>
            <c:symbol val="diamond"/>
            <c:size val="6"/>
            <c:spPr>
              <a:solidFill>
                <a:srgbClr val="00B0F0"/>
              </a:solidFill>
              <a:ln>
                <a:solidFill>
                  <a:schemeClr val="tx1"/>
                </a:solidFill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'Těsnění, zatížení'!$P$5:$Y$5</c:f>
              <c:numCache>
                <c:formatCode>0</c:formatCode>
                <c:ptCount val="10"/>
                <c:pt idx="0" formatCode="Vęeobecný">
                  <c:v>20</c:v>
                </c:pt>
                <c:pt idx="1">
                  <c:v>60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xVal>
          <c:yVal>
            <c:numRef>
              <c:f>'Těsnění, zatížení'!$P$6:$Y$6</c:f>
              <c:numCache>
                <c:formatCode>0</c:formatCode>
                <c:ptCount val="10"/>
                <c:pt idx="0">
                  <c:v>350</c:v>
                </c:pt>
                <c:pt idx="1">
                  <c:v>1280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</c:numCache>
            </c:numRef>
          </c:yVal>
          <c:smooth val="0"/>
        </c:ser>
        <c:ser>
          <c:idx val="1"/>
          <c:order val="1"/>
          <c:tx>
            <c:v>E pro konkrétní stavy</c:v>
          </c:tx>
          <c:spPr>
            <a:ln w="25400" cmpd="sng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dLbls>
            <c:numFmt formatCode="#,##0" sourceLinked="0"/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'Těsnění, zatížení'!$G$120:$J$120</c:f>
              <c:numCache>
                <c:formatCode>0,00</c:formatCode>
                <c:ptCount val="4"/>
                <c:pt idx="0">
                  <c:v>100</c:v>
                </c:pt>
                <c:pt idx="1">
                  <c:v>99.67991535059204</c:v>
                </c:pt>
                <c:pt idx="2">
                  <c:v>99.67991535059204</c:v>
                </c:pt>
                <c:pt idx="3">
                  <c:v>111.03534623114973</c:v>
                </c:pt>
              </c:numCache>
            </c:numRef>
          </c:xVal>
          <c:yVal>
            <c:numRef>
              <c:f>'Těsnění, zatížení'!$AC$6:$AF$6</c:f>
              <c:numCache>
                <c:formatCode>Vęeobecný</c:formatCode>
                <c:ptCount val="4"/>
                <c:pt idx="0">
                  <c:v>2102.6829268292681</c:v>
                </c:pt>
                <c:pt idx="1">
                  <c:v>2102.6829268292681</c:v>
                </c:pt>
                <c:pt idx="2">
                  <c:v>2102.6829268292681</c:v>
                </c:pt>
                <c:pt idx="3">
                  <c:v>2341.4905100459546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06912"/>
        <c:axId val="211208832"/>
      </c:scatterChart>
      <c:valAx>
        <c:axId val="211206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cs-CZ" sz="1100" b="0"/>
                  <a:t>Tlak na těsnění</a:t>
                </a:r>
                <a:r>
                  <a:rPr lang="en-US" sz="1100" b="0"/>
                  <a:t> Q</a:t>
                </a:r>
                <a:r>
                  <a:rPr lang="en-US" sz="1100" b="0" baseline="-25000"/>
                  <a:t>Gx </a:t>
                </a:r>
                <a:r>
                  <a:rPr lang="en-US" sz="1100" b="0" baseline="0"/>
                  <a:t>[MPa]</a:t>
                </a:r>
              </a:p>
            </c:rich>
          </c:tx>
          <c:layout>
            <c:manualLayout>
              <c:xMode val="edge"/>
              <c:yMode val="edge"/>
              <c:x val="0.37112587279275727"/>
              <c:y val="0.91908465549236651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crossAx val="211208832"/>
        <c:crosses val="autoZero"/>
        <c:crossBetween val="midCat"/>
        <c:majorUnit val="50"/>
      </c:valAx>
      <c:valAx>
        <c:axId val="211208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cs-CZ" sz="1100" b="0"/>
                  <a:t>Náhradní modul </a:t>
                </a:r>
                <a:r>
                  <a:rPr lang="cs-CZ" sz="1100" b="0" baseline="0"/>
                  <a:t>E</a:t>
                </a:r>
                <a:r>
                  <a:rPr lang="cs-CZ" sz="1100" b="0" baseline="-25000"/>
                  <a:t>G</a:t>
                </a:r>
                <a:r>
                  <a:rPr lang="en-US" sz="1100" b="0" baseline="-25000"/>
                  <a:t>x</a:t>
                </a:r>
                <a:r>
                  <a:rPr lang="cs-CZ" sz="1100" b="0" baseline="-25000"/>
                  <a:t> </a:t>
                </a:r>
                <a:r>
                  <a:rPr lang="en-US" sz="1100" b="0" baseline="0"/>
                  <a:t>[MPa]</a:t>
                </a:r>
              </a:p>
            </c:rich>
          </c:tx>
          <c:layout>
            <c:manualLayout>
              <c:xMode val="edge"/>
              <c:yMode val="edge"/>
              <c:x val="1.1030007265040241E-2"/>
              <c:y val="0.22354643966997623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crossAx val="211206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777206952551005"/>
          <c:y val="0.41275997971617551"/>
          <c:w val="0.35398745181477576"/>
          <c:h val="0.23578514923686261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cs-CZ"/>
              <a:t>Modul E</a:t>
            </a:r>
            <a:r>
              <a:rPr lang="cs-CZ" baseline="-25000"/>
              <a:t>G</a:t>
            </a:r>
            <a:r>
              <a:rPr lang="en-US" baseline="-25000"/>
              <a:t>y</a:t>
            </a:r>
            <a:r>
              <a:rPr lang="cs-CZ"/>
              <a:t> - 2. zkouška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669457396472825"/>
          <c:y val="0.16450380668402254"/>
          <c:w val="0.8229607409493972"/>
          <c:h val="0.67337881677464706"/>
        </c:manualLayout>
      </c:layout>
      <c:scatterChart>
        <c:scatterStyle val="lineMarker"/>
        <c:varyColors val="0"/>
        <c:ser>
          <c:idx val="0"/>
          <c:order val="0"/>
          <c:tx>
            <c:v>Závislost E na Q</c:v>
          </c:tx>
          <c:spPr>
            <a:ln>
              <a:solidFill>
                <a:srgbClr val="3AC8F4"/>
              </a:solidFill>
            </a:ln>
          </c:spPr>
          <c:marker>
            <c:symbol val="diamond"/>
            <c:size val="6"/>
            <c:spPr>
              <a:solidFill>
                <a:srgbClr val="00B0F0"/>
              </a:solidFill>
              <a:ln>
                <a:solidFill>
                  <a:schemeClr val="tx1"/>
                </a:solidFill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'Těsnění, zatížení'!$P$9:$Y$9</c:f>
              <c:numCache>
                <c:formatCode>0</c:formatCode>
                <c:ptCount val="10"/>
                <c:pt idx="0">
                  <c:v>20</c:v>
                </c:pt>
                <c:pt idx="1">
                  <c:v>60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xVal>
          <c:yVal>
            <c:numRef>
              <c:f>'Těsnění, zatížení'!$P$10:$Y$10</c:f>
              <c:numCache>
                <c:formatCode>0</c:formatCode>
                <c:ptCount val="10"/>
                <c:pt idx="0">
                  <c:v>460</c:v>
                </c:pt>
                <c:pt idx="1">
                  <c:v>1290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</c:numCache>
            </c:numRef>
          </c:yVal>
          <c:smooth val="0"/>
        </c:ser>
        <c:ser>
          <c:idx val="1"/>
          <c:order val="1"/>
          <c:tx>
            <c:v>E pro konkrétní stavy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ysClr val="windowText" lastClr="000000"/>
                </a:solidFill>
              </a:ln>
            </c:spPr>
          </c:marker>
          <c:dLbls>
            <c:numFmt formatCode="#,##0" sourceLinked="0"/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'Těsnění, zatížení'!$G$120:$J$120</c:f>
              <c:numCache>
                <c:formatCode>0,00</c:formatCode>
                <c:ptCount val="4"/>
                <c:pt idx="0">
                  <c:v>100</c:v>
                </c:pt>
                <c:pt idx="1">
                  <c:v>99.67991535059204</c:v>
                </c:pt>
                <c:pt idx="2">
                  <c:v>99.67991535059204</c:v>
                </c:pt>
                <c:pt idx="3">
                  <c:v>111.03534623114973</c:v>
                </c:pt>
              </c:numCache>
            </c:numRef>
          </c:xVal>
          <c:yVal>
            <c:numRef>
              <c:f>'Těsnění, zatížení'!$AC$10:$AF$10</c:f>
              <c:numCache>
                <c:formatCode>Vęeobecný</c:formatCode>
                <c:ptCount val="4"/>
                <c:pt idx="0">
                  <c:v>2100.4878048780488</c:v>
                </c:pt>
                <c:pt idx="1">
                  <c:v>2100.4878048780488</c:v>
                </c:pt>
                <c:pt idx="2">
                  <c:v>2100.4878048780488</c:v>
                </c:pt>
                <c:pt idx="3">
                  <c:v>2326.2413810099124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999552"/>
        <c:axId val="1730045056"/>
      </c:scatterChart>
      <c:valAx>
        <c:axId val="172499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cs-CZ" sz="1100" b="0" i="0" baseline="0"/>
                  <a:t>Tlak na těsnění</a:t>
                </a:r>
                <a:r>
                  <a:rPr lang="en-US" sz="1100" b="0" i="0" baseline="0"/>
                  <a:t> Q</a:t>
                </a:r>
                <a:r>
                  <a:rPr lang="en-US" sz="1100" b="0" i="0" baseline="-25000"/>
                  <a:t>Gy </a:t>
                </a:r>
                <a:r>
                  <a:rPr lang="en-US" sz="1100" b="0" i="0" baseline="0"/>
                  <a:t>[MPa]</a:t>
                </a:r>
                <a:endParaRPr lang="cs-CZ" sz="1100"/>
              </a:p>
            </c:rich>
          </c:tx>
          <c:layout>
            <c:manualLayout>
              <c:xMode val="edge"/>
              <c:yMode val="edge"/>
              <c:x val="0.37181576199393496"/>
              <c:y val="0.91818372737179876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crossAx val="1730045056"/>
        <c:crosses val="autoZero"/>
        <c:crossBetween val="midCat"/>
        <c:majorUnit val="50"/>
      </c:valAx>
      <c:valAx>
        <c:axId val="1730045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1100" b="0" i="0" baseline="0"/>
                  <a:t>Náhradní modul E</a:t>
                </a:r>
                <a:r>
                  <a:rPr lang="cs-CZ" sz="1100" b="0" i="0" baseline="-25000"/>
                  <a:t>G</a:t>
                </a:r>
                <a:r>
                  <a:rPr lang="en-US" sz="1100" b="0" i="0" baseline="-25000"/>
                  <a:t>y</a:t>
                </a:r>
                <a:r>
                  <a:rPr lang="cs-CZ" sz="1100" b="0" i="0" baseline="-25000"/>
                  <a:t> </a:t>
                </a:r>
                <a:r>
                  <a:rPr lang="cs-CZ" sz="1100" b="0" i="0" baseline="30000"/>
                  <a:t> </a:t>
                </a:r>
                <a:r>
                  <a:rPr lang="en-US" sz="1100" b="0" i="0" baseline="0"/>
                  <a:t>[MPa]</a:t>
                </a:r>
                <a:endParaRPr lang="cs-CZ" sz="1100"/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1100" b="0"/>
              </a:p>
            </c:rich>
          </c:tx>
          <c:layout>
            <c:manualLayout>
              <c:xMode val="edge"/>
              <c:yMode val="edge"/>
              <c:x val="8.1667236041360856E-3"/>
              <c:y val="0.2426011376745297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crossAx val="172499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607926815053847"/>
          <c:y val="0.43178093936180423"/>
          <c:w val="0.33393151024209838"/>
          <c:h val="0.2083258993644234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Kompresn</a:t>
            </a:r>
            <a:r>
              <a:rPr lang="cs-CZ"/>
              <a:t>í</a:t>
            </a:r>
            <a:r>
              <a:rPr lang="cs-CZ" baseline="0"/>
              <a:t> křivka - 1. zkouška</a:t>
            </a:r>
            <a:endParaRPr lang="cs-CZ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3978847662492391"/>
          <c:y val="0.16513292800425217"/>
          <c:w val="0.81744404334012011"/>
          <c:h val="0.67828453314372539"/>
        </c:manualLayout>
      </c:layout>
      <c:scatterChart>
        <c:scatterStyle val="lineMarker"/>
        <c:varyColors val="0"/>
        <c:ser>
          <c:idx val="0"/>
          <c:order val="0"/>
          <c:tx>
            <c:v>Kompresní křivka - 1. zkouška</c:v>
          </c:tx>
          <c:spPr>
            <a:ln>
              <a:solidFill>
                <a:srgbClr val="3AC8F4"/>
              </a:solidFill>
            </a:ln>
          </c:spPr>
          <c:marker>
            <c:symbol val="diamond"/>
            <c:size val="6"/>
            <c:spPr>
              <a:solidFill>
                <a:srgbClr val="00B0F0"/>
              </a:solidFill>
              <a:ln>
                <a:solidFill>
                  <a:schemeClr val="tx1"/>
                </a:solidFill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'Těsnění, zatížení'!$P$20:$Y$20</c:f>
              <c:numCache>
                <c:formatCode>Vęeobecný</c:formatCode>
                <c:ptCount val="10"/>
                <c:pt idx="0">
                  <c:v>2.0000000000000002E-5</c:v>
                </c:pt>
                <c:pt idx="1">
                  <c:v>1E-4</c:v>
                </c:pt>
                <c:pt idx="2">
                  <c:v>1.3999999999999999E-4</c:v>
                </c:pt>
                <c:pt idx="3">
                  <c:v>1.6000000000000001E-4</c:v>
                </c:pt>
                <c:pt idx="4">
                  <c:v>2.0000000000000001E-4</c:v>
                </c:pt>
                <c:pt idx="5">
                  <c:v>2.5999999999999998E-4</c:v>
                </c:pt>
                <c:pt idx="6">
                  <c:v>2.5999999999999998E-4</c:v>
                </c:pt>
                <c:pt idx="7">
                  <c:v>2.5999999999999998E-4</c:v>
                </c:pt>
                <c:pt idx="8">
                  <c:v>2.5999999999999998E-4</c:v>
                </c:pt>
                <c:pt idx="9">
                  <c:v>2.5999999999999998E-4</c:v>
                </c:pt>
              </c:numCache>
            </c:numRef>
          </c:xVal>
          <c:yVal>
            <c:numRef>
              <c:f>'Těsnění, zatížení'!$P$19:$Y$19</c:f>
              <c:numCache>
                <c:formatCode>0,00</c:formatCode>
                <c:ptCount val="10"/>
                <c:pt idx="0">
                  <c:v>20</c:v>
                </c:pt>
                <c:pt idx="1">
                  <c:v>100</c:v>
                </c:pt>
                <c:pt idx="2">
                  <c:v>140</c:v>
                </c:pt>
                <c:pt idx="3">
                  <c:v>160</c:v>
                </c:pt>
                <c:pt idx="4">
                  <c:v>200</c:v>
                </c:pt>
                <c:pt idx="5">
                  <c:v>260</c:v>
                </c:pt>
                <c:pt idx="6">
                  <c:v>260</c:v>
                </c:pt>
                <c:pt idx="7">
                  <c:v>260</c:v>
                </c:pt>
                <c:pt idx="8">
                  <c:v>260</c:v>
                </c:pt>
                <c:pt idx="9">
                  <c:v>260</c:v>
                </c:pt>
              </c:numCache>
            </c:numRef>
          </c:yVal>
          <c:smooth val="0"/>
        </c:ser>
        <c:ser>
          <c:idx val="1"/>
          <c:order val="1"/>
          <c:tx>
            <c:v>Stlačení v jednotlivých stavech</c:v>
          </c:tx>
          <c:spPr>
            <a:ln w="25400" cmpd="sng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dLbls>
            <c:numFmt formatCode="#,##0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'Těsnění, zatížení'!$V$52:$Y$52</c:f>
              <c:numCache>
                <c:formatCode>Vęeobecný</c:formatCode>
                <c:ptCount val="4"/>
                <c:pt idx="0">
                  <c:v>1.0000000000000024E-4</c:v>
                </c:pt>
                <c:pt idx="1">
                  <c:v>1.0000000000000024E-4</c:v>
                </c:pt>
                <c:pt idx="2">
                  <c:v>1.0000000000000024E-4</c:v>
                </c:pt>
                <c:pt idx="3">
                  <c:v>1.1103534619541771E-4</c:v>
                </c:pt>
              </c:numCache>
            </c:numRef>
          </c:xVal>
          <c:yVal>
            <c:numRef>
              <c:f>'Těsnění, zatížení'!$G$122:$J$122</c:f>
              <c:numCache>
                <c:formatCode>0,00</c:formatCode>
                <c:ptCount val="4"/>
                <c:pt idx="0">
                  <c:v>100</c:v>
                </c:pt>
                <c:pt idx="1">
                  <c:v>99.67991535059204</c:v>
                </c:pt>
                <c:pt idx="2">
                  <c:v>99.67991535059204</c:v>
                </c:pt>
                <c:pt idx="3">
                  <c:v>111.03534623114973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067456"/>
        <c:axId val="1746069376"/>
      </c:scatterChart>
      <c:valAx>
        <c:axId val="1746067456"/>
        <c:scaling>
          <c:orientation val="minMax"/>
          <c:max val="4.0000000000000013E-4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cs-CZ" sz="1100" b="0" baseline="0"/>
                  <a:t>Stlačení  těsnění e</a:t>
                </a:r>
                <a:r>
                  <a:rPr lang="cs-CZ" sz="1100" b="0" baseline="-25000"/>
                  <a:t>Qx</a:t>
                </a:r>
                <a:r>
                  <a:rPr lang="cs-CZ" sz="1100" b="0" baseline="0"/>
                  <a:t> </a:t>
                </a:r>
                <a:r>
                  <a:rPr lang="en-US" sz="1100" b="0" baseline="0"/>
                  <a:t>[mm]</a:t>
                </a:r>
              </a:p>
            </c:rich>
          </c:tx>
          <c:layout>
            <c:manualLayout>
              <c:xMode val="edge"/>
              <c:yMode val="edge"/>
              <c:x val="0.37112593519843906"/>
              <c:y val="0.94312512202733301"/>
            </c:manualLayout>
          </c:layout>
          <c:overlay val="0"/>
        </c:title>
        <c:numFmt formatCode="Vęeobecný" sourceLinked="0"/>
        <c:majorTickMark val="out"/>
        <c:minorTickMark val="out"/>
        <c:tickLblPos val="nextTo"/>
        <c:crossAx val="1746069376"/>
        <c:crosses val="autoZero"/>
        <c:crossBetween val="midCat"/>
      </c:valAx>
      <c:valAx>
        <c:axId val="1746069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cs-CZ" sz="1200" b="0" i="0" baseline="0"/>
                  <a:t>Tlak na těsnění</a:t>
                </a:r>
                <a:r>
                  <a:rPr lang="en-US" sz="1200" b="0" i="0" baseline="0"/>
                  <a:t> Q</a:t>
                </a:r>
                <a:r>
                  <a:rPr lang="en-US" sz="1200" b="0" i="0" baseline="-25000"/>
                  <a:t>Gx </a:t>
                </a:r>
                <a:r>
                  <a:rPr lang="en-US" sz="1200" b="0" i="0" baseline="0"/>
                  <a:t>[MPa]</a:t>
                </a:r>
                <a:endParaRPr lang="cs-CZ" sz="1200"/>
              </a:p>
            </c:rich>
          </c:tx>
          <c:layout>
            <c:manualLayout>
              <c:xMode val="edge"/>
              <c:yMode val="edge"/>
              <c:x val="2.0824452348079479E-2"/>
              <c:y val="0.27078920472563722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crossAx val="1746067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004203349120237"/>
          <c:y val="0.16604352304063258"/>
          <c:w val="0.48129703344277525"/>
          <c:h val="0.19920847868700031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Kompresn</a:t>
            </a:r>
            <a:r>
              <a:rPr lang="cs-CZ"/>
              <a:t>í</a:t>
            </a:r>
            <a:r>
              <a:rPr lang="cs-CZ" baseline="0"/>
              <a:t> křivka - 2. zkouška</a:t>
            </a:r>
            <a:endParaRPr lang="cs-CZ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3978847662492391"/>
          <c:y val="0.16513292800425217"/>
          <c:w val="0.81744404334012033"/>
          <c:h val="0.67828453314372572"/>
        </c:manualLayout>
      </c:layout>
      <c:scatterChart>
        <c:scatterStyle val="lineMarker"/>
        <c:varyColors val="0"/>
        <c:ser>
          <c:idx val="0"/>
          <c:order val="0"/>
          <c:tx>
            <c:v>Kompresní křivka - 2. zkouška</c:v>
          </c:tx>
          <c:spPr>
            <a:ln>
              <a:solidFill>
                <a:srgbClr val="3AC8F4"/>
              </a:solidFill>
            </a:ln>
          </c:spPr>
          <c:marker>
            <c:symbol val="diamond"/>
            <c:size val="6"/>
            <c:spPr>
              <a:solidFill>
                <a:srgbClr val="00B0F0"/>
              </a:solidFill>
              <a:ln>
                <a:solidFill>
                  <a:schemeClr val="tx1"/>
                </a:solidFill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'Těsnění, zatížení'!$P$24:$Y$24</c:f>
              <c:numCache>
                <c:formatCode>Vęeobecný</c:formatCode>
                <c:ptCount val="10"/>
                <c:pt idx="0">
                  <c:v>2.0000000000000002E-5</c:v>
                </c:pt>
                <c:pt idx="1">
                  <c:v>1.3999999999999999E-4</c:v>
                </c:pt>
                <c:pt idx="2">
                  <c:v>1.6000000000000001E-4</c:v>
                </c:pt>
                <c:pt idx="3">
                  <c:v>2.0000000000000001E-4</c:v>
                </c:pt>
                <c:pt idx="4">
                  <c:v>2.5999999999999998E-4</c:v>
                </c:pt>
                <c:pt idx="5">
                  <c:v>2.9999999999999997E-4</c:v>
                </c:pt>
                <c:pt idx="6">
                  <c:v>2.9999999999999997E-4</c:v>
                </c:pt>
                <c:pt idx="7">
                  <c:v>2.9999999999999997E-4</c:v>
                </c:pt>
                <c:pt idx="8">
                  <c:v>2.9999999999999997E-4</c:v>
                </c:pt>
                <c:pt idx="9">
                  <c:v>2.9999999999999997E-4</c:v>
                </c:pt>
              </c:numCache>
            </c:numRef>
          </c:xVal>
          <c:yVal>
            <c:numRef>
              <c:f>'Těsnění, zatížení'!$P$23:$Y$23</c:f>
              <c:numCache>
                <c:formatCode>0,00</c:formatCode>
                <c:ptCount val="10"/>
                <c:pt idx="0">
                  <c:v>20</c:v>
                </c:pt>
                <c:pt idx="1">
                  <c:v>140</c:v>
                </c:pt>
                <c:pt idx="2">
                  <c:v>160</c:v>
                </c:pt>
                <c:pt idx="3">
                  <c:v>200</c:v>
                </c:pt>
                <c:pt idx="4">
                  <c:v>260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</c:numCache>
            </c:numRef>
          </c:yVal>
          <c:smooth val="0"/>
        </c:ser>
        <c:ser>
          <c:idx val="1"/>
          <c:order val="1"/>
          <c:tx>
            <c:v>Stlačení v jednotlivých stavech</c:v>
          </c:tx>
          <c:spPr>
            <a:ln w="25400" cmpd="sng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dLbls>
            <c:numFmt formatCode="#,##0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'Těsnění, zatížení'!$AC$52:$AF$52</c:f>
              <c:numCache>
                <c:formatCode>Vęeobecný</c:formatCode>
                <c:ptCount val="4"/>
                <c:pt idx="0">
                  <c:v>9.9999999999999896E-5</c:v>
                </c:pt>
                <c:pt idx="1">
                  <c:v>9.9999999999999896E-5</c:v>
                </c:pt>
                <c:pt idx="2">
                  <c:v>9.9999999999999896E-5</c:v>
                </c:pt>
                <c:pt idx="3">
                  <c:v>1.1103534619541737E-4</c:v>
                </c:pt>
              </c:numCache>
            </c:numRef>
          </c:xVal>
          <c:yVal>
            <c:numRef>
              <c:f>'Těsnění, zatížení'!$G$122:$J$122</c:f>
              <c:numCache>
                <c:formatCode>0,00</c:formatCode>
                <c:ptCount val="4"/>
                <c:pt idx="0">
                  <c:v>100</c:v>
                </c:pt>
                <c:pt idx="1">
                  <c:v>99.67991535059204</c:v>
                </c:pt>
                <c:pt idx="2">
                  <c:v>99.67991535059204</c:v>
                </c:pt>
                <c:pt idx="3">
                  <c:v>111.03534623114973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22048"/>
        <c:axId val="77523968"/>
      </c:scatterChart>
      <c:valAx>
        <c:axId val="77522048"/>
        <c:scaling>
          <c:orientation val="minMax"/>
          <c:max val="4.0000000000000013E-4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cs-CZ" sz="1100" b="0" baseline="0"/>
                  <a:t>Stlačení  těsnění e</a:t>
                </a:r>
                <a:r>
                  <a:rPr lang="cs-CZ" sz="1100" b="0" baseline="-25000"/>
                  <a:t>Qy</a:t>
                </a:r>
                <a:r>
                  <a:rPr lang="cs-CZ" sz="1100" b="0" baseline="0"/>
                  <a:t> </a:t>
                </a:r>
                <a:r>
                  <a:rPr lang="en-US" sz="1100" b="0" baseline="0"/>
                  <a:t>[mm]</a:t>
                </a:r>
              </a:p>
            </c:rich>
          </c:tx>
          <c:layout>
            <c:manualLayout>
              <c:xMode val="edge"/>
              <c:yMode val="edge"/>
              <c:x val="0.37112587279275766"/>
              <c:y val="0.91908465549236651"/>
            </c:manualLayout>
          </c:layout>
          <c:overlay val="0"/>
        </c:title>
        <c:numFmt formatCode="Vęeobecný" sourceLinked="0"/>
        <c:majorTickMark val="out"/>
        <c:minorTickMark val="out"/>
        <c:tickLblPos val="nextTo"/>
        <c:crossAx val="77523968"/>
        <c:crosses val="autoZero"/>
        <c:crossBetween val="midCat"/>
      </c:valAx>
      <c:valAx>
        <c:axId val="77523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cs-CZ" sz="1200" b="0" i="0" baseline="0"/>
                  <a:t>Tlak na těsnění</a:t>
                </a:r>
                <a:r>
                  <a:rPr lang="en-US" sz="1200" b="0" i="0" baseline="0"/>
                  <a:t> Q</a:t>
                </a:r>
                <a:r>
                  <a:rPr lang="en-US" sz="1200" b="0" i="0" baseline="-25000"/>
                  <a:t>G</a:t>
                </a:r>
                <a:r>
                  <a:rPr lang="cs-CZ" sz="1200" b="0" i="0" baseline="-25000"/>
                  <a:t>y</a:t>
                </a:r>
                <a:r>
                  <a:rPr lang="en-US" sz="1200" b="0" i="0" baseline="-25000"/>
                  <a:t> </a:t>
                </a:r>
                <a:r>
                  <a:rPr lang="en-US" sz="1200" b="0" i="0" baseline="0"/>
                  <a:t>[MPa]</a:t>
                </a:r>
                <a:endParaRPr lang="cs-CZ" sz="1200"/>
              </a:p>
            </c:rich>
          </c:tx>
          <c:layout>
            <c:manualLayout>
              <c:xMode val="edge"/>
              <c:yMode val="edge"/>
              <c:x val="2.0824452348079479E-2"/>
              <c:y val="0.27078920472563722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crossAx val="77522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004203349120251"/>
          <c:y val="0.16604352304063258"/>
          <c:w val="0.48129703344277525"/>
          <c:h val="0.1992084786870003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15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chart" Target="../charts/chart4.xml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6</xdr:row>
      <xdr:rowOff>56029</xdr:rowOff>
    </xdr:from>
    <xdr:to>
      <xdr:col>22</xdr:col>
      <xdr:colOff>145677</xdr:colOff>
      <xdr:row>23</xdr:row>
      <xdr:rowOff>106990</xdr:rowOff>
    </xdr:to>
    <xdr:pic>
      <xdr:nvPicPr>
        <xdr:cNvPr id="2" name="Obrázek 6" descr="E_modul_20°C.PNG"/>
        <xdr:cNvPicPr/>
      </xdr:nvPicPr>
      <xdr:blipFill>
        <a:blip xmlns:r="http://schemas.openxmlformats.org/officeDocument/2006/relationships" r:embed="rId1" cstate="print"/>
        <a:srcRect t="13108" r="571"/>
        <a:stretch>
          <a:fillRect/>
        </a:stretch>
      </xdr:blipFill>
      <xdr:spPr>
        <a:xfrm>
          <a:off x="8931649" y="1400735"/>
          <a:ext cx="5490322" cy="3513579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28576</xdr:colOff>
      <xdr:row>26</xdr:row>
      <xdr:rowOff>152400</xdr:rowOff>
    </xdr:from>
    <xdr:to>
      <xdr:col>22</xdr:col>
      <xdr:colOff>219076</xdr:colOff>
      <xdr:row>46</xdr:row>
      <xdr:rowOff>184961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867776" y="5162550"/>
          <a:ext cx="5676900" cy="40330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16565</xdr:colOff>
      <xdr:row>4</xdr:row>
      <xdr:rowOff>107673</xdr:rowOff>
    </xdr:from>
    <xdr:to>
      <xdr:col>28</xdr:col>
      <xdr:colOff>445569</xdr:colOff>
      <xdr:row>41</xdr:row>
      <xdr:rowOff>132123</xdr:rowOff>
    </xdr:to>
    <xdr:grpSp>
      <xdr:nvGrpSpPr>
        <xdr:cNvPr id="13" name="Skupina 12"/>
        <xdr:cNvGrpSpPr/>
      </xdr:nvGrpSpPr>
      <xdr:grpSpPr>
        <a:xfrm>
          <a:off x="8674790" y="1536423"/>
          <a:ext cx="11401804" cy="8644575"/>
          <a:chOff x="8345850" y="1428750"/>
          <a:chExt cx="11314718" cy="8624164"/>
        </a:xfrm>
      </xdr:grpSpPr>
      <xdr:pic>
        <xdr:nvPicPr>
          <xdr:cNvPr id="7" name="Obrázek 6" descr="D:\Škola VUT\3Z\Bakalářská práce\Výpočtový program\Obrázky do programu\Příruba typ 1 - 1.PNG"/>
          <xdr:cNvPicPr/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8345850" y="1428750"/>
            <a:ext cx="5361900" cy="2568907"/>
          </a:xfrm>
          <a:prstGeom prst="rect">
            <a:avLst/>
          </a:prstGeom>
          <a:ln w="38100" cap="sq">
            <a:noFill/>
            <a:prstDash val="solid"/>
            <a:miter lim="800000"/>
          </a:ln>
          <a:effectLst/>
        </xdr:spPr>
      </xdr:pic>
      <xdr:pic>
        <xdr:nvPicPr>
          <xdr:cNvPr id="8" name="Obrázek 7" descr="D:\Škola VUT\3Z\Bakalářská práce\Výpočtový program\Obrázky do programu\Příruba typ 1 - 2.PNG"/>
          <xdr:cNvPicPr/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8345850" y="4449697"/>
            <a:ext cx="5039999" cy="257579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9" name="Obrázek 8" descr="D:\Škola VUT\3Z\Bakalářská práce\Výpočtový program\Obrázky do programu\Příruby typ 2 - kužel.PNG"/>
          <xdr:cNvPicPr/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8345850" y="7470321"/>
            <a:ext cx="4837588" cy="258259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0" name="Obrázek 9" descr="D:\Škola VUT\3Z\Bakalářská práce\Výpočtový program\Obrázky do programu\Příruby typ 2 - koule.PNG"/>
          <xdr:cNvPicPr/>
        </xdr:nvPicPr>
        <xdr:blipFill>
          <a:blip xmlns:r="http://schemas.openxmlformats.org/officeDocument/2006/relationships" r:embed="rId4" cstate="print"/>
          <a:srcRect/>
          <a:stretch>
            <a:fillRect/>
          </a:stretch>
        </xdr:blipFill>
        <xdr:spPr bwMode="auto">
          <a:xfrm>
            <a:off x="13952036" y="1428750"/>
            <a:ext cx="5708532" cy="2880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1" name="Obrázek 10" descr="D:\Škola VUT\3Z\Bakalářská práce\Výpočtový program\Obrázky do programu\Příruba typ 2 - válec.PNG"/>
          <xdr:cNvPicPr/>
        </xdr:nvPicPr>
        <xdr:blipFill>
          <a:blip xmlns:r="http://schemas.openxmlformats.org/officeDocument/2006/relationships" r:embed="rId5" cstate="print"/>
          <a:srcRect/>
          <a:stretch>
            <a:fillRect/>
          </a:stretch>
        </xdr:blipFill>
        <xdr:spPr bwMode="auto">
          <a:xfrm>
            <a:off x="13952036" y="4662192"/>
            <a:ext cx="2880000" cy="251039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2" name="Obrázek 11" descr="D:\Škola VUT\3Z\Bakalářská práce\Výpočtový program\Obrázky do programu\Příruba typ 1 - násuvná pro přivaření.PNG"/>
          <xdr:cNvPicPr/>
        </xdr:nvPicPr>
        <xdr:blipFill>
          <a:blip xmlns:r="http://schemas.openxmlformats.org/officeDocument/2006/relationships" r:embed="rId6" cstate="print"/>
          <a:srcRect/>
          <a:stretch>
            <a:fillRect/>
          </a:stretch>
        </xdr:blipFill>
        <xdr:spPr bwMode="auto">
          <a:xfrm>
            <a:off x="13952036" y="7523308"/>
            <a:ext cx="2520000" cy="252960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xdr:twoCellAnchor>
    <xdr:from>
      <xdr:col>12</xdr:col>
      <xdr:colOff>0</xdr:colOff>
      <xdr:row>72</xdr:row>
      <xdr:rowOff>0</xdr:rowOff>
    </xdr:from>
    <xdr:to>
      <xdr:col>19</xdr:col>
      <xdr:colOff>239400</xdr:colOff>
      <xdr:row>99</xdr:row>
      <xdr:rowOff>51075</xdr:rowOff>
    </xdr:to>
    <xdr:grpSp>
      <xdr:nvGrpSpPr>
        <xdr:cNvPr id="20" name="Skupina 19"/>
        <xdr:cNvGrpSpPr/>
      </xdr:nvGrpSpPr>
      <xdr:grpSpPr>
        <a:xfrm>
          <a:off x="8658225" y="17402175"/>
          <a:ext cx="5040000" cy="6451875"/>
          <a:chOff x="8705850" y="16925925"/>
          <a:chExt cx="5040000" cy="6213750"/>
        </a:xfrm>
      </xdr:grpSpPr>
      <xdr:pic>
        <xdr:nvPicPr>
          <xdr:cNvPr id="17" name="Obrázek 16" descr="D:\Škola VUT\3Z\Bakalářská práce\Výpočtový program\Obrázky do programu\Příruba typ 4 - točivá.PNG"/>
          <xdr:cNvPicPr/>
        </xdr:nvPicPr>
        <xdr:blipFill>
          <a:blip xmlns:r="http://schemas.openxmlformats.org/officeDocument/2006/relationships" r:embed="rId7" cstate="print"/>
          <a:srcRect/>
          <a:stretch>
            <a:fillRect/>
          </a:stretch>
        </xdr:blipFill>
        <xdr:spPr bwMode="auto">
          <a:xfrm>
            <a:off x="8705850" y="16925925"/>
            <a:ext cx="5040000" cy="2880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9" name="Obrázek 18" descr="D:\Škola VUT\3Z\Bakalářská práce\Výpočtový program\Obrázky do programu\Příruba typ 4 - závitová.PNG"/>
          <xdr:cNvPicPr/>
        </xdr:nvPicPr>
        <xdr:blipFill>
          <a:blip xmlns:r="http://schemas.openxmlformats.org/officeDocument/2006/relationships" r:embed="rId8" cstate="print"/>
          <a:srcRect/>
          <a:stretch>
            <a:fillRect/>
          </a:stretch>
        </xdr:blipFill>
        <xdr:spPr bwMode="auto">
          <a:xfrm>
            <a:off x="8705850" y="20259675"/>
            <a:ext cx="2700000" cy="2880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xdr:twoCellAnchor>
    <xdr:from>
      <xdr:col>12</xdr:col>
      <xdr:colOff>0</xdr:colOff>
      <xdr:row>45</xdr:row>
      <xdr:rowOff>0</xdr:rowOff>
    </xdr:from>
    <xdr:to>
      <xdr:col>19</xdr:col>
      <xdr:colOff>1</xdr:colOff>
      <xdr:row>58</xdr:row>
      <xdr:rowOff>22500</xdr:rowOff>
    </xdr:to>
    <xdr:grpSp>
      <xdr:nvGrpSpPr>
        <xdr:cNvPr id="25" name="Skupina 24"/>
        <xdr:cNvGrpSpPr/>
      </xdr:nvGrpSpPr>
      <xdr:grpSpPr>
        <a:xfrm>
          <a:off x="8658225" y="11001375"/>
          <a:ext cx="4800601" cy="3118125"/>
          <a:chOff x="8705850" y="1419225"/>
          <a:chExt cx="4800601" cy="2880000"/>
        </a:xfrm>
      </xdr:grpSpPr>
      <xdr:pic>
        <xdr:nvPicPr>
          <xdr:cNvPr id="21" name="Obrázek 20" descr="D:\Škola VUT\3Z\Bakalářská práce\Výpočtový program\Obrázky do programu\Příruba typ 3 - zaslepovací.PNG"/>
          <xdr:cNvPicPr/>
        </xdr:nvPicPr>
        <xdr:blipFill>
          <a:blip xmlns:r="http://schemas.openxmlformats.org/officeDocument/2006/relationships" r:embed="rId9" cstate="print"/>
          <a:srcRect/>
          <a:stretch>
            <a:fillRect/>
          </a:stretch>
        </xdr:blipFill>
        <xdr:spPr bwMode="auto">
          <a:xfrm>
            <a:off x="8705850" y="1419225"/>
            <a:ext cx="3600000" cy="2880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24" name="Obrázek 23" descr="D:\Škola VUT\3Z\Bakalářská práce\Výpočtový program\Obrázky do programu\Příruba typ 3 - zaslepovací.PNG"/>
          <xdr:cNvPicPr/>
        </xdr:nvPicPr>
        <xdr:blipFill>
          <a:blip xmlns:r="http://schemas.openxmlformats.org/officeDocument/2006/relationships" r:embed="rId10" cstate="print"/>
          <a:srcRect/>
          <a:stretch>
            <a:fillRect/>
          </a:stretch>
        </xdr:blipFill>
        <xdr:spPr bwMode="auto">
          <a:xfrm>
            <a:off x="12820651" y="1419225"/>
            <a:ext cx="685800" cy="2381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xdr:twoCellAnchor>
    <xdr:from>
      <xdr:col>3</xdr:col>
      <xdr:colOff>0</xdr:colOff>
      <xdr:row>111</xdr:row>
      <xdr:rowOff>0</xdr:rowOff>
    </xdr:from>
    <xdr:to>
      <xdr:col>4</xdr:col>
      <xdr:colOff>9525</xdr:colOff>
      <xdr:row>112</xdr:row>
      <xdr:rowOff>0</xdr:rowOff>
    </xdr:to>
    <xdr:pic>
      <xdr:nvPicPr>
        <xdr:cNvPr id="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352675" y="10467975"/>
          <a:ext cx="695325" cy="304800"/>
        </a:xfrm>
        <a:prstGeom prst="rect">
          <a:avLst/>
        </a:prstGeom>
        <a:noFill/>
      </xdr:spPr>
    </xdr:pic>
    <xdr:clientData/>
  </xdr:twoCellAnchor>
  <xdr:twoCellAnchor>
    <xdr:from>
      <xdr:col>3</xdr:col>
      <xdr:colOff>0</xdr:colOff>
      <xdr:row>114</xdr:row>
      <xdr:rowOff>0</xdr:rowOff>
    </xdr:from>
    <xdr:to>
      <xdr:col>4</xdr:col>
      <xdr:colOff>0</xdr:colOff>
      <xdr:row>115</xdr:row>
      <xdr:rowOff>0</xdr:rowOff>
    </xdr:to>
    <xdr:pic>
      <xdr:nvPicPr>
        <xdr:cNvPr id="2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352675" y="11182350"/>
          <a:ext cx="685800" cy="304800"/>
        </a:xfrm>
        <a:prstGeom prst="rect">
          <a:avLst/>
        </a:prstGeom>
        <a:noFill/>
      </xdr:spPr>
    </xdr:pic>
    <xdr:clientData/>
  </xdr:twoCellAnchor>
  <xdr:twoCellAnchor>
    <xdr:from>
      <xdr:col>3</xdr:col>
      <xdr:colOff>1</xdr:colOff>
      <xdr:row>115</xdr:row>
      <xdr:rowOff>0</xdr:rowOff>
    </xdr:from>
    <xdr:to>
      <xdr:col>4</xdr:col>
      <xdr:colOff>1</xdr:colOff>
      <xdr:row>116</xdr:row>
      <xdr:rowOff>0</xdr:rowOff>
    </xdr:to>
    <xdr:pic>
      <xdr:nvPicPr>
        <xdr:cNvPr id="28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352676" y="11487150"/>
          <a:ext cx="685800" cy="30480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111</xdr:row>
      <xdr:rowOff>0</xdr:rowOff>
    </xdr:from>
    <xdr:to>
      <xdr:col>4</xdr:col>
      <xdr:colOff>9525</xdr:colOff>
      <xdr:row>112</xdr:row>
      <xdr:rowOff>0</xdr:rowOff>
    </xdr:to>
    <xdr:pic>
      <xdr:nvPicPr>
        <xdr:cNvPr id="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352675" y="25812750"/>
          <a:ext cx="695325" cy="304800"/>
        </a:xfrm>
        <a:prstGeom prst="rect">
          <a:avLst/>
        </a:prstGeom>
        <a:noFill/>
      </xdr:spPr>
    </xdr:pic>
    <xdr:clientData/>
  </xdr:twoCellAnchor>
  <xdr:twoCellAnchor>
    <xdr:from>
      <xdr:col>3</xdr:col>
      <xdr:colOff>0</xdr:colOff>
      <xdr:row>114</xdr:row>
      <xdr:rowOff>0</xdr:rowOff>
    </xdr:from>
    <xdr:to>
      <xdr:col>4</xdr:col>
      <xdr:colOff>0</xdr:colOff>
      <xdr:row>115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352675" y="26727150"/>
          <a:ext cx="685800" cy="304800"/>
        </a:xfrm>
        <a:prstGeom prst="rect">
          <a:avLst/>
        </a:prstGeom>
        <a:noFill/>
      </xdr:spPr>
    </xdr:pic>
    <xdr:clientData/>
  </xdr:twoCellAnchor>
  <xdr:twoCellAnchor>
    <xdr:from>
      <xdr:col>3</xdr:col>
      <xdr:colOff>1</xdr:colOff>
      <xdr:row>115</xdr:row>
      <xdr:rowOff>0</xdr:rowOff>
    </xdr:from>
    <xdr:to>
      <xdr:col>4</xdr:col>
      <xdr:colOff>1</xdr:colOff>
      <xdr:row>116</xdr:row>
      <xdr:rowOff>0</xdr:rowOff>
    </xdr:to>
    <xdr:pic>
      <xdr:nvPicPr>
        <xdr:cNvPr id="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352676" y="27031950"/>
          <a:ext cx="685800" cy="304800"/>
        </a:xfrm>
        <a:prstGeom prst="rect">
          <a:avLst/>
        </a:prstGeom>
        <a:noFill/>
      </xdr:spPr>
    </xdr:pic>
    <xdr:clientData/>
  </xdr:twoCellAnchor>
  <xdr:twoCellAnchor>
    <xdr:from>
      <xdr:col>11</xdr:col>
      <xdr:colOff>628650</xdr:colOff>
      <xdr:row>4</xdr:row>
      <xdr:rowOff>85725</xdr:rowOff>
    </xdr:from>
    <xdr:to>
      <xdr:col>28</xdr:col>
      <xdr:colOff>371854</xdr:colOff>
      <xdr:row>41</xdr:row>
      <xdr:rowOff>110175</xdr:rowOff>
    </xdr:to>
    <xdr:grpSp>
      <xdr:nvGrpSpPr>
        <xdr:cNvPr id="7" name="Skupina 6"/>
        <xdr:cNvGrpSpPr/>
      </xdr:nvGrpSpPr>
      <xdr:grpSpPr>
        <a:xfrm>
          <a:off x="8582025" y="1524000"/>
          <a:ext cx="11401804" cy="8654100"/>
          <a:chOff x="8345850" y="1428750"/>
          <a:chExt cx="11314718" cy="8624164"/>
        </a:xfrm>
      </xdr:grpSpPr>
      <xdr:pic>
        <xdr:nvPicPr>
          <xdr:cNvPr id="8" name="Obrázek 7" descr="D:\Škola VUT\3Z\Bakalářská práce\Výpočtový program\Obrázky do programu\Příruba typ 1 - 1.PNG"/>
          <xdr:cNvPicPr/>
        </xdr:nvPicPr>
        <xdr:blipFill>
          <a:blip xmlns:r="http://schemas.openxmlformats.org/officeDocument/2006/relationships" r:embed="rId4" cstate="print"/>
          <a:srcRect/>
          <a:stretch>
            <a:fillRect/>
          </a:stretch>
        </xdr:blipFill>
        <xdr:spPr bwMode="auto">
          <a:xfrm>
            <a:off x="8345850" y="1428750"/>
            <a:ext cx="5361900" cy="2568907"/>
          </a:xfrm>
          <a:prstGeom prst="rect">
            <a:avLst/>
          </a:prstGeom>
          <a:ln w="38100" cap="sq">
            <a:noFill/>
            <a:prstDash val="solid"/>
            <a:miter lim="800000"/>
          </a:ln>
          <a:effectLst/>
        </xdr:spPr>
      </xdr:pic>
      <xdr:pic>
        <xdr:nvPicPr>
          <xdr:cNvPr id="9" name="Obrázek 8" descr="D:\Škola VUT\3Z\Bakalářská práce\Výpočtový program\Obrázky do programu\Příruba typ 1 - 2.PNG"/>
          <xdr:cNvPicPr/>
        </xdr:nvPicPr>
        <xdr:blipFill>
          <a:blip xmlns:r="http://schemas.openxmlformats.org/officeDocument/2006/relationships" r:embed="rId5" cstate="print"/>
          <a:srcRect/>
          <a:stretch>
            <a:fillRect/>
          </a:stretch>
        </xdr:blipFill>
        <xdr:spPr bwMode="auto">
          <a:xfrm>
            <a:off x="8345850" y="4449697"/>
            <a:ext cx="5039999" cy="257579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0" name="Obrázek 9" descr="D:\Škola VUT\3Z\Bakalářská práce\Výpočtový program\Obrázky do programu\Příruby typ 2 - kužel.PNG"/>
          <xdr:cNvPicPr/>
        </xdr:nvPicPr>
        <xdr:blipFill>
          <a:blip xmlns:r="http://schemas.openxmlformats.org/officeDocument/2006/relationships" r:embed="rId6" cstate="print"/>
          <a:srcRect/>
          <a:stretch>
            <a:fillRect/>
          </a:stretch>
        </xdr:blipFill>
        <xdr:spPr bwMode="auto">
          <a:xfrm>
            <a:off x="8345850" y="7470321"/>
            <a:ext cx="4837588" cy="258259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1" name="Obrázek 10" descr="D:\Škola VUT\3Z\Bakalářská práce\Výpočtový program\Obrázky do programu\Příruby typ 2 - koule.PNG"/>
          <xdr:cNvPicPr/>
        </xdr:nvPicPr>
        <xdr:blipFill>
          <a:blip xmlns:r="http://schemas.openxmlformats.org/officeDocument/2006/relationships" r:embed="rId7" cstate="print"/>
          <a:srcRect/>
          <a:stretch>
            <a:fillRect/>
          </a:stretch>
        </xdr:blipFill>
        <xdr:spPr bwMode="auto">
          <a:xfrm>
            <a:off x="13952036" y="1428750"/>
            <a:ext cx="5708532" cy="2880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2" name="Obrázek 11" descr="D:\Škola VUT\3Z\Bakalářská práce\Výpočtový program\Obrázky do programu\Příruba typ 2 - válec.PNG"/>
          <xdr:cNvPicPr/>
        </xdr:nvPicPr>
        <xdr:blipFill>
          <a:blip xmlns:r="http://schemas.openxmlformats.org/officeDocument/2006/relationships" r:embed="rId8" cstate="print"/>
          <a:srcRect/>
          <a:stretch>
            <a:fillRect/>
          </a:stretch>
        </xdr:blipFill>
        <xdr:spPr bwMode="auto">
          <a:xfrm>
            <a:off x="13952036" y="4662192"/>
            <a:ext cx="2880000" cy="251039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3" name="Obrázek 12" descr="D:\Škola VUT\3Z\Bakalářská práce\Výpočtový program\Obrázky do programu\Příruba typ 1 - násuvná pro přivaření.PNG"/>
          <xdr:cNvPicPr/>
        </xdr:nvPicPr>
        <xdr:blipFill>
          <a:blip xmlns:r="http://schemas.openxmlformats.org/officeDocument/2006/relationships" r:embed="rId9" cstate="print"/>
          <a:srcRect/>
          <a:stretch>
            <a:fillRect/>
          </a:stretch>
        </xdr:blipFill>
        <xdr:spPr bwMode="auto">
          <a:xfrm>
            <a:off x="13952036" y="7523308"/>
            <a:ext cx="2520000" cy="252960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xdr:twoCellAnchor>
    <xdr:from>
      <xdr:col>12</xdr:col>
      <xdr:colOff>0</xdr:colOff>
      <xdr:row>72</xdr:row>
      <xdr:rowOff>0</xdr:rowOff>
    </xdr:from>
    <xdr:to>
      <xdr:col>19</xdr:col>
      <xdr:colOff>239400</xdr:colOff>
      <xdr:row>99</xdr:row>
      <xdr:rowOff>51075</xdr:rowOff>
    </xdr:to>
    <xdr:grpSp>
      <xdr:nvGrpSpPr>
        <xdr:cNvPr id="14" name="Skupina 13"/>
        <xdr:cNvGrpSpPr/>
      </xdr:nvGrpSpPr>
      <xdr:grpSpPr>
        <a:xfrm>
          <a:off x="8639175" y="17421225"/>
          <a:ext cx="5040000" cy="6451875"/>
          <a:chOff x="8705850" y="16925925"/>
          <a:chExt cx="5040000" cy="6213750"/>
        </a:xfrm>
      </xdr:grpSpPr>
      <xdr:pic>
        <xdr:nvPicPr>
          <xdr:cNvPr id="15" name="Obrázek 14" descr="D:\Škola VUT\3Z\Bakalářská práce\Výpočtový program\Obrázky do programu\Příruba typ 4 - točivá.PNG"/>
          <xdr:cNvPicPr/>
        </xdr:nvPicPr>
        <xdr:blipFill>
          <a:blip xmlns:r="http://schemas.openxmlformats.org/officeDocument/2006/relationships" r:embed="rId10" cstate="print"/>
          <a:srcRect/>
          <a:stretch>
            <a:fillRect/>
          </a:stretch>
        </xdr:blipFill>
        <xdr:spPr bwMode="auto">
          <a:xfrm>
            <a:off x="8705850" y="16925925"/>
            <a:ext cx="5040000" cy="2880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6" name="Obrázek 15" descr="D:\Škola VUT\3Z\Bakalářská práce\Výpočtový program\Obrázky do programu\Příruba typ 4 - závitová.PNG"/>
          <xdr:cNvPicPr/>
        </xdr:nvPicPr>
        <xdr:blipFill>
          <a:blip xmlns:r="http://schemas.openxmlformats.org/officeDocument/2006/relationships" r:embed="rId11" cstate="print"/>
          <a:srcRect/>
          <a:stretch>
            <a:fillRect/>
          </a:stretch>
        </xdr:blipFill>
        <xdr:spPr bwMode="auto">
          <a:xfrm>
            <a:off x="8705850" y="20259675"/>
            <a:ext cx="2700000" cy="2880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xdr:twoCellAnchor>
    <xdr:from>
      <xdr:col>12</xdr:col>
      <xdr:colOff>0</xdr:colOff>
      <xdr:row>45</xdr:row>
      <xdr:rowOff>0</xdr:rowOff>
    </xdr:from>
    <xdr:to>
      <xdr:col>19</xdr:col>
      <xdr:colOff>1</xdr:colOff>
      <xdr:row>58</xdr:row>
      <xdr:rowOff>22500</xdr:rowOff>
    </xdr:to>
    <xdr:grpSp>
      <xdr:nvGrpSpPr>
        <xdr:cNvPr id="17" name="Skupina 16"/>
        <xdr:cNvGrpSpPr/>
      </xdr:nvGrpSpPr>
      <xdr:grpSpPr>
        <a:xfrm>
          <a:off x="8639175" y="11020425"/>
          <a:ext cx="4800601" cy="3118125"/>
          <a:chOff x="8705850" y="1419225"/>
          <a:chExt cx="4800601" cy="2880000"/>
        </a:xfrm>
      </xdr:grpSpPr>
      <xdr:pic>
        <xdr:nvPicPr>
          <xdr:cNvPr id="18" name="Obrázek 17" descr="D:\Škola VUT\3Z\Bakalářská práce\Výpočtový program\Obrázky do programu\Příruba typ 3 - zaslepovací.PNG"/>
          <xdr:cNvPicPr/>
        </xdr:nvPicPr>
        <xdr:blipFill>
          <a:blip xmlns:r="http://schemas.openxmlformats.org/officeDocument/2006/relationships" r:embed="rId12" cstate="print"/>
          <a:srcRect/>
          <a:stretch>
            <a:fillRect/>
          </a:stretch>
        </xdr:blipFill>
        <xdr:spPr bwMode="auto">
          <a:xfrm>
            <a:off x="8705850" y="1419225"/>
            <a:ext cx="3600000" cy="28800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9" name="Obrázek 18" descr="D:\Škola VUT\3Z\Bakalářská práce\Výpočtový program\Obrázky do programu\Příruba typ 3 - zaslepovací.PNG"/>
          <xdr:cNvPicPr/>
        </xdr:nvPicPr>
        <xdr:blipFill>
          <a:blip xmlns:r="http://schemas.openxmlformats.org/officeDocument/2006/relationships" r:embed="rId13" cstate="print"/>
          <a:srcRect/>
          <a:stretch>
            <a:fillRect/>
          </a:stretch>
        </xdr:blipFill>
        <xdr:spPr bwMode="auto">
          <a:xfrm>
            <a:off x="12820651" y="1419225"/>
            <a:ext cx="685800" cy="2381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454456</xdr:rowOff>
    </xdr:from>
    <xdr:to>
      <xdr:col>18</xdr:col>
      <xdr:colOff>274320</xdr:colOff>
      <xdr:row>13</xdr:row>
      <xdr:rowOff>47625</xdr:rowOff>
    </xdr:to>
    <xdr:pic>
      <xdr:nvPicPr>
        <xdr:cNvPr id="2" name="Obrázek 1" descr="D:\Škola VUT\3Z\Bakalářská práce\Výpočtový program\Obrázky do programu\Parametry šroubů.PN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53250" y="454456"/>
          <a:ext cx="5760720" cy="309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683558</xdr:colOff>
      <xdr:row>33</xdr:row>
      <xdr:rowOff>24848</xdr:rowOff>
    </xdr:from>
    <xdr:to>
      <xdr:col>20</xdr:col>
      <xdr:colOff>99391</xdr:colOff>
      <xdr:row>48</xdr:row>
      <xdr:rowOff>240195</xdr:rowOff>
    </xdr:to>
    <xdr:grpSp>
      <xdr:nvGrpSpPr>
        <xdr:cNvPr id="5" name="Skupina 4"/>
        <xdr:cNvGrpSpPr/>
      </xdr:nvGrpSpPr>
      <xdr:grpSpPr>
        <a:xfrm>
          <a:off x="11942108" y="8835473"/>
          <a:ext cx="5235608" cy="3739597"/>
          <a:chOff x="11956188" y="8696739"/>
          <a:chExt cx="4915486" cy="3760304"/>
        </a:xfrm>
      </xdr:grpSpPr>
      <xdr:pic>
        <xdr:nvPicPr>
          <xdr:cNvPr id="2" name="Obrázek 1" descr="D:\Škola VUT\3L\Bakalářská práce\Výpočtový program\Obrázky do programu\Těsnění typ 1.PNG"/>
          <xdr:cNvPicPr/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11956188" y="8696739"/>
            <a:ext cx="1905488" cy="190938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3" name="Obrázek 2" descr="D:\Škola VUT\3L\Bakalářská práce\Výpočtový program\Obrázky do programu\Těsnění typ 2.PNG"/>
          <xdr:cNvPicPr/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14022456" y="8696739"/>
            <a:ext cx="2849218" cy="177247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4" name="Obrázek 3" descr="D:\Škola VUT\3L\Bakalářská práce\Výpočtový program\Obrázky do programu\Těsnění typ 3.PNG"/>
          <xdr:cNvPicPr/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12759602" y="10833652"/>
            <a:ext cx="3325224" cy="162339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xdr:twoCellAnchor>
    <xdr:from>
      <xdr:col>20</xdr:col>
      <xdr:colOff>290512</xdr:colOff>
      <xdr:row>24</xdr:row>
      <xdr:rowOff>248771</xdr:rowOff>
    </xdr:from>
    <xdr:to>
      <xdr:col>27</xdr:col>
      <xdr:colOff>676555</xdr:colOff>
      <xdr:row>36</xdr:row>
      <xdr:rowOff>161924</xdr:rowOff>
    </xdr:to>
    <xdr:graphicFrame macro="">
      <xdr:nvGraphicFramePr>
        <xdr:cNvPr id="6" name="Graf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892830</xdr:colOff>
      <xdr:row>24</xdr:row>
      <xdr:rowOff>231121</xdr:rowOff>
    </xdr:from>
    <xdr:to>
      <xdr:col>35</xdr:col>
      <xdr:colOff>182656</xdr:colOff>
      <xdr:row>36</xdr:row>
      <xdr:rowOff>135870</xdr:rowOff>
    </xdr:to>
    <xdr:graphicFrame macro="">
      <xdr:nvGraphicFramePr>
        <xdr:cNvPr id="7" name="Graf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287153</xdr:colOff>
      <xdr:row>37</xdr:row>
      <xdr:rowOff>92447</xdr:rowOff>
    </xdr:from>
    <xdr:to>
      <xdr:col>27</xdr:col>
      <xdr:colOff>694765</xdr:colOff>
      <xdr:row>51</xdr:row>
      <xdr:rowOff>235322</xdr:rowOff>
    </xdr:to>
    <xdr:graphicFrame macro="">
      <xdr:nvGraphicFramePr>
        <xdr:cNvPr id="8" name="Graf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0</xdr:colOff>
      <xdr:row>37</xdr:row>
      <xdr:rowOff>113459</xdr:rowOff>
    </xdr:from>
    <xdr:to>
      <xdr:col>35</xdr:col>
      <xdr:colOff>201706</xdr:colOff>
      <xdr:row>51</xdr:row>
      <xdr:rowOff>224118</xdr:rowOff>
    </xdr:to>
    <xdr:graphicFrame macro="">
      <xdr:nvGraphicFramePr>
        <xdr:cNvPr id="10" name="Graf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676274</xdr:colOff>
      <xdr:row>3</xdr:row>
      <xdr:rowOff>123826</xdr:rowOff>
    </xdr:from>
    <xdr:to>
      <xdr:col>9</xdr:col>
      <xdr:colOff>47624</xdr:colOff>
      <xdr:row>24</xdr:row>
      <xdr:rowOff>9525</xdr:rowOff>
    </xdr:to>
    <xdr:pic>
      <xdr:nvPicPr>
        <xdr:cNvPr id="2" name="Obrázek 1" descr="D:\Škola VUT\3L\Bakalářská práce\Výpočtový program\Obrázky do programu\Tabulka pro rozptyl při utahování.PN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4" y="819151"/>
          <a:ext cx="5610225" cy="40862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133350</xdr:colOff>
      <xdr:row>24</xdr:row>
      <xdr:rowOff>161925</xdr:rowOff>
    </xdr:from>
    <xdr:to>
      <xdr:col>6</xdr:col>
      <xdr:colOff>552450</xdr:colOff>
      <xdr:row>27</xdr:row>
      <xdr:rowOff>123825</xdr:rowOff>
    </xdr:to>
    <xdr:pic>
      <xdr:nvPicPr>
        <xdr:cNvPr id="3" name="Obrázek 2" descr="D:\Škola VUT\3L\Bakalářská práce\Výpočtový program\Obrázky do programu\Souč. tření.PNG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190750" y="5057775"/>
          <a:ext cx="2543175" cy="561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Q48"/>
  <sheetViews>
    <sheetView showGridLines="0" topLeftCell="A4" zoomScale="85" zoomScaleNormal="85" workbookViewId="0">
      <selection activeCell="C35" sqref="C35:N36"/>
    </sheetView>
  </sheetViews>
  <sheetFormatPr defaultRowHeight="15.75" x14ac:dyDescent="0.25"/>
  <cols>
    <col min="1" max="1" width="9" style="316"/>
    <col min="2" max="2" width="4.75" style="316" customWidth="1"/>
    <col min="3" max="5" width="9" style="316"/>
    <col min="6" max="6" width="3.25" style="316" customWidth="1"/>
    <col min="7" max="16384" width="9" style="316"/>
  </cols>
  <sheetData>
    <row r="2" spans="2:14" ht="26.25" x14ac:dyDescent="0.4">
      <c r="B2" s="448" t="s">
        <v>399</v>
      </c>
      <c r="C2" s="448"/>
      <c r="D2" s="448"/>
      <c r="E2" s="448"/>
      <c r="F2" s="448"/>
      <c r="G2" s="448"/>
    </row>
    <row r="3" spans="2:14" ht="15.75" customHeight="1" x14ac:dyDescent="0.4">
      <c r="B3" s="255"/>
      <c r="C3" s="255"/>
      <c r="D3" s="255"/>
      <c r="E3" s="255"/>
      <c r="F3" s="255"/>
      <c r="G3" s="254"/>
    </row>
    <row r="4" spans="2:14" x14ac:dyDescent="0.25">
      <c r="B4" s="441" t="s">
        <v>484</v>
      </c>
    </row>
    <row r="5" spans="2:14" s="441" customFormat="1" x14ac:dyDescent="0.25">
      <c r="B5" s="441" t="s">
        <v>491</v>
      </c>
    </row>
    <row r="6" spans="2:14" x14ac:dyDescent="0.25">
      <c r="B6" s="316" t="s">
        <v>447</v>
      </c>
    </row>
    <row r="7" spans="2:14" s="441" customFormat="1" x14ac:dyDescent="0.25">
      <c r="B7" s="449" t="s">
        <v>428</v>
      </c>
      <c r="C7" s="449"/>
      <c r="D7" s="449"/>
      <c r="E7" s="449"/>
      <c r="F7" s="449"/>
      <c r="G7" s="449"/>
      <c r="H7" s="449"/>
      <c r="I7" s="449"/>
      <c r="J7" s="449"/>
      <c r="K7" s="449"/>
      <c r="L7" s="449"/>
    </row>
    <row r="8" spans="2:14" s="441" customFormat="1" x14ac:dyDescent="0.25">
      <c r="B8" s="449"/>
      <c r="C8" s="449"/>
      <c r="D8" s="449"/>
      <c r="E8" s="449"/>
      <c r="F8" s="449"/>
      <c r="G8" s="449"/>
      <c r="H8" s="449"/>
      <c r="I8" s="449"/>
      <c r="J8" s="449"/>
      <c r="K8" s="449"/>
      <c r="L8" s="449"/>
    </row>
    <row r="9" spans="2:14" s="441" customFormat="1" x14ac:dyDescent="0.25">
      <c r="B9" s="101" t="s">
        <v>448</v>
      </c>
    </row>
    <row r="10" spans="2:14" s="441" customFormat="1" x14ac:dyDescent="0.25"/>
    <row r="11" spans="2:14" s="441" customFormat="1" x14ac:dyDescent="0.25">
      <c r="B11" s="446" t="s">
        <v>485</v>
      </c>
      <c r="C11" s="446"/>
      <c r="D11" s="446"/>
    </row>
    <row r="12" spans="2:14" s="441" customFormat="1" x14ac:dyDescent="0.25">
      <c r="B12" s="442" t="s">
        <v>486</v>
      </c>
      <c r="C12" s="450" t="s">
        <v>492</v>
      </c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</row>
    <row r="13" spans="2:14" s="441" customFormat="1" x14ac:dyDescent="0.25">
      <c r="B13" s="442"/>
      <c r="C13" s="450"/>
      <c r="D13" s="450"/>
      <c r="E13" s="450"/>
      <c r="F13" s="450"/>
      <c r="G13" s="450"/>
      <c r="H13" s="450"/>
      <c r="I13" s="450"/>
      <c r="J13" s="450"/>
      <c r="K13" s="450"/>
      <c r="L13" s="450"/>
      <c r="M13" s="450"/>
      <c r="N13" s="450"/>
    </row>
    <row r="14" spans="2:14" x14ac:dyDescent="0.25">
      <c r="B14" s="442" t="s">
        <v>487</v>
      </c>
      <c r="C14" s="441" t="s">
        <v>493</v>
      </c>
    </row>
    <row r="15" spans="2:14" x14ac:dyDescent="0.25">
      <c r="B15" s="442" t="s">
        <v>488</v>
      </c>
      <c r="C15" s="441" t="s">
        <v>494</v>
      </c>
    </row>
    <row r="16" spans="2:14" x14ac:dyDescent="0.25">
      <c r="B16" s="442" t="s">
        <v>489</v>
      </c>
      <c r="C16" s="20" t="s">
        <v>495</v>
      </c>
      <c r="D16" s="20"/>
      <c r="E16" s="20"/>
      <c r="F16" s="20"/>
      <c r="G16" s="20"/>
      <c r="H16" s="20"/>
      <c r="I16" s="20"/>
      <c r="J16" s="20"/>
      <c r="K16" s="20"/>
      <c r="L16" s="20"/>
    </row>
    <row r="17" spans="2:17" x14ac:dyDescent="0.25">
      <c r="B17" s="442"/>
      <c r="C17" s="20"/>
      <c r="D17" s="20"/>
      <c r="E17" s="20"/>
      <c r="F17" s="20"/>
      <c r="G17" s="20"/>
      <c r="H17" s="20"/>
      <c r="I17" s="20"/>
      <c r="J17" s="20"/>
      <c r="K17" s="20"/>
      <c r="L17" s="20"/>
    </row>
    <row r="18" spans="2:17" x14ac:dyDescent="0.25">
      <c r="B18" s="446" t="s">
        <v>496</v>
      </c>
      <c r="C18" s="446"/>
      <c r="D18" s="446"/>
      <c r="E18" s="20"/>
      <c r="F18" s="20"/>
      <c r="G18" s="20"/>
      <c r="H18" s="20"/>
      <c r="I18" s="20"/>
      <c r="J18" s="20"/>
      <c r="K18" s="20"/>
      <c r="L18" s="20"/>
    </row>
    <row r="19" spans="2:17" x14ac:dyDescent="0.25">
      <c r="B19" s="442" t="s">
        <v>486</v>
      </c>
      <c r="C19" s="242" t="s">
        <v>497</v>
      </c>
    </row>
    <row r="20" spans="2:17" x14ac:dyDescent="0.25">
      <c r="B20" s="442" t="s">
        <v>487</v>
      </c>
      <c r="C20" s="242" t="s">
        <v>498</v>
      </c>
    </row>
    <row r="21" spans="2:17" ht="18.75" x14ac:dyDescent="0.35">
      <c r="B21" s="442" t="s">
        <v>488</v>
      </c>
      <c r="C21" s="242" t="s">
        <v>499</v>
      </c>
    </row>
    <row r="22" spans="2:17" x14ac:dyDescent="0.25">
      <c r="B22" s="442"/>
    </row>
    <row r="23" spans="2:17" x14ac:dyDescent="0.25">
      <c r="B23" s="446" t="s">
        <v>500</v>
      </c>
      <c r="C23" s="446"/>
      <c r="D23" s="446"/>
    </row>
    <row r="24" spans="2:17" x14ac:dyDescent="0.25">
      <c r="B24" s="442" t="s">
        <v>486</v>
      </c>
      <c r="C24" s="242" t="s">
        <v>502</v>
      </c>
    </row>
    <row r="25" spans="2:17" ht="18.75" x14ac:dyDescent="0.35">
      <c r="B25" s="442" t="s">
        <v>487</v>
      </c>
      <c r="C25" s="242" t="s">
        <v>503</v>
      </c>
      <c r="Q25" s="441" t="s">
        <v>504</v>
      </c>
    </row>
    <row r="26" spans="2:17" x14ac:dyDescent="0.25">
      <c r="B26" s="442" t="s">
        <v>488</v>
      </c>
      <c r="C26" s="242" t="s">
        <v>505</v>
      </c>
    </row>
    <row r="27" spans="2:17" x14ac:dyDescent="0.25">
      <c r="B27" s="442" t="s">
        <v>506</v>
      </c>
      <c r="C27" s="445" t="s">
        <v>507</v>
      </c>
      <c r="D27" s="445"/>
      <c r="E27" s="445"/>
      <c r="F27" s="445"/>
      <c r="G27" s="445"/>
      <c r="H27" s="445"/>
      <c r="I27" s="445"/>
      <c r="J27" s="445"/>
      <c r="K27" s="445"/>
      <c r="L27" s="445"/>
      <c r="M27" s="445"/>
      <c r="N27" s="445"/>
    </row>
    <row r="28" spans="2:17" x14ac:dyDescent="0.25">
      <c r="C28" s="445"/>
      <c r="D28" s="445"/>
      <c r="E28" s="445"/>
      <c r="F28" s="445"/>
      <c r="G28" s="445"/>
      <c r="H28" s="445"/>
      <c r="I28" s="445"/>
      <c r="J28" s="445"/>
      <c r="K28" s="445"/>
      <c r="L28" s="445"/>
      <c r="M28" s="445"/>
      <c r="N28" s="445"/>
    </row>
    <row r="29" spans="2:17" x14ac:dyDescent="0.25">
      <c r="B29" s="442" t="s">
        <v>490</v>
      </c>
      <c r="C29" s="445" t="s">
        <v>510</v>
      </c>
      <c r="D29" s="445"/>
      <c r="E29" s="445"/>
      <c r="F29" s="445"/>
      <c r="G29" s="445"/>
      <c r="H29" s="445"/>
      <c r="I29" s="445"/>
      <c r="J29" s="445"/>
      <c r="K29" s="445"/>
      <c r="L29" s="445"/>
      <c r="M29" s="445"/>
      <c r="N29" s="445"/>
    </row>
    <row r="30" spans="2:17" x14ac:dyDescent="0.25">
      <c r="C30" s="445"/>
      <c r="D30" s="445"/>
      <c r="E30" s="445"/>
      <c r="F30" s="445"/>
      <c r="G30" s="445"/>
      <c r="H30" s="445"/>
      <c r="I30" s="445"/>
      <c r="J30" s="445"/>
      <c r="K30" s="445"/>
      <c r="L30" s="445"/>
      <c r="M30" s="445"/>
      <c r="N30" s="445"/>
    </row>
    <row r="32" spans="2:17" x14ac:dyDescent="0.25">
      <c r="B32" s="446" t="s">
        <v>511</v>
      </c>
      <c r="C32" s="446"/>
      <c r="D32" s="446"/>
    </row>
    <row r="33" spans="2:17" x14ac:dyDescent="0.25">
      <c r="B33" s="442" t="s">
        <v>486</v>
      </c>
      <c r="C33" s="441" t="s">
        <v>512</v>
      </c>
    </row>
    <row r="34" spans="2:17" x14ac:dyDescent="0.25">
      <c r="B34" s="442" t="s">
        <v>487</v>
      </c>
      <c r="C34" s="441" t="s">
        <v>513</v>
      </c>
    </row>
    <row r="35" spans="2:17" x14ac:dyDescent="0.25">
      <c r="B35" s="442" t="s">
        <v>488</v>
      </c>
      <c r="C35" s="447" t="s">
        <v>514</v>
      </c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</row>
    <row r="36" spans="2:17" x14ac:dyDescent="0.25">
      <c r="B36" s="442"/>
      <c r="C36" s="447"/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</row>
    <row r="48" spans="2:17" x14ac:dyDescent="0.25">
      <c r="Q48" s="441" t="s">
        <v>509</v>
      </c>
    </row>
  </sheetData>
  <sheetProtection password="CC21" sheet="1" objects="1" scenarios="1"/>
  <mergeCells count="10">
    <mergeCell ref="C27:N28"/>
    <mergeCell ref="C29:N30"/>
    <mergeCell ref="B32:D32"/>
    <mergeCell ref="C35:N36"/>
    <mergeCell ref="B2:G2"/>
    <mergeCell ref="B7:L8"/>
    <mergeCell ref="B11:D11"/>
    <mergeCell ref="C12:N13"/>
    <mergeCell ref="B18:D18"/>
    <mergeCell ref="B23:D23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 filterMode="1"/>
  <dimension ref="A1:AB127"/>
  <sheetViews>
    <sheetView showGridLines="0" zoomScaleNormal="100" workbookViewId="0">
      <selection activeCell="B10" sqref="B10:F10"/>
    </sheetView>
  </sheetViews>
  <sheetFormatPr defaultRowHeight="15.75" x14ac:dyDescent="0.25"/>
  <cols>
    <col min="1" max="1" width="10.5" style="355" customWidth="1"/>
    <col min="2" max="2" width="10.75" style="355" customWidth="1"/>
    <col min="3" max="7" width="9" style="355"/>
    <col min="8" max="8" width="11" style="355" customWidth="1"/>
    <col min="9" max="9" width="9" style="355"/>
    <col min="10" max="10" width="9.375" style="355" customWidth="1"/>
    <col min="11" max="16384" width="9" style="355"/>
  </cols>
  <sheetData>
    <row r="1" spans="1:28" ht="39" customHeight="1" thickTop="1" thickBot="1" x14ac:dyDescent="0.3">
      <c r="A1" s="472" t="s">
        <v>134</v>
      </c>
      <c r="B1" s="473"/>
      <c r="C1" s="473"/>
      <c r="D1" s="473"/>
      <c r="E1" s="473"/>
      <c r="F1" s="473"/>
      <c r="G1" s="473"/>
      <c r="H1" s="473"/>
      <c r="I1" s="473"/>
      <c r="J1" s="474"/>
    </row>
    <row r="2" spans="1:28" ht="33" thickTop="1" thickBot="1" x14ac:dyDescent="0.3">
      <c r="A2" s="395" t="s">
        <v>0</v>
      </c>
      <c r="B2" s="475" t="s">
        <v>1</v>
      </c>
      <c r="C2" s="476"/>
      <c r="D2" s="476"/>
      <c r="E2" s="476"/>
      <c r="F2" s="477"/>
      <c r="G2" s="356" t="s">
        <v>2</v>
      </c>
      <c r="H2" s="356" t="s">
        <v>3</v>
      </c>
      <c r="I2" s="357" t="s">
        <v>120</v>
      </c>
      <c r="J2" s="358" t="s">
        <v>137</v>
      </c>
    </row>
    <row r="3" spans="1:28" ht="21" customHeight="1" thickTop="1" thickBot="1" x14ac:dyDescent="0.3">
      <c r="A3" s="359">
        <v>1</v>
      </c>
      <c r="B3" s="487" t="s">
        <v>149</v>
      </c>
      <c r="C3" s="488"/>
      <c r="D3" s="488"/>
      <c r="E3" s="488"/>
      <c r="F3" s="488"/>
      <c r="G3" s="488"/>
      <c r="H3" s="488"/>
      <c r="I3" s="488"/>
      <c r="J3" s="489"/>
    </row>
    <row r="4" spans="1:28" ht="19.5" thickTop="1" x14ac:dyDescent="0.35">
      <c r="A4" s="360">
        <v>1</v>
      </c>
      <c r="B4" s="484" t="s">
        <v>4</v>
      </c>
      <c r="C4" s="485"/>
      <c r="D4" s="485"/>
      <c r="E4" s="485"/>
      <c r="F4" s="486"/>
      <c r="G4" s="361" t="s">
        <v>18</v>
      </c>
      <c r="H4" s="396">
        <v>26.5</v>
      </c>
      <c r="I4" s="362" t="s">
        <v>123</v>
      </c>
      <c r="J4" s="363"/>
      <c r="L4" s="364"/>
      <c r="M4" s="499" t="s">
        <v>151</v>
      </c>
      <c r="N4" s="500"/>
      <c r="O4" s="500"/>
      <c r="P4" s="500"/>
      <c r="Q4" s="500"/>
      <c r="R4" s="500"/>
      <c r="S4" s="500"/>
      <c r="U4" s="499" t="s">
        <v>9</v>
      </c>
      <c r="V4" s="499"/>
      <c r="W4" s="499"/>
      <c r="X4" s="499"/>
      <c r="Y4" s="499"/>
      <c r="Z4" s="499"/>
      <c r="AA4" s="499"/>
      <c r="AB4" s="499"/>
    </row>
    <row r="5" spans="1:28" ht="18.75" x14ac:dyDescent="0.35">
      <c r="A5" s="365">
        <v>1</v>
      </c>
      <c r="B5" s="478" t="s">
        <v>5</v>
      </c>
      <c r="C5" s="479"/>
      <c r="D5" s="479"/>
      <c r="E5" s="479"/>
      <c r="F5" s="480"/>
      <c r="G5" s="366" t="s">
        <v>17</v>
      </c>
      <c r="H5" s="397">
        <v>28.5</v>
      </c>
      <c r="I5" s="367" t="s">
        <v>123</v>
      </c>
      <c r="J5" s="368"/>
      <c r="L5" s="364"/>
      <c r="M5" s="364"/>
      <c r="N5" s="364"/>
      <c r="O5" s="364"/>
      <c r="P5" s="364"/>
    </row>
    <row r="6" spans="1:28" ht="18.75" x14ac:dyDescent="0.35">
      <c r="A6" s="365">
        <v>1</v>
      </c>
      <c r="B6" s="478" t="s">
        <v>6</v>
      </c>
      <c r="C6" s="479"/>
      <c r="D6" s="479"/>
      <c r="E6" s="479"/>
      <c r="F6" s="480"/>
      <c r="G6" s="366" t="s">
        <v>16</v>
      </c>
      <c r="H6" s="397">
        <v>26.5</v>
      </c>
      <c r="I6" s="367" t="s">
        <v>123</v>
      </c>
      <c r="J6" s="368"/>
      <c r="L6" s="364"/>
      <c r="M6" s="364"/>
      <c r="N6" s="364"/>
      <c r="O6" s="364"/>
      <c r="P6" s="364"/>
    </row>
    <row r="7" spans="1:28" ht="18.75" x14ac:dyDescent="0.35">
      <c r="A7" s="365">
        <v>1</v>
      </c>
      <c r="B7" s="490" t="s">
        <v>337</v>
      </c>
      <c r="C7" s="491"/>
      <c r="D7" s="491"/>
      <c r="E7" s="491"/>
      <c r="F7" s="492"/>
      <c r="G7" s="366" t="s">
        <v>38</v>
      </c>
      <c r="H7" s="397">
        <v>31</v>
      </c>
      <c r="I7" s="367" t="s">
        <v>123</v>
      </c>
      <c r="J7" s="368">
        <v>1</v>
      </c>
      <c r="L7" s="364"/>
      <c r="M7" s="364"/>
      <c r="N7" s="364"/>
      <c r="O7" s="364"/>
      <c r="P7" s="364"/>
    </row>
    <row r="8" spans="1:28" ht="18.75" x14ac:dyDescent="0.35">
      <c r="A8" s="365">
        <v>1</v>
      </c>
      <c r="B8" s="478" t="s">
        <v>109</v>
      </c>
      <c r="C8" s="479"/>
      <c r="D8" s="479"/>
      <c r="E8" s="479"/>
      <c r="F8" s="480"/>
      <c r="G8" s="366" t="s">
        <v>68</v>
      </c>
      <c r="H8" s="397">
        <v>31</v>
      </c>
      <c r="I8" s="367" t="s">
        <v>123</v>
      </c>
      <c r="J8" s="368"/>
      <c r="L8" s="364"/>
      <c r="M8" s="364"/>
      <c r="N8" s="364"/>
      <c r="O8" s="364"/>
      <c r="P8" s="364"/>
    </row>
    <row r="9" spans="1:28" ht="18.75" x14ac:dyDescent="0.35">
      <c r="A9" s="365">
        <v>1</v>
      </c>
      <c r="B9" s="478" t="s">
        <v>143</v>
      </c>
      <c r="C9" s="479"/>
      <c r="D9" s="479"/>
      <c r="E9" s="479"/>
      <c r="F9" s="480"/>
      <c r="G9" s="366" t="s">
        <v>144</v>
      </c>
      <c r="H9" s="397">
        <v>31</v>
      </c>
      <c r="I9" s="367" t="s">
        <v>123</v>
      </c>
      <c r="J9" s="368"/>
      <c r="L9" s="364"/>
      <c r="M9" s="364"/>
      <c r="N9" s="364"/>
      <c r="O9" s="364"/>
      <c r="P9" s="364"/>
    </row>
    <row r="10" spans="1:28" ht="18.75" x14ac:dyDescent="0.35">
      <c r="A10" s="365">
        <v>1</v>
      </c>
      <c r="B10" s="478" t="s">
        <v>247</v>
      </c>
      <c r="C10" s="479"/>
      <c r="D10" s="479"/>
      <c r="E10" s="479"/>
      <c r="F10" s="480"/>
      <c r="G10" s="366" t="s">
        <v>246</v>
      </c>
      <c r="H10" s="397">
        <v>34</v>
      </c>
      <c r="I10" s="367" t="s">
        <v>123</v>
      </c>
      <c r="J10" s="368">
        <v>6</v>
      </c>
      <c r="L10" s="364"/>
      <c r="M10" s="364"/>
      <c r="N10" s="364"/>
      <c r="O10" s="364"/>
      <c r="P10" s="364"/>
    </row>
    <row r="11" spans="1:28" ht="18.75" x14ac:dyDescent="0.35">
      <c r="A11" s="365">
        <v>1</v>
      </c>
      <c r="B11" s="478" t="s">
        <v>7</v>
      </c>
      <c r="C11" s="479"/>
      <c r="D11" s="479"/>
      <c r="E11" s="479"/>
      <c r="F11" s="480"/>
      <c r="G11" s="366" t="s">
        <v>15</v>
      </c>
      <c r="H11" s="397">
        <v>65</v>
      </c>
      <c r="I11" s="367" t="s">
        <v>123</v>
      </c>
      <c r="J11" s="368"/>
      <c r="K11" s="369" t="s">
        <v>39</v>
      </c>
      <c r="L11" s="364"/>
      <c r="M11" s="364"/>
      <c r="N11" s="364"/>
      <c r="O11" s="364"/>
      <c r="P11" s="364"/>
    </row>
    <row r="12" spans="1:28" ht="18.75" x14ac:dyDescent="0.35">
      <c r="A12" s="365">
        <v>1</v>
      </c>
      <c r="B12" s="478" t="s">
        <v>19</v>
      </c>
      <c r="C12" s="479"/>
      <c r="D12" s="479"/>
      <c r="E12" s="479"/>
      <c r="F12" s="480"/>
      <c r="G12" s="366" t="s">
        <v>20</v>
      </c>
      <c r="H12" s="397">
        <v>91.5</v>
      </c>
      <c r="I12" s="367" t="s">
        <v>123</v>
      </c>
      <c r="J12" s="368"/>
      <c r="L12" s="364"/>
      <c r="M12" s="364"/>
      <c r="N12" s="364"/>
      <c r="O12" s="364"/>
      <c r="P12" s="364"/>
    </row>
    <row r="13" spans="1:28" ht="18.75" x14ac:dyDescent="0.35">
      <c r="A13" s="365">
        <v>1</v>
      </c>
      <c r="B13" s="478" t="s">
        <v>24</v>
      </c>
      <c r="C13" s="479"/>
      <c r="D13" s="479"/>
      <c r="E13" s="479"/>
      <c r="F13" s="480"/>
      <c r="G13" s="366" t="s">
        <v>21</v>
      </c>
      <c r="H13" s="397">
        <v>93.5</v>
      </c>
      <c r="I13" s="367" t="s">
        <v>123</v>
      </c>
      <c r="J13" s="368"/>
      <c r="L13" s="364"/>
      <c r="M13" s="364"/>
      <c r="N13" s="364"/>
      <c r="O13" s="364"/>
      <c r="P13" s="364"/>
    </row>
    <row r="14" spans="1:28" ht="18.75" x14ac:dyDescent="0.35">
      <c r="A14" s="365">
        <v>1</v>
      </c>
      <c r="B14" s="478" t="s">
        <v>25</v>
      </c>
      <c r="C14" s="479"/>
      <c r="D14" s="479"/>
      <c r="E14" s="479"/>
      <c r="F14" s="480"/>
      <c r="G14" s="366" t="s">
        <v>22</v>
      </c>
      <c r="H14" s="397">
        <v>170</v>
      </c>
      <c r="I14" s="367" t="s">
        <v>123</v>
      </c>
      <c r="J14" s="368"/>
      <c r="L14" s="364"/>
      <c r="M14" s="364"/>
      <c r="N14" s="364"/>
      <c r="O14" s="364"/>
      <c r="P14" s="364"/>
    </row>
    <row r="15" spans="1:28" ht="18.75" x14ac:dyDescent="0.35">
      <c r="A15" s="365">
        <v>1</v>
      </c>
      <c r="B15" s="478" t="s">
        <v>26</v>
      </c>
      <c r="C15" s="479"/>
      <c r="D15" s="479"/>
      <c r="E15" s="479"/>
      <c r="F15" s="480"/>
      <c r="G15" s="366" t="s">
        <v>23</v>
      </c>
      <c r="H15" s="398">
        <v>220</v>
      </c>
      <c r="I15" s="367" t="s">
        <v>123</v>
      </c>
      <c r="J15" s="368"/>
    </row>
    <row r="16" spans="1:28" ht="18.75" x14ac:dyDescent="0.35">
      <c r="A16" s="365">
        <v>1</v>
      </c>
      <c r="B16" s="478" t="s">
        <v>27</v>
      </c>
      <c r="C16" s="479"/>
      <c r="D16" s="479"/>
      <c r="E16" s="479"/>
      <c r="F16" s="480"/>
      <c r="G16" s="366" t="s">
        <v>28</v>
      </c>
      <c r="H16" s="399">
        <v>26</v>
      </c>
      <c r="I16" s="367" t="s">
        <v>123</v>
      </c>
      <c r="J16" s="370">
        <v>2</v>
      </c>
    </row>
    <row r="17" spans="1:24" ht="18.75" x14ac:dyDescent="0.35">
      <c r="A17" s="365">
        <v>1</v>
      </c>
      <c r="B17" s="478" t="s">
        <v>110</v>
      </c>
      <c r="C17" s="479"/>
      <c r="D17" s="479"/>
      <c r="E17" s="479"/>
      <c r="F17" s="480"/>
      <c r="G17" s="371" t="s">
        <v>66</v>
      </c>
      <c r="H17" s="397">
        <v>24</v>
      </c>
      <c r="I17" s="367" t="s">
        <v>123</v>
      </c>
      <c r="J17" s="372"/>
      <c r="M17" s="501" t="s">
        <v>151</v>
      </c>
      <c r="N17" s="502"/>
      <c r="O17" s="502"/>
      <c r="P17" s="502"/>
      <c r="Q17" s="502"/>
      <c r="R17" s="502"/>
      <c r="S17" s="502"/>
    </row>
    <row r="18" spans="1:24" ht="18.75" x14ac:dyDescent="0.35">
      <c r="A18" s="365">
        <v>1</v>
      </c>
      <c r="B18" s="478" t="s">
        <v>65</v>
      </c>
      <c r="C18" s="479"/>
      <c r="D18" s="479"/>
      <c r="E18" s="479"/>
      <c r="F18" s="480"/>
      <c r="G18" s="371" t="s">
        <v>67</v>
      </c>
      <c r="H18" s="397">
        <v>31</v>
      </c>
      <c r="I18" s="367" t="s">
        <v>123</v>
      </c>
      <c r="J18" s="363"/>
      <c r="U18" s="501" t="s">
        <v>10</v>
      </c>
      <c r="V18" s="501"/>
      <c r="W18" s="501"/>
      <c r="X18" s="501"/>
    </row>
    <row r="19" spans="1:24" ht="18.75" x14ac:dyDescent="0.35">
      <c r="A19" s="365">
        <v>1</v>
      </c>
      <c r="B19" s="478" t="s">
        <v>32</v>
      </c>
      <c r="C19" s="479"/>
      <c r="D19" s="479"/>
      <c r="E19" s="479"/>
      <c r="F19" s="480"/>
      <c r="G19" s="371" t="s">
        <v>33</v>
      </c>
      <c r="H19" s="400">
        <v>8</v>
      </c>
      <c r="I19" s="367" t="s">
        <v>124</v>
      </c>
      <c r="J19" s="368"/>
    </row>
    <row r="20" spans="1:24" ht="18.75" x14ac:dyDescent="0.35">
      <c r="A20" s="365">
        <v>1</v>
      </c>
      <c r="B20" s="478" t="s">
        <v>111</v>
      </c>
      <c r="C20" s="479"/>
      <c r="D20" s="479"/>
      <c r="E20" s="479"/>
      <c r="F20" s="480"/>
      <c r="G20" s="371" t="s">
        <v>71</v>
      </c>
      <c r="H20" s="397">
        <v>24</v>
      </c>
      <c r="I20" s="367" t="s">
        <v>123</v>
      </c>
      <c r="J20" s="368"/>
    </row>
    <row r="21" spans="1:24" ht="18.75" x14ac:dyDescent="0.35">
      <c r="A21" s="365">
        <v>1</v>
      </c>
      <c r="B21" s="478" t="s">
        <v>29</v>
      </c>
      <c r="C21" s="479"/>
      <c r="D21" s="479"/>
      <c r="E21" s="479"/>
      <c r="F21" s="480"/>
      <c r="G21" s="371" t="s">
        <v>30</v>
      </c>
      <c r="H21" s="397">
        <v>40</v>
      </c>
      <c r="I21" s="367" t="s">
        <v>123</v>
      </c>
      <c r="J21" s="368"/>
    </row>
    <row r="22" spans="1:24" ht="18.75" x14ac:dyDescent="0.35">
      <c r="A22" s="365">
        <v>1</v>
      </c>
      <c r="B22" s="478" t="s">
        <v>138</v>
      </c>
      <c r="C22" s="479"/>
      <c r="D22" s="479"/>
      <c r="E22" s="479"/>
      <c r="F22" s="480"/>
      <c r="G22" s="371" t="s">
        <v>139</v>
      </c>
      <c r="H22" s="397">
        <v>0</v>
      </c>
      <c r="I22" s="367" t="s">
        <v>140</v>
      </c>
      <c r="J22" s="368">
        <v>3</v>
      </c>
    </row>
    <row r="23" spans="1:24" ht="16.5" thickBot="1" x14ac:dyDescent="0.3">
      <c r="A23" s="373">
        <v>1</v>
      </c>
      <c r="B23" s="496" t="s">
        <v>145</v>
      </c>
      <c r="C23" s="497"/>
      <c r="D23" s="497"/>
      <c r="E23" s="497"/>
      <c r="F23" s="497"/>
      <c r="G23" s="498"/>
      <c r="H23" s="401">
        <v>1</v>
      </c>
      <c r="I23" s="374" t="s">
        <v>124</v>
      </c>
      <c r="J23" s="375"/>
    </row>
    <row r="24" spans="1:24" ht="18.75" x14ac:dyDescent="0.35">
      <c r="A24" s="376">
        <v>1</v>
      </c>
      <c r="B24" s="481" t="s">
        <v>69</v>
      </c>
      <c r="C24" s="482"/>
      <c r="D24" s="482"/>
      <c r="E24" s="482"/>
      <c r="F24" s="483"/>
      <c r="G24" s="377" t="s">
        <v>31</v>
      </c>
      <c r="H24" s="378">
        <f>(PI()*H14)/H19</f>
        <v>66.758843888783105</v>
      </c>
      <c r="I24" s="362" t="s">
        <v>123</v>
      </c>
      <c r="J24" s="363"/>
    </row>
    <row r="25" spans="1:24" ht="18.75" x14ac:dyDescent="0.35">
      <c r="A25" s="365">
        <v>1</v>
      </c>
      <c r="B25" s="478" t="s">
        <v>34</v>
      </c>
      <c r="C25" s="479"/>
      <c r="D25" s="479"/>
      <c r="E25" s="479"/>
      <c r="F25" s="480"/>
      <c r="G25" s="371" t="s">
        <v>35</v>
      </c>
      <c r="H25" s="379">
        <f>IF(H16=0, H17*H18/H8*SQRT((H17*H18/H8)/H24), H16*SQRT(H16/H24))</f>
        <v>16.225781314738235</v>
      </c>
      <c r="I25" s="367" t="s">
        <v>123</v>
      </c>
      <c r="J25" s="368"/>
    </row>
    <row r="26" spans="1:24" ht="18.75" x14ac:dyDescent="0.35">
      <c r="A26" s="365">
        <v>1</v>
      </c>
      <c r="B26" s="478" t="s">
        <v>136</v>
      </c>
      <c r="C26" s="479"/>
      <c r="D26" s="479"/>
      <c r="E26" s="479"/>
      <c r="F26" s="480"/>
      <c r="G26" s="371" t="s">
        <v>36</v>
      </c>
      <c r="H26" s="379">
        <f>H14*(1-(2/(H19^2)))</f>
        <v>164.6875</v>
      </c>
      <c r="I26" s="367" t="s">
        <v>123</v>
      </c>
      <c r="J26" s="368"/>
    </row>
    <row r="27" spans="1:24" ht="18.75" x14ac:dyDescent="0.35">
      <c r="A27" s="365">
        <v>1</v>
      </c>
      <c r="B27" s="478" t="s">
        <v>40</v>
      </c>
      <c r="C27" s="479"/>
      <c r="D27" s="479"/>
      <c r="E27" s="479"/>
      <c r="F27" s="480"/>
      <c r="G27" s="371" t="s">
        <v>41</v>
      </c>
      <c r="H27" s="379">
        <f>((H15-H11)/2)-H25</f>
        <v>61.274218685261765</v>
      </c>
      <c r="I27" s="367" t="s">
        <v>123</v>
      </c>
      <c r="J27" s="368"/>
    </row>
    <row r="28" spans="1:24" ht="18.75" x14ac:dyDescent="0.35">
      <c r="A28" s="365">
        <v>1</v>
      </c>
      <c r="B28" s="478" t="s">
        <v>44</v>
      </c>
      <c r="C28" s="479"/>
      <c r="D28" s="479"/>
      <c r="E28" s="479"/>
      <c r="F28" s="480"/>
      <c r="G28" s="371" t="s">
        <v>45</v>
      </c>
      <c r="H28" s="379">
        <f>(H15+H11)/2</f>
        <v>142.5</v>
      </c>
      <c r="I28" s="367" t="s">
        <v>123</v>
      </c>
      <c r="J28" s="368"/>
    </row>
    <row r="29" spans="1:24" x14ac:dyDescent="0.25">
      <c r="A29" s="365">
        <v>1</v>
      </c>
      <c r="B29" s="478" t="s">
        <v>46</v>
      </c>
      <c r="C29" s="479"/>
      <c r="D29" s="479"/>
      <c r="E29" s="479"/>
      <c r="F29" s="480"/>
      <c r="G29" s="371" t="s">
        <v>47</v>
      </c>
      <c r="H29" s="379">
        <f>H$5/H$4</f>
        <v>1.0754716981132075</v>
      </c>
      <c r="I29" s="367" t="s">
        <v>124</v>
      </c>
      <c r="J29" s="368"/>
    </row>
    <row r="30" spans="1:24" ht="18.75" x14ac:dyDescent="0.35">
      <c r="A30" s="365">
        <v>1</v>
      </c>
      <c r="B30" s="478" t="s">
        <v>48</v>
      </c>
      <c r="C30" s="479"/>
      <c r="D30" s="479"/>
      <c r="E30" s="479"/>
      <c r="F30" s="480"/>
      <c r="G30" s="371" t="s">
        <v>49</v>
      </c>
      <c r="H30" s="379">
        <f>H4*(1+((H29-1)*H21/((H29/3*SQRT(H12*H4))+H21)))</f>
        <v>27.887619240472343</v>
      </c>
      <c r="I30" s="367" t="s">
        <v>123</v>
      </c>
      <c r="J30" s="368"/>
      <c r="M30" s="501" t="s">
        <v>8</v>
      </c>
      <c r="N30" s="502"/>
      <c r="O30" s="502"/>
      <c r="P30" s="502"/>
      <c r="Q30" s="502"/>
      <c r="R30" s="502"/>
      <c r="S30" s="502"/>
      <c r="U30" s="501" t="s">
        <v>13</v>
      </c>
      <c r="V30" s="501"/>
      <c r="W30" s="501"/>
      <c r="X30" s="501"/>
    </row>
    <row r="31" spans="1:24" ht="18.75" x14ac:dyDescent="0.35">
      <c r="A31" s="365">
        <v>1</v>
      </c>
      <c r="B31" s="478" t="s">
        <v>483</v>
      </c>
      <c r="C31" s="479"/>
      <c r="D31" s="479"/>
      <c r="E31" s="479"/>
      <c r="F31" s="480"/>
      <c r="G31" s="371" t="s">
        <v>50</v>
      </c>
      <c r="H31" s="379">
        <f>(MIN(H12-H4+H30,H13+H5-H30)+MAX(H12+H4-H30,H13-H5+H30))/2</f>
        <v>92.887619240472347</v>
      </c>
      <c r="I31" s="367" t="s">
        <v>123</v>
      </c>
      <c r="J31" s="368"/>
    </row>
    <row r="32" spans="1:24" ht="18.75" x14ac:dyDescent="0.25">
      <c r="A32" s="365">
        <v>1</v>
      </c>
      <c r="B32" s="478" t="s">
        <v>141</v>
      </c>
      <c r="C32" s="479"/>
      <c r="D32" s="479"/>
      <c r="E32" s="479"/>
      <c r="F32" s="480"/>
      <c r="G32" s="380" t="s">
        <v>142</v>
      </c>
      <c r="H32" s="379">
        <f>COS(RADIANS(H22))</f>
        <v>1</v>
      </c>
      <c r="I32" s="367" t="s">
        <v>124</v>
      </c>
      <c r="J32" s="368"/>
    </row>
    <row r="33" spans="1:17" ht="15" customHeight="1" x14ac:dyDescent="0.25">
      <c r="A33" s="365">
        <v>1</v>
      </c>
      <c r="B33" s="478" t="s">
        <v>51</v>
      </c>
      <c r="C33" s="479"/>
      <c r="D33" s="479"/>
      <c r="E33" s="479"/>
      <c r="F33" s="480"/>
      <c r="G33" s="371" t="s">
        <v>54</v>
      </c>
      <c r="H33" s="379">
        <f>(H30*H28)/(H27*H31*H32)</f>
        <v>0.69821743704185968</v>
      </c>
      <c r="I33" s="367" t="s">
        <v>124</v>
      </c>
      <c r="J33" s="368"/>
    </row>
    <row r="34" spans="1:17" x14ac:dyDescent="0.25">
      <c r="A34" s="365">
        <v>1</v>
      </c>
      <c r="B34" s="478" t="s">
        <v>52</v>
      </c>
      <c r="C34" s="479"/>
      <c r="D34" s="479"/>
      <c r="E34" s="479"/>
      <c r="F34" s="480"/>
      <c r="G34" s="371" t="s">
        <v>55</v>
      </c>
      <c r="H34" s="379">
        <f>(0.55*H32*SQRT(H31*H30))/H7</f>
        <v>0.90299559488654546</v>
      </c>
      <c r="I34" s="367" t="s">
        <v>124</v>
      </c>
      <c r="J34" s="368"/>
      <c r="L34" s="381"/>
    </row>
    <row r="35" spans="1:17" x14ac:dyDescent="0.25">
      <c r="A35" s="365">
        <v>1</v>
      </c>
      <c r="B35" s="478" t="s">
        <v>53</v>
      </c>
      <c r="C35" s="479"/>
      <c r="D35" s="479"/>
      <c r="E35" s="479"/>
      <c r="F35" s="480"/>
      <c r="G35" s="371" t="s">
        <v>56</v>
      </c>
      <c r="H35" s="379">
        <f>1-(H9/H7)</f>
        <v>0</v>
      </c>
      <c r="I35" s="367" t="s">
        <v>124</v>
      </c>
      <c r="J35" s="368"/>
    </row>
    <row r="36" spans="1:17" ht="18.75" x14ac:dyDescent="0.35">
      <c r="A36" s="365">
        <v>1</v>
      </c>
      <c r="B36" s="478" t="s">
        <v>57</v>
      </c>
      <c r="C36" s="479"/>
      <c r="D36" s="479"/>
      <c r="E36" s="479"/>
      <c r="F36" s="480"/>
      <c r="G36" s="371" t="s">
        <v>58</v>
      </c>
      <c r="H36" s="379">
        <f>(1+H33*H34)/((1+H33*H34*(4*(1-3*H35+3*H35^2)+6*(1-2*H35)*H34+(6*H34^2)))+(3*H33^2*H34^4))</f>
        <v>0.14829469784116764</v>
      </c>
      <c r="I36" s="367" t="s">
        <v>124</v>
      </c>
      <c r="J36" s="368"/>
    </row>
    <row r="37" spans="1:17" ht="18.75" x14ac:dyDescent="0.35">
      <c r="A37" s="365">
        <v>1</v>
      </c>
      <c r="B37" s="478" t="s">
        <v>57</v>
      </c>
      <c r="C37" s="479"/>
      <c r="D37" s="479"/>
      <c r="E37" s="479"/>
      <c r="F37" s="480"/>
      <c r="G37" s="371" t="s">
        <v>146</v>
      </c>
      <c r="H37" s="379">
        <f>IF(H23=1, 0.85/H32, IF(H23=2, 0.35/H32, "CHYBA"))</f>
        <v>0.85</v>
      </c>
      <c r="I37" s="367" t="s">
        <v>124</v>
      </c>
      <c r="J37" s="382" t="str">
        <f>IF(H23=1,"-", IF(H23=2,"", "CHYBA H22"))</f>
        <v>-</v>
      </c>
    </row>
    <row r="38" spans="1:17" ht="18.75" x14ac:dyDescent="0.35">
      <c r="A38" s="365">
        <v>1</v>
      </c>
      <c r="B38" s="478" t="s">
        <v>57</v>
      </c>
      <c r="C38" s="479"/>
      <c r="D38" s="479"/>
      <c r="E38" s="479"/>
      <c r="F38" s="480"/>
      <c r="G38" s="371" t="s">
        <v>147</v>
      </c>
      <c r="H38" s="379">
        <f>IF(H23=1, -0.15/H32, IF(H23=2, -0.65/H32, "CHYBA"))</f>
        <v>-0.15</v>
      </c>
      <c r="I38" s="367" t="s">
        <v>124</v>
      </c>
      <c r="J38" s="368"/>
    </row>
    <row r="39" spans="1:17" ht="18.75" x14ac:dyDescent="0.35">
      <c r="A39" s="365">
        <v>1</v>
      </c>
      <c r="B39" s="478" t="s">
        <v>59</v>
      </c>
      <c r="C39" s="479"/>
      <c r="D39" s="479"/>
      <c r="E39" s="479"/>
      <c r="F39" s="480"/>
      <c r="G39" s="371" t="s">
        <v>60</v>
      </c>
      <c r="H39" s="379">
        <f>1.1*H7*SQRT(H30/H31)*(1-2*H35+H34)/(1+H33*H34)</f>
        <v>21.807282708209314</v>
      </c>
      <c r="I39" s="367" t="s">
        <v>123</v>
      </c>
      <c r="J39" s="368"/>
      <c r="K39" s="383"/>
    </row>
    <row r="40" spans="1:17" ht="18.75" x14ac:dyDescent="0.35">
      <c r="A40" s="365">
        <v>1</v>
      </c>
      <c r="B40" s="478" t="s">
        <v>59</v>
      </c>
      <c r="C40" s="479"/>
      <c r="D40" s="479"/>
      <c r="E40" s="479"/>
      <c r="F40" s="480"/>
      <c r="G40" s="371" t="s">
        <v>61</v>
      </c>
      <c r="H40" s="379">
        <f>H7*(1-2*H35-H33*H34^2)/(1+H33*H34)</f>
        <v>8.1882613852771566</v>
      </c>
      <c r="I40" s="367" t="s">
        <v>123</v>
      </c>
      <c r="J40" s="368"/>
      <c r="M40" s="381"/>
    </row>
    <row r="41" spans="1:17" ht="18.75" x14ac:dyDescent="0.35">
      <c r="A41" s="365">
        <v>1</v>
      </c>
      <c r="B41" s="478" t="s">
        <v>239</v>
      </c>
      <c r="C41" s="479"/>
      <c r="D41" s="479"/>
      <c r="E41" s="479"/>
      <c r="F41" s="480"/>
      <c r="G41" s="371" t="s">
        <v>62</v>
      </c>
      <c r="H41" s="379">
        <f>(H39*H38)-(H40*0.5*TAN(RADIANS(H22)))</f>
        <v>-3.2710924062313969</v>
      </c>
      <c r="I41" s="367" t="s">
        <v>123</v>
      </c>
      <c r="J41" s="368"/>
    </row>
    <row r="42" spans="1:17" ht="18.75" x14ac:dyDescent="0.35">
      <c r="A42" s="365">
        <v>1</v>
      </c>
      <c r="B42" s="478" t="s">
        <v>63</v>
      </c>
      <c r="C42" s="479"/>
      <c r="D42" s="479"/>
      <c r="E42" s="479"/>
      <c r="F42" s="480"/>
      <c r="G42" s="371" t="s">
        <v>64</v>
      </c>
      <c r="H42" s="384">
        <f>(3*H28*H36)/(PI()*H27*H7^3)</f>
        <v>1.1054752049585448E-5</v>
      </c>
      <c r="I42" s="367" t="s">
        <v>148</v>
      </c>
      <c r="J42" s="368"/>
    </row>
    <row r="43" spans="1:17" ht="16.5" thickBot="1" x14ac:dyDescent="0.3">
      <c r="A43" s="385">
        <v>1</v>
      </c>
      <c r="B43" s="493" t="s">
        <v>43</v>
      </c>
      <c r="C43" s="494"/>
      <c r="D43" s="494"/>
      <c r="E43" s="494"/>
      <c r="F43" s="495"/>
      <c r="G43" s="386" t="s">
        <v>42</v>
      </c>
      <c r="H43" s="387" t="str">
        <f>IF(0.2&lt;(H27/H7),IF(5&gt;(H27/H7),IF(H7&gt;MAX(H5,H20,H24*(0.08*(H24/H27))^(1/3)),IF(H32&gt;(1/(1+(0.01*H12/H6))),"SPLNĚNA","NESPLNĚNA"),"NESPLNĚNA"),"NESPLNĚNA"),"NESPLNĚNA")</f>
        <v>SPLNĚNA</v>
      </c>
      <c r="I43" s="388" t="s">
        <v>124</v>
      </c>
      <c r="J43" s="389">
        <v>7</v>
      </c>
    </row>
    <row r="44" spans="1:17" customFormat="1" ht="20.25" hidden="1" thickTop="1" thickBot="1" x14ac:dyDescent="0.3">
      <c r="A44" s="58">
        <v>2</v>
      </c>
      <c r="B44" s="506" t="s">
        <v>150</v>
      </c>
      <c r="C44" s="507"/>
      <c r="D44" s="507"/>
      <c r="E44" s="507"/>
      <c r="F44" s="507"/>
      <c r="G44" s="507"/>
      <c r="H44" s="507"/>
      <c r="I44" s="507"/>
      <c r="J44" s="508"/>
      <c r="K44" s="7"/>
      <c r="L44" s="7"/>
      <c r="M44" s="7"/>
      <c r="N44" s="7"/>
      <c r="O44" s="7"/>
      <c r="P44" s="7"/>
    </row>
    <row r="45" spans="1:17" s="21" customFormat="1" ht="19.5" hidden="1" thickTop="1" x14ac:dyDescent="0.35">
      <c r="A45" s="55">
        <v>2</v>
      </c>
      <c r="B45" s="469" t="s">
        <v>154</v>
      </c>
      <c r="C45" s="470"/>
      <c r="D45" s="470"/>
      <c r="E45" s="470"/>
      <c r="F45" s="471"/>
      <c r="G45" s="10" t="s">
        <v>152</v>
      </c>
      <c r="H45" s="397">
        <v>20</v>
      </c>
      <c r="I45" s="12" t="s">
        <v>123</v>
      </c>
      <c r="J45" s="29"/>
      <c r="M45" s="512" t="s">
        <v>11</v>
      </c>
      <c r="N45" s="512"/>
      <c r="O45" s="512"/>
      <c r="P45" s="512"/>
      <c r="Q45" s="512"/>
    </row>
    <row r="46" spans="1:17" s="8" customFormat="1" ht="19.5" hidden="1" thickTop="1" x14ac:dyDescent="0.35">
      <c r="A46" s="55">
        <v>2</v>
      </c>
      <c r="B46" s="469" t="s">
        <v>337</v>
      </c>
      <c r="C46" s="470"/>
      <c r="D46" s="470"/>
      <c r="E46" s="470"/>
      <c r="F46" s="471"/>
      <c r="G46" s="10" t="s">
        <v>38</v>
      </c>
      <c r="H46" s="397">
        <v>20</v>
      </c>
      <c r="I46" s="12" t="s">
        <v>123</v>
      </c>
      <c r="J46" s="29">
        <v>1</v>
      </c>
    </row>
    <row r="47" spans="1:17" s="21" customFormat="1" ht="19.5" hidden="1" thickTop="1" x14ac:dyDescent="0.35">
      <c r="A47" s="55">
        <v>2</v>
      </c>
      <c r="B47" s="469" t="s">
        <v>155</v>
      </c>
      <c r="C47" s="470"/>
      <c r="D47" s="470"/>
      <c r="E47" s="470"/>
      <c r="F47" s="471"/>
      <c r="G47" s="10" t="s">
        <v>153</v>
      </c>
      <c r="H47" s="397">
        <v>15</v>
      </c>
      <c r="I47" s="12" t="s">
        <v>123</v>
      </c>
      <c r="J47" s="29"/>
    </row>
    <row r="48" spans="1:17" s="8" customFormat="1" ht="19.5" hidden="1" thickTop="1" x14ac:dyDescent="0.35">
      <c r="A48" s="55">
        <v>2</v>
      </c>
      <c r="B48" s="456" t="s">
        <v>109</v>
      </c>
      <c r="C48" s="457"/>
      <c r="D48" s="457"/>
      <c r="E48" s="457"/>
      <c r="F48" s="458"/>
      <c r="G48" s="10" t="s">
        <v>68</v>
      </c>
      <c r="H48" s="397">
        <v>18</v>
      </c>
      <c r="I48" s="12" t="s">
        <v>123</v>
      </c>
      <c r="J48" s="29"/>
    </row>
    <row r="49" spans="1:16" s="95" customFormat="1" ht="19.5" hidden="1" thickTop="1" x14ac:dyDescent="0.35">
      <c r="A49" s="55">
        <v>2</v>
      </c>
      <c r="B49" s="456" t="s">
        <v>247</v>
      </c>
      <c r="C49" s="457"/>
      <c r="D49" s="457"/>
      <c r="E49" s="457"/>
      <c r="F49" s="458"/>
      <c r="G49" s="19" t="s">
        <v>246</v>
      </c>
      <c r="H49" s="397">
        <v>0</v>
      </c>
      <c r="I49" s="12" t="s">
        <v>123</v>
      </c>
      <c r="J49" s="29">
        <v>6</v>
      </c>
    </row>
    <row r="50" spans="1:16" s="8" customFormat="1" ht="19.5" hidden="1" thickTop="1" x14ac:dyDescent="0.35">
      <c r="A50" s="55">
        <v>2</v>
      </c>
      <c r="B50" s="456" t="s">
        <v>7</v>
      </c>
      <c r="C50" s="457"/>
      <c r="D50" s="457"/>
      <c r="E50" s="457"/>
      <c r="F50" s="458"/>
      <c r="G50" s="10" t="s">
        <v>15</v>
      </c>
      <c r="H50" s="397">
        <v>100</v>
      </c>
      <c r="I50" s="12" t="s">
        <v>123</v>
      </c>
      <c r="J50" s="29"/>
    </row>
    <row r="51" spans="1:16" s="8" customFormat="1" ht="19.5" hidden="1" thickTop="1" x14ac:dyDescent="0.35">
      <c r="A51" s="55">
        <v>2</v>
      </c>
      <c r="B51" s="456" t="s">
        <v>25</v>
      </c>
      <c r="C51" s="457"/>
      <c r="D51" s="457"/>
      <c r="E51" s="457"/>
      <c r="F51" s="458"/>
      <c r="G51" s="10" t="s">
        <v>22</v>
      </c>
      <c r="H51" s="397">
        <v>125</v>
      </c>
      <c r="I51" s="12" t="s">
        <v>123</v>
      </c>
      <c r="J51" s="29"/>
    </row>
    <row r="52" spans="1:16" s="8" customFormat="1" ht="19.5" hidden="1" thickTop="1" x14ac:dyDescent="0.35">
      <c r="A52" s="55">
        <v>2</v>
      </c>
      <c r="B52" s="456" t="s">
        <v>26</v>
      </c>
      <c r="C52" s="457"/>
      <c r="D52" s="457"/>
      <c r="E52" s="457"/>
      <c r="F52" s="458"/>
      <c r="G52" s="10" t="s">
        <v>23</v>
      </c>
      <c r="H52" s="397">
        <v>150</v>
      </c>
      <c r="I52" s="12" t="s">
        <v>123</v>
      </c>
      <c r="J52" s="29"/>
    </row>
    <row r="53" spans="1:16" s="21" customFormat="1" ht="19.5" hidden="1" thickTop="1" x14ac:dyDescent="0.35">
      <c r="A53" s="55">
        <v>2</v>
      </c>
      <c r="B53" s="456" t="s">
        <v>156</v>
      </c>
      <c r="C53" s="457"/>
      <c r="D53" s="457"/>
      <c r="E53" s="457"/>
      <c r="F53" s="458"/>
      <c r="G53" s="10" t="s">
        <v>157</v>
      </c>
      <c r="H53" s="397">
        <v>50</v>
      </c>
      <c r="I53" s="12" t="s">
        <v>123</v>
      </c>
      <c r="J53" s="29"/>
    </row>
    <row r="54" spans="1:16" s="21" customFormat="1" ht="19.5" hidden="1" thickTop="1" x14ac:dyDescent="0.35">
      <c r="A54" s="55">
        <v>2</v>
      </c>
      <c r="B54" s="456" t="s">
        <v>159</v>
      </c>
      <c r="C54" s="457"/>
      <c r="D54" s="457"/>
      <c r="E54" s="457"/>
      <c r="F54" s="458"/>
      <c r="G54" s="10" t="s">
        <v>158</v>
      </c>
      <c r="H54" s="397">
        <v>240</v>
      </c>
      <c r="I54" s="12" t="s">
        <v>123</v>
      </c>
      <c r="J54" s="29"/>
    </row>
    <row r="55" spans="1:16" s="8" customFormat="1" ht="19.5" hidden="1" thickTop="1" x14ac:dyDescent="0.35">
      <c r="A55" s="55">
        <v>2</v>
      </c>
      <c r="B55" s="456" t="s">
        <v>27</v>
      </c>
      <c r="C55" s="457"/>
      <c r="D55" s="457"/>
      <c r="E55" s="457"/>
      <c r="F55" s="458"/>
      <c r="G55" s="10" t="s">
        <v>28</v>
      </c>
      <c r="H55" s="397">
        <v>0</v>
      </c>
      <c r="I55" s="12" t="s">
        <v>123</v>
      </c>
      <c r="J55" s="30">
        <v>2</v>
      </c>
    </row>
    <row r="56" spans="1:16" s="8" customFormat="1" ht="19.5" hidden="1" thickTop="1" x14ac:dyDescent="0.35">
      <c r="A56" s="55">
        <v>2</v>
      </c>
      <c r="B56" s="456" t="s">
        <v>110</v>
      </c>
      <c r="C56" s="457"/>
      <c r="D56" s="457"/>
      <c r="E56" s="457"/>
      <c r="F56" s="458"/>
      <c r="G56" s="10" t="s">
        <v>66</v>
      </c>
      <c r="H56" s="397">
        <v>8</v>
      </c>
      <c r="I56" s="12" t="s">
        <v>123</v>
      </c>
      <c r="J56" s="29"/>
    </row>
    <row r="57" spans="1:16" s="8" customFormat="1" ht="19.5" hidden="1" thickTop="1" x14ac:dyDescent="0.35">
      <c r="A57" s="55">
        <v>2</v>
      </c>
      <c r="B57" s="456" t="s">
        <v>65</v>
      </c>
      <c r="C57" s="457"/>
      <c r="D57" s="457"/>
      <c r="E57" s="457"/>
      <c r="F57" s="458"/>
      <c r="G57" s="10" t="s">
        <v>67</v>
      </c>
      <c r="H57" s="397">
        <v>8</v>
      </c>
      <c r="I57" s="12" t="s">
        <v>123</v>
      </c>
      <c r="J57" s="29"/>
    </row>
    <row r="58" spans="1:16" s="8" customFormat="1" ht="19.5" hidden="1" thickTop="1" x14ac:dyDescent="0.35">
      <c r="A58" s="55">
        <v>2</v>
      </c>
      <c r="B58" s="456" t="s">
        <v>32</v>
      </c>
      <c r="C58" s="457"/>
      <c r="D58" s="457"/>
      <c r="E58" s="457"/>
      <c r="F58" s="458"/>
      <c r="G58" s="10" t="s">
        <v>33</v>
      </c>
      <c r="H58" s="400">
        <v>1000</v>
      </c>
      <c r="I58" s="12" t="s">
        <v>124</v>
      </c>
      <c r="J58" s="29"/>
    </row>
    <row r="59" spans="1:16" s="8" customFormat="1" ht="20.25" hidden="1" thickTop="1" thickBot="1" x14ac:dyDescent="0.4">
      <c r="A59" s="56">
        <v>2</v>
      </c>
      <c r="B59" s="463" t="s">
        <v>111</v>
      </c>
      <c r="C59" s="464"/>
      <c r="D59" s="464"/>
      <c r="E59" s="464"/>
      <c r="F59" s="465"/>
      <c r="G59" s="23" t="s">
        <v>71</v>
      </c>
      <c r="H59" s="402">
        <v>12</v>
      </c>
      <c r="I59" s="13" t="s">
        <v>123</v>
      </c>
      <c r="J59" s="31"/>
    </row>
    <row r="60" spans="1:16" s="8" customFormat="1" ht="19.5" hidden="1" thickTop="1" x14ac:dyDescent="0.35">
      <c r="A60" s="57">
        <v>2</v>
      </c>
      <c r="B60" s="509" t="s">
        <v>69</v>
      </c>
      <c r="C60" s="510"/>
      <c r="D60" s="510"/>
      <c r="E60" s="510"/>
      <c r="F60" s="511"/>
      <c r="G60" s="9" t="s">
        <v>31</v>
      </c>
      <c r="H60" s="14">
        <f>(PI()*H51)/H58</f>
        <v>0.39269908169872414</v>
      </c>
      <c r="I60" s="11" t="s">
        <v>123</v>
      </c>
      <c r="J60" s="28"/>
    </row>
    <row r="61" spans="1:16" s="8" customFormat="1" ht="19.5" hidden="1" thickTop="1" x14ac:dyDescent="0.35">
      <c r="A61" s="55">
        <v>2</v>
      </c>
      <c r="B61" s="456" t="s">
        <v>34</v>
      </c>
      <c r="C61" s="457"/>
      <c r="D61" s="457"/>
      <c r="E61" s="457"/>
      <c r="F61" s="458"/>
      <c r="G61" s="10" t="s">
        <v>35</v>
      </c>
      <c r="H61" s="15">
        <f>IF(H55=0, H56*H57/H48*SQRT((H56*H57/H48)/H60), H55*SQRT(H55/H60))</f>
        <v>10.698706176905601</v>
      </c>
      <c r="I61" s="12" t="s">
        <v>123</v>
      </c>
      <c r="J61" s="29"/>
    </row>
    <row r="62" spans="1:16" customFormat="1" ht="19.5" hidden="1" thickTop="1" x14ac:dyDescent="0.35">
      <c r="A62" s="55">
        <v>2</v>
      </c>
      <c r="B62" s="456" t="s">
        <v>136</v>
      </c>
      <c r="C62" s="457"/>
      <c r="D62" s="457"/>
      <c r="E62" s="457"/>
      <c r="F62" s="458"/>
      <c r="G62" s="10" t="s">
        <v>36</v>
      </c>
      <c r="H62" s="15">
        <f>H51*(1-(2/(H58^2)))</f>
        <v>124.99975000000001</v>
      </c>
      <c r="I62" s="12" t="s">
        <v>123</v>
      </c>
      <c r="J62" s="29"/>
      <c r="K62" s="7"/>
      <c r="L62" s="7"/>
      <c r="M62" s="7"/>
      <c r="N62" s="7"/>
      <c r="O62" s="7"/>
      <c r="P62" s="7"/>
    </row>
    <row r="63" spans="1:16" customFormat="1" ht="19.5" hidden="1" thickTop="1" x14ac:dyDescent="0.35">
      <c r="A63" s="55">
        <v>2</v>
      </c>
      <c r="B63" s="456" t="s">
        <v>40</v>
      </c>
      <c r="C63" s="457"/>
      <c r="D63" s="457"/>
      <c r="E63" s="457"/>
      <c r="F63" s="458"/>
      <c r="G63" s="10" t="s">
        <v>41</v>
      </c>
      <c r="H63" s="15">
        <f>((H52-H50)/2)-H61</f>
        <v>14.301293823094399</v>
      </c>
      <c r="I63" s="12" t="s">
        <v>123</v>
      </c>
      <c r="J63" s="29"/>
      <c r="K63" s="7"/>
      <c r="L63" s="7"/>
      <c r="M63" s="7"/>
      <c r="N63" s="7"/>
      <c r="O63" s="7"/>
      <c r="P63" s="7"/>
    </row>
    <row r="64" spans="1:16" customFormat="1" ht="19.5" hidden="1" thickTop="1" x14ac:dyDescent="0.35">
      <c r="A64" s="55">
        <v>2</v>
      </c>
      <c r="B64" s="456" t="s">
        <v>44</v>
      </c>
      <c r="C64" s="457"/>
      <c r="D64" s="457"/>
      <c r="E64" s="457"/>
      <c r="F64" s="458"/>
      <c r="G64" s="10" t="s">
        <v>45</v>
      </c>
      <c r="H64" s="15">
        <f>(H52+H50)/2</f>
        <v>125</v>
      </c>
      <c r="I64" s="12" t="s">
        <v>123</v>
      </c>
      <c r="J64" s="29"/>
      <c r="K64" s="7"/>
      <c r="L64" s="7"/>
      <c r="M64" s="7"/>
      <c r="N64" s="7"/>
      <c r="O64" s="7"/>
      <c r="P64" s="7"/>
    </row>
    <row r="65" spans="1:20" customFormat="1" ht="19.5" hidden="1" thickTop="1" x14ac:dyDescent="0.35">
      <c r="A65" s="55">
        <v>2</v>
      </c>
      <c r="B65" s="456" t="s">
        <v>48</v>
      </c>
      <c r="C65" s="457"/>
      <c r="D65" s="457"/>
      <c r="E65" s="457"/>
      <c r="F65" s="458"/>
      <c r="G65" s="10" t="s">
        <v>49</v>
      </c>
      <c r="H65" s="15">
        <v>0</v>
      </c>
      <c r="I65" s="12" t="s">
        <v>123</v>
      </c>
      <c r="J65" s="29"/>
      <c r="K65" s="7"/>
      <c r="L65" s="7"/>
      <c r="M65" s="7"/>
      <c r="N65" s="7"/>
      <c r="O65" s="7"/>
      <c r="P65" s="7"/>
    </row>
    <row r="66" spans="1:20" customFormat="1" ht="19.5" hidden="1" thickTop="1" x14ac:dyDescent="0.35">
      <c r="A66" s="55">
        <v>2</v>
      </c>
      <c r="B66" s="456" t="s">
        <v>483</v>
      </c>
      <c r="C66" s="457"/>
      <c r="D66" s="457"/>
      <c r="E66" s="457"/>
      <c r="F66" s="458"/>
      <c r="G66" s="10" t="s">
        <v>50</v>
      </c>
      <c r="H66" s="15">
        <f>H50</f>
        <v>100</v>
      </c>
      <c r="I66" s="12" t="s">
        <v>123</v>
      </c>
      <c r="J66" s="29"/>
      <c r="K66" s="5"/>
      <c r="L66" s="7"/>
      <c r="M66" s="7"/>
      <c r="N66" s="7"/>
      <c r="O66" s="7"/>
      <c r="P66" s="7"/>
    </row>
    <row r="67" spans="1:20" customFormat="1" ht="16.5" hidden="1" thickTop="1" x14ac:dyDescent="0.25">
      <c r="A67" s="55">
        <v>2</v>
      </c>
      <c r="B67" s="456" t="s">
        <v>160</v>
      </c>
      <c r="C67" s="457"/>
      <c r="D67" s="457"/>
      <c r="E67" s="457"/>
      <c r="F67" s="458"/>
      <c r="G67" s="16" t="s">
        <v>161</v>
      </c>
      <c r="H67" s="15">
        <f>H53/H66</f>
        <v>0.5</v>
      </c>
      <c r="I67" s="12" t="s">
        <v>124</v>
      </c>
      <c r="J67" s="29"/>
      <c r="K67" s="5"/>
      <c r="L67" s="7"/>
      <c r="M67" s="7"/>
      <c r="N67" s="7"/>
      <c r="O67" s="7"/>
      <c r="P67" s="7"/>
    </row>
    <row r="68" spans="1:20" customFormat="1" ht="19.5" hidden="1" thickTop="1" x14ac:dyDescent="0.35">
      <c r="A68" s="55">
        <v>2</v>
      </c>
      <c r="B68" s="456" t="s">
        <v>239</v>
      </c>
      <c r="C68" s="457"/>
      <c r="D68" s="457"/>
      <c r="E68" s="457"/>
      <c r="F68" s="458"/>
      <c r="G68" s="10" t="s">
        <v>62</v>
      </c>
      <c r="H68" s="15">
        <f>H66/4*(1-H67^2)*(0.7+3.3*H67^2)/((0.7+1.3*H67^2)*(1+H67^2))</f>
        <v>22.317073170731707</v>
      </c>
      <c r="I68" s="12" t="s">
        <v>123</v>
      </c>
      <c r="J68" s="29"/>
      <c r="K68" s="7"/>
      <c r="L68" s="7"/>
      <c r="M68" s="7"/>
      <c r="N68" s="7"/>
      <c r="O68" s="7"/>
      <c r="P68" s="7"/>
    </row>
    <row r="69" spans="1:20" customFormat="1" ht="19.5" hidden="1" thickTop="1" x14ac:dyDescent="0.35">
      <c r="A69" s="55">
        <v>2</v>
      </c>
      <c r="B69" s="456" t="s">
        <v>63</v>
      </c>
      <c r="C69" s="457"/>
      <c r="D69" s="457"/>
      <c r="E69" s="457"/>
      <c r="F69" s="458"/>
      <c r="G69" s="10" t="s">
        <v>64</v>
      </c>
      <c r="H69" s="17">
        <f>3*H64/(PI()*(H63*H46^3+H64*H45^3*(1-H67^2)/(1.4+2.6*H67^2)))</f>
        <v>2.4854289526568118E-4</v>
      </c>
      <c r="I69" s="12" t="s">
        <v>148</v>
      </c>
      <c r="J69" s="29"/>
      <c r="K69" s="7"/>
      <c r="L69" s="7"/>
      <c r="M69" s="7"/>
      <c r="N69" s="7"/>
      <c r="O69" s="7"/>
      <c r="P69" s="7"/>
    </row>
    <row r="70" spans="1:20" customFormat="1" ht="16.5" hidden="1" thickTop="1" x14ac:dyDescent="0.25">
      <c r="A70" s="59">
        <v>2</v>
      </c>
      <c r="B70" s="503" t="s">
        <v>43</v>
      </c>
      <c r="C70" s="504"/>
      <c r="D70" s="504"/>
      <c r="E70" s="504"/>
      <c r="F70" s="505"/>
      <c r="G70" s="36" t="s">
        <v>42</v>
      </c>
      <c r="H70" s="37" t="str">
        <f>IF(0.2&lt;(H63/H46),IF(5&gt;(H63/H46),IF(H46&gt;MAX(H59,H60*(0.1*(H60/H63))^(1/3)),"SPLNĚNA","NESPLNĚNA"),"NESPLNĚNA"),"NESPLNĚNA")</f>
        <v>SPLNĚNA</v>
      </c>
      <c r="I70" s="38" t="s">
        <v>124</v>
      </c>
      <c r="J70" s="214">
        <v>7</v>
      </c>
      <c r="K70" s="7"/>
      <c r="L70" s="7"/>
      <c r="M70" s="7"/>
      <c r="N70" s="7"/>
      <c r="O70" s="7"/>
      <c r="P70" s="7"/>
    </row>
    <row r="71" spans="1:20" s="21" customFormat="1" ht="20.25" hidden="1" thickTop="1" thickBot="1" x14ac:dyDescent="0.3">
      <c r="A71" s="53">
        <v>3</v>
      </c>
      <c r="B71" s="506" t="s">
        <v>12</v>
      </c>
      <c r="C71" s="507"/>
      <c r="D71" s="507"/>
      <c r="E71" s="507"/>
      <c r="F71" s="507"/>
      <c r="G71" s="507"/>
      <c r="H71" s="507"/>
      <c r="I71" s="507"/>
      <c r="J71" s="508"/>
    </row>
    <row r="72" spans="1:20" s="21" customFormat="1" ht="19.5" hidden="1" thickTop="1" x14ac:dyDescent="0.35">
      <c r="A72" s="54">
        <v>3</v>
      </c>
      <c r="B72" s="513" t="s">
        <v>162</v>
      </c>
      <c r="C72" s="514"/>
      <c r="D72" s="514"/>
      <c r="E72" s="514"/>
      <c r="F72" s="515"/>
      <c r="G72" s="18" t="s">
        <v>18</v>
      </c>
      <c r="H72" s="396">
        <v>5</v>
      </c>
      <c r="I72" s="11" t="s">
        <v>123</v>
      </c>
      <c r="J72" s="28"/>
      <c r="M72" s="512" t="s">
        <v>12</v>
      </c>
      <c r="N72" s="512"/>
      <c r="O72" s="512"/>
      <c r="P72" s="512"/>
      <c r="Q72" s="512"/>
      <c r="R72" s="512"/>
      <c r="S72" s="512"/>
      <c r="T72" s="25"/>
    </row>
    <row r="73" spans="1:20" s="21" customFormat="1" ht="19.5" hidden="1" thickTop="1" x14ac:dyDescent="0.35">
      <c r="A73" s="54">
        <v>3</v>
      </c>
      <c r="B73" s="466" t="s">
        <v>6</v>
      </c>
      <c r="C73" s="467"/>
      <c r="D73" s="467"/>
      <c r="E73" s="467"/>
      <c r="F73" s="468"/>
      <c r="G73" s="19" t="s">
        <v>16</v>
      </c>
      <c r="H73" s="397">
        <v>5</v>
      </c>
      <c r="I73" s="12" t="s">
        <v>123</v>
      </c>
      <c r="J73" s="29"/>
    </row>
    <row r="74" spans="1:20" s="21" customFormat="1" ht="19.5" hidden="1" thickTop="1" x14ac:dyDescent="0.35">
      <c r="A74" s="54">
        <v>3</v>
      </c>
      <c r="B74" s="469" t="s">
        <v>37</v>
      </c>
      <c r="C74" s="470"/>
      <c r="D74" s="470"/>
      <c r="E74" s="470"/>
      <c r="F74" s="471"/>
      <c r="G74" s="19" t="s">
        <v>38</v>
      </c>
      <c r="H74" s="397">
        <v>10</v>
      </c>
      <c r="I74" s="12" t="s">
        <v>123</v>
      </c>
      <c r="J74" s="29">
        <v>4</v>
      </c>
    </row>
    <row r="75" spans="1:20" s="21" customFormat="1" ht="19.5" hidden="1" thickTop="1" x14ac:dyDescent="0.35">
      <c r="A75" s="54">
        <v>3</v>
      </c>
      <c r="B75" s="456" t="s">
        <v>109</v>
      </c>
      <c r="C75" s="457"/>
      <c r="D75" s="457"/>
      <c r="E75" s="457"/>
      <c r="F75" s="458"/>
      <c r="G75" s="19" t="s">
        <v>165</v>
      </c>
      <c r="H75" s="397">
        <v>18</v>
      </c>
      <c r="I75" s="12" t="s">
        <v>123</v>
      </c>
      <c r="J75" s="29"/>
    </row>
    <row r="76" spans="1:20" s="21" customFormat="1" ht="19.5" hidden="1" thickTop="1" x14ac:dyDescent="0.35">
      <c r="A76" s="54">
        <v>3</v>
      </c>
      <c r="B76" s="456" t="s">
        <v>164</v>
      </c>
      <c r="C76" s="457"/>
      <c r="D76" s="457"/>
      <c r="E76" s="457"/>
      <c r="F76" s="458"/>
      <c r="G76" s="19" t="s">
        <v>163</v>
      </c>
      <c r="H76" s="397">
        <v>18</v>
      </c>
      <c r="I76" s="12" t="s">
        <v>123</v>
      </c>
      <c r="J76" s="29">
        <v>5</v>
      </c>
    </row>
    <row r="77" spans="1:20" s="95" customFormat="1" ht="19.5" hidden="1" thickTop="1" x14ac:dyDescent="0.35">
      <c r="A77" s="55">
        <v>3</v>
      </c>
      <c r="B77" s="456" t="s">
        <v>247</v>
      </c>
      <c r="C77" s="457"/>
      <c r="D77" s="457"/>
      <c r="E77" s="457"/>
      <c r="F77" s="458"/>
      <c r="G77" s="19" t="s">
        <v>246</v>
      </c>
      <c r="H77" s="397">
        <v>20</v>
      </c>
      <c r="I77" s="12" t="s">
        <v>123</v>
      </c>
      <c r="J77" s="29">
        <v>6</v>
      </c>
    </row>
    <row r="78" spans="1:20" s="21" customFormat="1" ht="19.5" hidden="1" thickTop="1" x14ac:dyDescent="0.35">
      <c r="A78" s="54">
        <v>3</v>
      </c>
      <c r="B78" s="456" t="s">
        <v>7</v>
      </c>
      <c r="C78" s="457"/>
      <c r="D78" s="457"/>
      <c r="E78" s="457"/>
      <c r="F78" s="458"/>
      <c r="G78" s="19" t="s">
        <v>15</v>
      </c>
      <c r="H78" s="397">
        <v>160</v>
      </c>
      <c r="I78" s="12" t="s">
        <v>123</v>
      </c>
      <c r="J78" s="29"/>
    </row>
    <row r="79" spans="1:20" s="21" customFormat="1" ht="19.5" hidden="1" thickTop="1" x14ac:dyDescent="0.35">
      <c r="A79" s="54">
        <v>3</v>
      </c>
      <c r="B79" s="456" t="s">
        <v>25</v>
      </c>
      <c r="C79" s="457"/>
      <c r="D79" s="457"/>
      <c r="E79" s="457"/>
      <c r="F79" s="458"/>
      <c r="G79" s="19" t="s">
        <v>22</v>
      </c>
      <c r="H79" s="397">
        <v>210</v>
      </c>
      <c r="I79" s="12" t="s">
        <v>123</v>
      </c>
      <c r="J79" s="29"/>
    </row>
    <row r="80" spans="1:20" s="21" customFormat="1" ht="19.5" hidden="1" thickTop="1" x14ac:dyDescent="0.35">
      <c r="A80" s="54">
        <v>3</v>
      </c>
      <c r="B80" s="456" t="s">
        <v>26</v>
      </c>
      <c r="C80" s="457"/>
      <c r="D80" s="457"/>
      <c r="E80" s="457"/>
      <c r="F80" s="458"/>
      <c r="G80" s="19" t="s">
        <v>23</v>
      </c>
      <c r="H80" s="397">
        <v>250</v>
      </c>
      <c r="I80" s="12" t="s">
        <v>123</v>
      </c>
      <c r="J80" s="29"/>
    </row>
    <row r="81" spans="1:16" s="21" customFormat="1" ht="19.5" hidden="1" thickTop="1" x14ac:dyDescent="0.35">
      <c r="A81" s="54">
        <v>3</v>
      </c>
      <c r="B81" s="456" t="s">
        <v>166</v>
      </c>
      <c r="C81" s="457"/>
      <c r="D81" s="457"/>
      <c r="E81" s="457"/>
      <c r="F81" s="458"/>
      <c r="G81" s="19" t="s">
        <v>167</v>
      </c>
      <c r="H81" s="397">
        <v>170</v>
      </c>
      <c r="I81" s="12" t="s">
        <v>123</v>
      </c>
      <c r="J81" s="29"/>
    </row>
    <row r="82" spans="1:16" s="21" customFormat="1" ht="19.5" hidden="1" thickTop="1" x14ac:dyDescent="0.35">
      <c r="A82" s="54">
        <v>3</v>
      </c>
      <c r="B82" s="456" t="s">
        <v>168</v>
      </c>
      <c r="C82" s="457"/>
      <c r="D82" s="457"/>
      <c r="E82" s="457"/>
      <c r="F82" s="458"/>
      <c r="G82" s="19" t="s">
        <v>169</v>
      </c>
      <c r="H82" s="397">
        <v>170</v>
      </c>
      <c r="I82" s="12" t="s">
        <v>123</v>
      </c>
      <c r="J82" s="29"/>
    </row>
    <row r="83" spans="1:16" s="21" customFormat="1" ht="19.5" hidden="1" thickTop="1" x14ac:dyDescent="0.35">
      <c r="A83" s="54">
        <v>3</v>
      </c>
      <c r="B83" s="456" t="s">
        <v>171</v>
      </c>
      <c r="C83" s="457"/>
      <c r="D83" s="457"/>
      <c r="E83" s="457"/>
      <c r="F83" s="458"/>
      <c r="G83" s="19" t="s">
        <v>170</v>
      </c>
      <c r="H83" s="397">
        <v>180</v>
      </c>
      <c r="I83" s="12" t="s">
        <v>123</v>
      </c>
      <c r="J83" s="29"/>
    </row>
    <row r="84" spans="1:16" s="22" customFormat="1" ht="19.5" hidden="1" thickTop="1" x14ac:dyDescent="0.35">
      <c r="A84" s="54">
        <v>3</v>
      </c>
      <c r="B84" s="456" t="s">
        <v>173</v>
      </c>
      <c r="C84" s="457"/>
      <c r="D84" s="457"/>
      <c r="E84" s="457"/>
      <c r="F84" s="458"/>
      <c r="G84" s="19" t="s">
        <v>172</v>
      </c>
      <c r="H84" s="397">
        <v>180</v>
      </c>
      <c r="I84" s="12" t="s">
        <v>123</v>
      </c>
      <c r="J84" s="29"/>
    </row>
    <row r="85" spans="1:16" s="21" customFormat="1" ht="19.5" hidden="1" thickTop="1" x14ac:dyDescent="0.35">
      <c r="A85" s="54">
        <v>3</v>
      </c>
      <c r="B85" s="456" t="s">
        <v>27</v>
      </c>
      <c r="C85" s="457"/>
      <c r="D85" s="457"/>
      <c r="E85" s="457"/>
      <c r="F85" s="458"/>
      <c r="G85" s="19" t="s">
        <v>28</v>
      </c>
      <c r="H85" s="397">
        <v>10</v>
      </c>
      <c r="I85" s="12" t="s">
        <v>123</v>
      </c>
      <c r="J85" s="30">
        <v>2</v>
      </c>
    </row>
    <row r="86" spans="1:16" s="21" customFormat="1" ht="19.5" hidden="1" thickTop="1" x14ac:dyDescent="0.35">
      <c r="A86" s="54">
        <v>3</v>
      </c>
      <c r="B86" s="456" t="s">
        <v>110</v>
      </c>
      <c r="C86" s="457"/>
      <c r="D86" s="457"/>
      <c r="E86" s="457"/>
      <c r="F86" s="458"/>
      <c r="G86" s="10" t="s">
        <v>66</v>
      </c>
      <c r="H86" s="397">
        <v>12</v>
      </c>
      <c r="I86" s="12" t="s">
        <v>123</v>
      </c>
      <c r="J86" s="29"/>
    </row>
    <row r="87" spans="1:16" s="21" customFormat="1" ht="19.5" hidden="1" thickTop="1" x14ac:dyDescent="0.35">
      <c r="A87" s="54">
        <v>3</v>
      </c>
      <c r="B87" s="456" t="s">
        <v>65</v>
      </c>
      <c r="C87" s="457"/>
      <c r="D87" s="457"/>
      <c r="E87" s="457"/>
      <c r="F87" s="458"/>
      <c r="G87" s="10" t="s">
        <v>67</v>
      </c>
      <c r="H87" s="397">
        <v>25</v>
      </c>
      <c r="I87" s="12" t="s">
        <v>123</v>
      </c>
      <c r="J87" s="29"/>
      <c r="M87" s="512" t="s">
        <v>14</v>
      </c>
      <c r="N87" s="512"/>
      <c r="O87" s="512"/>
      <c r="P87" s="512"/>
    </row>
    <row r="88" spans="1:16" s="21" customFormat="1" ht="19.5" hidden="1" thickTop="1" x14ac:dyDescent="0.35">
      <c r="A88" s="54">
        <v>3</v>
      </c>
      <c r="B88" s="456" t="s">
        <v>32</v>
      </c>
      <c r="C88" s="457"/>
      <c r="D88" s="457"/>
      <c r="E88" s="457"/>
      <c r="F88" s="458"/>
      <c r="G88" s="10" t="s">
        <v>33</v>
      </c>
      <c r="H88" s="400">
        <v>32</v>
      </c>
      <c r="I88" s="12" t="s">
        <v>124</v>
      </c>
      <c r="J88" s="29"/>
    </row>
    <row r="89" spans="1:16" s="21" customFormat="1" ht="20.25" hidden="1" thickTop="1" thickBot="1" x14ac:dyDescent="0.4">
      <c r="A89" s="60">
        <v>3</v>
      </c>
      <c r="B89" s="463" t="s">
        <v>111</v>
      </c>
      <c r="C89" s="464"/>
      <c r="D89" s="464"/>
      <c r="E89" s="464"/>
      <c r="F89" s="465"/>
      <c r="G89" s="23" t="s">
        <v>71</v>
      </c>
      <c r="H89" s="402">
        <v>12</v>
      </c>
      <c r="I89" s="13" t="s">
        <v>123</v>
      </c>
      <c r="J89" s="31"/>
    </row>
    <row r="90" spans="1:16" s="21" customFormat="1" ht="19.5" hidden="1" thickTop="1" x14ac:dyDescent="0.35">
      <c r="A90" s="54">
        <v>3</v>
      </c>
      <c r="B90" s="509" t="s">
        <v>69</v>
      </c>
      <c r="C90" s="510"/>
      <c r="D90" s="510"/>
      <c r="E90" s="510"/>
      <c r="F90" s="511"/>
      <c r="G90" s="9" t="s">
        <v>31</v>
      </c>
      <c r="H90" s="14">
        <f>(PI()*H79)/H88</f>
        <v>20.616701789183018</v>
      </c>
      <c r="I90" s="11" t="s">
        <v>123</v>
      </c>
      <c r="J90" s="28"/>
    </row>
    <row r="91" spans="1:16" s="21" customFormat="1" ht="19.5" hidden="1" thickTop="1" x14ac:dyDescent="0.35">
      <c r="A91" s="54">
        <v>3</v>
      </c>
      <c r="B91" s="456" t="s">
        <v>34</v>
      </c>
      <c r="C91" s="457"/>
      <c r="D91" s="457"/>
      <c r="E91" s="457"/>
      <c r="F91" s="458"/>
      <c r="G91" s="10" t="s">
        <v>35</v>
      </c>
      <c r="H91" s="15">
        <f>IF(H85=0, H86*H87/H75*SQRT((H86*H87/H75)/H90), H85*SQRT(H85/H90))</f>
        <v>6.9645074204109072</v>
      </c>
      <c r="I91" s="12" t="s">
        <v>123</v>
      </c>
      <c r="J91" s="29"/>
    </row>
    <row r="92" spans="1:16" s="21" customFormat="1" ht="19.5" hidden="1" thickTop="1" x14ac:dyDescent="0.35">
      <c r="A92" s="54">
        <v>3</v>
      </c>
      <c r="B92" s="456" t="s">
        <v>136</v>
      </c>
      <c r="C92" s="457"/>
      <c r="D92" s="457"/>
      <c r="E92" s="457"/>
      <c r="F92" s="458"/>
      <c r="G92" s="10" t="s">
        <v>36</v>
      </c>
      <c r="H92" s="15">
        <f>H79*(1-(2/H88^2))</f>
        <v>209.58984375</v>
      </c>
      <c r="I92" s="12" t="s">
        <v>123</v>
      </c>
      <c r="J92" s="29"/>
    </row>
    <row r="93" spans="1:16" s="21" customFormat="1" ht="19.5" hidden="1" thickTop="1" x14ac:dyDescent="0.35">
      <c r="A93" s="54">
        <v>3</v>
      </c>
      <c r="B93" s="456" t="s">
        <v>174</v>
      </c>
      <c r="C93" s="457"/>
      <c r="D93" s="457"/>
      <c r="E93" s="457"/>
      <c r="F93" s="458"/>
      <c r="G93" s="10" t="s">
        <v>41</v>
      </c>
      <c r="H93" s="15">
        <f>(H84-H78)/2</f>
        <v>10</v>
      </c>
      <c r="I93" s="12" t="s">
        <v>123</v>
      </c>
      <c r="J93" s="29"/>
    </row>
    <row r="94" spans="1:16" s="21" customFormat="1" ht="19.5" hidden="1" thickTop="1" x14ac:dyDescent="0.35">
      <c r="A94" s="54">
        <v>3</v>
      </c>
      <c r="B94" s="456" t="s">
        <v>175</v>
      </c>
      <c r="C94" s="457"/>
      <c r="D94" s="457"/>
      <c r="E94" s="457"/>
      <c r="F94" s="458"/>
      <c r="G94" s="10" t="s">
        <v>45</v>
      </c>
      <c r="H94" s="15">
        <f>(H84+H78)/2</f>
        <v>170</v>
      </c>
      <c r="I94" s="12" t="s">
        <v>123</v>
      </c>
      <c r="J94" s="29"/>
    </row>
    <row r="95" spans="1:16" s="22" customFormat="1" ht="19.5" hidden="1" thickTop="1" x14ac:dyDescent="0.35">
      <c r="A95" s="54">
        <v>3</v>
      </c>
      <c r="B95" s="456" t="s">
        <v>176</v>
      </c>
      <c r="C95" s="457"/>
      <c r="D95" s="457"/>
      <c r="E95" s="457"/>
      <c r="F95" s="458"/>
      <c r="G95" s="10" t="s">
        <v>178</v>
      </c>
      <c r="H95" s="15">
        <f>((H80-H81)/2)-H91</f>
        <v>33.035492579589089</v>
      </c>
      <c r="I95" s="12" t="s">
        <v>123</v>
      </c>
      <c r="J95" s="29"/>
    </row>
    <row r="96" spans="1:16" s="22" customFormat="1" ht="19.5" hidden="1" thickTop="1" x14ac:dyDescent="0.35">
      <c r="A96" s="54">
        <v>3</v>
      </c>
      <c r="B96" s="456" t="s">
        <v>177</v>
      </c>
      <c r="C96" s="457"/>
      <c r="D96" s="457"/>
      <c r="E96" s="457"/>
      <c r="F96" s="458"/>
      <c r="G96" s="10" t="s">
        <v>179</v>
      </c>
      <c r="H96" s="15">
        <f>(H80+H81)/2</f>
        <v>210</v>
      </c>
      <c r="I96" s="12" t="s">
        <v>123</v>
      </c>
      <c r="J96" s="29"/>
    </row>
    <row r="97" spans="1:16" s="21" customFormat="1" ht="19.5" hidden="1" thickTop="1" x14ac:dyDescent="0.35">
      <c r="A97" s="54">
        <v>3</v>
      </c>
      <c r="B97" s="456" t="s">
        <v>48</v>
      </c>
      <c r="C97" s="457"/>
      <c r="D97" s="457"/>
      <c r="E97" s="457"/>
      <c r="F97" s="458"/>
      <c r="G97" s="10" t="s">
        <v>49</v>
      </c>
      <c r="H97" s="15">
        <f>H72</f>
        <v>5</v>
      </c>
      <c r="I97" s="12" t="s">
        <v>123</v>
      </c>
      <c r="J97" s="29"/>
    </row>
    <row r="98" spans="1:16" s="21" customFormat="1" ht="19.5" hidden="1" thickTop="1" x14ac:dyDescent="0.35">
      <c r="A98" s="54">
        <v>3</v>
      </c>
      <c r="B98" s="456" t="s">
        <v>483</v>
      </c>
      <c r="C98" s="457"/>
      <c r="D98" s="457"/>
      <c r="E98" s="457"/>
      <c r="F98" s="458"/>
      <c r="G98" s="10" t="s">
        <v>50</v>
      </c>
      <c r="H98" s="15">
        <f>H78+H97</f>
        <v>165</v>
      </c>
      <c r="I98" s="12" t="s">
        <v>123</v>
      </c>
      <c r="J98" s="29"/>
    </row>
    <row r="99" spans="1:16" s="21" customFormat="1" ht="16.5" hidden="1" thickTop="1" x14ac:dyDescent="0.25">
      <c r="A99" s="54">
        <v>3</v>
      </c>
      <c r="B99" s="456" t="s">
        <v>51</v>
      </c>
      <c r="C99" s="457"/>
      <c r="D99" s="457"/>
      <c r="E99" s="457"/>
      <c r="F99" s="458"/>
      <c r="G99" s="10" t="s">
        <v>54</v>
      </c>
      <c r="H99" s="15">
        <f>(H97*H94)/(H93*H98)</f>
        <v>0.51515151515151514</v>
      </c>
      <c r="I99" s="12" t="s">
        <v>124</v>
      </c>
      <c r="J99" s="29"/>
    </row>
    <row r="100" spans="1:16" s="21" customFormat="1" ht="16.5" hidden="1" thickTop="1" x14ac:dyDescent="0.25">
      <c r="A100" s="54">
        <v>3</v>
      </c>
      <c r="B100" s="456" t="s">
        <v>52</v>
      </c>
      <c r="C100" s="457"/>
      <c r="D100" s="457"/>
      <c r="E100" s="457"/>
      <c r="F100" s="458"/>
      <c r="G100" s="10" t="s">
        <v>55</v>
      </c>
      <c r="H100" s="15">
        <f>0.55*SQRT(H98*H97)/H74</f>
        <v>1.579754727797958</v>
      </c>
      <c r="I100" s="12" t="s">
        <v>124</v>
      </c>
      <c r="J100" s="29"/>
    </row>
    <row r="101" spans="1:16" s="21" customFormat="1" ht="16.5" hidden="1" thickTop="1" x14ac:dyDescent="0.25">
      <c r="A101" s="54">
        <v>3</v>
      </c>
      <c r="B101" s="456" t="s">
        <v>53</v>
      </c>
      <c r="C101" s="457"/>
      <c r="D101" s="457"/>
      <c r="E101" s="457"/>
      <c r="F101" s="458"/>
      <c r="G101" s="10" t="s">
        <v>56</v>
      </c>
      <c r="H101" s="15">
        <f>1-(H74/H74)</f>
        <v>0</v>
      </c>
      <c r="I101" s="12" t="s">
        <v>124</v>
      </c>
      <c r="J101" s="29"/>
    </row>
    <row r="102" spans="1:16" s="21" customFormat="1" ht="19.5" hidden="1" thickTop="1" x14ac:dyDescent="0.35">
      <c r="A102" s="54">
        <v>3</v>
      </c>
      <c r="B102" s="456" t="s">
        <v>57</v>
      </c>
      <c r="C102" s="457"/>
      <c r="D102" s="457"/>
      <c r="E102" s="457"/>
      <c r="F102" s="458"/>
      <c r="G102" s="10" t="s">
        <v>58</v>
      </c>
      <c r="H102" s="15">
        <f>(1+H99*H100)/(1+H99*H100*(4*(1-3*H101+3*H101^2)+6*(1-2*H101)*H100+(6*H100^2))+(3*H99^2*H100^4))</f>
        <v>6.2301805878243827E-2</v>
      </c>
      <c r="I102" s="12" t="s">
        <v>124</v>
      </c>
      <c r="J102" s="29"/>
    </row>
    <row r="103" spans="1:16" s="21" customFormat="1" ht="19.5" hidden="1" thickTop="1" x14ac:dyDescent="0.35">
      <c r="A103" s="54">
        <v>3</v>
      </c>
      <c r="B103" s="456" t="s">
        <v>57</v>
      </c>
      <c r="C103" s="457"/>
      <c r="D103" s="457"/>
      <c r="E103" s="457"/>
      <c r="F103" s="458"/>
      <c r="G103" s="10" t="s">
        <v>146</v>
      </c>
      <c r="H103" s="15">
        <v>0.85</v>
      </c>
      <c r="I103" s="12" t="s">
        <v>124</v>
      </c>
      <c r="J103" s="32"/>
    </row>
    <row r="104" spans="1:16" customFormat="1" ht="19.5" hidden="1" thickTop="1" x14ac:dyDescent="0.35">
      <c r="A104" s="54">
        <v>3</v>
      </c>
      <c r="B104" s="456" t="s">
        <v>57</v>
      </c>
      <c r="C104" s="457"/>
      <c r="D104" s="457"/>
      <c r="E104" s="457"/>
      <c r="F104" s="458"/>
      <c r="G104" s="10" t="s">
        <v>147</v>
      </c>
      <c r="H104" s="15">
        <v>-0.15</v>
      </c>
      <c r="I104" s="12" t="s">
        <v>124</v>
      </c>
      <c r="J104" s="29"/>
      <c r="K104" s="7"/>
      <c r="L104" s="7"/>
      <c r="M104" s="7"/>
      <c r="N104" s="7"/>
      <c r="O104" s="7"/>
      <c r="P104" s="7"/>
    </row>
    <row r="105" spans="1:16" customFormat="1" ht="19.5" hidden="1" thickTop="1" x14ac:dyDescent="0.35">
      <c r="A105" s="54">
        <v>3</v>
      </c>
      <c r="B105" s="456" t="s">
        <v>59</v>
      </c>
      <c r="C105" s="457"/>
      <c r="D105" s="457"/>
      <c r="E105" s="457"/>
      <c r="F105" s="458"/>
      <c r="G105" s="10" t="s">
        <v>60</v>
      </c>
      <c r="H105" s="15">
        <f>1.1*H74*SQRT(H97/H98)*(1-2*H101+H100)/(1+H99*H100)</f>
        <v>2.7234638312968054</v>
      </c>
      <c r="I105" s="12" t="s">
        <v>123</v>
      </c>
      <c r="J105" s="29"/>
      <c r="K105" s="7"/>
      <c r="L105" s="7"/>
      <c r="M105" s="7"/>
      <c r="N105" s="7"/>
      <c r="O105" s="7"/>
      <c r="P105" s="7"/>
    </row>
    <row r="106" spans="1:16" customFormat="1" ht="19.5" hidden="1" thickTop="1" x14ac:dyDescent="0.35">
      <c r="A106" s="54">
        <v>3</v>
      </c>
      <c r="B106" s="456" t="s">
        <v>59</v>
      </c>
      <c r="C106" s="457"/>
      <c r="D106" s="457"/>
      <c r="E106" s="457"/>
      <c r="F106" s="458"/>
      <c r="G106" s="10" t="s">
        <v>61</v>
      </c>
      <c r="H106" s="15">
        <f>H74*(1-2*H101-H99*H100^2)/(1+H99*H100)</f>
        <v>-1.5747212830114226</v>
      </c>
      <c r="I106" s="12" t="s">
        <v>123</v>
      </c>
      <c r="J106" s="29"/>
      <c r="K106" s="7"/>
      <c r="L106" s="7"/>
      <c r="M106" s="7"/>
      <c r="N106" s="7"/>
      <c r="O106" s="7"/>
      <c r="P106" s="7"/>
    </row>
    <row r="107" spans="1:16" customFormat="1" ht="19.5" hidden="1" thickTop="1" x14ac:dyDescent="0.35">
      <c r="A107" s="54">
        <v>3</v>
      </c>
      <c r="B107" s="456" t="s">
        <v>239</v>
      </c>
      <c r="C107" s="457"/>
      <c r="D107" s="457"/>
      <c r="E107" s="457"/>
      <c r="F107" s="458"/>
      <c r="G107" s="10" t="s">
        <v>62</v>
      </c>
      <c r="H107" s="15">
        <f>H105*H104</f>
        <v>-0.40851957469452077</v>
      </c>
      <c r="I107" s="12" t="s">
        <v>123</v>
      </c>
      <c r="J107" s="29"/>
      <c r="K107" s="7"/>
      <c r="L107" s="7"/>
      <c r="M107" s="7"/>
      <c r="N107" s="7"/>
      <c r="O107" s="7"/>
      <c r="P107" s="7"/>
    </row>
    <row r="108" spans="1:16" customFormat="1" ht="19.5" hidden="1" thickTop="1" x14ac:dyDescent="0.35">
      <c r="A108" s="54">
        <v>3</v>
      </c>
      <c r="B108" s="456" t="s">
        <v>222</v>
      </c>
      <c r="C108" s="457"/>
      <c r="D108" s="457"/>
      <c r="E108" s="457"/>
      <c r="F108" s="458"/>
      <c r="G108" s="10" t="s">
        <v>64</v>
      </c>
      <c r="H108" s="17">
        <f>(3*H94*H102)/(PI()*H93*H74^3)</f>
        <v>1.0113953176455691E-3</v>
      </c>
      <c r="I108" s="12" t="s">
        <v>148</v>
      </c>
      <c r="J108" s="29"/>
      <c r="K108" s="7"/>
      <c r="L108" s="7"/>
      <c r="M108" s="7"/>
      <c r="N108" s="7"/>
      <c r="O108" s="7"/>
      <c r="P108" s="7"/>
    </row>
    <row r="109" spans="1:16" s="22" customFormat="1" ht="19.5" hidden="1" thickTop="1" x14ac:dyDescent="0.35">
      <c r="A109" s="54">
        <v>3</v>
      </c>
      <c r="B109" s="456" t="s">
        <v>180</v>
      </c>
      <c r="C109" s="457"/>
      <c r="D109" s="457"/>
      <c r="E109" s="457"/>
      <c r="F109" s="458"/>
      <c r="G109" s="10" t="s">
        <v>181</v>
      </c>
      <c r="H109" s="17">
        <f>3*H96/(PI()*H95*H76^3)</f>
        <v>1.0408601333360126E-3</v>
      </c>
      <c r="I109" s="12" t="s">
        <v>148</v>
      </c>
      <c r="J109" s="29"/>
    </row>
    <row r="110" spans="1:16" customFormat="1" ht="17.25" hidden="1" thickTop="1" thickBot="1" x14ac:dyDescent="0.3">
      <c r="A110" s="61">
        <v>3</v>
      </c>
      <c r="B110" s="460" t="s">
        <v>43</v>
      </c>
      <c r="C110" s="461"/>
      <c r="D110" s="461"/>
      <c r="E110" s="461"/>
      <c r="F110" s="462"/>
      <c r="G110" s="33" t="s">
        <v>42</v>
      </c>
      <c r="H110" s="34" t="str">
        <f>IF(0.2&lt;(H93/H74),IF(H76&gt;MAX(H89,H90*(0.1*(H90/H93))^(1/3)),IF(0.2&lt;(H95/H76),IF(5&gt;(H95/H76),"SPLNĚNA","NESPLNĚNA"),"NESPLNĚNA"),"NESPLNĚNA"),"NESPLNĚNA")</f>
        <v>SPLNĚNA</v>
      </c>
      <c r="I110" s="35" t="s">
        <v>124</v>
      </c>
      <c r="J110" s="215">
        <v>7</v>
      </c>
      <c r="K110" s="7"/>
      <c r="L110" s="7"/>
      <c r="M110" s="7"/>
      <c r="N110" s="7"/>
      <c r="O110" s="7"/>
      <c r="P110" s="7"/>
    </row>
    <row r="111" spans="1:16" ht="16.5" customHeight="1" thickTop="1" x14ac:dyDescent="0.25">
      <c r="A111" s="390"/>
      <c r="B111" s="391"/>
      <c r="C111" s="391"/>
      <c r="D111" s="391"/>
      <c r="E111" s="391"/>
      <c r="F111" s="391"/>
      <c r="G111" s="391"/>
      <c r="H111" s="391"/>
      <c r="I111" s="391"/>
      <c r="J111" s="391"/>
    </row>
    <row r="112" spans="1:16" ht="24" customHeight="1" x14ac:dyDescent="0.35">
      <c r="A112" s="459" t="s">
        <v>182</v>
      </c>
      <c r="B112" s="459"/>
      <c r="C112" s="392" t="s">
        <v>187</v>
      </c>
      <c r="D112" s="391"/>
      <c r="E112" s="455" t="s">
        <v>404</v>
      </c>
      <c r="F112" s="455"/>
      <c r="G112" s="455"/>
      <c r="H112" s="455"/>
      <c r="I112" s="455"/>
      <c r="J112" s="455"/>
    </row>
    <row r="113" spans="1:12" ht="24" customHeight="1" x14ac:dyDescent="0.25">
      <c r="A113" s="391"/>
      <c r="B113" s="390"/>
      <c r="C113" s="392" t="s">
        <v>188</v>
      </c>
      <c r="D113" s="454" t="s">
        <v>183</v>
      </c>
      <c r="E113" s="454"/>
      <c r="F113" s="454"/>
      <c r="G113" s="454"/>
      <c r="H113" s="454"/>
      <c r="I113" s="454"/>
      <c r="J113" s="454"/>
    </row>
    <row r="114" spans="1:12" ht="24" customHeight="1" x14ac:dyDescent="0.25">
      <c r="A114" s="391"/>
      <c r="B114" s="391"/>
      <c r="C114" s="392" t="s">
        <v>184</v>
      </c>
      <c r="D114" s="454" t="s">
        <v>403</v>
      </c>
      <c r="E114" s="454"/>
      <c r="F114" s="454"/>
      <c r="G114" s="454"/>
      <c r="H114" s="454"/>
      <c r="I114" s="454"/>
      <c r="J114" s="454"/>
    </row>
    <row r="115" spans="1:12" ht="24" customHeight="1" x14ac:dyDescent="0.35">
      <c r="A115" s="391"/>
      <c r="B115" s="391"/>
      <c r="C115" s="392" t="s">
        <v>185</v>
      </c>
      <c r="D115" s="391"/>
      <c r="E115" s="452" t="s">
        <v>402</v>
      </c>
      <c r="F115" s="452"/>
      <c r="G115" s="452"/>
      <c r="H115" s="452"/>
      <c r="I115" s="452"/>
      <c r="J115" s="452"/>
    </row>
    <row r="116" spans="1:12" ht="24" customHeight="1" x14ac:dyDescent="0.35">
      <c r="A116" s="391"/>
      <c r="B116" s="391"/>
      <c r="C116" s="392" t="s">
        <v>186</v>
      </c>
      <c r="D116" s="391"/>
      <c r="E116" s="453" t="s">
        <v>401</v>
      </c>
      <c r="F116" s="453"/>
      <c r="G116" s="453"/>
      <c r="H116" s="453"/>
      <c r="I116" s="453"/>
      <c r="J116" s="453"/>
    </row>
    <row r="117" spans="1:12" ht="18.75" x14ac:dyDescent="0.35">
      <c r="A117" s="391"/>
      <c r="B117" s="391"/>
      <c r="C117" s="392" t="s">
        <v>248</v>
      </c>
      <c r="D117" s="451" t="s">
        <v>249</v>
      </c>
      <c r="E117" s="451"/>
      <c r="F117" s="451"/>
      <c r="G117" s="451"/>
      <c r="H117" s="451"/>
      <c r="I117" s="451"/>
      <c r="J117" s="451"/>
      <c r="K117" s="451"/>
    </row>
    <row r="118" spans="1:12" x14ac:dyDescent="0.25">
      <c r="C118" s="392" t="s">
        <v>338</v>
      </c>
      <c r="D118" s="451" t="s">
        <v>400</v>
      </c>
      <c r="E118" s="451"/>
      <c r="F118" s="451"/>
      <c r="G118" s="451"/>
      <c r="H118" s="451"/>
      <c r="I118" s="451"/>
      <c r="J118" s="451"/>
      <c r="K118" s="451"/>
      <c r="L118" s="451"/>
    </row>
    <row r="119" spans="1:12" x14ac:dyDescent="0.25">
      <c r="A119" s="391"/>
      <c r="B119" s="391"/>
      <c r="C119" s="391"/>
      <c r="D119" s="391"/>
      <c r="E119" s="391"/>
      <c r="F119" s="391"/>
      <c r="G119" s="391"/>
      <c r="H119" s="391"/>
      <c r="I119" s="391"/>
      <c r="J119" s="391"/>
      <c r="K119" s="391"/>
    </row>
    <row r="120" spans="1:12" x14ac:dyDescent="0.25">
      <c r="A120" s="391"/>
      <c r="B120" s="391"/>
      <c r="C120" s="391"/>
      <c r="D120" s="391"/>
      <c r="E120" s="391"/>
      <c r="F120" s="391"/>
      <c r="G120" s="391"/>
      <c r="H120" s="391"/>
      <c r="I120" s="391"/>
      <c r="J120" s="391"/>
      <c r="K120" s="391"/>
    </row>
    <row r="121" spans="1:12" x14ac:dyDescent="0.25">
      <c r="A121" s="391"/>
      <c r="B121" s="391"/>
      <c r="C121" s="391"/>
      <c r="D121" s="391"/>
      <c r="E121" s="391"/>
      <c r="F121" s="391"/>
      <c r="G121" s="391"/>
      <c r="H121" s="391"/>
      <c r="I121" s="391"/>
      <c r="J121" s="391"/>
      <c r="K121" s="391"/>
    </row>
    <row r="122" spans="1:12" x14ac:dyDescent="0.25">
      <c r="A122" s="391"/>
      <c r="B122" s="391"/>
      <c r="C122" s="391"/>
      <c r="D122" s="391"/>
      <c r="E122" s="391"/>
      <c r="F122" s="391"/>
      <c r="G122" s="391"/>
      <c r="H122" s="391"/>
      <c r="I122" s="391"/>
      <c r="J122" s="391"/>
      <c r="K122" s="391"/>
    </row>
    <row r="123" spans="1:12" x14ac:dyDescent="0.25">
      <c r="A123" s="391"/>
      <c r="B123" s="391"/>
      <c r="C123" s="391"/>
      <c r="D123" s="391"/>
      <c r="E123" s="391"/>
      <c r="F123" s="391"/>
      <c r="G123" s="391"/>
      <c r="H123" s="391"/>
      <c r="I123" s="391"/>
      <c r="J123" s="391"/>
      <c r="K123" s="391"/>
    </row>
    <row r="124" spans="1:12" x14ac:dyDescent="0.25">
      <c r="A124" s="391"/>
      <c r="B124" s="391"/>
      <c r="C124" s="391"/>
      <c r="D124" s="391"/>
      <c r="E124" s="391"/>
      <c r="F124" s="391"/>
      <c r="G124" s="391"/>
      <c r="H124" s="391"/>
      <c r="I124" s="391"/>
      <c r="J124" s="391"/>
      <c r="K124" s="391"/>
    </row>
    <row r="125" spans="1:12" x14ac:dyDescent="0.25">
      <c r="A125" s="391"/>
      <c r="B125" s="391"/>
      <c r="C125" s="391"/>
      <c r="D125" s="391"/>
      <c r="E125" s="393"/>
      <c r="F125" s="391"/>
      <c r="G125" s="393"/>
      <c r="H125" s="391"/>
      <c r="I125" s="391"/>
      <c r="J125" s="391"/>
      <c r="K125" s="391"/>
    </row>
    <row r="127" spans="1:12" x14ac:dyDescent="0.25">
      <c r="E127" s="394"/>
    </row>
  </sheetData>
  <sheetProtection password="CC21" sheet="1" objects="1" scenarios="1" autoFilter="0"/>
  <autoFilter ref="A2:A110">
    <filterColumn colId="0">
      <filters>
        <filter val="1"/>
      </filters>
    </filterColumn>
  </autoFilter>
  <mergeCells count="127">
    <mergeCell ref="B92:F92"/>
    <mergeCell ref="B93:F93"/>
    <mergeCell ref="B94:F94"/>
    <mergeCell ref="B97:F97"/>
    <mergeCell ref="B90:F90"/>
    <mergeCell ref="B91:F91"/>
    <mergeCell ref="B77:F77"/>
    <mergeCell ref="M45:Q45"/>
    <mergeCell ref="B71:J71"/>
    <mergeCell ref="B62:F62"/>
    <mergeCell ref="B63:F63"/>
    <mergeCell ref="B64:F64"/>
    <mergeCell ref="B47:F47"/>
    <mergeCell ref="B53:F53"/>
    <mergeCell ref="B54:F54"/>
    <mergeCell ref="B45:F45"/>
    <mergeCell ref="B46:F46"/>
    <mergeCell ref="B49:F49"/>
    <mergeCell ref="M72:S72"/>
    <mergeCell ref="M87:P87"/>
    <mergeCell ref="B72:F72"/>
    <mergeCell ref="B85:F85"/>
    <mergeCell ref="B86:F86"/>
    <mergeCell ref="B87:F87"/>
    <mergeCell ref="M4:S4"/>
    <mergeCell ref="M17:S17"/>
    <mergeCell ref="M30:S30"/>
    <mergeCell ref="U4:AB4"/>
    <mergeCell ref="U18:X18"/>
    <mergeCell ref="U30:X30"/>
    <mergeCell ref="B68:F68"/>
    <mergeCell ref="B69:F69"/>
    <mergeCell ref="B70:F70"/>
    <mergeCell ref="B58:F58"/>
    <mergeCell ref="B59:F59"/>
    <mergeCell ref="B51:F51"/>
    <mergeCell ref="B52:F52"/>
    <mergeCell ref="B55:F55"/>
    <mergeCell ref="B56:F56"/>
    <mergeCell ref="B57:F57"/>
    <mergeCell ref="B48:F48"/>
    <mergeCell ref="B50:F50"/>
    <mergeCell ref="B44:J44"/>
    <mergeCell ref="B65:F65"/>
    <mergeCell ref="B66:F66"/>
    <mergeCell ref="B67:F67"/>
    <mergeCell ref="B60:F60"/>
    <mergeCell ref="B61:F61"/>
    <mergeCell ref="B43:F43"/>
    <mergeCell ref="B20:F20"/>
    <mergeCell ref="B32:F32"/>
    <mergeCell ref="B9:F9"/>
    <mergeCell ref="B23:G23"/>
    <mergeCell ref="B40:F40"/>
    <mergeCell ref="B41:F41"/>
    <mergeCell ref="B42:F42"/>
    <mergeCell ref="B31:F31"/>
    <mergeCell ref="B33:F33"/>
    <mergeCell ref="B34:F34"/>
    <mergeCell ref="B35:F35"/>
    <mergeCell ref="B37:F37"/>
    <mergeCell ref="B38:F38"/>
    <mergeCell ref="B21:F21"/>
    <mergeCell ref="B14:F14"/>
    <mergeCell ref="B12:F12"/>
    <mergeCell ref="B13:F13"/>
    <mergeCell ref="B10:F10"/>
    <mergeCell ref="A1:J1"/>
    <mergeCell ref="B2:F2"/>
    <mergeCell ref="B36:F36"/>
    <mergeCell ref="B39:F39"/>
    <mergeCell ref="B22:F22"/>
    <mergeCell ref="B29:F29"/>
    <mergeCell ref="B24:F24"/>
    <mergeCell ref="B25:F25"/>
    <mergeCell ref="B26:F26"/>
    <mergeCell ref="B27:F27"/>
    <mergeCell ref="B28:F28"/>
    <mergeCell ref="B6:F6"/>
    <mergeCell ref="B4:F4"/>
    <mergeCell ref="B5:F5"/>
    <mergeCell ref="B30:F30"/>
    <mergeCell ref="B19:F19"/>
    <mergeCell ref="B3:J3"/>
    <mergeCell ref="B15:F15"/>
    <mergeCell ref="B16:F16"/>
    <mergeCell ref="B17:F17"/>
    <mergeCell ref="B18:F18"/>
    <mergeCell ref="B7:F7"/>
    <mergeCell ref="B8:F8"/>
    <mergeCell ref="B11:F11"/>
    <mergeCell ref="B88:F88"/>
    <mergeCell ref="B89:F89"/>
    <mergeCell ref="B78:F78"/>
    <mergeCell ref="B79:F79"/>
    <mergeCell ref="B80:F80"/>
    <mergeCell ref="B73:F73"/>
    <mergeCell ref="B74:F74"/>
    <mergeCell ref="B75:F75"/>
    <mergeCell ref="B84:F84"/>
    <mergeCell ref="B76:F76"/>
    <mergeCell ref="B81:F81"/>
    <mergeCell ref="B82:F82"/>
    <mergeCell ref="B83:F83"/>
    <mergeCell ref="D118:L118"/>
    <mergeCell ref="E115:J115"/>
    <mergeCell ref="E116:J116"/>
    <mergeCell ref="D114:J114"/>
    <mergeCell ref="D113:J113"/>
    <mergeCell ref="E112:J112"/>
    <mergeCell ref="B95:F95"/>
    <mergeCell ref="B96:F96"/>
    <mergeCell ref="B109:F109"/>
    <mergeCell ref="B103:F103"/>
    <mergeCell ref="B104:F104"/>
    <mergeCell ref="B105:F105"/>
    <mergeCell ref="B106:F106"/>
    <mergeCell ref="B98:F98"/>
    <mergeCell ref="B99:F99"/>
    <mergeCell ref="B100:F100"/>
    <mergeCell ref="B101:F101"/>
    <mergeCell ref="A112:B112"/>
    <mergeCell ref="B107:F107"/>
    <mergeCell ref="B108:F108"/>
    <mergeCell ref="B110:F110"/>
    <mergeCell ref="B102:F102"/>
    <mergeCell ref="D117:K117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 filterMode="1"/>
  <dimension ref="A1:AB118"/>
  <sheetViews>
    <sheetView showGridLines="0" zoomScaleNormal="100" workbookViewId="0">
      <selection activeCell="H10" sqref="H10"/>
    </sheetView>
  </sheetViews>
  <sheetFormatPr defaultRowHeight="15.75" x14ac:dyDescent="0.25"/>
  <cols>
    <col min="1" max="1" width="10.25" style="316" customWidth="1"/>
    <col min="2" max="2" width="11" style="316" customWidth="1"/>
    <col min="3" max="7" width="9" style="316"/>
    <col min="8" max="8" width="10.25" style="316" customWidth="1"/>
    <col min="9" max="9" width="9" style="316"/>
    <col min="10" max="10" width="9.875" style="316" customWidth="1"/>
    <col min="11" max="16384" width="9" style="316"/>
  </cols>
  <sheetData>
    <row r="1" spans="1:28" ht="39" customHeight="1" thickTop="1" thickBot="1" x14ac:dyDescent="0.3">
      <c r="A1" s="531" t="s">
        <v>135</v>
      </c>
      <c r="B1" s="532"/>
      <c r="C1" s="532"/>
      <c r="D1" s="532"/>
      <c r="E1" s="532"/>
      <c r="F1" s="532"/>
      <c r="G1" s="532"/>
      <c r="H1" s="532"/>
      <c r="I1" s="532"/>
      <c r="J1" s="533"/>
    </row>
    <row r="2" spans="1:28" ht="33.75" customHeight="1" thickTop="1" thickBot="1" x14ac:dyDescent="0.3">
      <c r="A2" s="403" t="s">
        <v>0</v>
      </c>
      <c r="B2" s="534" t="s">
        <v>1</v>
      </c>
      <c r="C2" s="535"/>
      <c r="D2" s="535"/>
      <c r="E2" s="535"/>
      <c r="F2" s="536"/>
      <c r="G2" s="41" t="s">
        <v>2</v>
      </c>
      <c r="H2" s="41" t="s">
        <v>3</v>
      </c>
      <c r="I2" s="40" t="s">
        <v>120</v>
      </c>
      <c r="J2" s="42" t="s">
        <v>137</v>
      </c>
    </row>
    <row r="3" spans="1:28" customFormat="1" ht="21" customHeight="1" thickTop="1" thickBot="1" x14ac:dyDescent="0.3">
      <c r="A3" s="62">
        <v>1</v>
      </c>
      <c r="B3" s="528" t="s">
        <v>149</v>
      </c>
      <c r="C3" s="529"/>
      <c r="D3" s="529"/>
      <c r="E3" s="529"/>
      <c r="F3" s="529"/>
      <c r="G3" s="529"/>
      <c r="H3" s="529"/>
      <c r="I3" s="529"/>
      <c r="J3" s="530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</row>
    <row r="4" spans="1:28" customFormat="1" ht="19.5" thickTop="1" x14ac:dyDescent="0.35">
      <c r="A4" s="63">
        <v>1</v>
      </c>
      <c r="B4" s="466" t="s">
        <v>4</v>
      </c>
      <c r="C4" s="467"/>
      <c r="D4" s="467"/>
      <c r="E4" s="467"/>
      <c r="F4" s="468"/>
      <c r="G4" s="18" t="s">
        <v>18</v>
      </c>
      <c r="H4" s="396">
        <v>11.1</v>
      </c>
      <c r="I4" s="11" t="s">
        <v>123</v>
      </c>
      <c r="J4" s="43"/>
      <c r="K4" s="22"/>
      <c r="L4" s="20"/>
      <c r="M4" s="517" t="s">
        <v>151</v>
      </c>
      <c r="N4" s="518"/>
      <c r="O4" s="518"/>
      <c r="P4" s="518"/>
      <c r="Q4" s="518"/>
      <c r="R4" s="518"/>
      <c r="S4" s="518"/>
      <c r="T4" s="22"/>
      <c r="U4" s="517" t="s">
        <v>9</v>
      </c>
      <c r="V4" s="517"/>
      <c r="W4" s="517"/>
      <c r="X4" s="517"/>
      <c r="Y4" s="517"/>
      <c r="Z4" s="517"/>
      <c r="AA4" s="517"/>
      <c r="AB4" s="517"/>
    </row>
    <row r="5" spans="1:28" customFormat="1" ht="18.75" x14ac:dyDescent="0.35">
      <c r="A5" s="64">
        <v>1</v>
      </c>
      <c r="B5" s="456" t="s">
        <v>5</v>
      </c>
      <c r="C5" s="457"/>
      <c r="D5" s="457"/>
      <c r="E5" s="457"/>
      <c r="F5" s="458"/>
      <c r="G5" s="19" t="s">
        <v>17</v>
      </c>
      <c r="H5" s="397">
        <v>28.5</v>
      </c>
      <c r="I5" s="12" t="s">
        <v>123</v>
      </c>
      <c r="J5" s="44"/>
      <c r="K5" s="22"/>
      <c r="L5" s="20"/>
      <c r="M5" s="20"/>
      <c r="N5" s="20"/>
      <c r="O5" s="20"/>
      <c r="P5" s="20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</row>
    <row r="6" spans="1:28" customFormat="1" ht="18.75" x14ac:dyDescent="0.35">
      <c r="A6" s="64">
        <v>1</v>
      </c>
      <c r="B6" s="456" t="s">
        <v>6</v>
      </c>
      <c r="C6" s="457"/>
      <c r="D6" s="457"/>
      <c r="E6" s="457"/>
      <c r="F6" s="458"/>
      <c r="G6" s="19" t="s">
        <v>16</v>
      </c>
      <c r="H6" s="397">
        <v>11.1</v>
      </c>
      <c r="I6" s="12" t="s">
        <v>123</v>
      </c>
      <c r="J6" s="44"/>
      <c r="K6" s="22"/>
      <c r="L6" s="20"/>
      <c r="M6" s="20"/>
      <c r="N6" s="20"/>
      <c r="O6" s="20"/>
      <c r="P6" s="20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</row>
    <row r="7" spans="1:28" customFormat="1" ht="18.75" x14ac:dyDescent="0.35">
      <c r="A7" s="64">
        <v>1</v>
      </c>
      <c r="B7" s="469" t="s">
        <v>337</v>
      </c>
      <c r="C7" s="470"/>
      <c r="D7" s="470"/>
      <c r="E7" s="470"/>
      <c r="F7" s="471"/>
      <c r="G7" s="19" t="s">
        <v>38</v>
      </c>
      <c r="H7" s="397">
        <v>31</v>
      </c>
      <c r="I7" s="12" t="s">
        <v>123</v>
      </c>
      <c r="J7" s="44">
        <v>1</v>
      </c>
      <c r="K7" s="22"/>
      <c r="L7" s="20"/>
      <c r="M7" s="20"/>
      <c r="N7" s="20"/>
      <c r="O7" s="20"/>
      <c r="P7" s="20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</row>
    <row r="8" spans="1:28" customFormat="1" ht="18.75" x14ac:dyDescent="0.35">
      <c r="A8" s="64">
        <v>1</v>
      </c>
      <c r="B8" s="456" t="s">
        <v>109</v>
      </c>
      <c r="C8" s="457"/>
      <c r="D8" s="457"/>
      <c r="E8" s="457"/>
      <c r="F8" s="458"/>
      <c r="G8" s="19" t="s">
        <v>68</v>
      </c>
      <c r="H8" s="397">
        <v>31</v>
      </c>
      <c r="I8" s="12" t="s">
        <v>123</v>
      </c>
      <c r="J8" s="44"/>
      <c r="K8" s="22"/>
      <c r="L8" s="20"/>
      <c r="M8" s="20"/>
      <c r="N8" s="20"/>
      <c r="O8" s="20"/>
      <c r="P8" s="20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</row>
    <row r="9" spans="1:28" customFormat="1" ht="18.75" x14ac:dyDescent="0.35">
      <c r="A9" s="64">
        <v>1</v>
      </c>
      <c r="B9" s="456" t="s">
        <v>143</v>
      </c>
      <c r="C9" s="457"/>
      <c r="D9" s="457"/>
      <c r="E9" s="457"/>
      <c r="F9" s="458"/>
      <c r="G9" s="19" t="s">
        <v>144</v>
      </c>
      <c r="H9" s="397">
        <v>31</v>
      </c>
      <c r="I9" s="12" t="s">
        <v>123</v>
      </c>
      <c r="J9" s="44"/>
      <c r="K9" s="22"/>
      <c r="L9" s="20"/>
      <c r="M9" s="20"/>
      <c r="N9" s="20"/>
      <c r="O9" s="20"/>
      <c r="P9" s="20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</row>
    <row r="10" spans="1:28" s="95" customFormat="1" ht="18.75" x14ac:dyDescent="0.35">
      <c r="A10" s="55">
        <v>1</v>
      </c>
      <c r="B10" s="456" t="s">
        <v>247</v>
      </c>
      <c r="C10" s="457"/>
      <c r="D10" s="457"/>
      <c r="E10" s="457"/>
      <c r="F10" s="458"/>
      <c r="G10" s="19" t="s">
        <v>246</v>
      </c>
      <c r="H10" s="397">
        <v>34</v>
      </c>
      <c r="I10" s="12" t="s">
        <v>123</v>
      </c>
      <c r="J10" s="29">
        <v>6</v>
      </c>
      <c r="L10" s="20"/>
      <c r="M10" s="20"/>
      <c r="N10" s="20"/>
      <c r="O10" s="20"/>
      <c r="P10" s="20"/>
    </row>
    <row r="11" spans="1:28" customFormat="1" ht="18.75" x14ac:dyDescent="0.35">
      <c r="A11" s="64">
        <v>1</v>
      </c>
      <c r="B11" s="456" t="s">
        <v>7</v>
      </c>
      <c r="C11" s="457"/>
      <c r="D11" s="457"/>
      <c r="E11" s="457"/>
      <c r="F11" s="458"/>
      <c r="G11" s="19" t="s">
        <v>15</v>
      </c>
      <c r="H11" s="397">
        <v>65</v>
      </c>
      <c r="I11" s="12" t="s">
        <v>123</v>
      </c>
      <c r="J11" s="44"/>
      <c r="K11" s="2" t="s">
        <v>39</v>
      </c>
      <c r="L11" s="20"/>
      <c r="M11" s="20"/>
      <c r="N11" s="20"/>
      <c r="O11" s="20"/>
      <c r="P11" s="20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</row>
    <row r="12" spans="1:28" customFormat="1" ht="18.75" x14ac:dyDescent="0.35">
      <c r="A12" s="64">
        <v>1</v>
      </c>
      <c r="B12" s="456" t="s">
        <v>19</v>
      </c>
      <c r="C12" s="457"/>
      <c r="D12" s="457"/>
      <c r="E12" s="457"/>
      <c r="F12" s="458"/>
      <c r="G12" s="19" t="s">
        <v>20</v>
      </c>
      <c r="H12" s="397">
        <v>70.55</v>
      </c>
      <c r="I12" s="12" t="s">
        <v>123</v>
      </c>
      <c r="J12" s="44"/>
      <c r="K12" s="22"/>
      <c r="L12" s="20"/>
      <c r="M12" s="20"/>
      <c r="N12" s="20"/>
      <c r="O12" s="20"/>
      <c r="P12" s="20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</row>
    <row r="13" spans="1:28" customFormat="1" ht="18.75" x14ac:dyDescent="0.35">
      <c r="A13" s="64">
        <v>1</v>
      </c>
      <c r="B13" s="456" t="s">
        <v>24</v>
      </c>
      <c r="C13" s="457"/>
      <c r="D13" s="457"/>
      <c r="E13" s="457"/>
      <c r="F13" s="458"/>
      <c r="G13" s="19" t="s">
        <v>21</v>
      </c>
      <c r="H13" s="397">
        <v>93.5</v>
      </c>
      <c r="I13" s="12" t="s">
        <v>123</v>
      </c>
      <c r="J13" s="44"/>
      <c r="K13" s="22"/>
      <c r="L13" s="20"/>
      <c r="M13" s="20"/>
      <c r="N13" s="20"/>
      <c r="O13" s="20"/>
      <c r="P13" s="20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</row>
    <row r="14" spans="1:28" customFormat="1" ht="18.75" x14ac:dyDescent="0.35">
      <c r="A14" s="64">
        <v>1</v>
      </c>
      <c r="B14" s="456" t="s">
        <v>25</v>
      </c>
      <c r="C14" s="457"/>
      <c r="D14" s="457"/>
      <c r="E14" s="457"/>
      <c r="F14" s="458"/>
      <c r="G14" s="19" t="s">
        <v>22</v>
      </c>
      <c r="H14" s="397">
        <v>170</v>
      </c>
      <c r="I14" s="12" t="s">
        <v>123</v>
      </c>
      <c r="J14" s="44"/>
      <c r="K14" s="22"/>
      <c r="L14" s="20"/>
      <c r="M14" s="20"/>
      <c r="N14" s="20"/>
      <c r="O14" s="20"/>
      <c r="P14" s="20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</row>
    <row r="15" spans="1:28" customFormat="1" ht="18.75" x14ac:dyDescent="0.35">
      <c r="A15" s="64">
        <v>1</v>
      </c>
      <c r="B15" s="456" t="s">
        <v>26</v>
      </c>
      <c r="C15" s="457"/>
      <c r="D15" s="457"/>
      <c r="E15" s="457"/>
      <c r="F15" s="458"/>
      <c r="G15" s="19" t="s">
        <v>23</v>
      </c>
      <c r="H15" s="397">
        <v>220</v>
      </c>
      <c r="I15" s="12" t="s">
        <v>123</v>
      </c>
      <c r="J15" s="44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</row>
    <row r="16" spans="1:28" customFormat="1" ht="18.75" x14ac:dyDescent="0.35">
      <c r="A16" s="64">
        <v>1</v>
      </c>
      <c r="B16" s="456" t="s">
        <v>27</v>
      </c>
      <c r="C16" s="457"/>
      <c r="D16" s="457"/>
      <c r="E16" s="457"/>
      <c r="F16" s="458"/>
      <c r="G16" s="19" t="s">
        <v>28</v>
      </c>
      <c r="H16" s="397">
        <v>26</v>
      </c>
      <c r="I16" s="12" t="s">
        <v>123</v>
      </c>
      <c r="J16" s="45">
        <v>2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</row>
    <row r="17" spans="1:28" customFormat="1" ht="18.75" x14ac:dyDescent="0.35">
      <c r="A17" s="64">
        <v>1</v>
      </c>
      <c r="B17" s="456" t="s">
        <v>110</v>
      </c>
      <c r="C17" s="457"/>
      <c r="D17" s="457"/>
      <c r="E17" s="457"/>
      <c r="F17" s="458"/>
      <c r="G17" s="10" t="s">
        <v>66</v>
      </c>
      <c r="H17" s="397">
        <v>24</v>
      </c>
      <c r="I17" s="12" t="s">
        <v>123</v>
      </c>
      <c r="J17" s="44"/>
      <c r="K17" s="22"/>
      <c r="L17" s="22"/>
      <c r="M17" s="512" t="s">
        <v>151</v>
      </c>
      <c r="N17" s="519"/>
      <c r="O17" s="519"/>
      <c r="P17" s="519"/>
      <c r="Q17" s="519"/>
      <c r="R17" s="519"/>
      <c r="S17" s="519"/>
      <c r="T17" s="22"/>
      <c r="U17" s="22"/>
      <c r="V17" s="22"/>
      <c r="W17" s="22"/>
      <c r="X17" s="22"/>
      <c r="Y17" s="22"/>
      <c r="Z17" s="22"/>
      <c r="AA17" s="22"/>
      <c r="AB17" s="22"/>
    </row>
    <row r="18" spans="1:28" customFormat="1" ht="18.75" x14ac:dyDescent="0.35">
      <c r="A18" s="64">
        <v>1</v>
      </c>
      <c r="B18" s="456" t="s">
        <v>65</v>
      </c>
      <c r="C18" s="457"/>
      <c r="D18" s="457"/>
      <c r="E18" s="457"/>
      <c r="F18" s="458"/>
      <c r="G18" s="10" t="s">
        <v>67</v>
      </c>
      <c r="H18" s="397">
        <v>31</v>
      </c>
      <c r="I18" s="12" t="s">
        <v>123</v>
      </c>
      <c r="J18" s="44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512" t="s">
        <v>10</v>
      </c>
      <c r="V18" s="512"/>
      <c r="W18" s="512"/>
      <c r="X18" s="512"/>
      <c r="Y18" s="22"/>
      <c r="Z18" s="22"/>
      <c r="AA18" s="22"/>
      <c r="AB18" s="22"/>
    </row>
    <row r="19" spans="1:28" customFormat="1" ht="18.75" x14ac:dyDescent="0.35">
      <c r="A19" s="64">
        <v>1</v>
      </c>
      <c r="B19" s="456" t="s">
        <v>32</v>
      </c>
      <c r="C19" s="457"/>
      <c r="D19" s="457"/>
      <c r="E19" s="457"/>
      <c r="F19" s="458"/>
      <c r="G19" s="10" t="s">
        <v>33</v>
      </c>
      <c r="H19" s="400">
        <v>8</v>
      </c>
      <c r="I19" s="12" t="s">
        <v>124</v>
      </c>
      <c r="J19" s="44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</row>
    <row r="20" spans="1:28" customFormat="1" ht="18.75" x14ac:dyDescent="0.35">
      <c r="A20" s="64">
        <v>1</v>
      </c>
      <c r="B20" s="456" t="s">
        <v>111</v>
      </c>
      <c r="C20" s="457"/>
      <c r="D20" s="457"/>
      <c r="E20" s="457"/>
      <c r="F20" s="458"/>
      <c r="G20" s="10" t="s">
        <v>71</v>
      </c>
      <c r="H20" s="397">
        <v>24</v>
      </c>
      <c r="I20" s="12" t="s">
        <v>123</v>
      </c>
      <c r="J20" s="44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</row>
    <row r="21" spans="1:28" customFormat="1" ht="18.75" x14ac:dyDescent="0.35">
      <c r="A21" s="64">
        <v>1</v>
      </c>
      <c r="B21" s="456" t="s">
        <v>29</v>
      </c>
      <c r="C21" s="457"/>
      <c r="D21" s="457"/>
      <c r="E21" s="457"/>
      <c r="F21" s="458"/>
      <c r="G21" s="10" t="s">
        <v>30</v>
      </c>
      <c r="H21" s="397">
        <v>42</v>
      </c>
      <c r="I21" s="12" t="s">
        <v>123</v>
      </c>
      <c r="J21" s="44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</row>
    <row r="22" spans="1:28" customFormat="1" ht="18.75" x14ac:dyDescent="0.35">
      <c r="A22" s="64">
        <v>1</v>
      </c>
      <c r="B22" s="456" t="s">
        <v>138</v>
      </c>
      <c r="C22" s="457"/>
      <c r="D22" s="457"/>
      <c r="E22" s="457"/>
      <c r="F22" s="458"/>
      <c r="G22" s="10" t="s">
        <v>139</v>
      </c>
      <c r="H22" s="397">
        <v>0</v>
      </c>
      <c r="I22" s="12" t="s">
        <v>140</v>
      </c>
      <c r="J22" s="44">
        <v>3</v>
      </c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</row>
    <row r="23" spans="1:28" customFormat="1" ht="16.5" thickBot="1" x14ac:dyDescent="0.3">
      <c r="A23" s="65">
        <v>1</v>
      </c>
      <c r="B23" s="463" t="s">
        <v>145</v>
      </c>
      <c r="C23" s="464"/>
      <c r="D23" s="464"/>
      <c r="E23" s="464"/>
      <c r="F23" s="464"/>
      <c r="G23" s="465"/>
      <c r="H23" s="401">
        <v>1</v>
      </c>
      <c r="I23" s="13" t="s">
        <v>124</v>
      </c>
      <c r="J23" s="46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</row>
    <row r="24" spans="1:28" customFormat="1" ht="18.75" x14ac:dyDescent="0.35">
      <c r="A24" s="66">
        <v>1</v>
      </c>
      <c r="B24" s="509" t="s">
        <v>69</v>
      </c>
      <c r="C24" s="510"/>
      <c r="D24" s="510"/>
      <c r="E24" s="510"/>
      <c r="F24" s="511"/>
      <c r="G24" s="9" t="s">
        <v>31</v>
      </c>
      <c r="H24" s="14">
        <f>(PI()*H14)/H19</f>
        <v>66.758843888783105</v>
      </c>
      <c r="I24" s="11" t="s">
        <v>123</v>
      </c>
      <c r="J24" s="43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</row>
    <row r="25" spans="1:28" customFormat="1" ht="18.75" x14ac:dyDescent="0.35">
      <c r="A25" s="64">
        <v>1</v>
      </c>
      <c r="B25" s="456" t="s">
        <v>34</v>
      </c>
      <c r="C25" s="457"/>
      <c r="D25" s="457"/>
      <c r="E25" s="457"/>
      <c r="F25" s="458"/>
      <c r="G25" s="10" t="s">
        <v>35</v>
      </c>
      <c r="H25" s="15">
        <f>IF(H16=0, H17*H18/H8*SQRT((H17*H18/H8)/H24), H16*SQRT(H16/H24))</f>
        <v>16.225781314738235</v>
      </c>
      <c r="I25" s="12" t="s">
        <v>123</v>
      </c>
      <c r="J25" s="44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</row>
    <row r="26" spans="1:28" customFormat="1" ht="18.75" x14ac:dyDescent="0.35">
      <c r="A26" s="64">
        <v>1</v>
      </c>
      <c r="B26" s="456" t="s">
        <v>136</v>
      </c>
      <c r="C26" s="457"/>
      <c r="D26" s="457"/>
      <c r="E26" s="457"/>
      <c r="F26" s="458"/>
      <c r="G26" s="10" t="s">
        <v>36</v>
      </c>
      <c r="H26" s="15">
        <f>H14*(1-(2/H19^2))</f>
        <v>164.6875</v>
      </c>
      <c r="I26" s="12" t="s">
        <v>123</v>
      </c>
      <c r="J26" s="44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</row>
    <row r="27" spans="1:28" customFormat="1" ht="18.75" x14ac:dyDescent="0.35">
      <c r="A27" s="64">
        <v>1</v>
      </c>
      <c r="B27" s="456" t="s">
        <v>40</v>
      </c>
      <c r="C27" s="457"/>
      <c r="D27" s="457"/>
      <c r="E27" s="457"/>
      <c r="F27" s="458"/>
      <c r="G27" s="10" t="s">
        <v>41</v>
      </c>
      <c r="H27" s="15">
        <f>((H15-H11)/2)-H25</f>
        <v>61.274218685261765</v>
      </c>
      <c r="I27" s="12" t="s">
        <v>123</v>
      </c>
      <c r="J27" s="44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</row>
    <row r="28" spans="1:28" customFormat="1" ht="18.75" x14ac:dyDescent="0.35">
      <c r="A28" s="64">
        <v>1</v>
      </c>
      <c r="B28" s="456" t="s">
        <v>44</v>
      </c>
      <c r="C28" s="457"/>
      <c r="D28" s="457"/>
      <c r="E28" s="457"/>
      <c r="F28" s="458"/>
      <c r="G28" s="10" t="s">
        <v>45</v>
      </c>
      <c r="H28" s="15">
        <f>(H15+H11)/2</f>
        <v>142.5</v>
      </c>
      <c r="I28" s="12" t="s">
        <v>123</v>
      </c>
      <c r="J28" s="44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</row>
    <row r="29" spans="1:28" customFormat="1" x14ac:dyDescent="0.25">
      <c r="A29" s="64">
        <v>1</v>
      </c>
      <c r="B29" s="456" t="s">
        <v>46</v>
      </c>
      <c r="C29" s="457"/>
      <c r="D29" s="457"/>
      <c r="E29" s="457"/>
      <c r="F29" s="458"/>
      <c r="G29" s="10" t="s">
        <v>47</v>
      </c>
      <c r="H29" s="15">
        <f>H$5/H$4</f>
        <v>2.5675675675675675</v>
      </c>
      <c r="I29" s="12" t="s">
        <v>124</v>
      </c>
      <c r="J29" s="44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</row>
    <row r="30" spans="1:28" customFormat="1" ht="18.75" x14ac:dyDescent="0.35">
      <c r="A30" s="64">
        <v>1</v>
      </c>
      <c r="B30" s="456" t="s">
        <v>48</v>
      </c>
      <c r="C30" s="457"/>
      <c r="D30" s="457"/>
      <c r="E30" s="457"/>
      <c r="F30" s="458"/>
      <c r="G30" s="10" t="s">
        <v>49</v>
      </c>
      <c r="H30" s="15">
        <f>H4*(1+((H29-1)*H21/((H29/3*SQRT(H12*H4))+H21)))</f>
        <v>22.181074739102829</v>
      </c>
      <c r="I30" s="12" t="s">
        <v>123</v>
      </c>
      <c r="J30" s="44"/>
      <c r="K30" s="22"/>
      <c r="L30" s="22"/>
      <c r="M30" s="512" t="s">
        <v>8</v>
      </c>
      <c r="N30" s="519"/>
      <c r="O30" s="519"/>
      <c r="P30" s="519"/>
      <c r="Q30" s="519"/>
      <c r="R30" s="519"/>
      <c r="S30" s="519"/>
      <c r="T30" s="22"/>
      <c r="U30" s="512" t="s">
        <v>13</v>
      </c>
      <c r="V30" s="512"/>
      <c r="W30" s="512"/>
      <c r="X30" s="512"/>
      <c r="Y30" s="22"/>
      <c r="Z30" s="22"/>
      <c r="AA30" s="22"/>
      <c r="AB30" s="22"/>
    </row>
    <row r="31" spans="1:28" customFormat="1" ht="18.75" x14ac:dyDescent="0.35">
      <c r="A31" s="64">
        <v>1</v>
      </c>
      <c r="B31" s="456" t="s">
        <v>483</v>
      </c>
      <c r="C31" s="457"/>
      <c r="D31" s="457"/>
      <c r="E31" s="457"/>
      <c r="F31" s="458"/>
      <c r="G31" s="10" t="s">
        <v>50</v>
      </c>
      <c r="H31" s="15">
        <f>(MIN(H12-H4+H30,H13+H5-H30)+MAX(H12+H4-H30,H13-H5+H30))/2</f>
        <v>84.40607473910282</v>
      </c>
      <c r="I31" s="12" t="s">
        <v>123</v>
      </c>
      <c r="J31" s="44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</row>
    <row r="32" spans="1:28" customFormat="1" ht="18.75" x14ac:dyDescent="0.25">
      <c r="A32" s="64">
        <v>1</v>
      </c>
      <c r="B32" s="456" t="s">
        <v>141</v>
      </c>
      <c r="C32" s="457"/>
      <c r="D32" s="457"/>
      <c r="E32" s="457"/>
      <c r="F32" s="458"/>
      <c r="G32" s="16" t="s">
        <v>142</v>
      </c>
      <c r="H32" s="15">
        <f>COS(RADIANS(H22))</f>
        <v>1</v>
      </c>
      <c r="I32" s="12" t="s">
        <v>124</v>
      </c>
      <c r="J32" s="44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</row>
    <row r="33" spans="1:28" customFormat="1" x14ac:dyDescent="0.25">
      <c r="A33" s="64">
        <v>1</v>
      </c>
      <c r="B33" s="456" t="s">
        <v>51</v>
      </c>
      <c r="C33" s="457"/>
      <c r="D33" s="457"/>
      <c r="E33" s="457"/>
      <c r="F33" s="458"/>
      <c r="G33" s="10" t="s">
        <v>54</v>
      </c>
      <c r="H33" s="15">
        <f>(H30*H28)/(H27*H31*H32)</f>
        <v>0.61114739257605621</v>
      </c>
      <c r="I33" s="12" t="s">
        <v>124</v>
      </c>
      <c r="J33" s="44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</row>
    <row r="34" spans="1:28" customFormat="1" x14ac:dyDescent="0.25">
      <c r="A34" s="64">
        <v>1</v>
      </c>
      <c r="B34" s="456" t="s">
        <v>52</v>
      </c>
      <c r="C34" s="457"/>
      <c r="D34" s="457"/>
      <c r="E34" s="457"/>
      <c r="F34" s="458"/>
      <c r="G34" s="10" t="s">
        <v>55</v>
      </c>
      <c r="H34" s="15">
        <f>0.55*H32*SQRT(H31*H30)/H7</f>
        <v>0.76767808035971974</v>
      </c>
      <c r="I34" s="12" t="s">
        <v>124</v>
      </c>
      <c r="J34" s="44"/>
      <c r="K34" s="22"/>
      <c r="L34" s="1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</row>
    <row r="35" spans="1:28" customFormat="1" x14ac:dyDescent="0.25">
      <c r="A35" s="64">
        <v>1</v>
      </c>
      <c r="B35" s="456" t="s">
        <v>53</v>
      </c>
      <c r="C35" s="457"/>
      <c r="D35" s="457"/>
      <c r="E35" s="457"/>
      <c r="F35" s="458"/>
      <c r="G35" s="10" t="s">
        <v>56</v>
      </c>
      <c r="H35" s="15">
        <f>1-(H9/H7)</f>
        <v>0</v>
      </c>
      <c r="I35" s="12" t="s">
        <v>124</v>
      </c>
      <c r="J35" s="44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</row>
    <row r="36" spans="1:28" customFormat="1" ht="18.75" x14ac:dyDescent="0.35">
      <c r="A36" s="64">
        <v>1</v>
      </c>
      <c r="B36" s="456" t="s">
        <v>57</v>
      </c>
      <c r="C36" s="457"/>
      <c r="D36" s="457"/>
      <c r="E36" s="457"/>
      <c r="F36" s="458"/>
      <c r="G36" s="10" t="s">
        <v>58</v>
      </c>
      <c r="H36" s="15">
        <f>(1+H33*H34)/(1+H33*H34*(4*(1-3*H35+3*H35^2)+6*(1-2*H35)*H34+(6*H34^2))+(3*H33^2*H34^4))</f>
        <v>0.20733989530793387</v>
      </c>
      <c r="I36" s="12" t="s">
        <v>124</v>
      </c>
      <c r="J36" s="44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</row>
    <row r="37" spans="1:28" customFormat="1" ht="18.75" x14ac:dyDescent="0.35">
      <c r="A37" s="64">
        <v>1</v>
      </c>
      <c r="B37" s="456" t="s">
        <v>57</v>
      </c>
      <c r="C37" s="457"/>
      <c r="D37" s="457"/>
      <c r="E37" s="457"/>
      <c r="F37" s="458"/>
      <c r="G37" s="10" t="s">
        <v>146</v>
      </c>
      <c r="H37" s="15">
        <f>IF(H23=1, 0.85/H32, IF(H23=2, 0.35/H32, "CHYBA"))</f>
        <v>0.85</v>
      </c>
      <c r="I37" s="12" t="s">
        <v>124</v>
      </c>
      <c r="J37" s="47" t="str">
        <f>IF(H23=1,"-", IF(H23=2,"", "CHYBA H22"))</f>
        <v>-</v>
      </c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</row>
    <row r="38" spans="1:28" customFormat="1" ht="18.75" x14ac:dyDescent="0.35">
      <c r="A38" s="64">
        <v>1</v>
      </c>
      <c r="B38" s="456" t="s">
        <v>57</v>
      </c>
      <c r="C38" s="457"/>
      <c r="D38" s="457"/>
      <c r="E38" s="457"/>
      <c r="F38" s="458"/>
      <c r="G38" s="10" t="s">
        <v>147</v>
      </c>
      <c r="H38" s="15">
        <f>IF(H23=1, -0.15/H32, IF(H23=2, -0.65/H32, "CHYBA"))</f>
        <v>-0.15</v>
      </c>
      <c r="I38" s="12" t="s">
        <v>124</v>
      </c>
      <c r="J38" s="44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</row>
    <row r="39" spans="1:28" customFormat="1" ht="18.75" x14ac:dyDescent="0.35">
      <c r="A39" s="64">
        <v>1</v>
      </c>
      <c r="B39" s="456" t="s">
        <v>59</v>
      </c>
      <c r="C39" s="457"/>
      <c r="D39" s="457"/>
      <c r="E39" s="457"/>
      <c r="F39" s="458"/>
      <c r="G39" s="10" t="s">
        <v>60</v>
      </c>
      <c r="H39" s="15">
        <f>1.1*H7*SQRT(H30/H31)*(1-2*H35+H34)/(1+H33*H34)</f>
        <v>21.032533195268584</v>
      </c>
      <c r="I39" s="12" t="s">
        <v>123</v>
      </c>
      <c r="J39" s="44"/>
      <c r="K39" s="6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</row>
    <row r="40" spans="1:28" customFormat="1" ht="18.75" x14ac:dyDescent="0.35">
      <c r="A40" s="64">
        <v>1</v>
      </c>
      <c r="B40" s="456" t="s">
        <v>59</v>
      </c>
      <c r="C40" s="457"/>
      <c r="D40" s="457"/>
      <c r="E40" s="457"/>
      <c r="F40" s="458"/>
      <c r="G40" s="10" t="s">
        <v>61</v>
      </c>
      <c r="H40" s="15">
        <f>H7*(1-2*H35-H33*H34^2)/(1+H33*H34)</f>
        <v>13.500744956432692</v>
      </c>
      <c r="I40" s="12" t="s">
        <v>123</v>
      </c>
      <c r="J40" s="44"/>
      <c r="K40" s="22"/>
      <c r="L40" s="22"/>
      <c r="M40" s="1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</row>
    <row r="41" spans="1:28" customFormat="1" ht="18.75" x14ac:dyDescent="0.35">
      <c r="A41" s="64">
        <v>1</v>
      </c>
      <c r="B41" s="456" t="s">
        <v>239</v>
      </c>
      <c r="C41" s="457"/>
      <c r="D41" s="457"/>
      <c r="E41" s="457"/>
      <c r="F41" s="458"/>
      <c r="G41" s="10" t="s">
        <v>62</v>
      </c>
      <c r="H41" s="15">
        <f>(H39*H38)-(H40*0.5*TAN(RADIANS(H22)))</f>
        <v>-3.1548799792902877</v>
      </c>
      <c r="I41" s="12" t="s">
        <v>123</v>
      </c>
      <c r="J41" s="44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</row>
    <row r="42" spans="1:28" customFormat="1" ht="18.75" x14ac:dyDescent="0.35">
      <c r="A42" s="64">
        <v>1</v>
      </c>
      <c r="B42" s="456" t="s">
        <v>63</v>
      </c>
      <c r="C42" s="457"/>
      <c r="D42" s="457"/>
      <c r="E42" s="457"/>
      <c r="F42" s="458"/>
      <c r="G42" s="10" t="s">
        <v>64</v>
      </c>
      <c r="H42" s="27">
        <f>(3*H28*H36)/(PI()*H27*H7^3)</f>
        <v>1.5456325586712338E-5</v>
      </c>
      <c r="I42" s="12" t="s">
        <v>148</v>
      </c>
      <c r="J42" s="44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</row>
    <row r="43" spans="1:28" customFormat="1" x14ac:dyDescent="0.25">
      <c r="A43" s="67">
        <v>1</v>
      </c>
      <c r="B43" s="503" t="s">
        <v>43</v>
      </c>
      <c r="C43" s="504"/>
      <c r="D43" s="504"/>
      <c r="E43" s="504"/>
      <c r="F43" s="505"/>
      <c r="G43" s="36" t="s">
        <v>42</v>
      </c>
      <c r="H43" s="39" t="str">
        <f>IF(0.2&lt;(H27/H7),IF(5&gt;(H27/H7),IF(H7&gt;MAX(H5,H20,H24*(0.08*(H24/H27))^(1/3)),IF(H32&gt;(1/(1+(0.01*H12/H6))),"SPLNĚNA","NESPLNĚNA"),"NESPLNĚNA"),"NESPLNĚNA"),"NESPLNĚNA")</f>
        <v>SPLNĚNA</v>
      </c>
      <c r="I43" s="38" t="s">
        <v>124</v>
      </c>
      <c r="J43" s="213">
        <v>7</v>
      </c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</row>
    <row r="44" spans="1:28" ht="20.25" hidden="1" thickTop="1" thickBot="1" x14ac:dyDescent="0.3">
      <c r="A44" s="62">
        <v>2</v>
      </c>
      <c r="B44" s="528" t="s">
        <v>150</v>
      </c>
      <c r="C44" s="529"/>
      <c r="D44" s="529"/>
      <c r="E44" s="529"/>
      <c r="F44" s="529"/>
      <c r="G44" s="529"/>
      <c r="H44" s="529"/>
      <c r="I44" s="529"/>
      <c r="J44" s="530"/>
    </row>
    <row r="45" spans="1:28" ht="18.75" hidden="1" x14ac:dyDescent="0.35">
      <c r="A45" s="64">
        <v>2</v>
      </c>
      <c r="B45" s="469" t="s">
        <v>154</v>
      </c>
      <c r="C45" s="470"/>
      <c r="D45" s="470"/>
      <c r="E45" s="470"/>
      <c r="F45" s="471"/>
      <c r="G45" s="10" t="s">
        <v>152</v>
      </c>
      <c r="H45" s="397">
        <v>135</v>
      </c>
      <c r="I45" s="12" t="s">
        <v>123</v>
      </c>
      <c r="J45" s="44"/>
      <c r="M45" s="512" t="s">
        <v>11</v>
      </c>
      <c r="N45" s="512"/>
      <c r="O45" s="512"/>
      <c r="P45" s="512"/>
      <c r="Q45" s="512"/>
    </row>
    <row r="46" spans="1:28" ht="18.75" hidden="1" x14ac:dyDescent="0.35">
      <c r="A46" s="64">
        <v>2</v>
      </c>
      <c r="B46" s="469" t="s">
        <v>337</v>
      </c>
      <c r="C46" s="470"/>
      <c r="D46" s="470"/>
      <c r="E46" s="470"/>
      <c r="F46" s="471"/>
      <c r="G46" s="10" t="s">
        <v>38</v>
      </c>
      <c r="H46" s="397">
        <v>102</v>
      </c>
      <c r="I46" s="12" t="s">
        <v>123</v>
      </c>
      <c r="J46" s="44">
        <v>1</v>
      </c>
    </row>
    <row r="47" spans="1:28" ht="18.75" hidden="1" x14ac:dyDescent="0.35">
      <c r="A47" s="64">
        <v>2</v>
      </c>
      <c r="B47" s="469" t="s">
        <v>155</v>
      </c>
      <c r="C47" s="470"/>
      <c r="D47" s="470"/>
      <c r="E47" s="470"/>
      <c r="F47" s="471"/>
      <c r="G47" s="10" t="s">
        <v>153</v>
      </c>
      <c r="H47" s="397">
        <v>100</v>
      </c>
      <c r="I47" s="12" t="s">
        <v>123</v>
      </c>
      <c r="J47" s="44"/>
    </row>
    <row r="48" spans="1:28" ht="18.75" hidden="1" x14ac:dyDescent="0.35">
      <c r="A48" s="64">
        <v>2</v>
      </c>
      <c r="B48" s="456" t="s">
        <v>109</v>
      </c>
      <c r="C48" s="457"/>
      <c r="D48" s="457"/>
      <c r="E48" s="457"/>
      <c r="F48" s="458"/>
      <c r="G48" s="10" t="s">
        <v>68</v>
      </c>
      <c r="H48" s="397">
        <v>100</v>
      </c>
      <c r="I48" s="12" t="s">
        <v>123</v>
      </c>
      <c r="J48" s="44"/>
    </row>
    <row r="49" spans="1:10" ht="18.75" hidden="1" x14ac:dyDescent="0.35">
      <c r="A49" s="55">
        <v>2</v>
      </c>
      <c r="B49" s="456" t="s">
        <v>247</v>
      </c>
      <c r="C49" s="457"/>
      <c r="D49" s="457"/>
      <c r="E49" s="457"/>
      <c r="F49" s="458"/>
      <c r="G49" s="19" t="s">
        <v>246</v>
      </c>
      <c r="H49" s="397">
        <v>0</v>
      </c>
      <c r="I49" s="12" t="s">
        <v>123</v>
      </c>
      <c r="J49" s="29">
        <v>6</v>
      </c>
    </row>
    <row r="50" spans="1:10" ht="18.75" hidden="1" x14ac:dyDescent="0.35">
      <c r="A50" s="64">
        <v>2</v>
      </c>
      <c r="B50" s="456" t="s">
        <v>7</v>
      </c>
      <c r="C50" s="457"/>
      <c r="D50" s="457"/>
      <c r="E50" s="457"/>
      <c r="F50" s="458"/>
      <c r="G50" s="10" t="s">
        <v>15</v>
      </c>
      <c r="H50" s="397">
        <v>366</v>
      </c>
      <c r="I50" s="12" t="s">
        <v>123</v>
      </c>
      <c r="J50" s="44"/>
    </row>
    <row r="51" spans="1:10" ht="18.75" hidden="1" x14ac:dyDescent="0.35">
      <c r="A51" s="64">
        <v>2</v>
      </c>
      <c r="B51" s="456" t="s">
        <v>25</v>
      </c>
      <c r="C51" s="457"/>
      <c r="D51" s="457"/>
      <c r="E51" s="457"/>
      <c r="F51" s="458"/>
      <c r="G51" s="10" t="s">
        <v>22</v>
      </c>
      <c r="H51" s="397">
        <v>522</v>
      </c>
      <c r="I51" s="12" t="s">
        <v>123</v>
      </c>
      <c r="J51" s="44"/>
    </row>
    <row r="52" spans="1:10" ht="18.75" hidden="1" x14ac:dyDescent="0.35">
      <c r="A52" s="64">
        <v>2</v>
      </c>
      <c r="B52" s="456" t="s">
        <v>26</v>
      </c>
      <c r="C52" s="457"/>
      <c r="D52" s="457"/>
      <c r="E52" s="457"/>
      <c r="F52" s="458"/>
      <c r="G52" s="10" t="s">
        <v>23</v>
      </c>
      <c r="H52" s="398">
        <v>632</v>
      </c>
      <c r="I52" s="12" t="s">
        <v>123</v>
      </c>
      <c r="J52" s="44"/>
    </row>
    <row r="53" spans="1:10" ht="18.75" hidden="1" x14ac:dyDescent="0.35">
      <c r="A53" s="64">
        <v>2</v>
      </c>
      <c r="B53" s="456" t="s">
        <v>156</v>
      </c>
      <c r="C53" s="457"/>
      <c r="D53" s="457"/>
      <c r="E53" s="457"/>
      <c r="F53" s="458"/>
      <c r="G53" s="10" t="s">
        <v>157</v>
      </c>
      <c r="H53" s="397">
        <v>0</v>
      </c>
      <c r="I53" s="12" t="s">
        <v>123</v>
      </c>
      <c r="J53" s="44"/>
    </row>
    <row r="54" spans="1:10" ht="18.75" hidden="1" x14ac:dyDescent="0.35">
      <c r="A54" s="64">
        <v>2</v>
      </c>
      <c r="B54" s="456" t="s">
        <v>159</v>
      </c>
      <c r="C54" s="457"/>
      <c r="D54" s="457"/>
      <c r="E54" s="457"/>
      <c r="F54" s="458"/>
      <c r="G54" s="10" t="s">
        <v>158</v>
      </c>
      <c r="H54" s="397">
        <v>426</v>
      </c>
      <c r="I54" s="12" t="s">
        <v>123</v>
      </c>
      <c r="J54" s="44"/>
    </row>
    <row r="55" spans="1:10" ht="18.75" hidden="1" x14ac:dyDescent="0.35">
      <c r="A55" s="64">
        <v>2</v>
      </c>
      <c r="B55" s="456" t="s">
        <v>27</v>
      </c>
      <c r="C55" s="457"/>
      <c r="D55" s="457"/>
      <c r="E55" s="457"/>
      <c r="F55" s="458"/>
      <c r="G55" s="10" t="s">
        <v>28</v>
      </c>
      <c r="H55" s="397">
        <v>60</v>
      </c>
      <c r="I55" s="12" t="s">
        <v>123</v>
      </c>
      <c r="J55" s="45">
        <v>2</v>
      </c>
    </row>
    <row r="56" spans="1:10" ht="18.75" hidden="1" x14ac:dyDescent="0.35">
      <c r="A56" s="64">
        <v>2</v>
      </c>
      <c r="B56" s="456" t="s">
        <v>110</v>
      </c>
      <c r="C56" s="457"/>
      <c r="D56" s="457"/>
      <c r="E56" s="457"/>
      <c r="F56" s="458"/>
      <c r="G56" s="10" t="s">
        <v>66</v>
      </c>
      <c r="H56" s="397">
        <v>0</v>
      </c>
      <c r="I56" s="12" t="s">
        <v>123</v>
      </c>
      <c r="J56" s="44"/>
    </row>
    <row r="57" spans="1:10" ht="18.75" hidden="1" x14ac:dyDescent="0.35">
      <c r="A57" s="64">
        <v>2</v>
      </c>
      <c r="B57" s="456" t="s">
        <v>65</v>
      </c>
      <c r="C57" s="457"/>
      <c r="D57" s="457"/>
      <c r="E57" s="457"/>
      <c r="F57" s="458"/>
      <c r="G57" s="10" t="s">
        <v>67</v>
      </c>
      <c r="H57" s="397">
        <v>0</v>
      </c>
      <c r="I57" s="12" t="s">
        <v>123</v>
      </c>
      <c r="J57" s="44"/>
    </row>
    <row r="58" spans="1:10" ht="18.75" hidden="1" x14ac:dyDescent="0.35">
      <c r="A58" s="64">
        <v>2</v>
      </c>
      <c r="B58" s="456" t="s">
        <v>32</v>
      </c>
      <c r="C58" s="457"/>
      <c r="D58" s="457"/>
      <c r="E58" s="457"/>
      <c r="F58" s="458"/>
      <c r="G58" s="10" t="s">
        <v>33</v>
      </c>
      <c r="H58" s="400">
        <v>12</v>
      </c>
      <c r="I58" s="12" t="s">
        <v>124</v>
      </c>
      <c r="J58" s="44"/>
    </row>
    <row r="59" spans="1:10" ht="19.5" hidden="1" thickBot="1" x14ac:dyDescent="0.4">
      <c r="A59" s="65">
        <v>2</v>
      </c>
      <c r="B59" s="463" t="s">
        <v>111</v>
      </c>
      <c r="C59" s="464"/>
      <c r="D59" s="464"/>
      <c r="E59" s="464"/>
      <c r="F59" s="465"/>
      <c r="G59" s="23" t="s">
        <v>71</v>
      </c>
      <c r="H59" s="402">
        <v>56</v>
      </c>
      <c r="I59" s="13" t="s">
        <v>123</v>
      </c>
      <c r="J59" s="46"/>
    </row>
    <row r="60" spans="1:10" ht="18.75" hidden="1" x14ac:dyDescent="0.35">
      <c r="A60" s="66">
        <v>2</v>
      </c>
      <c r="B60" s="509" t="s">
        <v>69</v>
      </c>
      <c r="C60" s="510"/>
      <c r="D60" s="510"/>
      <c r="E60" s="510"/>
      <c r="F60" s="511"/>
      <c r="G60" s="9" t="s">
        <v>31</v>
      </c>
      <c r="H60" s="14">
        <f>(PI()*H51)/H58</f>
        <v>136.65928043115599</v>
      </c>
      <c r="I60" s="11" t="s">
        <v>123</v>
      </c>
      <c r="J60" s="43"/>
    </row>
    <row r="61" spans="1:10" ht="18.75" hidden="1" x14ac:dyDescent="0.35">
      <c r="A61" s="64">
        <v>2</v>
      </c>
      <c r="B61" s="456" t="s">
        <v>34</v>
      </c>
      <c r="C61" s="457"/>
      <c r="D61" s="457"/>
      <c r="E61" s="457"/>
      <c r="F61" s="458"/>
      <c r="G61" s="10" t="s">
        <v>35</v>
      </c>
      <c r="H61" s="15">
        <f>IF(H55=0, H56*H57/H48*SQRT((H56*H57/H48)/H60), H55*SQRT(H55/H60))</f>
        <v>39.75642373185871</v>
      </c>
      <c r="I61" s="12" t="s">
        <v>123</v>
      </c>
      <c r="J61" s="44"/>
    </row>
    <row r="62" spans="1:10" ht="18.75" hidden="1" x14ac:dyDescent="0.35">
      <c r="A62" s="64">
        <v>2</v>
      </c>
      <c r="B62" s="456" t="s">
        <v>136</v>
      </c>
      <c r="C62" s="457"/>
      <c r="D62" s="457"/>
      <c r="E62" s="457"/>
      <c r="F62" s="458"/>
      <c r="G62" s="10" t="s">
        <v>36</v>
      </c>
      <c r="H62" s="15">
        <f>H51*(1-(2/(H58^2)))</f>
        <v>514.75</v>
      </c>
      <c r="I62" s="12" t="s">
        <v>123</v>
      </c>
      <c r="J62" s="44"/>
    </row>
    <row r="63" spans="1:10" ht="18.75" hidden="1" x14ac:dyDescent="0.35">
      <c r="A63" s="64">
        <v>2</v>
      </c>
      <c r="B63" s="456" t="s">
        <v>40</v>
      </c>
      <c r="C63" s="457"/>
      <c r="D63" s="457"/>
      <c r="E63" s="457"/>
      <c r="F63" s="458"/>
      <c r="G63" s="10" t="s">
        <v>41</v>
      </c>
      <c r="H63" s="15">
        <f>((H52-H50)/2)-H61</f>
        <v>93.243576268141283</v>
      </c>
      <c r="I63" s="12" t="s">
        <v>123</v>
      </c>
      <c r="J63" s="44"/>
    </row>
    <row r="64" spans="1:10" ht="18.75" hidden="1" x14ac:dyDescent="0.35">
      <c r="A64" s="64">
        <v>2</v>
      </c>
      <c r="B64" s="456" t="s">
        <v>44</v>
      </c>
      <c r="C64" s="457"/>
      <c r="D64" s="457"/>
      <c r="E64" s="457"/>
      <c r="F64" s="458"/>
      <c r="G64" s="10" t="s">
        <v>45</v>
      </c>
      <c r="H64" s="15">
        <f>(H52+H50)/2</f>
        <v>499</v>
      </c>
      <c r="I64" s="12" t="s">
        <v>123</v>
      </c>
      <c r="J64" s="44"/>
    </row>
    <row r="65" spans="1:28" ht="18.75" hidden="1" x14ac:dyDescent="0.35">
      <c r="A65" s="64">
        <v>2</v>
      </c>
      <c r="B65" s="456" t="s">
        <v>48</v>
      </c>
      <c r="C65" s="457"/>
      <c r="D65" s="457"/>
      <c r="E65" s="457"/>
      <c r="F65" s="458"/>
      <c r="G65" s="10" t="s">
        <v>49</v>
      </c>
      <c r="H65" s="15">
        <v>0</v>
      </c>
      <c r="I65" s="12" t="s">
        <v>123</v>
      </c>
      <c r="J65" s="44"/>
    </row>
    <row r="66" spans="1:28" ht="18.75" hidden="1" x14ac:dyDescent="0.35">
      <c r="A66" s="64">
        <v>2</v>
      </c>
      <c r="B66" s="456" t="s">
        <v>483</v>
      </c>
      <c r="C66" s="457"/>
      <c r="D66" s="457"/>
      <c r="E66" s="457"/>
      <c r="F66" s="458"/>
      <c r="G66" s="10" t="s">
        <v>50</v>
      </c>
      <c r="H66" s="15">
        <f>H50</f>
        <v>366</v>
      </c>
      <c r="I66" s="12" t="s">
        <v>123</v>
      </c>
      <c r="J66" s="44"/>
      <c r="K66" s="5"/>
    </row>
    <row r="67" spans="1:28" hidden="1" x14ac:dyDescent="0.25">
      <c r="A67" s="64">
        <v>2</v>
      </c>
      <c r="B67" s="456" t="s">
        <v>160</v>
      </c>
      <c r="C67" s="457"/>
      <c r="D67" s="457"/>
      <c r="E67" s="457"/>
      <c r="F67" s="458"/>
      <c r="G67" s="16" t="s">
        <v>161</v>
      </c>
      <c r="H67" s="15">
        <f>H53/H66</f>
        <v>0</v>
      </c>
      <c r="I67" s="12" t="s">
        <v>124</v>
      </c>
      <c r="J67" s="44"/>
      <c r="K67" s="5"/>
    </row>
    <row r="68" spans="1:28" ht="18.75" hidden="1" x14ac:dyDescent="0.35">
      <c r="A68" s="64">
        <v>2</v>
      </c>
      <c r="B68" s="456" t="s">
        <v>239</v>
      </c>
      <c r="C68" s="457"/>
      <c r="D68" s="457"/>
      <c r="E68" s="457"/>
      <c r="F68" s="458"/>
      <c r="G68" s="10" t="s">
        <v>62</v>
      </c>
      <c r="H68" s="15">
        <f>H66/4*(1-H67^2)*(0.7+3.3*H67^2)/((0.7+1.3*H67^2)*(1+H67^2))</f>
        <v>91.5</v>
      </c>
      <c r="I68" s="12" t="s">
        <v>123</v>
      </c>
      <c r="J68" s="44"/>
    </row>
    <row r="69" spans="1:28" ht="18.75" hidden="1" x14ac:dyDescent="0.35">
      <c r="A69" s="64">
        <v>2</v>
      </c>
      <c r="B69" s="456" t="s">
        <v>63</v>
      </c>
      <c r="C69" s="457"/>
      <c r="D69" s="457"/>
      <c r="E69" s="457"/>
      <c r="F69" s="458"/>
      <c r="G69" s="10" t="s">
        <v>64</v>
      </c>
      <c r="H69" s="279">
        <f>3*H64/(PI()*(H63*H46^3+H64*H45^3*(1-H67^2)/(1.4+2.6*H67^2)))</f>
        <v>4.8827799724072884E-7</v>
      </c>
      <c r="I69" s="12" t="s">
        <v>148</v>
      </c>
      <c r="J69" s="44"/>
    </row>
    <row r="70" spans="1:28" ht="16.5" hidden="1" thickBot="1" x14ac:dyDescent="0.3">
      <c r="A70" s="68">
        <v>2</v>
      </c>
      <c r="B70" s="503" t="s">
        <v>43</v>
      </c>
      <c r="C70" s="504"/>
      <c r="D70" s="504"/>
      <c r="E70" s="504"/>
      <c r="F70" s="505"/>
      <c r="G70" s="36" t="s">
        <v>42</v>
      </c>
      <c r="H70" s="37" t="str">
        <f>IF(0.2&lt;(H63/H46),IF(5&gt;(H63/H46),IF(H46&gt;MAX(H59,H60*(0.1*(H60/H63))^(1/3)),"SPLNĚNA","NESPLNĚNA"),"NESPLNĚNA"),"NESPLNĚNA")</f>
        <v>SPLNĚNA</v>
      </c>
      <c r="I70" s="38" t="s">
        <v>124</v>
      </c>
      <c r="J70" s="213">
        <v>7</v>
      </c>
    </row>
    <row r="71" spans="1:28" customFormat="1" ht="20.25" hidden="1" thickTop="1" thickBot="1" x14ac:dyDescent="0.3">
      <c r="A71" s="69">
        <v>3</v>
      </c>
      <c r="B71" s="528" t="s">
        <v>12</v>
      </c>
      <c r="C71" s="529"/>
      <c r="D71" s="529"/>
      <c r="E71" s="529"/>
      <c r="F71" s="529"/>
      <c r="G71" s="529"/>
      <c r="H71" s="529"/>
      <c r="I71" s="529"/>
      <c r="J71" s="530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</row>
    <row r="72" spans="1:28" customFormat="1" ht="19.5" hidden="1" thickTop="1" x14ac:dyDescent="0.35">
      <c r="A72" s="63">
        <v>3</v>
      </c>
      <c r="B72" s="513" t="s">
        <v>162</v>
      </c>
      <c r="C72" s="514"/>
      <c r="D72" s="514"/>
      <c r="E72" s="514"/>
      <c r="F72" s="515"/>
      <c r="G72" s="18" t="s">
        <v>18</v>
      </c>
      <c r="H72" s="396">
        <v>5</v>
      </c>
      <c r="I72" s="11" t="s">
        <v>123</v>
      </c>
      <c r="J72" s="43"/>
      <c r="K72" s="22"/>
      <c r="L72" s="22"/>
      <c r="M72" s="512" t="s">
        <v>12</v>
      </c>
      <c r="N72" s="512"/>
      <c r="O72" s="512"/>
      <c r="P72" s="512"/>
      <c r="Q72" s="512"/>
      <c r="R72" s="512"/>
      <c r="S72" s="512"/>
      <c r="T72" s="25"/>
      <c r="U72" s="22"/>
      <c r="V72" s="22"/>
      <c r="W72" s="22"/>
      <c r="X72" s="22"/>
      <c r="Y72" s="22"/>
      <c r="Z72" s="22"/>
      <c r="AA72" s="22"/>
      <c r="AB72" s="22"/>
    </row>
    <row r="73" spans="1:28" customFormat="1" ht="18.75" hidden="1" x14ac:dyDescent="0.35">
      <c r="A73" s="63">
        <v>3</v>
      </c>
      <c r="B73" s="466" t="s">
        <v>6</v>
      </c>
      <c r="C73" s="467"/>
      <c r="D73" s="467"/>
      <c r="E73" s="467"/>
      <c r="F73" s="468"/>
      <c r="G73" s="19" t="s">
        <v>16</v>
      </c>
      <c r="H73" s="397">
        <v>5</v>
      </c>
      <c r="I73" s="12" t="s">
        <v>123</v>
      </c>
      <c r="J73" s="44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</row>
    <row r="74" spans="1:28" customFormat="1" ht="18.75" hidden="1" x14ac:dyDescent="0.35">
      <c r="A74" s="63">
        <v>3</v>
      </c>
      <c r="B74" s="469" t="s">
        <v>37</v>
      </c>
      <c r="C74" s="470"/>
      <c r="D74" s="470"/>
      <c r="E74" s="470"/>
      <c r="F74" s="471"/>
      <c r="G74" s="19" t="s">
        <v>38</v>
      </c>
      <c r="H74" s="397">
        <v>10</v>
      </c>
      <c r="I74" s="12" t="s">
        <v>123</v>
      </c>
      <c r="J74" s="44">
        <v>4</v>
      </c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</row>
    <row r="75" spans="1:28" customFormat="1" ht="18.75" hidden="1" x14ac:dyDescent="0.35">
      <c r="A75" s="63">
        <v>3</v>
      </c>
      <c r="B75" s="456" t="s">
        <v>109</v>
      </c>
      <c r="C75" s="457"/>
      <c r="D75" s="457"/>
      <c r="E75" s="457"/>
      <c r="F75" s="458"/>
      <c r="G75" s="19" t="s">
        <v>165</v>
      </c>
      <c r="H75" s="397">
        <v>18</v>
      </c>
      <c r="I75" s="12" t="s">
        <v>123</v>
      </c>
      <c r="J75" s="44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</row>
    <row r="76" spans="1:28" customFormat="1" ht="18.75" hidden="1" x14ac:dyDescent="0.35">
      <c r="A76" s="63">
        <v>3</v>
      </c>
      <c r="B76" s="456" t="s">
        <v>164</v>
      </c>
      <c r="C76" s="457"/>
      <c r="D76" s="457"/>
      <c r="E76" s="457"/>
      <c r="F76" s="458"/>
      <c r="G76" s="19" t="s">
        <v>163</v>
      </c>
      <c r="H76" s="397">
        <v>18</v>
      </c>
      <c r="I76" s="12" t="s">
        <v>123</v>
      </c>
      <c r="J76" s="44">
        <v>5</v>
      </c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</row>
    <row r="77" spans="1:28" s="95" customFormat="1" ht="18.75" hidden="1" x14ac:dyDescent="0.35">
      <c r="A77" s="55">
        <v>3</v>
      </c>
      <c r="B77" s="456" t="s">
        <v>247</v>
      </c>
      <c r="C77" s="457"/>
      <c r="D77" s="457"/>
      <c r="E77" s="457"/>
      <c r="F77" s="458"/>
      <c r="G77" s="19" t="s">
        <v>246</v>
      </c>
      <c r="H77" s="397">
        <v>20</v>
      </c>
      <c r="I77" s="12" t="s">
        <v>123</v>
      </c>
      <c r="J77" s="29">
        <v>6</v>
      </c>
    </row>
    <row r="78" spans="1:28" customFormat="1" ht="18.75" hidden="1" x14ac:dyDescent="0.35">
      <c r="A78" s="63">
        <v>3</v>
      </c>
      <c r="B78" s="456" t="s">
        <v>7</v>
      </c>
      <c r="C78" s="457"/>
      <c r="D78" s="457"/>
      <c r="E78" s="457"/>
      <c r="F78" s="458"/>
      <c r="G78" s="19" t="s">
        <v>15</v>
      </c>
      <c r="H78" s="397">
        <v>160</v>
      </c>
      <c r="I78" s="12" t="s">
        <v>123</v>
      </c>
      <c r="J78" s="44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</row>
    <row r="79" spans="1:28" customFormat="1" ht="18.75" hidden="1" x14ac:dyDescent="0.35">
      <c r="A79" s="63">
        <v>3</v>
      </c>
      <c r="B79" s="456" t="s">
        <v>25</v>
      </c>
      <c r="C79" s="457"/>
      <c r="D79" s="457"/>
      <c r="E79" s="457"/>
      <c r="F79" s="458"/>
      <c r="G79" s="19" t="s">
        <v>22</v>
      </c>
      <c r="H79" s="397">
        <v>210</v>
      </c>
      <c r="I79" s="12" t="s">
        <v>123</v>
      </c>
      <c r="J79" s="44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</row>
    <row r="80" spans="1:28" customFormat="1" ht="18.75" hidden="1" x14ac:dyDescent="0.35">
      <c r="A80" s="63">
        <v>3</v>
      </c>
      <c r="B80" s="456" t="s">
        <v>26</v>
      </c>
      <c r="C80" s="457"/>
      <c r="D80" s="457"/>
      <c r="E80" s="457"/>
      <c r="F80" s="458"/>
      <c r="G80" s="19" t="s">
        <v>23</v>
      </c>
      <c r="H80" s="397">
        <v>250</v>
      </c>
      <c r="I80" s="12" t="s">
        <v>123</v>
      </c>
      <c r="J80" s="44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</row>
    <row r="81" spans="1:28" customFormat="1" ht="18.75" hidden="1" x14ac:dyDescent="0.35">
      <c r="A81" s="63">
        <v>3</v>
      </c>
      <c r="B81" s="456" t="s">
        <v>166</v>
      </c>
      <c r="C81" s="457"/>
      <c r="D81" s="457"/>
      <c r="E81" s="457"/>
      <c r="F81" s="458"/>
      <c r="G81" s="19" t="s">
        <v>167</v>
      </c>
      <c r="H81" s="397">
        <v>170</v>
      </c>
      <c r="I81" s="12" t="s">
        <v>123</v>
      </c>
      <c r="J81" s="44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</row>
    <row r="82" spans="1:28" customFormat="1" ht="18.75" hidden="1" x14ac:dyDescent="0.35">
      <c r="A82" s="63">
        <v>3</v>
      </c>
      <c r="B82" s="456" t="s">
        <v>168</v>
      </c>
      <c r="C82" s="457"/>
      <c r="D82" s="457"/>
      <c r="E82" s="457"/>
      <c r="F82" s="458"/>
      <c r="G82" s="19" t="s">
        <v>169</v>
      </c>
      <c r="H82" s="397">
        <v>170</v>
      </c>
      <c r="I82" s="12" t="s">
        <v>123</v>
      </c>
      <c r="J82" s="44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</row>
    <row r="83" spans="1:28" customFormat="1" ht="18.75" hidden="1" x14ac:dyDescent="0.35">
      <c r="A83" s="63">
        <v>3</v>
      </c>
      <c r="B83" s="456" t="s">
        <v>171</v>
      </c>
      <c r="C83" s="457"/>
      <c r="D83" s="457"/>
      <c r="E83" s="457"/>
      <c r="F83" s="458"/>
      <c r="G83" s="19" t="s">
        <v>170</v>
      </c>
      <c r="H83" s="397">
        <v>180</v>
      </c>
      <c r="I83" s="12" t="s">
        <v>123</v>
      </c>
      <c r="J83" s="44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</row>
    <row r="84" spans="1:28" customFormat="1" ht="18.75" hidden="1" x14ac:dyDescent="0.35">
      <c r="A84" s="63">
        <v>3</v>
      </c>
      <c r="B84" s="456" t="s">
        <v>173</v>
      </c>
      <c r="C84" s="457"/>
      <c r="D84" s="457"/>
      <c r="E84" s="457"/>
      <c r="F84" s="458"/>
      <c r="G84" s="19" t="s">
        <v>172</v>
      </c>
      <c r="H84" s="397">
        <v>180</v>
      </c>
      <c r="I84" s="12" t="s">
        <v>123</v>
      </c>
      <c r="J84" s="44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</row>
    <row r="85" spans="1:28" customFormat="1" ht="18.75" hidden="1" x14ac:dyDescent="0.35">
      <c r="A85" s="63">
        <v>3</v>
      </c>
      <c r="B85" s="456" t="s">
        <v>27</v>
      </c>
      <c r="C85" s="457"/>
      <c r="D85" s="457"/>
      <c r="E85" s="457"/>
      <c r="F85" s="458"/>
      <c r="G85" s="19" t="s">
        <v>28</v>
      </c>
      <c r="H85" s="397">
        <v>10</v>
      </c>
      <c r="I85" s="12" t="s">
        <v>123</v>
      </c>
      <c r="J85" s="45">
        <v>2</v>
      </c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</row>
    <row r="86" spans="1:28" customFormat="1" ht="18.75" hidden="1" x14ac:dyDescent="0.35">
      <c r="A86" s="63">
        <v>3</v>
      </c>
      <c r="B86" s="456" t="s">
        <v>110</v>
      </c>
      <c r="C86" s="457"/>
      <c r="D86" s="457"/>
      <c r="E86" s="457"/>
      <c r="F86" s="458"/>
      <c r="G86" s="10" t="s">
        <v>66</v>
      </c>
      <c r="H86" s="397">
        <v>12</v>
      </c>
      <c r="I86" s="12" t="s">
        <v>123</v>
      </c>
      <c r="J86" s="44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</row>
    <row r="87" spans="1:28" customFormat="1" ht="18.75" hidden="1" x14ac:dyDescent="0.35">
      <c r="A87" s="63">
        <v>3</v>
      </c>
      <c r="B87" s="456" t="s">
        <v>65</v>
      </c>
      <c r="C87" s="457"/>
      <c r="D87" s="457"/>
      <c r="E87" s="457"/>
      <c r="F87" s="458"/>
      <c r="G87" s="10" t="s">
        <v>67</v>
      </c>
      <c r="H87" s="397">
        <v>25</v>
      </c>
      <c r="I87" s="12" t="s">
        <v>123</v>
      </c>
      <c r="J87" s="44"/>
      <c r="K87" s="22"/>
      <c r="L87" s="22"/>
      <c r="M87" s="512" t="s">
        <v>14</v>
      </c>
      <c r="N87" s="512"/>
      <c r="O87" s="512"/>
      <c r="P87" s="51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</row>
    <row r="88" spans="1:28" customFormat="1" ht="18.75" hidden="1" x14ac:dyDescent="0.35">
      <c r="A88" s="63">
        <v>3</v>
      </c>
      <c r="B88" s="456" t="s">
        <v>32</v>
      </c>
      <c r="C88" s="457"/>
      <c r="D88" s="457"/>
      <c r="E88" s="457"/>
      <c r="F88" s="458"/>
      <c r="G88" s="10" t="s">
        <v>33</v>
      </c>
      <c r="H88" s="400">
        <v>32</v>
      </c>
      <c r="I88" s="12" t="s">
        <v>124</v>
      </c>
      <c r="J88" s="44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</row>
    <row r="89" spans="1:28" customFormat="1" ht="19.5" hidden="1" thickBot="1" x14ac:dyDescent="0.4">
      <c r="A89" s="70">
        <v>3</v>
      </c>
      <c r="B89" s="463" t="s">
        <v>111</v>
      </c>
      <c r="C89" s="464"/>
      <c r="D89" s="464"/>
      <c r="E89" s="464"/>
      <c r="F89" s="465"/>
      <c r="G89" s="23" t="s">
        <v>71</v>
      </c>
      <c r="H89" s="402">
        <v>12</v>
      </c>
      <c r="I89" s="13" t="s">
        <v>123</v>
      </c>
      <c r="J89" s="46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</row>
    <row r="90" spans="1:28" customFormat="1" ht="18.75" hidden="1" x14ac:dyDescent="0.35">
      <c r="A90" s="63">
        <v>3</v>
      </c>
      <c r="B90" s="509" t="s">
        <v>69</v>
      </c>
      <c r="C90" s="510"/>
      <c r="D90" s="510"/>
      <c r="E90" s="510"/>
      <c r="F90" s="511"/>
      <c r="G90" s="9" t="s">
        <v>31</v>
      </c>
      <c r="H90" s="14">
        <f>(PI()*H79)/H88</f>
        <v>20.616701789183018</v>
      </c>
      <c r="I90" s="11" t="s">
        <v>123</v>
      </c>
      <c r="J90" s="43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</row>
    <row r="91" spans="1:28" customFormat="1" ht="18.75" hidden="1" x14ac:dyDescent="0.35">
      <c r="A91" s="63">
        <v>3</v>
      </c>
      <c r="B91" s="456" t="s">
        <v>34</v>
      </c>
      <c r="C91" s="457"/>
      <c r="D91" s="457"/>
      <c r="E91" s="457"/>
      <c r="F91" s="458"/>
      <c r="G91" s="10" t="s">
        <v>35</v>
      </c>
      <c r="H91" s="15">
        <f>IF(H85=0, H86*H87/H75*SQRT((H86*H87/H75)/H90), H85*SQRT(H85/H90))</f>
        <v>6.9645074204109072</v>
      </c>
      <c r="I91" s="12" t="s">
        <v>123</v>
      </c>
      <c r="J91" s="44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</row>
    <row r="92" spans="1:28" customFormat="1" ht="18.75" hidden="1" x14ac:dyDescent="0.35">
      <c r="A92" s="63">
        <v>3</v>
      </c>
      <c r="B92" s="456" t="s">
        <v>136</v>
      </c>
      <c r="C92" s="457"/>
      <c r="D92" s="457"/>
      <c r="E92" s="457"/>
      <c r="F92" s="458"/>
      <c r="G92" s="10" t="s">
        <v>36</v>
      </c>
      <c r="H92" s="15">
        <f>H79*(1-(2/H88^2))</f>
        <v>209.58984375</v>
      </c>
      <c r="I92" s="12" t="s">
        <v>123</v>
      </c>
      <c r="J92" s="44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</row>
    <row r="93" spans="1:28" customFormat="1" ht="18.75" hidden="1" x14ac:dyDescent="0.35">
      <c r="A93" s="63">
        <v>3</v>
      </c>
      <c r="B93" s="456" t="s">
        <v>174</v>
      </c>
      <c r="C93" s="457"/>
      <c r="D93" s="457"/>
      <c r="E93" s="457"/>
      <c r="F93" s="458"/>
      <c r="G93" s="10" t="s">
        <v>41</v>
      </c>
      <c r="H93" s="15">
        <f>(H84-H78)/2</f>
        <v>10</v>
      </c>
      <c r="I93" s="12" t="s">
        <v>123</v>
      </c>
      <c r="J93" s="44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</row>
    <row r="94" spans="1:28" customFormat="1" ht="18.75" hidden="1" x14ac:dyDescent="0.35">
      <c r="A94" s="63">
        <v>3</v>
      </c>
      <c r="B94" s="456" t="s">
        <v>175</v>
      </c>
      <c r="C94" s="457"/>
      <c r="D94" s="457"/>
      <c r="E94" s="457"/>
      <c r="F94" s="458"/>
      <c r="G94" s="10" t="s">
        <v>45</v>
      </c>
      <c r="H94" s="15">
        <f>(H84+H78)/2</f>
        <v>170</v>
      </c>
      <c r="I94" s="12" t="s">
        <v>123</v>
      </c>
      <c r="J94" s="44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</row>
    <row r="95" spans="1:28" customFormat="1" ht="18.75" hidden="1" x14ac:dyDescent="0.35">
      <c r="A95" s="63">
        <v>3</v>
      </c>
      <c r="B95" s="456" t="s">
        <v>176</v>
      </c>
      <c r="C95" s="457"/>
      <c r="D95" s="457"/>
      <c r="E95" s="457"/>
      <c r="F95" s="458"/>
      <c r="G95" s="10" t="s">
        <v>178</v>
      </c>
      <c r="H95" s="15">
        <f>((H80-H81)/2)-H91</f>
        <v>33.035492579589089</v>
      </c>
      <c r="I95" s="12" t="s">
        <v>123</v>
      </c>
      <c r="J95" s="44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</row>
    <row r="96" spans="1:28" customFormat="1" ht="18.75" hidden="1" x14ac:dyDescent="0.35">
      <c r="A96" s="63">
        <v>3</v>
      </c>
      <c r="B96" s="456" t="s">
        <v>177</v>
      </c>
      <c r="C96" s="457"/>
      <c r="D96" s="457"/>
      <c r="E96" s="457"/>
      <c r="F96" s="458"/>
      <c r="G96" s="10" t="s">
        <v>179</v>
      </c>
      <c r="H96" s="15">
        <f>(H80+H81)/2</f>
        <v>210</v>
      </c>
      <c r="I96" s="12" t="s">
        <v>123</v>
      </c>
      <c r="J96" s="44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</row>
    <row r="97" spans="1:28" customFormat="1" ht="18.75" hidden="1" x14ac:dyDescent="0.35">
      <c r="A97" s="63">
        <v>3</v>
      </c>
      <c r="B97" s="456" t="s">
        <v>48</v>
      </c>
      <c r="C97" s="457"/>
      <c r="D97" s="457"/>
      <c r="E97" s="457"/>
      <c r="F97" s="458"/>
      <c r="G97" s="10" t="s">
        <v>49</v>
      </c>
      <c r="H97" s="15">
        <f>H72</f>
        <v>5</v>
      </c>
      <c r="I97" s="12" t="s">
        <v>123</v>
      </c>
      <c r="J97" s="44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</row>
    <row r="98" spans="1:28" customFormat="1" ht="18.75" hidden="1" x14ac:dyDescent="0.35">
      <c r="A98" s="63">
        <v>3</v>
      </c>
      <c r="B98" s="456" t="s">
        <v>483</v>
      </c>
      <c r="C98" s="457"/>
      <c r="D98" s="457"/>
      <c r="E98" s="457"/>
      <c r="F98" s="458"/>
      <c r="G98" s="10" t="s">
        <v>50</v>
      </c>
      <c r="H98" s="15">
        <f>H78+H97</f>
        <v>165</v>
      </c>
      <c r="I98" s="12" t="s">
        <v>123</v>
      </c>
      <c r="J98" s="44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</row>
    <row r="99" spans="1:28" customFormat="1" hidden="1" x14ac:dyDescent="0.25">
      <c r="A99" s="63">
        <v>3</v>
      </c>
      <c r="B99" s="456" t="s">
        <v>51</v>
      </c>
      <c r="C99" s="457"/>
      <c r="D99" s="457"/>
      <c r="E99" s="457"/>
      <c r="F99" s="458"/>
      <c r="G99" s="10" t="s">
        <v>54</v>
      </c>
      <c r="H99" s="15">
        <f>(H97*H94)/(H93*H98)</f>
        <v>0.51515151515151514</v>
      </c>
      <c r="I99" s="12" t="s">
        <v>124</v>
      </c>
      <c r="J99" s="44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</row>
    <row r="100" spans="1:28" customFormat="1" hidden="1" x14ac:dyDescent="0.25">
      <c r="A100" s="63">
        <v>3</v>
      </c>
      <c r="B100" s="456" t="s">
        <v>52</v>
      </c>
      <c r="C100" s="457"/>
      <c r="D100" s="457"/>
      <c r="E100" s="457"/>
      <c r="F100" s="458"/>
      <c r="G100" s="10" t="s">
        <v>55</v>
      </c>
      <c r="H100" s="15">
        <f>0.55*SQRT(H98*H97)/H74</f>
        <v>1.579754727797958</v>
      </c>
      <c r="I100" s="12" t="s">
        <v>124</v>
      </c>
      <c r="J100" s="44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</row>
    <row r="101" spans="1:28" customFormat="1" hidden="1" x14ac:dyDescent="0.25">
      <c r="A101" s="63">
        <v>3</v>
      </c>
      <c r="B101" s="456" t="s">
        <v>53</v>
      </c>
      <c r="C101" s="457"/>
      <c r="D101" s="457"/>
      <c r="E101" s="457"/>
      <c r="F101" s="458"/>
      <c r="G101" s="10" t="s">
        <v>56</v>
      </c>
      <c r="H101" s="15">
        <f>1-(H74/H74)</f>
        <v>0</v>
      </c>
      <c r="I101" s="12" t="s">
        <v>124</v>
      </c>
      <c r="J101" s="44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</row>
    <row r="102" spans="1:28" customFormat="1" ht="18.75" hidden="1" x14ac:dyDescent="0.35">
      <c r="A102" s="63">
        <v>3</v>
      </c>
      <c r="B102" s="456" t="s">
        <v>57</v>
      </c>
      <c r="C102" s="457"/>
      <c r="D102" s="457"/>
      <c r="E102" s="457"/>
      <c r="F102" s="458"/>
      <c r="G102" s="10" t="s">
        <v>58</v>
      </c>
      <c r="H102" s="15">
        <f>(1+H99*H100)/(1+H99*H100*(4*(1-3*H101+3*H101^2)+6*(1-2*H101)*H100+(6*H100^2))+(3*H99^2*H100^4))</f>
        <v>6.2301805878243827E-2</v>
      </c>
      <c r="I102" s="12" t="s">
        <v>124</v>
      </c>
      <c r="J102" s="44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</row>
    <row r="103" spans="1:28" customFormat="1" ht="18.75" hidden="1" x14ac:dyDescent="0.35">
      <c r="A103" s="63">
        <v>3</v>
      </c>
      <c r="B103" s="456" t="s">
        <v>57</v>
      </c>
      <c r="C103" s="457"/>
      <c r="D103" s="457"/>
      <c r="E103" s="457"/>
      <c r="F103" s="458"/>
      <c r="G103" s="10" t="s">
        <v>146</v>
      </c>
      <c r="H103" s="15">
        <v>0.85</v>
      </c>
      <c r="I103" s="12" t="s">
        <v>124</v>
      </c>
      <c r="J103" s="47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</row>
    <row r="104" spans="1:28" customFormat="1" ht="18.75" hidden="1" x14ac:dyDescent="0.35">
      <c r="A104" s="63">
        <v>3</v>
      </c>
      <c r="B104" s="456" t="s">
        <v>57</v>
      </c>
      <c r="C104" s="457"/>
      <c r="D104" s="457"/>
      <c r="E104" s="457"/>
      <c r="F104" s="458"/>
      <c r="G104" s="10" t="s">
        <v>147</v>
      </c>
      <c r="H104" s="15">
        <v>-0.15</v>
      </c>
      <c r="I104" s="12" t="s">
        <v>124</v>
      </c>
      <c r="J104" s="44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</row>
    <row r="105" spans="1:28" customFormat="1" ht="18.75" hidden="1" x14ac:dyDescent="0.35">
      <c r="A105" s="63">
        <v>3</v>
      </c>
      <c r="B105" s="456" t="s">
        <v>59</v>
      </c>
      <c r="C105" s="457"/>
      <c r="D105" s="457"/>
      <c r="E105" s="457"/>
      <c r="F105" s="458"/>
      <c r="G105" s="10" t="s">
        <v>60</v>
      </c>
      <c r="H105" s="15">
        <f>1.1*H74*SQRT(H97/H98)*(1-2*H101+H100)/(1+H99*H100)</f>
        <v>2.7234638312968054</v>
      </c>
      <c r="I105" s="12" t="s">
        <v>123</v>
      </c>
      <c r="J105" s="44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</row>
    <row r="106" spans="1:28" customFormat="1" ht="18.75" hidden="1" x14ac:dyDescent="0.35">
      <c r="A106" s="63">
        <v>3</v>
      </c>
      <c r="B106" s="456" t="s">
        <v>59</v>
      </c>
      <c r="C106" s="457"/>
      <c r="D106" s="457"/>
      <c r="E106" s="457"/>
      <c r="F106" s="458"/>
      <c r="G106" s="10" t="s">
        <v>61</v>
      </c>
      <c r="H106" s="15">
        <f>H74*(1-2*H101-H99*H100^2)/(1+H99*H100)</f>
        <v>-1.5747212830114226</v>
      </c>
      <c r="I106" s="12" t="s">
        <v>123</v>
      </c>
      <c r="J106" s="44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</row>
    <row r="107" spans="1:28" customFormat="1" ht="18.75" hidden="1" x14ac:dyDescent="0.35">
      <c r="A107" s="63">
        <v>3</v>
      </c>
      <c r="B107" s="456" t="s">
        <v>239</v>
      </c>
      <c r="C107" s="457"/>
      <c r="D107" s="457"/>
      <c r="E107" s="457"/>
      <c r="F107" s="458"/>
      <c r="G107" s="10" t="s">
        <v>62</v>
      </c>
      <c r="H107" s="15">
        <f>H105*H104</f>
        <v>-0.40851957469452077</v>
      </c>
      <c r="I107" s="12" t="s">
        <v>123</v>
      </c>
      <c r="J107" s="44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</row>
    <row r="108" spans="1:28" customFormat="1" ht="18.75" hidden="1" x14ac:dyDescent="0.35">
      <c r="A108" s="63">
        <v>3</v>
      </c>
      <c r="B108" s="456" t="s">
        <v>222</v>
      </c>
      <c r="C108" s="457"/>
      <c r="D108" s="457"/>
      <c r="E108" s="457"/>
      <c r="F108" s="458"/>
      <c r="G108" s="10" t="s">
        <v>64</v>
      </c>
      <c r="H108" s="27">
        <f>(3*H94*H102)/(PI()*H93*H74^3)</f>
        <v>1.0113953176455691E-3</v>
      </c>
      <c r="I108" s="12" t="s">
        <v>148</v>
      </c>
      <c r="J108" s="44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</row>
    <row r="109" spans="1:28" customFormat="1" ht="18.75" hidden="1" x14ac:dyDescent="0.35">
      <c r="A109" s="63">
        <v>3</v>
      </c>
      <c r="B109" s="456" t="s">
        <v>180</v>
      </c>
      <c r="C109" s="457"/>
      <c r="D109" s="457"/>
      <c r="E109" s="457"/>
      <c r="F109" s="458"/>
      <c r="G109" s="10" t="s">
        <v>181</v>
      </c>
      <c r="H109" s="27">
        <f>3*H96/(PI()*H95*H76^3)</f>
        <v>1.0408601333360126E-3</v>
      </c>
      <c r="I109" s="12" t="s">
        <v>148</v>
      </c>
      <c r="J109" s="44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</row>
    <row r="110" spans="1:28" customFormat="1" ht="16.5" hidden="1" thickBot="1" x14ac:dyDescent="0.3">
      <c r="A110" s="71">
        <v>3</v>
      </c>
      <c r="B110" s="523" t="s">
        <v>43</v>
      </c>
      <c r="C110" s="524"/>
      <c r="D110" s="524"/>
      <c r="E110" s="524"/>
      <c r="F110" s="525"/>
      <c r="G110" s="48" t="s">
        <v>42</v>
      </c>
      <c r="H110" s="49" t="str">
        <f>IF(0.2&lt;(H93/H74),IF(H76&gt;MAX(H89,H90*(0.1*(H90/H93))^(1/3)),IF(0.2&lt;(H95/H76),IF(5&gt;(H95/H76),"SPLNĚNA","NESPLNĚNA"),"NESPLNĚNA"),"NESPLNĚNA"),"NESPLNĚNA")</f>
        <v>SPLNĚNA</v>
      </c>
      <c r="I110" s="50" t="s">
        <v>124</v>
      </c>
      <c r="J110" s="216">
        <v>7</v>
      </c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</row>
    <row r="111" spans="1:28" x14ac:dyDescent="0.25">
      <c r="A111" s="101"/>
      <c r="B111" s="318"/>
      <c r="C111" s="318"/>
      <c r="D111" s="318"/>
      <c r="E111" s="318"/>
      <c r="F111" s="318"/>
      <c r="G111" s="318"/>
      <c r="H111" s="318"/>
      <c r="I111" s="318"/>
      <c r="J111" s="318"/>
    </row>
    <row r="112" spans="1:28" ht="21" x14ac:dyDescent="0.35">
      <c r="A112" s="526" t="s">
        <v>182</v>
      </c>
      <c r="B112" s="526"/>
      <c r="C112" s="26" t="s">
        <v>187</v>
      </c>
      <c r="D112" s="318"/>
      <c r="E112" s="527" t="s">
        <v>404</v>
      </c>
      <c r="F112" s="527"/>
      <c r="G112" s="527"/>
      <c r="H112" s="527"/>
      <c r="I112" s="527"/>
      <c r="J112" s="527"/>
    </row>
    <row r="113" spans="1:12" x14ac:dyDescent="0.25">
      <c r="A113" s="318"/>
      <c r="B113" s="101"/>
      <c r="C113" s="26" t="s">
        <v>188</v>
      </c>
      <c r="D113" s="520" t="s">
        <v>183</v>
      </c>
      <c r="E113" s="520"/>
      <c r="F113" s="520"/>
      <c r="G113" s="520"/>
      <c r="H113" s="520"/>
      <c r="I113" s="520"/>
      <c r="J113" s="520"/>
    </row>
    <row r="114" spans="1:12" x14ac:dyDescent="0.25">
      <c r="A114" s="318"/>
      <c r="B114" s="318"/>
      <c r="C114" s="26" t="s">
        <v>184</v>
      </c>
      <c r="D114" s="520" t="s">
        <v>403</v>
      </c>
      <c r="E114" s="520"/>
      <c r="F114" s="520"/>
      <c r="G114" s="520"/>
      <c r="H114" s="520"/>
      <c r="I114" s="520"/>
      <c r="J114" s="520"/>
    </row>
    <row r="115" spans="1:12" ht="18.75" x14ac:dyDescent="0.35">
      <c r="A115" s="318"/>
      <c r="B115" s="318"/>
      <c r="C115" s="26" t="s">
        <v>185</v>
      </c>
      <c r="D115" s="318"/>
      <c r="E115" s="521" t="s">
        <v>402</v>
      </c>
      <c r="F115" s="521"/>
      <c r="G115" s="521"/>
      <c r="H115" s="521"/>
      <c r="I115" s="521"/>
      <c r="J115" s="521"/>
    </row>
    <row r="116" spans="1:12" ht="18.75" x14ac:dyDescent="0.35">
      <c r="A116" s="318"/>
      <c r="B116" s="318"/>
      <c r="C116" s="26" t="s">
        <v>186</v>
      </c>
      <c r="D116" s="318"/>
      <c r="E116" s="522" t="s">
        <v>401</v>
      </c>
      <c r="F116" s="522"/>
      <c r="G116" s="522"/>
      <c r="H116" s="522"/>
      <c r="I116" s="522"/>
      <c r="J116" s="522"/>
    </row>
    <row r="117" spans="1:12" ht="18.75" x14ac:dyDescent="0.35">
      <c r="A117" s="318"/>
      <c r="B117" s="318"/>
      <c r="C117" s="26" t="s">
        <v>248</v>
      </c>
      <c r="D117" s="516" t="s">
        <v>249</v>
      </c>
      <c r="E117" s="516"/>
      <c r="F117" s="516"/>
      <c r="G117" s="516"/>
      <c r="H117" s="516"/>
      <c r="I117" s="516"/>
      <c r="J117" s="516"/>
    </row>
    <row r="118" spans="1:12" x14ac:dyDescent="0.25">
      <c r="C118" s="26" t="s">
        <v>338</v>
      </c>
      <c r="D118" s="516" t="s">
        <v>400</v>
      </c>
      <c r="E118" s="516"/>
      <c r="F118" s="516"/>
      <c r="G118" s="516"/>
      <c r="H118" s="516"/>
      <c r="I118" s="516"/>
      <c r="J118" s="516"/>
      <c r="K118" s="516"/>
      <c r="L118" s="516"/>
    </row>
  </sheetData>
  <sheetProtection password="CC21" sheet="1" objects="1" scenarios="1" autoFilter="0"/>
  <autoFilter ref="A2:A110">
    <filterColumn colId="0">
      <filters>
        <filter val="1"/>
      </filters>
    </filterColumn>
  </autoFilter>
  <mergeCells count="127">
    <mergeCell ref="B40:F40"/>
    <mergeCell ref="B41:F41"/>
    <mergeCell ref="B31:F31"/>
    <mergeCell ref="B32:F32"/>
    <mergeCell ref="B33:F33"/>
    <mergeCell ref="B34:F34"/>
    <mergeCell ref="B4:F4"/>
    <mergeCell ref="B5:F5"/>
    <mergeCell ref="B11:F11"/>
    <mergeCell ref="B19:F19"/>
    <mergeCell ref="B7:F7"/>
    <mergeCell ref="B6:F6"/>
    <mergeCell ref="B15:F15"/>
    <mergeCell ref="B16:F16"/>
    <mergeCell ref="B9:F9"/>
    <mergeCell ref="B8:F8"/>
    <mergeCell ref="B12:F12"/>
    <mergeCell ref="B13:F13"/>
    <mergeCell ref="B14:F14"/>
    <mergeCell ref="B17:F17"/>
    <mergeCell ref="B18:F18"/>
    <mergeCell ref="B10:F10"/>
    <mergeCell ref="B20:F20"/>
    <mergeCell ref="B39:F39"/>
    <mergeCell ref="A1:J1"/>
    <mergeCell ref="B2:F2"/>
    <mergeCell ref="B3:J3"/>
    <mergeCell ref="B23:G23"/>
    <mergeCell ref="B44:J44"/>
    <mergeCell ref="B59:F59"/>
    <mergeCell ref="B60:F60"/>
    <mergeCell ref="B53:F53"/>
    <mergeCell ref="B54:F54"/>
    <mergeCell ref="B55:F55"/>
    <mergeCell ref="B56:F56"/>
    <mergeCell ref="B57:F57"/>
    <mergeCell ref="B58:F58"/>
    <mergeCell ref="B52:F52"/>
    <mergeCell ref="B42:F42"/>
    <mergeCell ref="B43:F43"/>
    <mergeCell ref="B45:F45"/>
    <mergeCell ref="B46:F46"/>
    <mergeCell ref="B47:F47"/>
    <mergeCell ref="B48:F48"/>
    <mergeCell ref="B50:F50"/>
    <mergeCell ref="B51:F51"/>
    <mergeCell ref="B30:F30"/>
    <mergeCell ref="B35:F35"/>
    <mergeCell ref="B36:F36"/>
    <mergeCell ref="B37:F37"/>
    <mergeCell ref="B38:F38"/>
    <mergeCell ref="B21:F21"/>
    <mergeCell ref="B22:F22"/>
    <mergeCell ref="B24:F24"/>
    <mergeCell ref="B25:F25"/>
    <mergeCell ref="B26:F26"/>
    <mergeCell ref="B27:F27"/>
    <mergeCell ref="B28:F28"/>
    <mergeCell ref="B29:F29"/>
    <mergeCell ref="B49:F49"/>
    <mergeCell ref="B76:F76"/>
    <mergeCell ref="B78:F78"/>
    <mergeCell ref="B79:F79"/>
    <mergeCell ref="B80:F80"/>
    <mergeCell ref="B81:F81"/>
    <mergeCell ref="B71:J71"/>
    <mergeCell ref="B72:F72"/>
    <mergeCell ref="B73:F73"/>
    <mergeCell ref="B74:F74"/>
    <mergeCell ref="B75:F75"/>
    <mergeCell ref="B77:F77"/>
    <mergeCell ref="B66:F66"/>
    <mergeCell ref="B67:F67"/>
    <mergeCell ref="B68:F68"/>
    <mergeCell ref="B69:F69"/>
    <mergeCell ref="B70:F70"/>
    <mergeCell ref="B61:F61"/>
    <mergeCell ref="B62:F62"/>
    <mergeCell ref="B63:F63"/>
    <mergeCell ref="B64:F64"/>
    <mergeCell ref="B65:F65"/>
    <mergeCell ref="B87:F87"/>
    <mergeCell ref="B88:F88"/>
    <mergeCell ref="B89:F89"/>
    <mergeCell ref="B90:F90"/>
    <mergeCell ref="B91:F91"/>
    <mergeCell ref="B82:F82"/>
    <mergeCell ref="B83:F83"/>
    <mergeCell ref="B84:F84"/>
    <mergeCell ref="B85:F85"/>
    <mergeCell ref="B86:F86"/>
    <mergeCell ref="B105:F105"/>
    <mergeCell ref="B106:F106"/>
    <mergeCell ref="B97:F97"/>
    <mergeCell ref="B98:F98"/>
    <mergeCell ref="B99:F99"/>
    <mergeCell ref="B100:F100"/>
    <mergeCell ref="B101:F101"/>
    <mergeCell ref="B92:F92"/>
    <mergeCell ref="B93:F93"/>
    <mergeCell ref="B94:F94"/>
    <mergeCell ref="B95:F95"/>
    <mergeCell ref="B96:F96"/>
    <mergeCell ref="D117:J117"/>
    <mergeCell ref="D118:L118"/>
    <mergeCell ref="M4:S4"/>
    <mergeCell ref="U4:AB4"/>
    <mergeCell ref="M17:S17"/>
    <mergeCell ref="U18:X18"/>
    <mergeCell ref="D113:J113"/>
    <mergeCell ref="D114:J114"/>
    <mergeCell ref="E115:J115"/>
    <mergeCell ref="E116:J116"/>
    <mergeCell ref="M30:S30"/>
    <mergeCell ref="U30:X30"/>
    <mergeCell ref="M45:Q45"/>
    <mergeCell ref="M72:S72"/>
    <mergeCell ref="M87:P87"/>
    <mergeCell ref="B107:F107"/>
    <mergeCell ref="B108:F108"/>
    <mergeCell ref="B109:F109"/>
    <mergeCell ref="B110:F110"/>
    <mergeCell ref="A112:B112"/>
    <mergeCell ref="E112:J112"/>
    <mergeCell ref="B102:F102"/>
    <mergeCell ref="B103:F103"/>
    <mergeCell ref="B104:F104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J27"/>
  <sheetViews>
    <sheetView showGridLines="0" workbookViewId="0">
      <selection activeCell="G8" sqref="G8"/>
    </sheetView>
  </sheetViews>
  <sheetFormatPr defaultRowHeight="15.75" x14ac:dyDescent="0.25"/>
  <cols>
    <col min="1" max="6" width="9" style="316"/>
    <col min="7" max="7" width="10.375" style="316" bestFit="1" customWidth="1"/>
    <col min="8" max="8" width="9" style="316"/>
    <col min="9" max="9" width="9.875" style="316" customWidth="1"/>
    <col min="10" max="16384" width="9" style="316"/>
  </cols>
  <sheetData>
    <row r="1" spans="1:10" ht="39" customHeight="1" thickTop="1" thickBot="1" x14ac:dyDescent="0.3">
      <c r="A1" s="541" t="s">
        <v>112</v>
      </c>
      <c r="B1" s="542"/>
      <c r="C1" s="542"/>
      <c r="D1" s="542"/>
      <c r="E1" s="542"/>
      <c r="F1" s="542"/>
      <c r="G1" s="542"/>
      <c r="H1" s="542"/>
      <c r="I1" s="543"/>
    </row>
    <row r="2" spans="1:10" ht="32.25" customHeight="1" thickTop="1" thickBot="1" x14ac:dyDescent="0.3">
      <c r="A2" s="549" t="s">
        <v>1</v>
      </c>
      <c r="B2" s="550"/>
      <c r="C2" s="550"/>
      <c r="D2" s="550"/>
      <c r="E2" s="551"/>
      <c r="F2" s="72" t="s">
        <v>2</v>
      </c>
      <c r="G2" s="73" t="s">
        <v>3</v>
      </c>
      <c r="H2" s="74" t="s">
        <v>120</v>
      </c>
      <c r="I2" s="75" t="s">
        <v>137</v>
      </c>
      <c r="J2" s="24"/>
    </row>
    <row r="3" spans="1:10" ht="19.5" thickTop="1" x14ac:dyDescent="0.35">
      <c r="A3" s="553" t="s">
        <v>111</v>
      </c>
      <c r="B3" s="554"/>
      <c r="C3" s="554"/>
      <c r="D3" s="554"/>
      <c r="E3" s="555"/>
      <c r="F3" s="76" t="s">
        <v>71</v>
      </c>
      <c r="G3" s="404">
        <v>24</v>
      </c>
      <c r="H3" s="79" t="s">
        <v>123</v>
      </c>
      <c r="I3" s="80"/>
    </row>
    <row r="4" spans="1:10" ht="18.75" x14ac:dyDescent="0.35">
      <c r="A4" s="556" t="s">
        <v>78</v>
      </c>
      <c r="B4" s="557"/>
      <c r="C4" s="557"/>
      <c r="D4" s="557"/>
      <c r="E4" s="558"/>
      <c r="F4" s="77" t="s">
        <v>79</v>
      </c>
      <c r="G4" s="405">
        <v>24</v>
      </c>
      <c r="H4" s="81" t="s">
        <v>123</v>
      </c>
      <c r="I4" s="82">
        <v>1</v>
      </c>
    </row>
    <row r="5" spans="1:10" ht="18.75" x14ac:dyDescent="0.35">
      <c r="A5" s="544" t="s">
        <v>72</v>
      </c>
      <c r="B5" s="545"/>
      <c r="C5" s="545"/>
      <c r="D5" s="545"/>
      <c r="E5" s="545"/>
      <c r="F5" s="10" t="s">
        <v>73</v>
      </c>
      <c r="G5" s="406">
        <v>3</v>
      </c>
      <c r="H5" s="12" t="s">
        <v>123</v>
      </c>
      <c r="I5" s="83"/>
    </row>
    <row r="6" spans="1:10" ht="18.75" x14ac:dyDescent="0.35">
      <c r="A6" s="544" t="s">
        <v>81</v>
      </c>
      <c r="B6" s="545"/>
      <c r="C6" s="545"/>
      <c r="D6" s="545"/>
      <c r="E6" s="546"/>
      <c r="F6" s="10" t="s">
        <v>83</v>
      </c>
      <c r="G6" s="406">
        <v>0</v>
      </c>
      <c r="H6" s="12" t="s">
        <v>123</v>
      </c>
      <c r="I6" s="83">
        <v>2</v>
      </c>
    </row>
    <row r="7" spans="1:10" ht="18.75" x14ac:dyDescent="0.35">
      <c r="A7" s="544" t="s">
        <v>82</v>
      </c>
      <c r="B7" s="545"/>
      <c r="C7" s="545"/>
      <c r="D7" s="545"/>
      <c r="E7" s="546"/>
      <c r="F7" s="10" t="s">
        <v>84</v>
      </c>
      <c r="G7" s="406">
        <v>70</v>
      </c>
      <c r="H7" s="12" t="s">
        <v>123</v>
      </c>
      <c r="I7" s="83">
        <v>3</v>
      </c>
    </row>
    <row r="8" spans="1:10" ht="18.75" x14ac:dyDescent="0.35">
      <c r="A8" s="552" t="s">
        <v>32</v>
      </c>
      <c r="B8" s="467"/>
      <c r="C8" s="467"/>
      <c r="D8" s="467"/>
      <c r="E8" s="468"/>
      <c r="F8" s="9" t="s">
        <v>33</v>
      </c>
      <c r="G8" s="407">
        <v>8</v>
      </c>
      <c r="H8" s="11" t="s">
        <v>124</v>
      </c>
      <c r="I8" s="84"/>
    </row>
    <row r="9" spans="1:10" ht="18.75" x14ac:dyDescent="0.35">
      <c r="A9" s="544" t="s">
        <v>339</v>
      </c>
      <c r="B9" s="545"/>
      <c r="C9" s="545"/>
      <c r="D9" s="545"/>
      <c r="E9" s="546"/>
      <c r="F9" s="10" t="s">
        <v>129</v>
      </c>
      <c r="G9" s="406">
        <v>300</v>
      </c>
      <c r="H9" s="12" t="s">
        <v>101</v>
      </c>
      <c r="I9" s="83">
        <v>4</v>
      </c>
    </row>
    <row r="10" spans="1:10" x14ac:dyDescent="0.25">
      <c r="A10" s="320" t="s">
        <v>378</v>
      </c>
      <c r="B10" s="321"/>
      <c r="C10" s="321"/>
      <c r="D10" s="321"/>
      <c r="E10" s="322"/>
      <c r="F10" s="10" t="s">
        <v>379</v>
      </c>
      <c r="G10" s="408">
        <v>12</v>
      </c>
      <c r="H10" s="12" t="s">
        <v>380</v>
      </c>
      <c r="I10" s="83"/>
    </row>
    <row r="11" spans="1:10" ht="18.75" x14ac:dyDescent="0.35">
      <c r="A11" s="552" t="s">
        <v>371</v>
      </c>
      <c r="B11" s="467"/>
      <c r="C11" s="467"/>
      <c r="D11" s="467"/>
      <c r="E11" s="468"/>
      <c r="F11" s="103" t="s">
        <v>372</v>
      </c>
      <c r="G11" s="408">
        <v>0.2</v>
      </c>
      <c r="H11" s="11" t="s">
        <v>124</v>
      </c>
      <c r="I11" s="84"/>
    </row>
    <row r="12" spans="1:10" ht="18.75" x14ac:dyDescent="0.35">
      <c r="A12" s="552" t="s">
        <v>325</v>
      </c>
      <c r="B12" s="467"/>
      <c r="C12" s="467"/>
      <c r="D12" s="467"/>
      <c r="E12" s="468"/>
      <c r="F12" s="103" t="s">
        <v>340</v>
      </c>
      <c r="G12" s="408">
        <v>0</v>
      </c>
      <c r="H12" s="11" t="s">
        <v>124</v>
      </c>
      <c r="I12" s="82">
        <v>5</v>
      </c>
    </row>
    <row r="13" spans="1:10" ht="19.5" thickBot="1" x14ac:dyDescent="0.4">
      <c r="A13" s="562" t="s">
        <v>325</v>
      </c>
      <c r="B13" s="464"/>
      <c r="C13" s="464"/>
      <c r="D13" s="464"/>
      <c r="E13" s="465"/>
      <c r="F13" s="148" t="s">
        <v>326</v>
      </c>
      <c r="G13" s="409">
        <v>0</v>
      </c>
      <c r="H13" s="13" t="s">
        <v>124</v>
      </c>
      <c r="I13" s="85">
        <v>5</v>
      </c>
    </row>
    <row r="14" spans="1:10" ht="18.75" x14ac:dyDescent="0.35">
      <c r="A14" s="547" t="s">
        <v>74</v>
      </c>
      <c r="B14" s="548"/>
      <c r="C14" s="548"/>
      <c r="D14" s="548"/>
      <c r="E14" s="548"/>
      <c r="F14" s="9" t="s">
        <v>75</v>
      </c>
      <c r="G14" s="89">
        <f>G3-(0.938*G5)</f>
        <v>21.186</v>
      </c>
      <c r="H14" s="11" t="s">
        <v>123</v>
      </c>
      <c r="I14" s="86"/>
    </row>
    <row r="15" spans="1:10" ht="18.75" x14ac:dyDescent="0.35">
      <c r="A15" s="544" t="s">
        <v>76</v>
      </c>
      <c r="B15" s="545"/>
      <c r="C15" s="545"/>
      <c r="D15" s="545"/>
      <c r="E15" s="546"/>
      <c r="F15" s="10" t="s">
        <v>77</v>
      </c>
      <c r="G15" s="94">
        <f xml:space="preserve"> (MIN(G4,G14))^2*G8*PI()/4</f>
        <v>2820.1863371647714</v>
      </c>
      <c r="H15" s="12" t="s">
        <v>189</v>
      </c>
      <c r="I15" s="83"/>
    </row>
    <row r="16" spans="1:10" ht="18.75" x14ac:dyDescent="0.35">
      <c r="A16" s="544" t="s">
        <v>85</v>
      </c>
      <c r="B16" s="545"/>
      <c r="C16" s="545"/>
      <c r="D16" s="545"/>
      <c r="E16" s="546"/>
      <c r="F16" s="10" t="s">
        <v>86</v>
      </c>
      <c r="G16" s="90">
        <f>G7-G6</f>
        <v>70</v>
      </c>
      <c r="H16" s="12" t="s">
        <v>123</v>
      </c>
      <c r="I16" s="83"/>
    </row>
    <row r="17" spans="1:9" ht="18.75" x14ac:dyDescent="0.35">
      <c r="A17" s="552" t="s">
        <v>327</v>
      </c>
      <c r="B17" s="467"/>
      <c r="C17" s="467"/>
      <c r="D17" s="467"/>
      <c r="E17" s="468"/>
      <c r="F17" s="103" t="s">
        <v>328</v>
      </c>
      <c r="G17" s="89">
        <f>G12*(1+3/SQRT(G8))/4</f>
        <v>0</v>
      </c>
      <c r="H17" s="11" t="s">
        <v>124</v>
      </c>
      <c r="I17" s="83"/>
    </row>
    <row r="18" spans="1:9" ht="18.75" x14ac:dyDescent="0.35">
      <c r="A18" s="552" t="s">
        <v>327</v>
      </c>
      <c r="B18" s="467"/>
      <c r="C18" s="467"/>
      <c r="D18" s="467"/>
      <c r="E18" s="468"/>
      <c r="F18" s="103" t="s">
        <v>329</v>
      </c>
      <c r="G18" s="89">
        <f>G13*(1+3/SQRT(G8))/4</f>
        <v>0</v>
      </c>
      <c r="H18" s="11" t="s">
        <v>124</v>
      </c>
      <c r="I18" s="83"/>
    </row>
    <row r="19" spans="1:9" ht="18.75" x14ac:dyDescent="0.35">
      <c r="A19" s="552" t="s">
        <v>376</v>
      </c>
      <c r="B19" s="467"/>
      <c r="C19" s="467"/>
      <c r="D19" s="467"/>
      <c r="E19" s="468"/>
      <c r="F19" s="103" t="s">
        <v>375</v>
      </c>
      <c r="G19" s="89">
        <f>0.159*G5+0.519*G3*G11</f>
        <v>2.9681999999999999</v>
      </c>
      <c r="H19" s="11" t="s">
        <v>124</v>
      </c>
      <c r="I19" s="83"/>
    </row>
    <row r="20" spans="1:9" x14ac:dyDescent="0.25">
      <c r="A20" s="552" t="s">
        <v>381</v>
      </c>
      <c r="B20" s="467"/>
      <c r="C20" s="467"/>
      <c r="D20" s="467"/>
      <c r="E20" s="468"/>
      <c r="F20" s="103" t="s">
        <v>382</v>
      </c>
      <c r="G20" s="89">
        <f>IF(G10&lt;10,1.3333,1)</f>
        <v>1</v>
      </c>
      <c r="H20" s="11" t="s">
        <v>124</v>
      </c>
      <c r="I20" s="83"/>
    </row>
    <row r="21" spans="1:9" ht="19.5" thickBot="1" x14ac:dyDescent="0.4">
      <c r="A21" s="538" t="s">
        <v>95</v>
      </c>
      <c r="B21" s="539"/>
      <c r="C21" s="539"/>
      <c r="D21" s="539"/>
      <c r="E21" s="540"/>
      <c r="F21" s="78" t="s">
        <v>80</v>
      </c>
      <c r="G21" s="91">
        <f>4/(PI()*G8)*(G6/G4^2+G16/G14^2+0.8/G3)</f>
        <v>3.0126219704125906E-2</v>
      </c>
      <c r="H21" s="87" t="s">
        <v>190</v>
      </c>
      <c r="I21" s="88"/>
    </row>
    <row r="22" spans="1:9" ht="16.5" thickTop="1" x14ac:dyDescent="0.25"/>
    <row r="23" spans="1:9" ht="21" x14ac:dyDescent="0.25">
      <c r="A23" s="559" t="s">
        <v>182</v>
      </c>
      <c r="B23" s="560"/>
      <c r="C23" s="52" t="s">
        <v>187</v>
      </c>
      <c r="D23" s="561" t="s">
        <v>405</v>
      </c>
      <c r="E23" s="561"/>
      <c r="F23" s="561"/>
    </row>
    <row r="24" spans="1:9" x14ac:dyDescent="0.25">
      <c r="C24" s="52" t="s">
        <v>188</v>
      </c>
      <c r="D24" s="537" t="s">
        <v>406</v>
      </c>
      <c r="E24" s="537"/>
      <c r="F24" s="537"/>
    </row>
    <row r="25" spans="1:9" ht="18.75" x14ac:dyDescent="0.35">
      <c r="B25" s="3"/>
      <c r="C25" s="51" t="s">
        <v>184</v>
      </c>
      <c r="D25" s="316" t="s">
        <v>452</v>
      </c>
    </row>
    <row r="26" spans="1:9" x14ac:dyDescent="0.25">
      <c r="C26" s="51" t="s">
        <v>185</v>
      </c>
      <c r="D26" s="522" t="s">
        <v>407</v>
      </c>
      <c r="E26" s="522"/>
      <c r="F26" s="522"/>
      <c r="G26" s="522"/>
      <c r="H26" s="522"/>
      <c r="I26" s="522"/>
    </row>
    <row r="27" spans="1:9" x14ac:dyDescent="0.25">
      <c r="C27" s="51" t="s">
        <v>186</v>
      </c>
      <c r="D27" s="316" t="s">
        <v>408</v>
      </c>
    </row>
  </sheetData>
  <sheetProtection password="CC21" sheet="1" objects="1" scenarios="1"/>
  <mergeCells count="24">
    <mergeCell ref="A11:E11"/>
    <mergeCell ref="A19:E19"/>
    <mergeCell ref="A20:E20"/>
    <mergeCell ref="A18:E18"/>
    <mergeCell ref="A23:B23"/>
    <mergeCell ref="D23:F23"/>
    <mergeCell ref="A13:E13"/>
    <mergeCell ref="A17:E17"/>
    <mergeCell ref="D24:F24"/>
    <mergeCell ref="A21:E21"/>
    <mergeCell ref="D26:I26"/>
    <mergeCell ref="A1:I1"/>
    <mergeCell ref="A9:E9"/>
    <mergeCell ref="A14:E14"/>
    <mergeCell ref="A15:E15"/>
    <mergeCell ref="A16:E16"/>
    <mergeCell ref="A2:E2"/>
    <mergeCell ref="A8:E8"/>
    <mergeCell ref="A3:E3"/>
    <mergeCell ref="A4:E4"/>
    <mergeCell ref="A5:E5"/>
    <mergeCell ref="A6:E6"/>
    <mergeCell ref="A7:E7"/>
    <mergeCell ref="A12:E1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AS151"/>
  <sheetViews>
    <sheetView showGridLines="0" tabSelected="1" zoomScaleNormal="100" workbookViewId="0">
      <selection activeCell="G5" sqref="G5"/>
    </sheetView>
  </sheetViews>
  <sheetFormatPr defaultRowHeight="15.75" x14ac:dyDescent="0.25"/>
  <cols>
    <col min="1" max="1" width="18.75" style="316" customWidth="1"/>
    <col min="2" max="2" width="19.25" style="316" customWidth="1"/>
    <col min="3" max="3" width="7.125" style="316" customWidth="1"/>
    <col min="4" max="6" width="12.5" style="316" customWidth="1"/>
    <col min="7" max="7" width="12.25" style="316" customWidth="1"/>
    <col min="8" max="10" width="12.5" style="316" customWidth="1"/>
    <col min="11" max="11" width="9" style="316"/>
    <col min="12" max="12" width="6.375" style="316" customWidth="1"/>
    <col min="13" max="15" width="9" style="316"/>
    <col min="16" max="25" width="9.875" style="316" bestFit="1" customWidth="1"/>
    <col min="26" max="27" width="9" style="316"/>
    <col min="28" max="28" width="11.75" style="316" customWidth="1"/>
    <col min="29" max="29" width="11.125" style="316" bestFit="1" customWidth="1"/>
    <col min="30" max="30" width="9" style="316"/>
    <col min="31" max="31" width="10.125" style="316" customWidth="1"/>
    <col min="32" max="16384" width="9" style="316"/>
  </cols>
  <sheetData>
    <row r="1" spans="1:33" ht="16.5" thickBot="1" x14ac:dyDescent="0.3"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</row>
    <row r="2" spans="1:33" ht="39" customHeight="1" thickTop="1" thickBot="1" x14ac:dyDescent="0.3">
      <c r="A2" s="681" t="s">
        <v>96</v>
      </c>
      <c r="B2" s="682"/>
      <c r="C2" s="682"/>
      <c r="D2" s="682"/>
      <c r="E2" s="682"/>
      <c r="F2" s="682"/>
      <c r="G2" s="682"/>
      <c r="H2" s="682"/>
      <c r="I2" s="683"/>
      <c r="J2" s="98"/>
      <c r="K2" s="602" t="s">
        <v>417</v>
      </c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3"/>
      <c r="W2" s="603"/>
      <c r="X2" s="603"/>
      <c r="Y2" s="603"/>
      <c r="Z2" s="604"/>
      <c r="AA2" s="245"/>
    </row>
    <row r="3" spans="1:33" ht="20.25" customHeight="1" thickTop="1" thickBot="1" x14ac:dyDescent="0.4">
      <c r="A3" s="686" t="s">
        <v>336</v>
      </c>
      <c r="B3" s="687"/>
      <c r="C3" s="688"/>
      <c r="D3" s="160" t="s">
        <v>100</v>
      </c>
      <c r="E3" s="161">
        <v>1</v>
      </c>
      <c r="F3" s="161">
        <v>2</v>
      </c>
      <c r="G3" s="161">
        <v>3</v>
      </c>
      <c r="H3" s="161" t="s">
        <v>120</v>
      </c>
      <c r="I3" s="162" t="s">
        <v>192</v>
      </c>
      <c r="J3" s="247"/>
      <c r="K3" s="588" t="s">
        <v>416</v>
      </c>
      <c r="L3" s="589"/>
      <c r="M3" s="589"/>
      <c r="N3" s="590"/>
      <c r="O3" s="250" t="s">
        <v>423</v>
      </c>
      <c r="P3" s="410">
        <v>20</v>
      </c>
      <c r="Q3" s="585"/>
      <c r="R3" s="586"/>
      <c r="S3" s="586"/>
      <c r="T3" s="586"/>
      <c r="U3" s="586"/>
      <c r="V3" s="586"/>
      <c r="W3" s="586"/>
      <c r="X3" s="586"/>
      <c r="Y3" s="587"/>
      <c r="Z3" s="270" t="s">
        <v>127</v>
      </c>
      <c r="AA3" s="631" t="s">
        <v>429</v>
      </c>
      <c r="AB3" s="631"/>
      <c r="AC3" s="632"/>
      <c r="AD3" s="250" t="s">
        <v>430</v>
      </c>
      <c r="AE3" s="278">
        <f xml:space="preserve"> (10*SUM(P5*P6,Q5*Q6,R5*R6,S5*S6,T5*T6,U5*U6,V5*V6,W5*W6,X5*X6,Y5*Y6)-SUM(P5:Y5)*SUM(P6:Y6))/(10*SUMSQ(P5:Y5)-(SUM(P5:Y5))^2)</f>
        <v>21.640243902439025</v>
      </c>
      <c r="AF3" s="256" t="s">
        <v>124</v>
      </c>
    </row>
    <row r="4" spans="1:33" ht="20.25" thickTop="1" thickBot="1" x14ac:dyDescent="0.4">
      <c r="A4" s="669" t="s">
        <v>99</v>
      </c>
      <c r="B4" s="670"/>
      <c r="C4" s="9" t="s">
        <v>105</v>
      </c>
      <c r="D4" s="150">
        <v>0</v>
      </c>
      <c r="E4" s="422">
        <v>1</v>
      </c>
      <c r="F4" s="423">
        <v>1</v>
      </c>
      <c r="G4" s="424">
        <v>1</v>
      </c>
      <c r="H4" s="151" t="s">
        <v>101</v>
      </c>
      <c r="I4" s="156"/>
      <c r="J4" s="248"/>
      <c r="K4" s="575" t="s">
        <v>420</v>
      </c>
      <c r="L4" s="576"/>
      <c r="M4" s="576"/>
      <c r="N4" s="577"/>
      <c r="O4" s="23" t="s">
        <v>422</v>
      </c>
      <c r="P4" s="252">
        <v>1</v>
      </c>
      <c r="Q4" s="252">
        <v>2</v>
      </c>
      <c r="R4" s="252">
        <v>3</v>
      </c>
      <c r="S4" s="252">
        <v>4</v>
      </c>
      <c r="T4" s="252">
        <v>5</v>
      </c>
      <c r="U4" s="252">
        <v>6</v>
      </c>
      <c r="V4" s="252">
        <v>7</v>
      </c>
      <c r="W4" s="252">
        <v>8</v>
      </c>
      <c r="X4" s="252">
        <v>9</v>
      </c>
      <c r="Y4" s="252">
        <v>10</v>
      </c>
      <c r="Z4" s="267" t="s">
        <v>124</v>
      </c>
      <c r="AA4" s="628" t="s">
        <v>429</v>
      </c>
      <c r="AB4" s="629"/>
      <c r="AC4" s="630"/>
      <c r="AD4" s="23" t="s">
        <v>431</v>
      </c>
      <c r="AE4" s="276">
        <f xml:space="preserve"> (SUMSQ(P5:Y5)*SUM(P6:Y6)-SUM(P5:Y5)*SUM(P5*P6,Q5*Q6,R5*R6,S5*S6,T5*T6,U5*U6,V5*V6,W5*W6,X5*X6,Y5*Y6))/(10*SUMSQ(P5:Y5)-SUM(P5:Y5)^2)</f>
        <v>-61.341463414634148</v>
      </c>
      <c r="AF4" s="260" t="s">
        <v>124</v>
      </c>
    </row>
    <row r="5" spans="1:33" ht="18.75" x14ac:dyDescent="0.35">
      <c r="A5" s="671" t="s">
        <v>97</v>
      </c>
      <c r="B5" s="546"/>
      <c r="C5" s="10" t="s">
        <v>103</v>
      </c>
      <c r="D5" s="425">
        <v>0</v>
      </c>
      <c r="E5" s="426">
        <v>0</v>
      </c>
      <c r="F5" s="427">
        <v>0</v>
      </c>
      <c r="G5" s="428">
        <v>0</v>
      </c>
      <c r="H5" s="152" t="s">
        <v>102</v>
      </c>
      <c r="I5" s="154">
        <v>1</v>
      </c>
      <c r="J5" s="249"/>
      <c r="K5" s="580" t="s">
        <v>418</v>
      </c>
      <c r="L5" s="581"/>
      <c r="M5" s="581"/>
      <c r="N5" s="582"/>
      <c r="O5" s="103" t="s">
        <v>421</v>
      </c>
      <c r="P5" s="439">
        <v>20</v>
      </c>
      <c r="Q5" s="443">
        <v>60</v>
      </c>
      <c r="R5" s="443">
        <v>100</v>
      </c>
      <c r="S5" s="443">
        <v>100</v>
      </c>
      <c r="T5" s="443">
        <v>100</v>
      </c>
      <c r="U5" s="443">
        <v>100</v>
      </c>
      <c r="V5" s="443">
        <v>100</v>
      </c>
      <c r="W5" s="443">
        <v>100</v>
      </c>
      <c r="X5" s="443">
        <v>100</v>
      </c>
      <c r="Y5" s="443">
        <v>100</v>
      </c>
      <c r="Z5" s="268" t="s">
        <v>101</v>
      </c>
      <c r="AA5" s="620" t="s">
        <v>336</v>
      </c>
      <c r="AB5" s="621"/>
      <c r="AC5" s="262">
        <v>0</v>
      </c>
      <c r="AD5" s="262">
        <v>1</v>
      </c>
      <c r="AE5" s="262">
        <v>2</v>
      </c>
      <c r="AF5" s="263">
        <v>3</v>
      </c>
    </row>
    <row r="6" spans="1:33" ht="19.5" thickBot="1" x14ac:dyDescent="0.4">
      <c r="A6" s="672" t="s">
        <v>98</v>
      </c>
      <c r="B6" s="673"/>
      <c r="C6" s="23" t="s">
        <v>104</v>
      </c>
      <c r="D6" s="429">
        <v>0</v>
      </c>
      <c r="E6" s="430">
        <v>0</v>
      </c>
      <c r="F6" s="431">
        <v>0</v>
      </c>
      <c r="G6" s="432">
        <v>0</v>
      </c>
      <c r="H6" s="153" t="s">
        <v>191</v>
      </c>
      <c r="I6" s="155">
        <v>2</v>
      </c>
      <c r="J6" s="248"/>
      <c r="K6" s="563" t="s">
        <v>419</v>
      </c>
      <c r="L6" s="564"/>
      <c r="M6" s="564"/>
      <c r="N6" s="565"/>
      <c r="O6" s="251" t="s">
        <v>453</v>
      </c>
      <c r="P6" s="440">
        <v>350</v>
      </c>
      <c r="Q6" s="440">
        <v>1280</v>
      </c>
      <c r="R6" s="440">
        <v>2100</v>
      </c>
      <c r="S6" s="440">
        <v>2100</v>
      </c>
      <c r="T6" s="440">
        <v>2100</v>
      </c>
      <c r="U6" s="440">
        <v>2100</v>
      </c>
      <c r="V6" s="440">
        <v>2100</v>
      </c>
      <c r="W6" s="440">
        <v>2100</v>
      </c>
      <c r="X6" s="440">
        <v>2100</v>
      </c>
      <c r="Y6" s="440">
        <v>2100</v>
      </c>
      <c r="Z6" s="269" t="s">
        <v>101</v>
      </c>
      <c r="AA6" s="622" t="s">
        <v>455</v>
      </c>
      <c r="AB6" s="623"/>
      <c r="AC6" s="261">
        <f ca="1">$AE3*G122+$AE4</f>
        <v>2102.6829268292681</v>
      </c>
      <c r="AD6" s="261">
        <f ca="1">IF(H122&gt;G122,($AE3*H122+$AE4),AC6)</f>
        <v>2102.6829268292681</v>
      </c>
      <c r="AE6" s="261">
        <f ca="1">IF(I122&gt;MAX(H122,G122),$AE3*I122+$AE4,$AE3*MAX(H122,G122)+$AE4)</f>
        <v>2102.6829268292681</v>
      </c>
      <c r="AF6" s="258">
        <f ca="1">IF(J122&gt;MAX(I122,H122,G122),$AE3*J122+$AE4,$AE3*MAX(I122,H122,G122)+$AE4)</f>
        <v>2341.4905100459546</v>
      </c>
    </row>
    <row r="7" spans="1:33" ht="19.5" thickTop="1" x14ac:dyDescent="0.35">
      <c r="A7" s="669" t="s">
        <v>250</v>
      </c>
      <c r="B7" s="670"/>
      <c r="C7" s="9" t="s">
        <v>257</v>
      </c>
      <c r="D7" s="433">
        <v>20</v>
      </c>
      <c r="E7" s="422">
        <v>20</v>
      </c>
      <c r="F7" s="423">
        <v>20</v>
      </c>
      <c r="G7" s="424">
        <v>150</v>
      </c>
      <c r="H7" s="151" t="s">
        <v>127</v>
      </c>
      <c r="I7" s="156"/>
      <c r="J7" s="248"/>
      <c r="K7" s="570" t="s">
        <v>425</v>
      </c>
      <c r="L7" s="571"/>
      <c r="M7" s="571"/>
      <c r="N7" s="572"/>
      <c r="O7" s="9" t="s">
        <v>424</v>
      </c>
      <c r="P7" s="411">
        <v>350</v>
      </c>
      <c r="Q7" s="585"/>
      <c r="R7" s="586"/>
      <c r="S7" s="586"/>
      <c r="T7" s="586"/>
      <c r="U7" s="586"/>
      <c r="V7" s="586"/>
      <c r="W7" s="586"/>
      <c r="X7" s="586"/>
      <c r="Y7" s="587"/>
      <c r="Z7" s="268" t="s">
        <v>127</v>
      </c>
      <c r="AA7" s="573" t="s">
        <v>429</v>
      </c>
      <c r="AB7" s="573"/>
      <c r="AC7" s="574"/>
      <c r="AD7" s="77" t="s">
        <v>432</v>
      </c>
      <c r="AE7" s="277">
        <f xml:space="preserve"> (10*SUM(P9*P10,Q9*Q10,R9*R10,S9*S10,T9*T10,U9*U10,V9*V10,W9*W10,X9*X10,Y9*Y10)-SUM(P9:Y9)*SUM(P10:Y10))/(10*SUMSQ(P9:Y9)-(SUM(P9:Y9))^2)</f>
        <v>20.457317073170731</v>
      </c>
      <c r="AF7" s="257" t="s">
        <v>124</v>
      </c>
    </row>
    <row r="8" spans="1:33" ht="19.5" thickBot="1" x14ac:dyDescent="0.4">
      <c r="A8" s="671" t="s">
        <v>125</v>
      </c>
      <c r="B8" s="546"/>
      <c r="C8" s="10" t="s">
        <v>126</v>
      </c>
      <c r="D8" s="266">
        <f ca="1">(AC6+(AC10-AC6)*(D7-P3)/(P7-P3))</f>
        <v>2102.6829268292681</v>
      </c>
      <c r="E8" s="266">
        <f ca="1">(AD6+(AD10-AD6)*(E7-$P3)/($P7-$P3))</f>
        <v>2102.6829268292681</v>
      </c>
      <c r="F8" s="266">
        <f ca="1">(AE6+(AE10-AE6)*(F7-$P3)/($P7-$P3))</f>
        <v>2102.6829268292681</v>
      </c>
      <c r="G8" s="266">
        <f ca="1">(AF6+(AF10-AF6)*(G7-$P3)/($P7-$P3))</f>
        <v>2335.4832766780805</v>
      </c>
      <c r="H8" s="10" t="s">
        <v>101</v>
      </c>
      <c r="I8" s="154">
        <v>5</v>
      </c>
      <c r="J8" s="248"/>
      <c r="K8" s="575" t="s">
        <v>420</v>
      </c>
      <c r="L8" s="576"/>
      <c r="M8" s="576"/>
      <c r="N8" s="577"/>
      <c r="O8" s="23" t="s">
        <v>426</v>
      </c>
      <c r="P8" s="252">
        <v>1</v>
      </c>
      <c r="Q8" s="252">
        <v>2</v>
      </c>
      <c r="R8" s="252">
        <v>3</v>
      </c>
      <c r="S8" s="252">
        <v>4</v>
      </c>
      <c r="T8" s="253">
        <v>5</v>
      </c>
      <c r="U8" s="253">
        <v>6</v>
      </c>
      <c r="V8" s="253">
        <v>7</v>
      </c>
      <c r="W8" s="253">
        <v>8</v>
      </c>
      <c r="X8" s="253">
        <v>9</v>
      </c>
      <c r="Y8" s="252">
        <v>10</v>
      </c>
      <c r="Z8" s="267" t="s">
        <v>124</v>
      </c>
      <c r="AA8" s="626" t="s">
        <v>429</v>
      </c>
      <c r="AB8" s="626"/>
      <c r="AC8" s="627"/>
      <c r="AD8" s="23" t="s">
        <v>433</v>
      </c>
      <c r="AE8" s="276">
        <f xml:space="preserve"> (SUMSQ(P9:Y9)*SUM(P10:Y10)-SUM(P9:Y9)*SUM(P9*P10,Q9*Q10,R9*R10,S9*S10,T9*T10,U9*U10,V9*V10,W9*W10,X9*X10,Y9*Y10))/(10*SUMSQ(P9:Y9)-SUM(P9:Y9)^2)</f>
        <v>54.756097560975611</v>
      </c>
      <c r="AF8" s="259" t="s">
        <v>124</v>
      </c>
    </row>
    <row r="9" spans="1:33" ht="20.25" thickBot="1" x14ac:dyDescent="0.4">
      <c r="A9" s="672" t="s">
        <v>251</v>
      </c>
      <c r="B9" s="673"/>
      <c r="C9" s="148" t="s">
        <v>253</v>
      </c>
      <c r="D9" s="429">
        <v>16.399999999999999</v>
      </c>
      <c r="E9" s="431">
        <v>16.399999999999999</v>
      </c>
      <c r="F9" s="431">
        <v>16.399999999999999</v>
      </c>
      <c r="G9" s="429">
        <v>16.8</v>
      </c>
      <c r="H9" s="23" t="s">
        <v>252</v>
      </c>
      <c r="I9" s="155"/>
      <c r="J9" s="248"/>
      <c r="K9" s="580" t="s">
        <v>418</v>
      </c>
      <c r="L9" s="581"/>
      <c r="M9" s="581"/>
      <c r="N9" s="582"/>
      <c r="O9" s="103" t="s">
        <v>427</v>
      </c>
      <c r="P9" s="443">
        <v>20</v>
      </c>
      <c r="Q9" s="443">
        <v>60</v>
      </c>
      <c r="R9" s="443">
        <v>100</v>
      </c>
      <c r="S9" s="443">
        <v>100</v>
      </c>
      <c r="T9" s="443">
        <v>100</v>
      </c>
      <c r="U9" s="443">
        <v>100</v>
      </c>
      <c r="V9" s="443">
        <v>100</v>
      </c>
      <c r="W9" s="443">
        <v>100</v>
      </c>
      <c r="X9" s="443">
        <v>100</v>
      </c>
      <c r="Y9" s="443">
        <v>100</v>
      </c>
      <c r="Z9" s="268" t="s">
        <v>101</v>
      </c>
      <c r="AA9" s="620" t="s">
        <v>336</v>
      </c>
      <c r="AB9" s="621"/>
      <c r="AC9" s="264">
        <v>0</v>
      </c>
      <c r="AD9" s="262">
        <v>1</v>
      </c>
      <c r="AE9" s="262">
        <v>2</v>
      </c>
      <c r="AF9" s="263">
        <v>3</v>
      </c>
    </row>
    <row r="10" spans="1:33" ht="19.5" thickBot="1" x14ac:dyDescent="0.4">
      <c r="A10" s="669" t="s">
        <v>254</v>
      </c>
      <c r="B10" s="670"/>
      <c r="C10" s="149" t="s">
        <v>260</v>
      </c>
      <c r="D10" s="433">
        <v>20</v>
      </c>
      <c r="E10" s="423">
        <v>20</v>
      </c>
      <c r="F10" s="423">
        <v>20</v>
      </c>
      <c r="G10" s="424">
        <v>150</v>
      </c>
      <c r="H10" s="151" t="s">
        <v>127</v>
      </c>
      <c r="I10" s="156"/>
      <c r="J10" s="248"/>
      <c r="K10" s="563" t="s">
        <v>419</v>
      </c>
      <c r="L10" s="564"/>
      <c r="M10" s="564"/>
      <c r="N10" s="565"/>
      <c r="O10" s="251" t="s">
        <v>454</v>
      </c>
      <c r="P10" s="440">
        <v>460</v>
      </c>
      <c r="Q10" s="440">
        <v>1290</v>
      </c>
      <c r="R10" s="440">
        <v>2100</v>
      </c>
      <c r="S10" s="440">
        <v>2100</v>
      </c>
      <c r="T10" s="440">
        <v>2100</v>
      </c>
      <c r="U10" s="440">
        <v>2100</v>
      </c>
      <c r="V10" s="440">
        <v>2100</v>
      </c>
      <c r="W10" s="440">
        <v>2100</v>
      </c>
      <c r="X10" s="440">
        <v>2100</v>
      </c>
      <c r="Y10" s="440">
        <v>2100</v>
      </c>
      <c r="Z10" s="269" t="s">
        <v>101</v>
      </c>
      <c r="AA10" s="624" t="s">
        <v>456</v>
      </c>
      <c r="AB10" s="625"/>
      <c r="AC10" s="289">
        <f ca="1">$AE7*G122+$AE8</f>
        <v>2100.4878048780488</v>
      </c>
      <c r="AD10" s="290">
        <f ca="1">IF(H122&gt;G122,$AE7*H122+$AE8,AC10)</f>
        <v>2100.4878048780488</v>
      </c>
      <c r="AE10" s="290">
        <f ca="1">IF(I122&gt;MAX(H122,G122),$AE7*I122+$AE8,$AE7*MAX(H122,G122)+$AE8)</f>
        <v>2100.4878048780488</v>
      </c>
      <c r="AF10" s="291">
        <f ca="1">IF(J122&gt;MAX(I122,H122,G122),$AE7*J122+$AE8,$AE7*MAX(I122,H122,G122)+$AE8)</f>
        <v>2326.2413810099124</v>
      </c>
    </row>
    <row r="11" spans="1:33" ht="19.5" thickTop="1" x14ac:dyDescent="0.35">
      <c r="A11" s="669" t="s">
        <v>194</v>
      </c>
      <c r="B11" s="670"/>
      <c r="C11" s="9" t="s">
        <v>198</v>
      </c>
      <c r="D11" s="434">
        <v>200000</v>
      </c>
      <c r="E11" s="434">
        <v>200000</v>
      </c>
      <c r="F11" s="434">
        <v>200000</v>
      </c>
      <c r="G11" s="434">
        <v>195500</v>
      </c>
      <c r="H11" s="10" t="s">
        <v>101</v>
      </c>
      <c r="I11" s="156"/>
      <c r="J11" s="241"/>
      <c r="K11" s="569" t="s">
        <v>463</v>
      </c>
      <c r="L11" s="569"/>
      <c r="M11" s="569"/>
      <c r="N11" s="569"/>
      <c r="O11" s="569"/>
      <c r="P11" s="569"/>
    </row>
    <row r="12" spans="1:33" ht="20.25" thickBot="1" x14ac:dyDescent="0.4">
      <c r="A12" s="672" t="s">
        <v>251</v>
      </c>
      <c r="B12" s="673"/>
      <c r="C12" s="148" t="s">
        <v>258</v>
      </c>
      <c r="D12" s="431">
        <v>11.3</v>
      </c>
      <c r="E12" s="431">
        <v>11.3</v>
      </c>
      <c r="F12" s="431">
        <v>11.3</v>
      </c>
      <c r="G12" s="431">
        <v>11.3</v>
      </c>
      <c r="H12" s="153" t="s">
        <v>252</v>
      </c>
      <c r="I12" s="155"/>
      <c r="J12" s="241"/>
      <c r="K12" s="569" t="s">
        <v>473</v>
      </c>
      <c r="L12" s="569"/>
      <c r="M12" s="569"/>
      <c r="N12" s="569"/>
      <c r="O12" s="569"/>
      <c r="P12" s="569"/>
      <c r="Q12" s="569"/>
      <c r="R12" s="569"/>
      <c r="S12" s="569"/>
      <c r="T12" s="569"/>
    </row>
    <row r="13" spans="1:33" ht="18.75" x14ac:dyDescent="0.35">
      <c r="A13" s="669" t="s">
        <v>256</v>
      </c>
      <c r="B13" s="670"/>
      <c r="C13" s="149" t="s">
        <v>274</v>
      </c>
      <c r="D13" s="433">
        <v>0</v>
      </c>
      <c r="E13" s="423">
        <v>0</v>
      </c>
      <c r="F13" s="423">
        <v>0</v>
      </c>
      <c r="G13" s="424">
        <v>0</v>
      </c>
      <c r="H13" s="151" t="s">
        <v>127</v>
      </c>
      <c r="I13" s="157">
        <v>3</v>
      </c>
      <c r="J13" s="241"/>
      <c r="Q13" s="243"/>
      <c r="R13" s="244"/>
      <c r="S13" s="92"/>
      <c r="T13" s="101"/>
      <c r="W13" s="265"/>
    </row>
    <row r="14" spans="1:33" ht="18.75" customHeight="1" thickBot="1" x14ac:dyDescent="0.4">
      <c r="A14" s="323" t="s">
        <v>195</v>
      </c>
      <c r="B14" s="319"/>
      <c r="C14" s="9" t="s">
        <v>199</v>
      </c>
      <c r="D14" s="425">
        <v>0.01</v>
      </c>
      <c r="E14" s="427">
        <v>0.01</v>
      </c>
      <c r="F14" s="426">
        <v>0.01</v>
      </c>
      <c r="G14" s="426">
        <v>0.01</v>
      </c>
      <c r="H14" s="10" t="s">
        <v>101</v>
      </c>
      <c r="I14" s="229">
        <v>4</v>
      </c>
      <c r="J14" s="241"/>
      <c r="K14" s="246"/>
      <c r="L14" s="246"/>
      <c r="M14" s="246"/>
      <c r="N14" s="246"/>
      <c r="O14" s="246"/>
      <c r="P14" s="246"/>
      <c r="Q14" s="283"/>
      <c r="R14" s="284"/>
      <c r="S14" s="285"/>
      <c r="T14" s="286"/>
      <c r="U14" s="246"/>
      <c r="V14" s="246"/>
      <c r="W14" s="246"/>
      <c r="X14" s="246"/>
      <c r="Y14" s="246"/>
      <c r="Z14" s="246"/>
    </row>
    <row r="15" spans="1:33" ht="20.25" customHeight="1" thickTop="1" thickBot="1" x14ac:dyDescent="0.4">
      <c r="A15" s="672" t="s">
        <v>251</v>
      </c>
      <c r="B15" s="673"/>
      <c r="C15" s="148" t="s">
        <v>259</v>
      </c>
      <c r="D15" s="429">
        <v>0</v>
      </c>
      <c r="E15" s="431">
        <v>0</v>
      </c>
      <c r="F15" s="431">
        <v>0</v>
      </c>
      <c r="G15" s="432">
        <v>0</v>
      </c>
      <c r="H15" s="153" t="s">
        <v>252</v>
      </c>
      <c r="I15" s="155">
        <v>3</v>
      </c>
      <c r="J15" s="4"/>
      <c r="K15" s="595" t="s">
        <v>466</v>
      </c>
      <c r="L15" s="596"/>
      <c r="M15" s="596"/>
      <c r="N15" s="596"/>
      <c r="O15" s="596"/>
      <c r="P15" s="596"/>
      <c r="Q15" s="596"/>
      <c r="R15" s="596"/>
      <c r="S15" s="596"/>
      <c r="T15" s="596"/>
      <c r="U15" s="596"/>
      <c r="V15" s="596"/>
      <c r="W15" s="596"/>
      <c r="X15" s="596"/>
      <c r="Y15" s="596"/>
      <c r="Z15" s="597"/>
      <c r="AA15" s="282"/>
    </row>
    <row r="16" spans="1:33" ht="19.5" customHeight="1" thickBot="1" x14ac:dyDescent="0.4">
      <c r="A16" s="669" t="s">
        <v>255</v>
      </c>
      <c r="B16" s="670"/>
      <c r="C16" s="9" t="s">
        <v>261</v>
      </c>
      <c r="D16" s="433">
        <v>20</v>
      </c>
      <c r="E16" s="423">
        <v>20</v>
      </c>
      <c r="F16" s="423">
        <v>20</v>
      </c>
      <c r="G16" s="424">
        <v>150</v>
      </c>
      <c r="H16" s="151" t="s">
        <v>127</v>
      </c>
      <c r="I16" s="156"/>
      <c r="J16" s="4"/>
      <c r="K16" s="598"/>
      <c r="L16" s="599"/>
      <c r="M16" s="599"/>
      <c r="N16" s="599"/>
      <c r="O16" s="599"/>
      <c r="P16" s="599"/>
      <c r="Q16" s="599"/>
      <c r="R16" s="599"/>
      <c r="S16" s="599"/>
      <c r="T16" s="599"/>
      <c r="U16" s="599"/>
      <c r="V16" s="599"/>
      <c r="W16" s="599"/>
      <c r="X16" s="599"/>
      <c r="Y16" s="599"/>
      <c r="Z16" s="600"/>
      <c r="AA16" s="288"/>
      <c r="AB16" s="246"/>
      <c r="AC16" s="246"/>
      <c r="AD16" s="246"/>
      <c r="AE16" s="246"/>
      <c r="AF16" s="246"/>
      <c r="AG16" s="246"/>
    </row>
    <row r="17" spans="1:45" ht="20.25" thickTop="1" thickBot="1" x14ac:dyDescent="0.4">
      <c r="A17" s="671" t="s">
        <v>196</v>
      </c>
      <c r="B17" s="546"/>
      <c r="C17" s="10" t="s">
        <v>200</v>
      </c>
      <c r="D17" s="434">
        <v>200000</v>
      </c>
      <c r="E17" s="434">
        <v>200000</v>
      </c>
      <c r="F17" s="434">
        <v>200000</v>
      </c>
      <c r="G17" s="434">
        <v>195500</v>
      </c>
      <c r="H17" s="10" t="s">
        <v>101</v>
      </c>
      <c r="I17" s="154"/>
      <c r="J17" s="4"/>
      <c r="K17" s="588" t="s">
        <v>416</v>
      </c>
      <c r="L17" s="589"/>
      <c r="M17" s="589"/>
      <c r="N17" s="590"/>
      <c r="O17" s="250" t="s">
        <v>423</v>
      </c>
      <c r="P17" s="410">
        <v>20</v>
      </c>
      <c r="Q17" s="585"/>
      <c r="R17" s="586"/>
      <c r="S17" s="586"/>
      <c r="T17" s="586"/>
      <c r="U17" s="586"/>
      <c r="V17" s="586"/>
      <c r="W17" s="586"/>
      <c r="X17" s="586"/>
      <c r="Y17" s="587"/>
      <c r="Z17" s="270" t="s">
        <v>127</v>
      </c>
      <c r="AA17" s="292" t="s">
        <v>467</v>
      </c>
      <c r="AB17" s="293"/>
      <c r="AC17" s="294">
        <v>0</v>
      </c>
      <c r="AD17" s="295">
        <v>1</v>
      </c>
      <c r="AE17" s="295">
        <v>2</v>
      </c>
      <c r="AF17" s="326">
        <v>3</v>
      </c>
      <c r="AG17" s="296"/>
    </row>
    <row r="18" spans="1:45" ht="20.25" thickBot="1" x14ac:dyDescent="0.4">
      <c r="A18" s="672" t="s">
        <v>251</v>
      </c>
      <c r="B18" s="673"/>
      <c r="C18" s="148" t="s">
        <v>262</v>
      </c>
      <c r="D18" s="431">
        <v>11.3</v>
      </c>
      <c r="E18" s="431">
        <v>11.3</v>
      </c>
      <c r="F18" s="431">
        <v>11.3</v>
      </c>
      <c r="G18" s="431">
        <v>11.3</v>
      </c>
      <c r="H18" s="23" t="s">
        <v>252</v>
      </c>
      <c r="I18" s="155"/>
      <c r="J18" s="4"/>
      <c r="K18" s="575" t="s">
        <v>420</v>
      </c>
      <c r="L18" s="576"/>
      <c r="M18" s="576"/>
      <c r="N18" s="577"/>
      <c r="O18" s="23" t="s">
        <v>422</v>
      </c>
      <c r="P18" s="252">
        <v>1</v>
      </c>
      <c r="Q18" s="252">
        <v>2</v>
      </c>
      <c r="R18" s="252">
        <v>3</v>
      </c>
      <c r="S18" s="252">
        <v>4</v>
      </c>
      <c r="T18" s="252">
        <v>5</v>
      </c>
      <c r="U18" s="252">
        <v>6</v>
      </c>
      <c r="V18" s="252">
        <v>7</v>
      </c>
      <c r="W18" s="252">
        <v>8</v>
      </c>
      <c r="X18" s="252">
        <v>9</v>
      </c>
      <c r="Y18" s="252">
        <v>10</v>
      </c>
      <c r="Z18" s="259" t="s">
        <v>124</v>
      </c>
      <c r="AA18" s="591" t="s">
        <v>429</v>
      </c>
      <c r="AB18" s="592"/>
      <c r="AC18" s="324" t="s">
        <v>430</v>
      </c>
      <c r="AD18" s="307">
        <f xml:space="preserve"> (10*SUM(P19*P20,Q19*Q20,R19*R20,S19*S20,T19*T20,U19*U20,V19*V20,W19*W20,X19*X20,Y19*Y20)-SUM(P19:Y19)*SUM(P20:Y20))/(10*SUMSQ(P19:Y19)-(SUM(P19:Y19))^2)</f>
        <v>1.0000000000000006E-6</v>
      </c>
      <c r="AE18" s="307"/>
      <c r="AF18" s="308"/>
      <c r="AG18" s="297" t="s">
        <v>124</v>
      </c>
    </row>
    <row r="19" spans="1:45" ht="19.5" thickBot="1" x14ac:dyDescent="0.4">
      <c r="A19" s="669" t="s">
        <v>256</v>
      </c>
      <c r="B19" s="670"/>
      <c r="C19" s="9" t="s">
        <v>263</v>
      </c>
      <c r="D19" s="433">
        <v>0</v>
      </c>
      <c r="E19" s="423">
        <v>0</v>
      </c>
      <c r="F19" s="423">
        <v>0</v>
      </c>
      <c r="G19" s="424">
        <v>0</v>
      </c>
      <c r="H19" s="151" t="s">
        <v>127</v>
      </c>
      <c r="I19" s="156">
        <v>3</v>
      </c>
      <c r="J19" s="4"/>
      <c r="K19" s="580" t="s">
        <v>418</v>
      </c>
      <c r="L19" s="581"/>
      <c r="M19" s="581"/>
      <c r="N19" s="582"/>
      <c r="O19" s="103" t="s">
        <v>421</v>
      </c>
      <c r="P19" s="412">
        <v>20</v>
      </c>
      <c r="Q19" s="413">
        <v>100</v>
      </c>
      <c r="R19" s="413">
        <v>140</v>
      </c>
      <c r="S19" s="413">
        <v>160</v>
      </c>
      <c r="T19" s="413">
        <v>200</v>
      </c>
      <c r="U19" s="413">
        <v>260</v>
      </c>
      <c r="V19" s="413">
        <v>260</v>
      </c>
      <c r="W19" s="413">
        <v>260</v>
      </c>
      <c r="X19" s="413">
        <v>260</v>
      </c>
      <c r="Y19" s="413">
        <v>260</v>
      </c>
      <c r="Z19" s="257" t="s">
        <v>123</v>
      </c>
      <c r="AA19" s="593" t="s">
        <v>429</v>
      </c>
      <c r="AB19" s="594"/>
      <c r="AC19" s="325" t="s">
        <v>431</v>
      </c>
      <c r="AD19" s="314">
        <f xml:space="preserve"> (SUMSQ(P19:Y19)*SUM(P20:Y20)-SUM(P19:Y19)*SUM(P19*P20,Q19*Q20,R19*R20,S19*S20,T19*T20,U19*U20,V19*V20,W19*W20,X19*X20,Y19*Y20))/(10*SUMSQ(P19:Y19)-SUM(P19:Y19)^2)</f>
        <v>1.7501052604928577E-19</v>
      </c>
      <c r="AE19" s="310"/>
      <c r="AF19" s="311"/>
      <c r="AG19" s="298" t="s">
        <v>124</v>
      </c>
    </row>
    <row r="20" spans="1:45" ht="19.5" customHeight="1" thickBot="1" x14ac:dyDescent="0.4">
      <c r="A20" s="323" t="s">
        <v>197</v>
      </c>
      <c r="B20" s="319"/>
      <c r="C20" s="10" t="s">
        <v>201</v>
      </c>
      <c r="D20" s="433">
        <v>0.01</v>
      </c>
      <c r="E20" s="427">
        <v>0.01</v>
      </c>
      <c r="F20" s="427">
        <v>0.01</v>
      </c>
      <c r="G20" s="427">
        <v>0.01</v>
      </c>
      <c r="H20" s="10" t="s">
        <v>101</v>
      </c>
      <c r="I20" s="229">
        <v>4</v>
      </c>
      <c r="J20" s="4"/>
      <c r="K20" s="563" t="s">
        <v>468</v>
      </c>
      <c r="L20" s="564"/>
      <c r="M20" s="564"/>
      <c r="N20" s="565"/>
      <c r="O20" s="251" t="s">
        <v>469</v>
      </c>
      <c r="P20" s="414">
        <v>2.0000000000000002E-5</v>
      </c>
      <c r="Q20" s="414">
        <v>1E-4</v>
      </c>
      <c r="R20" s="414">
        <v>1.3999999999999999E-4</v>
      </c>
      <c r="S20" s="414">
        <v>1.6000000000000001E-4</v>
      </c>
      <c r="T20" s="414">
        <v>2.0000000000000001E-4</v>
      </c>
      <c r="U20" s="414">
        <v>2.5999999999999998E-4</v>
      </c>
      <c r="V20" s="414">
        <v>2.5999999999999998E-4</v>
      </c>
      <c r="W20" s="414">
        <v>2.5999999999999998E-4</v>
      </c>
      <c r="X20" s="414">
        <v>2.5999999999999998E-4</v>
      </c>
      <c r="Y20" s="414">
        <v>2.5999999999999998E-4</v>
      </c>
      <c r="Z20" s="287">
        <v>0</v>
      </c>
      <c r="AA20" s="566" t="s">
        <v>508</v>
      </c>
      <c r="AB20" s="567"/>
      <c r="AC20" s="299">
        <f ca="1">$AD18*G122+$AD19</f>
        <v>1.0000000000000024E-4</v>
      </c>
      <c r="AD20" s="300">
        <f ca="1">IF(H122&gt;G122,($AD18*H122+$AD19),AC20)-AC20</f>
        <v>0</v>
      </c>
      <c r="AE20" s="300">
        <f ca="1">IF(I122&gt;MAX(H122,G122),$AD18*I122+$AD19,$AD18*MAX(H122,G122)+$AD19)-AC20</f>
        <v>0</v>
      </c>
      <c r="AF20" s="301">
        <f ca="1">IF(J122&gt;MAX(I122,H122,G122),$AD18*J122+$AD19,$AD18*MAX(I122,H122,G122)+$AD19)-AC20</f>
        <v>1.1035346195417472E-5</v>
      </c>
      <c r="AG20" s="302" t="s">
        <v>123</v>
      </c>
    </row>
    <row r="21" spans="1:45" ht="21" thickTop="1" thickBot="1" x14ac:dyDescent="0.4">
      <c r="A21" s="672" t="s">
        <v>251</v>
      </c>
      <c r="B21" s="673"/>
      <c r="C21" s="148" t="s">
        <v>264</v>
      </c>
      <c r="D21" s="429">
        <v>0</v>
      </c>
      <c r="E21" s="431">
        <v>0</v>
      </c>
      <c r="F21" s="431">
        <v>0</v>
      </c>
      <c r="G21" s="432">
        <v>0</v>
      </c>
      <c r="H21" s="153" t="s">
        <v>252</v>
      </c>
      <c r="I21" s="155">
        <v>3</v>
      </c>
      <c r="J21" s="4"/>
      <c r="K21" s="570" t="s">
        <v>425</v>
      </c>
      <c r="L21" s="571"/>
      <c r="M21" s="571"/>
      <c r="N21" s="572"/>
      <c r="O21" s="9" t="s">
        <v>424</v>
      </c>
      <c r="P21" s="411">
        <v>350</v>
      </c>
      <c r="Q21" s="585"/>
      <c r="R21" s="586"/>
      <c r="S21" s="586"/>
      <c r="T21" s="586"/>
      <c r="U21" s="586"/>
      <c r="V21" s="586"/>
      <c r="W21" s="586"/>
      <c r="X21" s="586"/>
      <c r="Y21" s="587"/>
      <c r="Z21" s="257" t="s">
        <v>127</v>
      </c>
      <c r="AA21" s="573" t="s">
        <v>429</v>
      </c>
      <c r="AB21" s="574"/>
      <c r="AC21" s="151" t="s">
        <v>432</v>
      </c>
      <c r="AD21" s="312">
        <f xml:space="preserve"> (10*SUM(P23*P24,Q23*Q24,R23*R24,S23*S24,T23*T24,U23*U24,V23*V24,W23*W24,X23*X24,Y23*Y24)-SUM(P23:Y23)*SUM(P24:Y24))/(10*SUMSQ(P23:Y23)-(SUM(P23:Y23))^2)</f>
        <v>1.0000000000000016E-6</v>
      </c>
      <c r="AE21" s="312"/>
      <c r="AF21" s="313"/>
      <c r="AG21" s="257" t="s">
        <v>124</v>
      </c>
    </row>
    <row r="22" spans="1:45" ht="19.5" thickBot="1" x14ac:dyDescent="0.4">
      <c r="A22" s="669" t="s">
        <v>265</v>
      </c>
      <c r="B22" s="670"/>
      <c r="C22" s="9" t="s">
        <v>268</v>
      </c>
      <c r="D22" s="433">
        <v>20</v>
      </c>
      <c r="E22" s="423">
        <v>20</v>
      </c>
      <c r="F22" s="423">
        <v>20</v>
      </c>
      <c r="G22" s="424">
        <v>90</v>
      </c>
      <c r="H22" s="151" t="s">
        <v>127</v>
      </c>
      <c r="I22" s="156"/>
      <c r="J22" s="4"/>
      <c r="K22" s="575" t="s">
        <v>420</v>
      </c>
      <c r="L22" s="576"/>
      <c r="M22" s="576"/>
      <c r="N22" s="577"/>
      <c r="O22" s="23" t="s">
        <v>426</v>
      </c>
      <c r="P22" s="252">
        <v>1</v>
      </c>
      <c r="Q22" s="252">
        <v>2</v>
      </c>
      <c r="R22" s="252">
        <v>3</v>
      </c>
      <c r="S22" s="252">
        <v>4</v>
      </c>
      <c r="T22" s="253">
        <v>5</v>
      </c>
      <c r="U22" s="253">
        <v>6</v>
      </c>
      <c r="V22" s="253">
        <v>7</v>
      </c>
      <c r="W22" s="253">
        <v>8</v>
      </c>
      <c r="X22" s="253">
        <v>9</v>
      </c>
      <c r="Y22" s="252">
        <v>10</v>
      </c>
      <c r="Z22" s="259" t="s">
        <v>124</v>
      </c>
      <c r="AA22" s="578" t="s">
        <v>429</v>
      </c>
      <c r="AB22" s="579"/>
      <c r="AC22" s="303" t="s">
        <v>433</v>
      </c>
      <c r="AD22" s="309">
        <f xml:space="preserve"> (SUMSQ(P23:Y23)*SUM(P24:Y24)-SUM(P23:Y23)*SUM(P23*P24,Q23*Q24,R23*R24,S23*S24,T23*T24,U23*U24,V23*V24,W23*W24,X23*X24,Y23*Y24))/(10*SUMSQ(P23:Y23)-SUM(P23:Y23)^2)</f>
        <v>-2.7276112697124767E-19</v>
      </c>
      <c r="AE22" s="309"/>
      <c r="AF22" s="311"/>
      <c r="AG22" s="298" t="s">
        <v>124</v>
      </c>
    </row>
    <row r="23" spans="1:45" ht="19.5" thickBot="1" x14ac:dyDescent="0.4">
      <c r="A23" s="323" t="s">
        <v>266</v>
      </c>
      <c r="B23" s="319"/>
      <c r="C23" s="10" t="s">
        <v>267</v>
      </c>
      <c r="D23" s="434">
        <v>205000</v>
      </c>
      <c r="E23" s="434">
        <v>205000</v>
      </c>
      <c r="F23" s="434">
        <v>205000</v>
      </c>
      <c r="G23" s="434">
        <v>200400</v>
      </c>
      <c r="H23" s="10" t="s">
        <v>101</v>
      </c>
      <c r="I23" s="154"/>
      <c r="J23" s="4"/>
      <c r="K23" s="580" t="s">
        <v>418</v>
      </c>
      <c r="L23" s="581"/>
      <c r="M23" s="581"/>
      <c r="N23" s="582"/>
      <c r="O23" s="103" t="s">
        <v>427</v>
      </c>
      <c r="P23" s="413">
        <v>20</v>
      </c>
      <c r="Q23" s="413">
        <v>140</v>
      </c>
      <c r="R23" s="413">
        <v>160</v>
      </c>
      <c r="S23" s="413">
        <v>200</v>
      </c>
      <c r="T23" s="413">
        <v>260</v>
      </c>
      <c r="U23" s="413">
        <v>300</v>
      </c>
      <c r="V23" s="413">
        <v>300</v>
      </c>
      <c r="W23" s="413">
        <v>300</v>
      </c>
      <c r="X23" s="413">
        <v>300</v>
      </c>
      <c r="Y23" s="413">
        <v>300</v>
      </c>
      <c r="Z23" s="257" t="s">
        <v>123</v>
      </c>
      <c r="AA23" s="583" t="s">
        <v>470</v>
      </c>
      <c r="AB23" s="584"/>
      <c r="AC23" s="304">
        <f ca="1">$AD21*G122+$AD22</f>
        <v>9.9999999999999896E-5</v>
      </c>
      <c r="AD23" s="304">
        <f ca="1">IF(H122&gt;G122,($AD21*H122+$AD22),AC23)-AC23</f>
        <v>0</v>
      </c>
      <c r="AE23" s="305">
        <f ca="1">IF(I122&gt;MAX(H122,G122),$AD21*I122+$AD22,$AD21*MAX(H122,G122)+$AD22)-AC23</f>
        <v>0</v>
      </c>
      <c r="AF23" s="305">
        <f ca="1">IF(J122&gt;MAX(I122,H122,G122),$AD21*J122+$AD22,$AD21*MAX(I122,H122,G122)+$AD22)-AC23</f>
        <v>1.1035346195417472E-5</v>
      </c>
      <c r="AG23" s="306" t="s">
        <v>123</v>
      </c>
    </row>
    <row r="24" spans="1:45" ht="20.25" thickBot="1" x14ac:dyDescent="0.4">
      <c r="A24" s="674" t="s">
        <v>251</v>
      </c>
      <c r="B24" s="675"/>
      <c r="C24" s="158" t="s">
        <v>269</v>
      </c>
      <c r="D24" s="435">
        <v>11.8</v>
      </c>
      <c r="E24" s="436">
        <v>11.8</v>
      </c>
      <c r="F24" s="436">
        <v>11.8</v>
      </c>
      <c r="G24" s="437">
        <v>11.8</v>
      </c>
      <c r="H24" s="271" t="s">
        <v>252</v>
      </c>
      <c r="I24" s="159"/>
      <c r="J24" s="4"/>
      <c r="K24" s="563" t="s">
        <v>468</v>
      </c>
      <c r="L24" s="564"/>
      <c r="M24" s="564"/>
      <c r="N24" s="565"/>
      <c r="O24" s="281" t="s">
        <v>471</v>
      </c>
      <c r="P24" s="444">
        <v>2.0000000000000002E-5</v>
      </c>
      <c r="Q24" s="444">
        <v>1.3999999999999999E-4</v>
      </c>
      <c r="R24" s="444">
        <v>1.6000000000000001E-4</v>
      </c>
      <c r="S24" s="444">
        <v>2.0000000000000001E-4</v>
      </c>
      <c r="T24" s="444">
        <v>2.5999999999999998E-4</v>
      </c>
      <c r="U24" s="444">
        <v>2.9999999999999997E-4</v>
      </c>
      <c r="V24" s="444">
        <v>2.9999999999999997E-4</v>
      </c>
      <c r="W24" s="444">
        <v>2.9999999999999997E-4</v>
      </c>
      <c r="X24" s="444">
        <v>2.9999999999999997E-4</v>
      </c>
      <c r="Y24" s="444">
        <v>2.9999999999999997E-4</v>
      </c>
      <c r="Z24" s="287" t="s">
        <v>123</v>
      </c>
      <c r="AA24" s="566" t="s">
        <v>472</v>
      </c>
      <c r="AB24" s="567"/>
      <c r="AC24" s="299">
        <f ca="1">(AC20+(AC23-AC20)*(D7-P17)/(P21-P17))</f>
        <v>1.0000000000000024E-4</v>
      </c>
      <c r="AD24" s="301">
        <f ca="1">(AD20+(AD23-AD20)*(E7-$P17)/($P21-$P17))</f>
        <v>0</v>
      </c>
      <c r="AE24" s="299">
        <f ca="1">(AE20+(AE23-AE20)*(F7-$P17)/($P21-$P17))</f>
        <v>0</v>
      </c>
      <c r="AF24" s="301">
        <f ca="1">(AF20+(AF23-AF20)*(G7-$P17)/($P21-$P17))</f>
        <v>1.1035346195417472E-5</v>
      </c>
      <c r="AG24" s="302" t="s">
        <v>123</v>
      </c>
    </row>
    <row r="25" spans="1:45" ht="33" customHeight="1" thickTop="1" x14ac:dyDescent="0.35">
      <c r="A25" s="684" t="s">
        <v>182</v>
      </c>
      <c r="B25" s="684"/>
      <c r="C25" s="93" t="s">
        <v>187</v>
      </c>
      <c r="D25" s="679" t="s">
        <v>193</v>
      </c>
      <c r="E25" s="679"/>
      <c r="F25" s="679"/>
      <c r="G25" s="4"/>
      <c r="H25" s="4"/>
      <c r="I25" s="315"/>
      <c r="K25" s="601" t="s">
        <v>482</v>
      </c>
      <c r="L25" s="601"/>
      <c r="M25" s="601"/>
      <c r="N25" s="601"/>
      <c r="O25" s="601"/>
      <c r="P25" s="601"/>
      <c r="Q25" s="601"/>
      <c r="R25" s="601"/>
      <c r="S25" s="601"/>
      <c r="T25" s="601"/>
      <c r="U25" s="601"/>
      <c r="AC25" s="280"/>
      <c r="AD25" s="568" t="s">
        <v>474</v>
      </c>
      <c r="AE25" s="568"/>
      <c r="AF25" s="568"/>
      <c r="AG25" s="24"/>
    </row>
    <row r="26" spans="1:45" x14ac:dyDescent="0.25">
      <c r="C26" s="93" t="s">
        <v>188</v>
      </c>
      <c r="D26" s="522" t="s">
        <v>202</v>
      </c>
      <c r="E26" s="522"/>
      <c r="I26" s="315"/>
      <c r="T26" s="438"/>
    </row>
    <row r="27" spans="1:45" x14ac:dyDescent="0.25">
      <c r="C27" s="93" t="s">
        <v>184</v>
      </c>
      <c r="D27" s="522" t="s">
        <v>203</v>
      </c>
      <c r="E27" s="522"/>
      <c r="F27" s="522"/>
      <c r="S27" s="415"/>
    </row>
    <row r="28" spans="1:45" x14ac:dyDescent="0.25">
      <c r="C28" s="93" t="s">
        <v>185</v>
      </c>
      <c r="D28" s="522" t="s">
        <v>349</v>
      </c>
      <c r="E28" s="522"/>
      <c r="F28" s="522"/>
      <c r="G28" s="522"/>
      <c r="H28" s="522"/>
    </row>
    <row r="29" spans="1:45" ht="18.75" x14ac:dyDescent="0.35">
      <c r="C29" s="102" t="s">
        <v>186</v>
      </c>
      <c r="D29" s="569" t="s">
        <v>434</v>
      </c>
      <c r="E29" s="569"/>
      <c r="F29" s="569"/>
      <c r="G29" s="569"/>
      <c r="H29" s="569"/>
      <c r="I29" s="242"/>
      <c r="AH29" s="280"/>
      <c r="AI29" s="280"/>
      <c r="AJ29" s="280"/>
      <c r="AK29" s="280"/>
      <c r="AP29" s="280"/>
      <c r="AQ29" s="280"/>
      <c r="AR29" s="280"/>
      <c r="AS29" s="280"/>
    </row>
    <row r="30" spans="1:45" ht="16.5" thickBot="1" x14ac:dyDescent="0.3">
      <c r="C30" s="93"/>
    </row>
    <row r="31" spans="1:45" ht="39" customHeight="1" thickTop="1" thickBot="1" x14ac:dyDescent="0.3">
      <c r="A31" s="676" t="s">
        <v>501</v>
      </c>
      <c r="B31" s="677"/>
      <c r="C31" s="677"/>
      <c r="D31" s="677"/>
      <c r="E31" s="677"/>
      <c r="F31" s="677"/>
      <c r="G31" s="677"/>
      <c r="H31" s="677"/>
      <c r="I31" s="677"/>
      <c r="J31" s="677"/>
      <c r="K31" s="677"/>
      <c r="L31" s="678"/>
    </row>
    <row r="32" spans="1:45" ht="30.75" customHeight="1" thickTop="1" thickBot="1" x14ac:dyDescent="0.3">
      <c r="A32" s="636" t="s">
        <v>1</v>
      </c>
      <c r="B32" s="637"/>
      <c r="C32" s="637"/>
      <c r="D32" s="637"/>
      <c r="E32" s="638"/>
      <c r="F32" s="170" t="s">
        <v>2</v>
      </c>
      <c r="G32" s="639" t="s">
        <v>236</v>
      </c>
      <c r="H32" s="640"/>
      <c r="I32" s="640"/>
      <c r="J32" s="641"/>
      <c r="K32" s="172" t="s">
        <v>120</v>
      </c>
      <c r="L32" s="171" t="s">
        <v>192</v>
      </c>
    </row>
    <row r="33" spans="1:20" ht="18.75" customHeight="1" thickTop="1" thickBot="1" x14ac:dyDescent="0.3">
      <c r="A33" s="642" t="s">
        <v>234</v>
      </c>
      <c r="B33" s="643"/>
      <c r="C33" s="643"/>
      <c r="D33" s="643"/>
      <c r="E33" s="643"/>
      <c r="F33" s="210"/>
      <c r="G33" s="643"/>
      <c r="H33" s="643"/>
      <c r="I33" s="643"/>
      <c r="J33" s="644"/>
      <c r="K33" s="653"/>
      <c r="L33" s="654"/>
      <c r="N33" s="512" t="s">
        <v>342</v>
      </c>
      <c r="O33" s="512"/>
      <c r="P33" s="512"/>
      <c r="Q33" s="512" t="s">
        <v>343</v>
      </c>
      <c r="R33" s="512"/>
      <c r="S33" s="512"/>
      <c r="T33" s="512"/>
    </row>
    <row r="34" spans="1:20" ht="18.75" customHeight="1" x14ac:dyDescent="0.25">
      <c r="A34" s="659" t="s">
        <v>435</v>
      </c>
      <c r="B34" s="660"/>
      <c r="C34" s="660"/>
      <c r="D34" s="660"/>
      <c r="E34" s="680"/>
      <c r="F34" s="147" t="s">
        <v>70</v>
      </c>
      <c r="G34" s="416">
        <v>1</v>
      </c>
      <c r="H34" s="175"/>
      <c r="I34" s="176"/>
      <c r="J34" s="177"/>
      <c r="K34" s="125" t="s">
        <v>124</v>
      </c>
      <c r="L34" s="174" t="str">
        <f>IF(G34=1,"",IF(G34=2, "",IF(G34=3,"","CHYBA")))</f>
        <v/>
      </c>
    </row>
    <row r="35" spans="1:20" ht="18.75" customHeight="1" x14ac:dyDescent="0.25">
      <c r="A35" s="610" t="s">
        <v>346</v>
      </c>
      <c r="B35" s="608"/>
      <c r="C35" s="608"/>
      <c r="D35" s="608"/>
      <c r="E35" s="609"/>
      <c r="F35" s="124" t="s">
        <v>70</v>
      </c>
      <c r="G35" s="417">
        <v>1</v>
      </c>
      <c r="H35" s="192"/>
      <c r="I35" s="193"/>
      <c r="J35" s="194"/>
      <c r="K35" s="116" t="s">
        <v>124</v>
      </c>
      <c r="L35" s="163" t="str">
        <f>IF(G35=1,"",IF(G35=2, "",IF(G35=3,"","CHYBA")))</f>
        <v/>
      </c>
    </row>
    <row r="36" spans="1:20" ht="18.75" customHeight="1" x14ac:dyDescent="0.25">
      <c r="A36" s="610" t="s">
        <v>347</v>
      </c>
      <c r="B36" s="608"/>
      <c r="C36" s="608"/>
      <c r="D36" s="608"/>
      <c r="E36" s="609"/>
      <c r="F36" s="124" t="s">
        <v>70</v>
      </c>
      <c r="G36" s="417">
        <v>1</v>
      </c>
      <c r="H36" s="192"/>
      <c r="I36" s="193"/>
      <c r="J36" s="194"/>
      <c r="K36" s="116" t="s">
        <v>124</v>
      </c>
      <c r="L36" s="163" t="str">
        <f>IF(G36=1,"",IF(G36=2, "",IF(G36=3,"","CHYBA")))</f>
        <v/>
      </c>
    </row>
    <row r="37" spans="1:20" ht="18.75" x14ac:dyDescent="0.35">
      <c r="A37" s="610" t="s">
        <v>436</v>
      </c>
      <c r="B37" s="608"/>
      <c r="C37" s="608"/>
      <c r="D37" s="608"/>
      <c r="E37" s="609"/>
      <c r="F37" s="124" t="s">
        <v>87</v>
      </c>
      <c r="G37" s="418">
        <v>67</v>
      </c>
      <c r="H37" s="192"/>
      <c r="I37" s="193"/>
      <c r="J37" s="194"/>
      <c r="K37" s="116" t="s">
        <v>123</v>
      </c>
      <c r="L37" s="164"/>
    </row>
    <row r="38" spans="1:20" ht="18.75" x14ac:dyDescent="0.35">
      <c r="A38" s="610" t="s">
        <v>437</v>
      </c>
      <c r="B38" s="608"/>
      <c r="C38" s="608"/>
      <c r="D38" s="608"/>
      <c r="E38" s="609"/>
      <c r="F38" s="124" t="s">
        <v>88</v>
      </c>
      <c r="G38" s="418">
        <v>120</v>
      </c>
      <c r="H38" s="192"/>
      <c r="I38" s="193"/>
      <c r="J38" s="194"/>
      <c r="K38" s="116" t="s">
        <v>123</v>
      </c>
      <c r="L38" s="164"/>
    </row>
    <row r="39" spans="1:20" ht="18.75" x14ac:dyDescent="0.35">
      <c r="A39" s="607" t="s">
        <v>114</v>
      </c>
      <c r="B39" s="608"/>
      <c r="C39" s="608"/>
      <c r="D39" s="608"/>
      <c r="E39" s="609"/>
      <c r="F39" s="124" t="s">
        <v>115</v>
      </c>
      <c r="G39" s="418">
        <v>0</v>
      </c>
      <c r="H39" s="192"/>
      <c r="I39" s="193"/>
      <c r="J39" s="194"/>
      <c r="K39" s="116" t="s">
        <v>123</v>
      </c>
      <c r="L39" s="164">
        <v>1</v>
      </c>
    </row>
    <row r="40" spans="1:20" ht="18.75" x14ac:dyDescent="0.35">
      <c r="A40" s="610" t="s">
        <v>345</v>
      </c>
      <c r="B40" s="608"/>
      <c r="C40" s="608"/>
      <c r="D40" s="608"/>
      <c r="E40" s="609"/>
      <c r="F40" s="124" t="s">
        <v>113</v>
      </c>
      <c r="G40" s="418">
        <v>2</v>
      </c>
      <c r="H40" s="192"/>
      <c r="I40" s="193"/>
      <c r="J40" s="194"/>
      <c r="K40" s="116" t="s">
        <v>123</v>
      </c>
      <c r="L40" s="164"/>
    </row>
    <row r="41" spans="1:20" ht="18.75" x14ac:dyDescent="0.35">
      <c r="A41" s="607" t="s">
        <v>116</v>
      </c>
      <c r="B41" s="608"/>
      <c r="C41" s="608"/>
      <c r="D41" s="608"/>
      <c r="E41" s="609"/>
      <c r="F41" s="124" t="s">
        <v>117</v>
      </c>
      <c r="G41" s="418">
        <v>0</v>
      </c>
      <c r="H41" s="192"/>
      <c r="I41" s="193"/>
      <c r="J41" s="194"/>
      <c r="K41" s="116" t="s">
        <v>123</v>
      </c>
      <c r="L41" s="164">
        <v>1</v>
      </c>
    </row>
    <row r="42" spans="1:20" ht="18.75" x14ac:dyDescent="0.35">
      <c r="A42" s="607" t="s">
        <v>118</v>
      </c>
      <c r="B42" s="608"/>
      <c r="C42" s="608"/>
      <c r="D42" s="608"/>
      <c r="E42" s="609"/>
      <c r="F42" s="124" t="s">
        <v>119</v>
      </c>
      <c r="G42" s="418">
        <v>0</v>
      </c>
      <c r="H42" s="192"/>
      <c r="I42" s="193"/>
      <c r="J42" s="194"/>
      <c r="K42" s="116" t="s">
        <v>140</v>
      </c>
      <c r="L42" s="164">
        <v>1</v>
      </c>
      <c r="O42" s="512" t="s">
        <v>344</v>
      </c>
      <c r="P42" s="512"/>
      <c r="Q42" s="512"/>
      <c r="R42" s="512"/>
      <c r="S42" s="512"/>
    </row>
    <row r="43" spans="1:20" ht="18.75" x14ac:dyDescent="0.35">
      <c r="A43" s="610" t="s">
        <v>130</v>
      </c>
      <c r="B43" s="608"/>
      <c r="C43" s="608"/>
      <c r="D43" s="608"/>
      <c r="E43" s="609"/>
      <c r="F43" s="19" t="s">
        <v>443</v>
      </c>
      <c r="G43" s="418">
        <v>480</v>
      </c>
      <c r="H43" s="418">
        <v>480</v>
      </c>
      <c r="I43" s="418">
        <v>480</v>
      </c>
      <c r="J43" s="418">
        <v>480</v>
      </c>
      <c r="K43" s="116" t="s">
        <v>101</v>
      </c>
      <c r="L43" s="164">
        <v>5</v>
      </c>
    </row>
    <row r="44" spans="1:20" ht="18.75" x14ac:dyDescent="0.35">
      <c r="A44" s="610" t="s">
        <v>277</v>
      </c>
      <c r="B44" s="608"/>
      <c r="C44" s="608"/>
      <c r="D44" s="608"/>
      <c r="E44" s="609"/>
      <c r="F44" s="19" t="s">
        <v>324</v>
      </c>
      <c r="G44" s="145"/>
      <c r="H44" s="419">
        <v>8</v>
      </c>
      <c r="I44" s="420">
        <v>8</v>
      </c>
      <c r="J44" s="420">
        <v>8</v>
      </c>
      <c r="K44" s="116" t="s">
        <v>101</v>
      </c>
      <c r="L44" s="164">
        <v>5</v>
      </c>
    </row>
    <row r="45" spans="1:20" ht="18.75" x14ac:dyDescent="0.35">
      <c r="A45" s="610" t="s">
        <v>369</v>
      </c>
      <c r="B45" s="608"/>
      <c r="C45" s="608"/>
      <c r="D45" s="608"/>
      <c r="E45" s="609"/>
      <c r="F45" s="144" t="s">
        <v>278</v>
      </c>
      <c r="G45" s="418">
        <v>100</v>
      </c>
      <c r="H45" s="203"/>
      <c r="I45" s="200"/>
      <c r="J45" s="201"/>
      <c r="K45" s="116" t="s">
        <v>101</v>
      </c>
      <c r="L45" s="164">
        <v>5</v>
      </c>
    </row>
    <row r="46" spans="1:20" ht="19.5" thickBot="1" x14ac:dyDescent="0.4">
      <c r="A46" s="658" t="s">
        <v>444</v>
      </c>
      <c r="B46" s="612"/>
      <c r="C46" s="612"/>
      <c r="D46" s="612"/>
      <c r="E46" s="613"/>
      <c r="F46" s="146" t="s">
        <v>284</v>
      </c>
      <c r="G46" s="421">
        <v>1</v>
      </c>
      <c r="H46" s="204"/>
      <c r="I46" s="199"/>
      <c r="J46" s="202"/>
      <c r="K46" s="121" t="s">
        <v>101</v>
      </c>
      <c r="L46" s="165">
        <v>5</v>
      </c>
    </row>
    <row r="47" spans="1:20" ht="16.5" thickBot="1" x14ac:dyDescent="0.3">
      <c r="A47" s="662" t="s">
        <v>231</v>
      </c>
      <c r="B47" s="663"/>
      <c r="C47" s="663"/>
      <c r="D47" s="663"/>
      <c r="E47" s="663"/>
      <c r="F47" s="663"/>
      <c r="G47" s="663"/>
      <c r="H47" s="663"/>
      <c r="I47" s="663"/>
      <c r="J47" s="663"/>
      <c r="K47" s="664"/>
      <c r="L47" s="173">
        <v>2</v>
      </c>
    </row>
    <row r="48" spans="1:20" ht="16.5" thickBot="1" x14ac:dyDescent="0.3">
      <c r="A48" s="645" t="s">
        <v>235</v>
      </c>
      <c r="B48" s="646"/>
      <c r="C48" s="646"/>
      <c r="D48" s="646"/>
      <c r="E48" s="646"/>
      <c r="F48" s="198"/>
      <c r="G48" s="648"/>
      <c r="H48" s="646"/>
      <c r="I48" s="646"/>
      <c r="J48" s="649"/>
      <c r="K48" s="651"/>
      <c r="L48" s="652"/>
    </row>
    <row r="49" spans="1:32" ht="18.75" x14ac:dyDescent="0.35">
      <c r="A49" s="633" t="s">
        <v>89</v>
      </c>
      <c r="B49" s="634"/>
      <c r="C49" s="634"/>
      <c r="D49" s="634"/>
      <c r="E49" s="635"/>
      <c r="F49" s="138" t="s">
        <v>92</v>
      </c>
      <c r="G49" s="141">
        <f>(G38-G37)/2</f>
        <v>26.5</v>
      </c>
      <c r="H49" s="178"/>
      <c r="I49" s="179"/>
      <c r="J49" s="180"/>
      <c r="K49" s="125" t="s">
        <v>123</v>
      </c>
      <c r="L49" s="166"/>
    </row>
    <row r="50" spans="1:32" ht="18.75" x14ac:dyDescent="0.35">
      <c r="A50" s="607" t="s">
        <v>90</v>
      </c>
      <c r="B50" s="608"/>
      <c r="C50" s="608"/>
      <c r="D50" s="608"/>
      <c r="E50" s="609"/>
      <c r="F50" s="139" t="s">
        <v>91</v>
      </c>
      <c r="G50" s="142">
        <f>(G38+G37)/2</f>
        <v>93.5</v>
      </c>
      <c r="H50" s="195"/>
      <c r="I50" s="196"/>
      <c r="J50" s="197"/>
      <c r="K50" s="116" t="s">
        <v>123</v>
      </c>
      <c r="L50" s="164"/>
    </row>
    <row r="51" spans="1:32" ht="18.75" x14ac:dyDescent="0.35">
      <c r="A51" s="607" t="s">
        <v>93</v>
      </c>
      <c r="B51" s="608"/>
      <c r="C51" s="608"/>
      <c r="D51" s="608"/>
      <c r="E51" s="609"/>
      <c r="F51" s="139" t="s">
        <v>94</v>
      </c>
      <c r="G51" s="142">
        <f>PI()*G50*G49</f>
        <v>7784.0811974321105</v>
      </c>
      <c r="H51" s="178"/>
      <c r="I51" s="179"/>
      <c r="J51" s="180"/>
      <c r="K51" s="116" t="s">
        <v>241</v>
      </c>
      <c r="L51" s="164"/>
    </row>
    <row r="52" spans="1:32" ht="18.75" x14ac:dyDescent="0.35">
      <c r="A52" s="607" t="s">
        <v>242</v>
      </c>
      <c r="B52" s="608"/>
      <c r="C52" s="608"/>
      <c r="D52" s="608"/>
      <c r="E52" s="609"/>
      <c r="F52" s="108" t="s">
        <v>131</v>
      </c>
      <c r="G52" s="143">
        <f>IF($G35=1,D5+(4*D6/'1. příruba'!$H26),IF($G35=2,D5+(4*D6/'1. příruba'!$H62),IF($G35=3,D5+(4*D6/'1. příruba'!$H92),"CHYBA")))</f>
        <v>0</v>
      </c>
      <c r="H52" s="113">
        <f>IF($G35=1,E5+(4*E6/'1. příruba'!$H26),IF($G35=2,E5+(4*E6/'1. příruba'!$H62),IF($G35=3,E5+(4*E6/'1. příruba'!$H92),"CHYBA")))</f>
        <v>0</v>
      </c>
      <c r="I52" s="113">
        <f>IF($G35=1,F5+(4*F6/'1. příruba'!$H26),IF($G35=2,F5+(4*F6/'1. příruba'!$H62),IF($G35=3,F5+(4*F6/'1. příruba'!$H92),"CHYBA")))</f>
        <v>0</v>
      </c>
      <c r="J52" s="135">
        <f>IF($G35=1,G5+(4*G6/'1. příruba'!$H26),IF($G35=2,G5+(4*G6/'1. příruba'!$H62),IF($G35=3,G5+(4*G6/'1. příruba'!$H92),"CHYBA")))</f>
        <v>0</v>
      </c>
      <c r="K52" s="139" t="s">
        <v>102</v>
      </c>
      <c r="L52" s="164">
        <v>3</v>
      </c>
      <c r="V52" s="280">
        <f ca="1">AC20</f>
        <v>1.0000000000000024E-4</v>
      </c>
      <c r="W52" s="280">
        <f ca="1">AC20+AD20</f>
        <v>1.0000000000000024E-4</v>
      </c>
      <c r="X52" s="280">
        <f ca="1">AC20+AE20</f>
        <v>1.0000000000000024E-4</v>
      </c>
      <c r="Y52" s="280">
        <f ca="1">AC20+AF20</f>
        <v>1.1103534619541771E-4</v>
      </c>
      <c r="AC52" s="280">
        <f ca="1">AC23</f>
        <v>9.9999999999999896E-5</v>
      </c>
      <c r="AD52" s="280">
        <f ca="1">AC23+AD23</f>
        <v>9.9999999999999896E-5</v>
      </c>
      <c r="AE52" s="280">
        <f ca="1">AC23+AE23</f>
        <v>9.9999999999999896E-5</v>
      </c>
      <c r="AF52" s="280">
        <f ca="1">AC23+AF23</f>
        <v>1.1103534619541737E-4</v>
      </c>
    </row>
    <row r="53" spans="1:32" ht="18.75" x14ac:dyDescent="0.35">
      <c r="A53" s="607" t="s">
        <v>243</v>
      </c>
      <c r="B53" s="608"/>
      <c r="C53" s="608"/>
      <c r="D53" s="608"/>
      <c r="E53" s="609"/>
      <c r="F53" s="108" t="s">
        <v>132</v>
      </c>
      <c r="G53" s="143">
        <f>IF($G35=1,D5-(4*D6/'1. příruba'!$H26),IF($G35=2,D5-(4*D6/'1. příruba'!$H62),IF($G35=3,D5-(4*D6/'1. příruba'!$H92),"CHYBA")))</f>
        <v>0</v>
      </c>
      <c r="H53" s="113">
        <f>IF($G35=1,E5-(4*E6/'1. příruba'!$H26),IF($G35=2,E5-(4*E6/'1. příruba'!$H62),IF($G35=3,E5-(4*E6/'1. příruba'!$H92),"CHYBA")))</f>
        <v>0</v>
      </c>
      <c r="I53" s="113">
        <f>IF($G35=1,F5-(4*F6/'1. příruba'!$H26),IF($G35=2,F5-(4*F6/'1. příruba'!$H62),IF($G35=3,F5-(4*F6/'1. příruba'!$H92),"CHYBA")))</f>
        <v>0</v>
      </c>
      <c r="J53" s="135">
        <f>IF($G35=1,G5-(4*G6/'1. příruba'!$H26),IF($G35=2,G5-(4*G6/'1. příruba'!$H62),IF($G35=3,G5-(4*G6/'1. příruba'!$H92),"CHYBA")))</f>
        <v>0</v>
      </c>
      <c r="K53" s="139" t="s">
        <v>102</v>
      </c>
      <c r="L53" s="164">
        <v>3</v>
      </c>
    </row>
    <row r="54" spans="1:32" ht="18.75" x14ac:dyDescent="0.25">
      <c r="A54" s="610" t="s">
        <v>289</v>
      </c>
      <c r="B54" s="457"/>
      <c r="C54" s="457"/>
      <c r="D54" s="457"/>
      <c r="E54" s="458"/>
      <c r="F54" s="16" t="s">
        <v>291</v>
      </c>
      <c r="G54" s="143">
        <f>MAX((Šrouby!G9*Šrouby!G15/3)-G52,(Šrouby!G9*Šrouby!G15/3)-G53)</f>
        <v>282018.63371647714</v>
      </c>
      <c r="H54" s="206"/>
      <c r="I54" s="207"/>
      <c r="J54" s="208"/>
      <c r="K54" s="124" t="s">
        <v>102</v>
      </c>
      <c r="L54" s="164"/>
    </row>
    <row r="55" spans="1:32" ht="18.75" x14ac:dyDescent="0.25">
      <c r="A55" s="610" t="s">
        <v>290</v>
      </c>
      <c r="B55" s="457"/>
      <c r="C55" s="457"/>
      <c r="D55" s="457"/>
      <c r="E55" s="458"/>
      <c r="F55" s="16" t="s">
        <v>292</v>
      </c>
      <c r="G55" s="135">
        <v>778408.11974321108</v>
      </c>
      <c r="H55" s="206"/>
      <c r="I55" s="207"/>
      <c r="J55" s="208"/>
      <c r="K55" s="124" t="s">
        <v>102</v>
      </c>
      <c r="L55" s="164"/>
    </row>
    <row r="56" spans="1:32" ht="18.75" x14ac:dyDescent="0.25">
      <c r="A56" s="607" t="s">
        <v>121</v>
      </c>
      <c r="B56" s="608"/>
      <c r="C56" s="608"/>
      <c r="D56" s="608"/>
      <c r="E56" s="609"/>
      <c r="F56" s="108" t="s">
        <v>122</v>
      </c>
      <c r="G56" s="127">
        <f>COS(RADIANS(G42))</f>
        <v>1</v>
      </c>
      <c r="H56" s="190"/>
      <c r="I56" s="205"/>
      <c r="J56" s="191"/>
      <c r="K56" s="116" t="s">
        <v>124</v>
      </c>
      <c r="L56" s="164"/>
    </row>
    <row r="57" spans="1:32" ht="18.75" x14ac:dyDescent="0.35">
      <c r="A57" s="607" t="s">
        <v>221</v>
      </c>
      <c r="B57" s="608"/>
      <c r="C57" s="608"/>
      <c r="D57" s="608"/>
      <c r="E57" s="609"/>
      <c r="F57" s="139" t="s">
        <v>226</v>
      </c>
      <c r="G57" s="136">
        <f>IF(G35=1,'1. příruba'!H42,IF('Těsnění, zatížení'!G35=2,'1. příruba'!H69,'1. příruba'!H108))</f>
        <v>1.1054752049585448E-5</v>
      </c>
      <c r="H57" s="190"/>
      <c r="I57" s="205"/>
      <c r="J57" s="191"/>
      <c r="K57" s="116" t="s">
        <v>244</v>
      </c>
      <c r="L57" s="164"/>
    </row>
    <row r="58" spans="1:32" ht="18.75" x14ac:dyDescent="0.35">
      <c r="A58" s="607" t="s">
        <v>223</v>
      </c>
      <c r="B58" s="608"/>
      <c r="C58" s="608"/>
      <c r="D58" s="608"/>
      <c r="E58" s="609"/>
      <c r="F58" s="139" t="s">
        <v>227</v>
      </c>
      <c r="G58" s="136">
        <f>IF(G35=3,'1. příruba'!H109,0)</f>
        <v>0</v>
      </c>
      <c r="H58" s="184"/>
      <c r="I58" s="205"/>
      <c r="J58" s="191"/>
      <c r="K58" s="116" t="s">
        <v>244</v>
      </c>
      <c r="L58" s="164"/>
    </row>
    <row r="59" spans="1:32" ht="18.75" x14ac:dyDescent="0.35">
      <c r="A59" s="607" t="s">
        <v>224</v>
      </c>
      <c r="B59" s="608"/>
      <c r="C59" s="608"/>
      <c r="D59" s="608"/>
      <c r="E59" s="609"/>
      <c r="F59" s="139" t="s">
        <v>228</v>
      </c>
      <c r="G59" s="136">
        <f>IF(G36=1,'2. příruba'!H42,IF('Těsnění, zatížení'!G36=2,'2. příruba'!H69,'2. příruba'!H108))</f>
        <v>1.5456325586712338E-5</v>
      </c>
      <c r="H59" s="217"/>
      <c r="I59" s="205"/>
      <c r="J59" s="191"/>
      <c r="K59" s="116" t="s">
        <v>244</v>
      </c>
      <c r="L59" s="164"/>
    </row>
    <row r="60" spans="1:32" ht="19.5" thickBot="1" x14ac:dyDescent="0.4">
      <c r="A60" s="611" t="s">
        <v>225</v>
      </c>
      <c r="B60" s="612"/>
      <c r="C60" s="612"/>
      <c r="D60" s="612"/>
      <c r="E60" s="613"/>
      <c r="F60" s="140" t="s">
        <v>229</v>
      </c>
      <c r="G60" s="137">
        <f>IF(G36=3,'2. příruba'!H109,0)</f>
        <v>0</v>
      </c>
      <c r="H60" s="187"/>
      <c r="I60" s="188"/>
      <c r="J60" s="189"/>
      <c r="K60" s="121" t="s">
        <v>244</v>
      </c>
      <c r="L60" s="165"/>
    </row>
    <row r="61" spans="1:32" ht="18.75" customHeight="1" thickBot="1" x14ac:dyDescent="0.3">
      <c r="A61" s="647" t="s">
        <v>237</v>
      </c>
      <c r="B61" s="618"/>
      <c r="C61" s="618"/>
      <c r="D61" s="618"/>
      <c r="E61" s="619"/>
      <c r="F61" s="209"/>
      <c r="G61" s="617"/>
      <c r="H61" s="618"/>
      <c r="I61" s="618"/>
      <c r="J61" s="619"/>
      <c r="K61" s="656"/>
      <c r="L61" s="657"/>
    </row>
    <row r="62" spans="1:32" ht="18.75" customHeight="1" x14ac:dyDescent="0.25">
      <c r="A62" s="633" t="s">
        <v>219</v>
      </c>
      <c r="B62" s="634"/>
      <c r="C62" s="634"/>
      <c r="D62" s="634"/>
      <c r="E62" s="635"/>
      <c r="F62" s="131" t="s">
        <v>217</v>
      </c>
      <c r="G62" s="126">
        <f>IF(G$34=1, G$49, IF(G$34=2, SQRT(6*G$41*G$56*G$49*G$43/D$8), G66ODMOCNINA(12*G$41*G$56*G$49*G$43/D$8)))</f>
        <v>26.5</v>
      </c>
      <c r="H62" s="184"/>
      <c r="I62" s="185"/>
      <c r="J62" s="186"/>
      <c r="K62" s="125" t="s">
        <v>123</v>
      </c>
      <c r="L62" s="166"/>
    </row>
    <row r="63" spans="1:32" ht="18.75" x14ac:dyDescent="0.25">
      <c r="A63" s="607" t="s">
        <v>107</v>
      </c>
      <c r="B63" s="608"/>
      <c r="C63" s="608"/>
      <c r="D63" s="608"/>
      <c r="E63" s="609"/>
      <c r="F63" s="108" t="s">
        <v>108</v>
      </c>
      <c r="G63" s="127">
        <f>IF(G$34=1, G$49, IF(G$34=2, MIN(G$49,G62), MIN(G$49,G62)))</f>
        <v>26.5</v>
      </c>
      <c r="H63" s="181"/>
      <c r="I63" s="182"/>
      <c r="J63" s="183"/>
      <c r="K63" s="116" t="s">
        <v>123</v>
      </c>
      <c r="L63" s="164"/>
    </row>
    <row r="64" spans="1:32" ht="18.75" x14ac:dyDescent="0.25">
      <c r="A64" s="607" t="s">
        <v>128</v>
      </c>
      <c r="B64" s="608"/>
      <c r="C64" s="608"/>
      <c r="D64" s="608"/>
      <c r="E64" s="609"/>
      <c r="F64" s="108" t="s">
        <v>133</v>
      </c>
      <c r="G64" s="127">
        <f>IF(G$34=1,G$38-G63,IF(G$34=2,G$39,G$50))</f>
        <v>93.5</v>
      </c>
      <c r="H64" s="181"/>
      <c r="I64" s="182"/>
      <c r="J64" s="183"/>
      <c r="K64" s="116" t="s">
        <v>123</v>
      </c>
      <c r="L64" s="164"/>
    </row>
    <row r="65" spans="1:16" ht="18.75" x14ac:dyDescent="0.35">
      <c r="A65" s="607" t="s">
        <v>208</v>
      </c>
      <c r="B65" s="608"/>
      <c r="C65" s="608"/>
      <c r="D65" s="608"/>
      <c r="E65" s="609"/>
      <c r="F65" s="108" t="s">
        <v>209</v>
      </c>
      <c r="G65" s="127">
        <f>IF(G$35=3, ('1. příruba'!H$109*'Těsnění, zatížení'!D11)/('1. příruba'!$H108*'Těsnění, zatížení'!D$14),0)</f>
        <v>0</v>
      </c>
      <c r="H65" s="206"/>
      <c r="I65" s="207"/>
      <c r="J65" s="208"/>
      <c r="K65" s="116" t="s">
        <v>124</v>
      </c>
      <c r="L65" s="164"/>
    </row>
    <row r="66" spans="1:16" ht="18.75" x14ac:dyDescent="0.25">
      <c r="A66" s="607" t="s">
        <v>204</v>
      </c>
      <c r="B66" s="608"/>
      <c r="C66" s="608"/>
      <c r="D66" s="608"/>
      <c r="E66" s="609"/>
      <c r="F66" s="108" t="s">
        <v>206</v>
      </c>
      <c r="G66" s="127">
        <f>IF(G$35=1,('1. příruba'!H$26-'Těsnění, zatížení'!G64)/2,IF('Těsnění, zatížení'!G$35=2,('1. příruba'!H$62-'Těsnění, zatížení'!G64)/2,(MIN(MAX('1. příruba'!H$82,('Těsnění, zatížení'!G64+'Těsnění, zatížení'!G65*'1. příruba'!H$92)/(1+'Těsnění, zatížení'!G65)),'1. příruba'!H$83)-G64)/2))</f>
        <v>35.59375</v>
      </c>
      <c r="H66" s="190"/>
      <c r="I66" s="205"/>
      <c r="J66" s="191"/>
      <c r="K66" s="116" t="s">
        <v>123</v>
      </c>
      <c r="L66" s="164"/>
    </row>
    <row r="67" spans="1:16" ht="18.75" x14ac:dyDescent="0.35">
      <c r="A67" s="607" t="s">
        <v>211</v>
      </c>
      <c r="B67" s="608"/>
      <c r="C67" s="608"/>
      <c r="D67" s="608"/>
      <c r="E67" s="609"/>
      <c r="F67" s="108" t="s">
        <v>210</v>
      </c>
      <c r="G67" s="127">
        <f>IF(G$36=3, ('2. příruba'!H$109*'Těsnění, zatížení'!D$17)/('2. příruba'!H$108*'Těsnění, zatížení'!D$20),0)</f>
        <v>0</v>
      </c>
      <c r="H67" s="190"/>
      <c r="I67" s="205"/>
      <c r="J67" s="191"/>
      <c r="K67" s="116" t="s">
        <v>124</v>
      </c>
      <c r="L67" s="164"/>
    </row>
    <row r="68" spans="1:16" ht="19.5" thickBot="1" x14ac:dyDescent="0.3">
      <c r="A68" s="611" t="s">
        <v>205</v>
      </c>
      <c r="B68" s="612"/>
      <c r="C68" s="612"/>
      <c r="D68" s="612"/>
      <c r="E68" s="613"/>
      <c r="F68" s="134" t="s">
        <v>207</v>
      </c>
      <c r="G68" s="133">
        <f>IF(G$36=1,('2. příruba'!H$26-'Těsnění, zatížení'!G64)/2,IF('Těsnění, zatížení'!G$36=2,('2. příruba'!H$62-'Těsnění, zatížení'!G64)/2,(MIN(MAX('2. příruba'!H$82,('Těsnění, zatížení'!G64+'Těsnění, zatížení'!G67*'2. příruba'!H$92)/(1+'Těsnění, zatížení'!G67)),'2. příruba'!H$83)-G64)/2))</f>
        <v>35.59375</v>
      </c>
      <c r="H68" s="187"/>
      <c r="I68" s="188"/>
      <c r="J68" s="189"/>
      <c r="K68" s="121" t="s">
        <v>123</v>
      </c>
      <c r="L68" s="165"/>
    </row>
    <row r="69" spans="1:16" ht="16.5" thickBot="1" x14ac:dyDescent="0.3">
      <c r="A69" s="647" t="s">
        <v>293</v>
      </c>
      <c r="B69" s="618"/>
      <c r="C69" s="618"/>
      <c r="D69" s="618"/>
      <c r="E69" s="618"/>
      <c r="F69" s="211"/>
      <c r="G69" s="617"/>
      <c r="H69" s="618"/>
      <c r="I69" s="618"/>
      <c r="J69" s="619"/>
      <c r="K69" s="656"/>
      <c r="L69" s="657"/>
      <c r="M69" s="96"/>
    </row>
    <row r="70" spans="1:16" ht="18.75" x14ac:dyDescent="0.25">
      <c r="A70" s="633" t="s">
        <v>219</v>
      </c>
      <c r="B70" s="634"/>
      <c r="C70" s="634"/>
      <c r="D70" s="634"/>
      <c r="E70" s="635"/>
      <c r="F70" s="131" t="s">
        <v>218</v>
      </c>
      <c r="G70" s="126">
        <v>26.5</v>
      </c>
      <c r="H70" s="184"/>
      <c r="I70" s="185"/>
      <c r="J70" s="186"/>
      <c r="K70" s="125" t="s">
        <v>123</v>
      </c>
      <c r="L70" s="166"/>
    </row>
    <row r="71" spans="1:16" ht="18.75" x14ac:dyDescent="0.25">
      <c r="A71" s="607" t="s">
        <v>107</v>
      </c>
      <c r="B71" s="608"/>
      <c r="C71" s="608"/>
      <c r="D71" s="608"/>
      <c r="E71" s="609"/>
      <c r="F71" s="108" t="s">
        <v>214</v>
      </c>
      <c r="G71" s="127">
        <v>26.5</v>
      </c>
      <c r="H71" s="181"/>
      <c r="I71" s="182"/>
      <c r="J71" s="183"/>
      <c r="K71" s="116" t="s">
        <v>123</v>
      </c>
      <c r="L71" s="164"/>
      <c r="M71" s="100"/>
    </row>
    <row r="72" spans="1:16" ht="18.75" x14ac:dyDescent="0.25">
      <c r="A72" s="607" t="s">
        <v>128</v>
      </c>
      <c r="B72" s="608"/>
      <c r="C72" s="608"/>
      <c r="D72" s="608"/>
      <c r="E72" s="609"/>
      <c r="F72" s="108" t="s">
        <v>216</v>
      </c>
      <c r="G72" s="127">
        <v>93.5</v>
      </c>
      <c r="H72" s="181"/>
      <c r="I72" s="182"/>
      <c r="J72" s="183"/>
      <c r="K72" s="116" t="s">
        <v>123</v>
      </c>
      <c r="L72" s="164"/>
    </row>
    <row r="73" spans="1:16" ht="18.75" x14ac:dyDescent="0.25">
      <c r="A73" s="607" t="s">
        <v>204</v>
      </c>
      <c r="B73" s="608"/>
      <c r="C73" s="608"/>
      <c r="D73" s="608"/>
      <c r="E73" s="609"/>
      <c r="F73" s="16" t="s">
        <v>388</v>
      </c>
      <c r="G73" s="127">
        <v>35.59375</v>
      </c>
      <c r="H73" s="181"/>
      <c r="I73" s="182"/>
      <c r="J73" s="183"/>
      <c r="K73" s="116" t="s">
        <v>123</v>
      </c>
      <c r="L73" s="164"/>
    </row>
    <row r="74" spans="1:16" ht="18.75" x14ac:dyDescent="0.25">
      <c r="A74" s="607" t="s">
        <v>205</v>
      </c>
      <c r="B74" s="608"/>
      <c r="C74" s="608"/>
      <c r="D74" s="608"/>
      <c r="E74" s="609"/>
      <c r="F74" s="16" t="s">
        <v>389</v>
      </c>
      <c r="G74" s="127">
        <v>35.59375</v>
      </c>
      <c r="H74" s="181"/>
      <c r="I74" s="182"/>
      <c r="J74" s="183"/>
      <c r="K74" s="116" t="s">
        <v>123</v>
      </c>
      <c r="L74" s="164"/>
    </row>
    <row r="75" spans="1:16" ht="18.75" x14ac:dyDescent="0.25">
      <c r="A75" s="610" t="s">
        <v>219</v>
      </c>
      <c r="B75" s="608"/>
      <c r="C75" s="608"/>
      <c r="D75" s="608"/>
      <c r="E75" s="609"/>
      <c r="F75" s="108" t="s">
        <v>215</v>
      </c>
      <c r="G75" s="127">
        <f ca="1">IF(G$34=1, SQRT((G$40/(PI()*G72*D$8))/(G73*G$57/D$11+G74*G$59/D$17)+(G$55/(PI()*G72*G$43))^2),IF(G$34=2, SQRT(6*G$41*G$56*G$55/(PI()*G72*D$8)+(G$55/(PI()*G72*G$43))^2), SQRT(12*G$41*G$56*G$55/(PI()*G72*D$8)+(G$55/(PI()*G72*G$43))^2)))</f>
        <v>26.77302300217487</v>
      </c>
      <c r="H75" s="181"/>
      <c r="I75" s="182"/>
      <c r="J75" s="183"/>
      <c r="K75" s="123" t="s">
        <v>123</v>
      </c>
      <c r="L75" s="167"/>
    </row>
    <row r="76" spans="1:16" ht="18.75" x14ac:dyDescent="0.25">
      <c r="A76" s="610" t="s">
        <v>232</v>
      </c>
      <c r="B76" s="608"/>
      <c r="C76" s="608"/>
      <c r="D76" s="608"/>
      <c r="E76" s="609"/>
      <c r="F76" s="16" t="s">
        <v>307</v>
      </c>
      <c r="G76" s="127">
        <f ca="1">MIN(G75,G$49)</f>
        <v>26.5</v>
      </c>
      <c r="H76" s="206"/>
      <c r="I76" s="207"/>
      <c r="J76" s="208"/>
      <c r="K76" s="116" t="s">
        <v>123</v>
      </c>
      <c r="L76" s="164"/>
    </row>
    <row r="77" spans="1:16" ht="18.75" x14ac:dyDescent="0.25">
      <c r="A77" s="610" t="s">
        <v>295</v>
      </c>
      <c r="B77" s="608"/>
      <c r="C77" s="608"/>
      <c r="D77" s="608"/>
      <c r="E77" s="609"/>
      <c r="F77" s="16" t="s">
        <v>308</v>
      </c>
      <c r="G77" s="127">
        <f ca="1">IF(G$34=1, G$38-G76,IF(G$34=2,G$39,G$50))</f>
        <v>93.5</v>
      </c>
      <c r="H77" s="190"/>
      <c r="I77" s="205"/>
      <c r="J77" s="191"/>
      <c r="K77" s="116" t="s">
        <v>123</v>
      </c>
      <c r="L77" s="164"/>
    </row>
    <row r="78" spans="1:16" ht="18.75" x14ac:dyDescent="0.25">
      <c r="A78" s="607" t="s">
        <v>204</v>
      </c>
      <c r="B78" s="608"/>
      <c r="C78" s="608"/>
      <c r="D78" s="608"/>
      <c r="E78" s="609"/>
      <c r="F78" s="108" t="s">
        <v>212</v>
      </c>
      <c r="G78" s="127">
        <f ca="1">IF(G$35=1,('1. příruba'!H$26-'Těsnění, zatížení'!G77)/2,IF(G$35=2,('1. příruba'!H$62-'Těsnění, zatížení'!G77)/2,(MIN(MAX('1. příruba'!H$82,('Těsnění, zatížení'!G77+'Těsnění, zatížení'!G65*'1. příruba'!H$92)/(1+'Těsnění, zatížení'!G65)),'1. příruba'!H$83)-G77)/2))</f>
        <v>35.59375</v>
      </c>
      <c r="H78" s="190"/>
      <c r="I78" s="205"/>
      <c r="J78" s="191"/>
      <c r="K78" s="116" t="s">
        <v>123</v>
      </c>
      <c r="L78" s="164"/>
      <c r="P78" s="96"/>
    </row>
    <row r="79" spans="1:16" ht="18.75" x14ac:dyDescent="0.25">
      <c r="A79" s="607" t="s">
        <v>205</v>
      </c>
      <c r="B79" s="608"/>
      <c r="C79" s="608"/>
      <c r="D79" s="608"/>
      <c r="E79" s="609"/>
      <c r="F79" s="108" t="s">
        <v>213</v>
      </c>
      <c r="G79" s="127">
        <f ca="1">IF(G$36=1,('2. příruba'!H$26-'Těsnění, zatížení'!G77)/2,IF('Těsnění, zatížení'!G$36=2,('2. příruba'!H$62-'Těsnění, zatížení'!G77)/2,(MIN(MAX('2. příruba'!H$82,('Těsnění, zatížení'!G77+'Těsnění, zatížení'!G67*'2. příruba'!H$92)/(1+'Těsnění, zatížení'!G67)),'2. příruba'!H$83)-G77)/2))</f>
        <v>35.59375</v>
      </c>
      <c r="H79" s="190"/>
      <c r="I79" s="205"/>
      <c r="J79" s="191"/>
      <c r="K79" s="116" t="s">
        <v>123</v>
      </c>
      <c r="L79" s="164"/>
    </row>
    <row r="80" spans="1:16" x14ac:dyDescent="0.25">
      <c r="A80" s="607" t="s">
        <v>233</v>
      </c>
      <c r="B80" s="608"/>
      <c r="C80" s="608"/>
      <c r="D80" s="608"/>
      <c r="E80" s="609"/>
      <c r="F80" s="108" t="s">
        <v>230</v>
      </c>
      <c r="G80" s="235" t="str">
        <f ca="1">IF(ABS(G76-G71)&lt;G76/1000,"Ano","Ne")</f>
        <v>Ano</v>
      </c>
      <c r="H80" s="190"/>
      <c r="I80" s="205"/>
      <c r="J80" s="191"/>
      <c r="K80" s="116" t="s">
        <v>124</v>
      </c>
      <c r="L80" s="164"/>
    </row>
    <row r="81" spans="1:12" ht="18.75" x14ac:dyDescent="0.25">
      <c r="A81" s="607" t="s">
        <v>106</v>
      </c>
      <c r="B81" s="608"/>
      <c r="C81" s="608"/>
      <c r="D81" s="608"/>
      <c r="E81" s="609"/>
      <c r="F81" s="16" t="s">
        <v>309</v>
      </c>
      <c r="G81" s="127">
        <f ca="1">PI()*G76*G77</f>
        <v>7784.0811974321105</v>
      </c>
      <c r="H81" s="190"/>
      <c r="I81" s="205"/>
      <c r="J81" s="191"/>
      <c r="K81" s="116" t="s">
        <v>241</v>
      </c>
      <c r="L81" s="164"/>
    </row>
    <row r="82" spans="1:12" ht="19.5" thickBot="1" x14ac:dyDescent="0.3">
      <c r="A82" s="611" t="s">
        <v>220</v>
      </c>
      <c r="B82" s="612"/>
      <c r="C82" s="612"/>
      <c r="D82" s="612"/>
      <c r="E82" s="613"/>
      <c r="F82" s="132" t="s">
        <v>294</v>
      </c>
      <c r="G82" s="130">
        <f ca="1">G$40/G$51*(G$49+G$40/2)/(G76+G$40/2)</f>
        <v>2.5693462712847594E-4</v>
      </c>
      <c r="H82" s="187"/>
      <c r="I82" s="188"/>
      <c r="J82" s="189"/>
      <c r="K82" s="121" t="s">
        <v>245</v>
      </c>
      <c r="L82" s="165"/>
    </row>
    <row r="83" spans="1:12" ht="16.5" thickBot="1" x14ac:dyDescent="0.3">
      <c r="A83" s="647" t="s">
        <v>238</v>
      </c>
      <c r="B83" s="618"/>
      <c r="C83" s="618"/>
      <c r="D83" s="618"/>
      <c r="E83" s="619"/>
      <c r="F83" s="212"/>
      <c r="G83" s="618"/>
      <c r="H83" s="618"/>
      <c r="I83" s="618"/>
      <c r="J83" s="619"/>
      <c r="K83" s="605"/>
      <c r="L83" s="606"/>
    </row>
    <row r="84" spans="1:12" ht="18.75" x14ac:dyDescent="0.35">
      <c r="A84" s="685" t="s">
        <v>301</v>
      </c>
      <c r="B84" s="634"/>
      <c r="C84" s="634"/>
      <c r="D84" s="634"/>
      <c r="E84" s="635"/>
      <c r="F84" s="324" t="s">
        <v>270</v>
      </c>
      <c r="G84" s="126">
        <f>IF(G35=1,'1. příruba'!H$41,IF(G35=2,'1. příruba'!H$68,'1. příruba'!H$107))</f>
        <v>-3.2710924062313969</v>
      </c>
      <c r="H84" s="184"/>
      <c r="I84" s="185"/>
      <c r="J84" s="186"/>
      <c r="K84" s="122" t="s">
        <v>123</v>
      </c>
      <c r="L84" s="166"/>
    </row>
    <row r="85" spans="1:12" ht="18.75" x14ac:dyDescent="0.35">
      <c r="A85" s="610" t="s">
        <v>302</v>
      </c>
      <c r="B85" s="608"/>
      <c r="C85" s="608"/>
      <c r="D85" s="608"/>
      <c r="E85" s="609"/>
      <c r="F85" s="19" t="s">
        <v>296</v>
      </c>
      <c r="G85" s="127">
        <f ca="1">IF('Těsnění, zatížení'!G35=1,(('Těsnění, zatížení'!G77-'1. příruba'!H31)^2*(2*'Těsnění, zatížení'!G77+'1. příruba'!H31)/6+2*'1. příruba'!H9^2*'1. příruba'!H28)/'Těsnění, zatížení'!G77^2,IF('Těsnění, zatížení'!G35=2,(('Těsnění, zatížení'!G77-'1. příruba'!H66)^2*(2*'Těsnění, zatížení'!G77+'1. příruba'!H66)/6)/'Těsnění, zatížení'!G77^2,(('Těsnění, zatížení'!G77-'1. příruba'!H98)^2*(2*'Těsnění, zatížení'!G77+'1. příruba'!H98)/6+2*'1. příruba'!H74^2*'1. příruba'!H94)/'Těsnění, zatížení'!G77^2))</f>
        <v>31.330892327691547</v>
      </c>
      <c r="H85" s="181"/>
      <c r="I85" s="182"/>
      <c r="J85" s="183"/>
      <c r="K85" s="116" t="s">
        <v>123</v>
      </c>
      <c r="L85" s="164"/>
    </row>
    <row r="86" spans="1:12" ht="18.75" x14ac:dyDescent="0.35">
      <c r="A86" s="610" t="s">
        <v>303</v>
      </c>
      <c r="B86" s="608"/>
      <c r="C86" s="608"/>
      <c r="D86" s="608"/>
      <c r="E86" s="609"/>
      <c r="F86" s="19" t="s">
        <v>297</v>
      </c>
      <c r="G86" s="127">
        <f>IF(G35=1,('1. příruba'!H26-'1. příruba'!H31)/2,IF(G35=2,('1. příruba'!H62-'1. příruba'!H66)/2,((MIN(MAX('1. příruba'!H$82,('Těsnění, zatížení'!G77+'Těsnění, zatížení'!G65*'1. příruba'!H$92)/(1+'Těsnění, zatížení'!G65)),'1. příruba'!H$83))-'1. příruba'!H98)/2))</f>
        <v>35.899940379763827</v>
      </c>
      <c r="H86" s="206"/>
      <c r="I86" s="207"/>
      <c r="J86" s="208"/>
      <c r="K86" s="116" t="s">
        <v>123</v>
      </c>
      <c r="L86" s="164"/>
    </row>
    <row r="87" spans="1:12" ht="18.75" x14ac:dyDescent="0.35">
      <c r="A87" s="610" t="s">
        <v>304</v>
      </c>
      <c r="B87" s="608"/>
      <c r="C87" s="608"/>
      <c r="D87" s="608"/>
      <c r="E87" s="609"/>
      <c r="F87" s="19" t="s">
        <v>298</v>
      </c>
      <c r="G87" s="127">
        <f ca="1">IF(G35=1,('1. příruba'!H26-'Těsnění, zatížení'!G77)/2,IF(G35=2,('1. příruba'!H62-'Těsnění, zatížení'!G77)/2,((MIN(MAX('1. příruba'!H$82,('Těsnění, zatížení'!G77+'Těsnění, zatížení'!G65*'1. příruba'!H$92)/(1+'Těsnění, zatížení'!G65)),'1. příruba'!H$83)-'Těsnění, zatížení'!G77)/2)))</f>
        <v>35.59375</v>
      </c>
      <c r="H87" s="190"/>
      <c r="I87" s="205"/>
      <c r="J87" s="191"/>
      <c r="K87" s="116" t="s">
        <v>123</v>
      </c>
      <c r="L87" s="164"/>
    </row>
    <row r="88" spans="1:12" ht="18.75" x14ac:dyDescent="0.35">
      <c r="A88" s="610" t="s">
        <v>305</v>
      </c>
      <c r="B88" s="608"/>
      <c r="C88" s="608"/>
      <c r="D88" s="608"/>
      <c r="E88" s="609"/>
      <c r="F88" s="19" t="s">
        <v>299</v>
      </c>
      <c r="G88" s="127">
        <f>IF(G35=3,('1. příruba'!H92-MIN(MAX('1. příruba'!H$82,('Těsnění, zatížení'!G77+'Těsnění, zatížení'!G65*'1. příruba'!H$92)/(1+'Těsnění, zatížení'!G65)),'1. příruba'!H$83))/2,0)</f>
        <v>0</v>
      </c>
      <c r="H88" s="190"/>
      <c r="I88" s="205"/>
      <c r="J88" s="191"/>
      <c r="K88" s="116" t="s">
        <v>123</v>
      </c>
      <c r="L88" s="164"/>
    </row>
    <row r="89" spans="1:12" ht="19.5" thickBot="1" x14ac:dyDescent="0.4">
      <c r="A89" s="658" t="s">
        <v>306</v>
      </c>
      <c r="B89" s="612"/>
      <c r="C89" s="612"/>
      <c r="D89" s="612"/>
      <c r="E89" s="613"/>
      <c r="F89" s="129" t="s">
        <v>300</v>
      </c>
      <c r="G89" s="128">
        <f ca="1">IF(G35=1,('1. příruba'!H39*'1. příruba'!H37+'1. příruba'!H40*(2*'1. příruba'!H28*'1. příruba'!H9/'1. příruba'!H31^2-0.5*TAN(RADIANS('1. příruba'!H22))))*('1. příruba'!H31/'Těsnění, zatížení'!G77)^2,IF(G35=2,'1. příruba'!H66/8*(1-'1. příruba'!H67^2)*(0.7+3.3*'1. příruba'!H67^2)/(0.7+1.3*'1. příruba'!H67^2)*('1. příruba'!H66/'Těsnění, zatížení'!G77)^2,('1. příruba'!H105*'1. příruba'!H103+'1. příruba'!H106*2*'1. příruba'!H94*'1. příruba'!H74/'1. příruba'!H98^2)*('1. příruba'!H98/'Těsnění, zatížení'!G77)^2))</f>
        <v>26.569312784396995</v>
      </c>
      <c r="H89" s="187"/>
      <c r="I89" s="188"/>
      <c r="J89" s="189"/>
      <c r="K89" s="121" t="s">
        <v>123</v>
      </c>
      <c r="L89" s="165"/>
    </row>
    <row r="90" spans="1:12" ht="16.5" thickBot="1" x14ac:dyDescent="0.3">
      <c r="A90" s="647" t="s">
        <v>240</v>
      </c>
      <c r="B90" s="618"/>
      <c r="C90" s="618"/>
      <c r="D90" s="618"/>
      <c r="E90" s="619"/>
      <c r="F90" s="209"/>
      <c r="G90" s="617"/>
      <c r="H90" s="618"/>
      <c r="I90" s="618"/>
      <c r="J90" s="619"/>
      <c r="K90" s="605"/>
      <c r="L90" s="606"/>
    </row>
    <row r="91" spans="1:12" ht="18.75" x14ac:dyDescent="0.35">
      <c r="A91" s="659" t="s">
        <v>301</v>
      </c>
      <c r="B91" s="660"/>
      <c r="C91" s="660"/>
      <c r="D91" s="660"/>
      <c r="E91" s="661"/>
      <c r="F91" s="109" t="s">
        <v>387</v>
      </c>
      <c r="G91" s="118">
        <f>IF(G36=1,'2. příruba'!H$41,IF(G36=2,'2. příruba'!H$68,'2. příruba'!H$107))</f>
        <v>-3.1548799792902877</v>
      </c>
      <c r="H91" s="184"/>
      <c r="I91" s="185"/>
      <c r="J91" s="186"/>
      <c r="K91" s="122" t="s">
        <v>123</v>
      </c>
      <c r="L91" s="166"/>
    </row>
    <row r="92" spans="1:12" ht="18.75" x14ac:dyDescent="0.35">
      <c r="A92" s="610" t="s">
        <v>302</v>
      </c>
      <c r="B92" s="608"/>
      <c r="C92" s="608"/>
      <c r="D92" s="608"/>
      <c r="E92" s="655"/>
      <c r="F92" s="10" t="s">
        <v>319</v>
      </c>
      <c r="G92" s="119">
        <f ca="1">IF('Těsnění, zatížení'!G36=1,(('Těsnění, zatížení'!G77-'2. příruba'!H31)^2*(2*'Těsnění, zatížení'!G77+'2. příruba'!H31)/6+2*'2. příruba'!H9^2*'2. příruba'!H28)/'Těsnění, zatížení'!G77^2,IF('Těsnění, zatížení'!G36=2,(('Těsnění, zatížení'!G77-'2. příruba'!H66)^2*(2*'Těsnění, zatížení'!G77+'2. příruba'!H66)/6)/'Těsnění, zatížení'!G77^2,(('Těsnění, zatížení'!G77-'2. příruba'!H98)^2*(2*'Těsnění, zatížení'!G77+'2. příruba'!H98)/6+2*'2. příruba'!H74^2*'2. příruba'!H94)/'Těsnění, zatížení'!G77^2))</f>
        <v>31.75679678840816</v>
      </c>
      <c r="H92" s="206"/>
      <c r="I92" s="207"/>
      <c r="J92" s="208"/>
      <c r="K92" s="116" t="s">
        <v>123</v>
      </c>
      <c r="L92" s="164"/>
    </row>
    <row r="93" spans="1:12" ht="18.75" x14ac:dyDescent="0.35">
      <c r="A93" s="610" t="s">
        <v>303</v>
      </c>
      <c r="B93" s="608"/>
      <c r="C93" s="608"/>
      <c r="D93" s="608"/>
      <c r="E93" s="655"/>
      <c r="F93" s="10" t="s">
        <v>320</v>
      </c>
      <c r="G93" s="119">
        <f>IF(G36=1,('2. příruba'!H26-'2. příruba'!H31)/2,IF(G36=2,('2. příruba'!H62-'2. příruba'!H66)/2,((MIN(MAX('2. příruba'!H$82,('Těsnění, zatížení'!G77+'Těsnění, zatížení'!G67*'2. příruba'!H$92)/(1+'Těsnění, zatížení'!G67)),'2. příruba'!H$83))-'2. příruba'!H98)/2))</f>
        <v>40.14071263044859</v>
      </c>
      <c r="H93" s="184"/>
      <c r="I93" s="185"/>
      <c r="J93" s="186"/>
      <c r="K93" s="116" t="s">
        <v>123</v>
      </c>
      <c r="L93" s="164"/>
    </row>
    <row r="94" spans="1:12" ht="18.75" x14ac:dyDescent="0.35">
      <c r="A94" s="610" t="s">
        <v>304</v>
      </c>
      <c r="B94" s="608"/>
      <c r="C94" s="608"/>
      <c r="D94" s="608"/>
      <c r="E94" s="655"/>
      <c r="F94" s="10" t="s">
        <v>321</v>
      </c>
      <c r="G94" s="119">
        <f ca="1">IF(G36=1,('2. příruba'!H26-'Těsnění, zatížení'!G77)/2,IF(G36=2,('2. příruba'!H62-'Těsnění, zatížení'!G77)/2,((MIN(MAX('2. příruba'!H$82,('Těsnění, zatížení'!G77+'Těsnění, zatížení'!G67*'2. příruba'!H$92)/(1+'Těsnění, zatížení'!G67)),'2. příruba'!H$83)-'Těsnění, zatížení'!G77)/2)))</f>
        <v>35.59375</v>
      </c>
      <c r="H94" s="206"/>
      <c r="I94" s="207"/>
      <c r="J94" s="208"/>
      <c r="K94" s="116" t="s">
        <v>123</v>
      </c>
      <c r="L94" s="164"/>
    </row>
    <row r="95" spans="1:12" ht="18.75" x14ac:dyDescent="0.35">
      <c r="A95" s="610" t="s">
        <v>305</v>
      </c>
      <c r="B95" s="608"/>
      <c r="C95" s="608"/>
      <c r="D95" s="608"/>
      <c r="E95" s="655"/>
      <c r="F95" s="10" t="s">
        <v>322</v>
      </c>
      <c r="G95" s="119">
        <f>IF(G36=3,('2. příruba'!H92-MIN(MAX('2. příruba'!H$82,('Těsnění, zatížení'!G77+'Těsnění, zatížení'!G67*'2. příruba'!H$92)/(1+'Těsnění, zatížení'!G67)),'2. příruba'!H$83))/2,0)</f>
        <v>0</v>
      </c>
      <c r="H95" s="206"/>
      <c r="I95" s="207"/>
      <c r="J95" s="208"/>
      <c r="K95" s="116" t="s">
        <v>123</v>
      </c>
      <c r="L95" s="164"/>
    </row>
    <row r="96" spans="1:12" ht="19.5" thickBot="1" x14ac:dyDescent="0.4">
      <c r="A96" s="658" t="s">
        <v>306</v>
      </c>
      <c r="B96" s="612"/>
      <c r="C96" s="612"/>
      <c r="D96" s="612"/>
      <c r="E96" s="689"/>
      <c r="F96" s="23" t="s">
        <v>323</v>
      </c>
      <c r="G96" s="120">
        <f ca="1">IF(G36=1,('2. příruba'!H39*'2. příruba'!H37+'2. příruba'!H40*(2*'2. příruba'!H28*'2. příruba'!H9/'2. příruba'!H31^2-0.5*TAN(RADIANS('2. příruba'!H22))))*('2. příruba'!H31/'Těsnění, zatížení'!G77)^2,IF(G36=2,'2. příruba'!H66/8*(1-'2. příruba'!H67^2)*(0.7+3.3*'2. příruba'!H67^2)/(0.7+1.3*'2. příruba'!H67^2)*('2. příruba'!H66/'Těsnění, zatížení'!G77)^2,('2. příruba'!H105*'2. příruba'!H103+'2. příruba'!H106*2*'2. příruba'!H94*'2. příruba'!H74/'2. příruba'!H98^2)*('2. příruba'!H98/'Těsnění, zatížení'!G77)^2))</f>
        <v>28.213145836978839</v>
      </c>
      <c r="H96" s="187"/>
      <c r="I96" s="188"/>
      <c r="J96" s="189"/>
      <c r="K96" s="121" t="s">
        <v>123</v>
      </c>
      <c r="L96" s="165"/>
    </row>
    <row r="97" spans="1:17" ht="16.5" thickBot="1" x14ac:dyDescent="0.3">
      <c r="A97" s="647" t="s">
        <v>368</v>
      </c>
      <c r="B97" s="618"/>
      <c r="C97" s="618"/>
      <c r="D97" s="618"/>
      <c r="E97" s="618"/>
      <c r="F97" s="211"/>
      <c r="G97" s="617"/>
      <c r="H97" s="618"/>
      <c r="I97" s="618"/>
      <c r="J97" s="619"/>
      <c r="K97" s="605"/>
      <c r="L97" s="606"/>
    </row>
    <row r="98" spans="1:17" ht="18.75" x14ac:dyDescent="0.25">
      <c r="A98" s="659" t="s">
        <v>310</v>
      </c>
      <c r="B98" s="660"/>
      <c r="C98" s="660"/>
      <c r="D98" s="660"/>
      <c r="E98" s="661"/>
      <c r="F98" s="105" t="s">
        <v>334</v>
      </c>
      <c r="G98" s="111">
        <f ca="1">PI()*$G77^2*D4/4</f>
        <v>0</v>
      </c>
      <c r="H98" s="114">
        <f>PI()*$G37^2*E4/4</f>
        <v>3525.6523554911455</v>
      </c>
      <c r="I98" s="114">
        <f>PI()*$G37^2*F4/4</f>
        <v>3525.6523554911455</v>
      </c>
      <c r="J98" s="114">
        <f t="shared" ref="J98" si="0">PI()*$G37^2*G4/4</f>
        <v>3525.6523554911455</v>
      </c>
      <c r="K98" s="117" t="s">
        <v>102</v>
      </c>
      <c r="L98" s="168"/>
      <c r="N98" s="3" t="s">
        <v>449</v>
      </c>
    </row>
    <row r="99" spans="1:17" ht="18.75" x14ac:dyDescent="0.35">
      <c r="A99" s="610" t="s">
        <v>271</v>
      </c>
      <c r="B99" s="457"/>
      <c r="C99" s="457"/>
      <c r="D99" s="457"/>
      <c r="E99" s="616"/>
      <c r="F99" s="106" t="s">
        <v>348</v>
      </c>
      <c r="G99" s="110">
        <f>IF(G35=1,'1. příruba'!H10,IF(G35=2,'1. příruba'!H49,'1. příruba'!H77))</f>
        <v>34</v>
      </c>
      <c r="H99" s="113">
        <f>IF(G36=1,'2. příruba'!H10,IF(G36=2,'2. příruba'!H49,'2. příruba'!H77))</f>
        <v>34</v>
      </c>
      <c r="I99" s="181"/>
      <c r="J99" s="183"/>
      <c r="K99" s="116" t="s">
        <v>123</v>
      </c>
      <c r="L99" s="164"/>
    </row>
    <row r="100" spans="1:17" ht="18.75" x14ac:dyDescent="0.35">
      <c r="A100" s="610" t="s">
        <v>272</v>
      </c>
      <c r="B100" s="457"/>
      <c r="C100" s="457"/>
      <c r="D100" s="457"/>
      <c r="E100" s="616"/>
      <c r="F100" s="106" t="s">
        <v>275</v>
      </c>
      <c r="G100" s="110">
        <f>IF(G35=3,'1. příruba'!H76,0)</f>
        <v>0</v>
      </c>
      <c r="H100" s="113">
        <f>IF(G36=3,'2. příruba'!H76,0)</f>
        <v>0</v>
      </c>
      <c r="I100" s="206"/>
      <c r="J100" s="208"/>
      <c r="K100" s="116" t="s">
        <v>123</v>
      </c>
      <c r="L100" s="164"/>
    </row>
    <row r="101" spans="1:17" ht="19.5" x14ac:dyDescent="0.35">
      <c r="A101" s="610" t="s">
        <v>273</v>
      </c>
      <c r="B101" s="457"/>
      <c r="C101" s="457"/>
      <c r="D101" s="457"/>
      <c r="E101" s="616"/>
      <c r="F101" s="10" t="s">
        <v>230</v>
      </c>
      <c r="G101" s="614" t="str">
        <f>IF(H99+G99+H100+G100+G40=Šrouby!G7,"SPLNĚNA","NESPLNĚNA")</f>
        <v>SPLNĚNA</v>
      </c>
      <c r="H101" s="615"/>
      <c r="I101" s="190"/>
      <c r="J101" s="191"/>
      <c r="K101" s="116" t="s">
        <v>124</v>
      </c>
      <c r="L101" s="164">
        <v>4</v>
      </c>
    </row>
    <row r="102" spans="1:17" ht="18.75" x14ac:dyDescent="0.25">
      <c r="A102" s="610" t="s">
        <v>464</v>
      </c>
      <c r="B102" s="608"/>
      <c r="C102" s="608"/>
      <c r="D102" s="608"/>
      <c r="E102" s="655"/>
      <c r="F102" s="107" t="s">
        <v>465</v>
      </c>
      <c r="G102" s="236">
        <v>0</v>
      </c>
      <c r="H102" s="236">
        <f>((Šrouby!$G7*'Těsnění, zatížení'!E24/10^6*('Těsnění, zatížení'!E22-'Těsnění, zatížení'!$D22))-('Těsnění, zatížení'!$G99*'Těsnění, zatížení'!E12/10^6*('Těsnění, zatížení'!E10-'Těsnění, zatížení'!$D10))-('Těsnění, zatížení'!$G100*'Těsnění, zatížení'!E15/10^6*('Těsnění, zatížení'!E13-'Těsnění, zatížení'!$D13))-('Těsnění, zatížení'!$G40*'Těsnění, zatížení'!E9/10^6*('Těsnění, zatížení'!E7-'Těsnění, zatížení'!$D7))-('Těsnění, zatížení'!$H99*'Těsnění, zatížení'!E18/10^6*('Těsnění, zatížení'!E16-'Těsnění, zatížení'!$D16))-('Těsnění, zatížení'!$H100*'Těsnění, zatížení'!E21/10^6*('Těsnění, zatížení'!E19-'Těsnění, zatížení'!$D19)))/1.35</f>
        <v>0</v>
      </c>
      <c r="I102" s="236">
        <f>((Šrouby!$G7*'Těsnění, zatížení'!F24/10^6*('Těsnění, zatížení'!F22-'Těsnění, zatížení'!$D22))-('Těsnění, zatížení'!$G99*'Těsnění, zatížení'!F12/10^6*('Těsnění, zatížení'!F10-'Těsnění, zatížení'!$D10))-('Těsnění, zatížení'!$G100*'Těsnění, zatížení'!F15/10^6*('Těsnění, zatížení'!F13-'Těsnění, zatížení'!$D13))-('Těsnění, zatížení'!$G40*'Těsnění, zatížení'!F9/10^6*('Těsnění, zatížení'!F7-'Těsnění, zatížení'!$D7))-('Těsnění, zatížení'!$H99*'Těsnění, zatížení'!F18/10^6*('Těsnění, zatížení'!F16-'Těsnění, zatížení'!$D16))-('Těsnění, zatížení'!$H100*'Těsnění, zatížení'!F21/10^6*('Těsnění, zatížení'!F19-'Těsnění, zatížení'!$D19)))/1.35</f>
        <v>0</v>
      </c>
      <c r="J102" s="236">
        <f>((Šrouby!$G7*'Těsnění, zatížení'!G24/10^6*('Těsnění, zatížení'!G22-'Těsnění, zatížení'!$D22))-('Těsnění, zatížení'!$G99*'Těsnění, zatížení'!G12/10^6*('Těsnění, zatížení'!G10-'Těsnění, zatížení'!$D10))-('Těsnění, zatížení'!$G100*'Těsnění, zatížení'!G15/10^6*('Těsnění, zatížení'!G13-'Těsnění, zatížení'!$D13))-('Těsnění, zatížení'!$G40*'Těsnění, zatížení'!G9/10^6*('Těsnění, zatížení'!G7-'Těsnění, zatížení'!$D7))-('Těsnění, zatížení'!$H99*'Těsnění, zatížení'!G18/10^6*('Těsnění, zatížení'!G16-'Těsnění, zatížení'!$D16))-('Těsnění, zatížení'!$H100*'Těsnění, zatížení'!G21/10^6*('Těsnění, zatížení'!G19-'Těsnění, zatížení'!$D19)))/1.35</f>
        <v>-3.4400000000000014E-2</v>
      </c>
      <c r="K102" s="19" t="s">
        <v>123</v>
      </c>
      <c r="L102" s="164">
        <v>11</v>
      </c>
      <c r="N102" s="3"/>
    </row>
    <row r="103" spans="1:17" ht="18.75" x14ac:dyDescent="0.25">
      <c r="A103" s="610" t="s">
        <v>311</v>
      </c>
      <c r="B103" s="608"/>
      <c r="C103" s="608"/>
      <c r="D103" s="608"/>
      <c r="E103" s="655"/>
      <c r="F103" s="107" t="s">
        <v>314</v>
      </c>
      <c r="G103" s="112">
        <f ca="1">$G57*$G87^2/D11+$G59*$G94^2/D17+$G58*$G88^2/D14+$G60*$G95^2/D20+Šrouby!$G21/'Těsnění, zatížení'!D23+'Těsnění, zatížení'!$G82/'Těsnění, zatížení'!D8</f>
        <v>4.3708729377306932E-7</v>
      </c>
      <c r="H103" s="112">
        <f ca="1">$G57*$G87^2/E11+$G59*$G94^2/E17+$G58*$G88^2/E14+$G60*$G95^2/E20+Šrouby!$G21/'Těsnění, zatížení'!E23+'Těsnění, zatížení'!$G82/'Těsnění, zatížení'!E8</f>
        <v>4.3708729377306932E-7</v>
      </c>
      <c r="I103" s="112">
        <f ca="1">$G57*$G87^2/F11+$G59*$G94^2/F17+$G58*$G88^2/F14+$G60*$G95^2/F20+Šrouby!$G21/'Těsnění, zatížení'!F23+'Těsnění, zatížení'!$G82/'Těsnění, zatížení'!F8</f>
        <v>4.3708729377306932E-7</v>
      </c>
      <c r="J103" s="112">
        <f ca="1">$G57*$G87^2/G11+$G59*$G94^2/G17+$G58*$G88^2/G14+$G60*$G95^2/G20+Šrouby!$G21/'Těsnění, zatížení'!G23+'Těsnění, zatížení'!$G82/'Těsnění, zatížení'!G8</f>
        <v>4.3214586982740509E-7</v>
      </c>
      <c r="K103" s="19" t="s">
        <v>276</v>
      </c>
      <c r="L103" s="164"/>
    </row>
    <row r="104" spans="1:17" ht="18.75" x14ac:dyDescent="0.25">
      <c r="A104" s="610" t="s">
        <v>312</v>
      </c>
      <c r="B104" s="608"/>
      <c r="C104" s="608"/>
      <c r="D104" s="608"/>
      <c r="E104" s="655"/>
      <c r="F104" s="107" t="s">
        <v>315</v>
      </c>
      <c r="G104" s="112">
        <f ca="1">$G57*$G87*($G86-$G85+$G89)/D11+$G59*$G94*($G93-$G92+$G96)/D17+$G58*$G88^2/D14+$G60*$G95^2/D20+Šrouby!$G21/'Těsnění, zatížení'!D23</f>
        <v>3.088879021667447E-7</v>
      </c>
      <c r="H104" s="112">
        <f ca="1">$G57*$G87*($G86-$G85+$G89)/E11+$G59*$G94*($G93-$G92+$G96)/E17+$G58*$G88^2/E14+$G60*$G95^2/E20+Šrouby!$G21/'Těsnění, zatížení'!E23</f>
        <v>3.088879021667447E-7</v>
      </c>
      <c r="I104" s="112">
        <f ca="1">$G57*$G87*($G86-$G85+$G89)/F11+$G59*$G94*($G93-$G92+$G96)/F17+$G58*$G88^2/F14+$G60*$G95^2/F20+Šrouby!$G21/'Těsnění, zatížení'!F23</f>
        <v>3.088879021667447E-7</v>
      </c>
      <c r="J104" s="112">
        <f ca="1">$G57*$G87*($G86-$G85+$G89)/G11+$G59*$G94*($G93-$G92+$G96)/G17+$G58*$G88^2/G14+$G60*$G95^2/G20+Šrouby!$G21/'Těsnění, zatížení'!G23</f>
        <v>3.159884763955441E-7</v>
      </c>
      <c r="K104" s="19" t="s">
        <v>276</v>
      </c>
      <c r="L104" s="164"/>
    </row>
    <row r="105" spans="1:17" ht="18.75" x14ac:dyDescent="0.25">
      <c r="A105" s="610" t="s">
        <v>313</v>
      </c>
      <c r="B105" s="608"/>
      <c r="C105" s="608"/>
      <c r="D105" s="608"/>
      <c r="E105" s="655"/>
      <c r="F105" s="107" t="s">
        <v>316</v>
      </c>
      <c r="G105" s="230">
        <f ca="1">$G57*$G87*($G86+$G84)/D11+$G59*$G94*($G93+$G91)/D17+$G58*$G88^2/D14+$G60*$G95^2/D20+Šrouby!$G21/'Těsnění, zatížení'!D23</f>
        <v>3.1288969617064283E-7</v>
      </c>
      <c r="H105" s="112">
        <f ca="1">$G57*$G87*($G86+$G84)/E11+$G59*$G94*($G93+$G91)/E17+$G58*$G88^2/E14+$G60*$G95^2/E20+Šrouby!$G21/'Těsnění, zatížení'!E23</f>
        <v>3.1288969617064283E-7</v>
      </c>
      <c r="I105" s="112">
        <f ca="1">$G57*$G87*($G86+$G84)/F11+$G59*$G94*($G93+$G91)/F17+$G58*$G88^2/F14+$G60*$G95^2/F20+Šrouby!$G21/'Těsnění, zatížení'!F23</f>
        <v>3.1288969617064283E-7</v>
      </c>
      <c r="J105" s="112">
        <f ca="1">$G57*$G87*($G86+$G84)/G11+$G59*$G94*($G93+$G91)/G17+$G58*$G88^2/G14+$G60*$G95^2/G20+Šrouby!$G21/'Těsnění, zatížení'!G23</f>
        <v>3.2008238330490286E-7</v>
      </c>
      <c r="K105" s="19" t="s">
        <v>276</v>
      </c>
      <c r="L105" s="164"/>
    </row>
    <row r="106" spans="1:17" ht="18.75" x14ac:dyDescent="0.25">
      <c r="A106" s="610" t="s">
        <v>317</v>
      </c>
      <c r="B106" s="608"/>
      <c r="C106" s="608"/>
      <c r="D106" s="608"/>
      <c r="E106" s="655"/>
      <c r="F106" s="107" t="s">
        <v>318</v>
      </c>
      <c r="G106" s="113">
        <f ca="1">G81*G45</f>
        <v>778408.11974321108</v>
      </c>
      <c r="H106" s="113">
        <f ca="1">MAX($G81*H44,(-(MIN(H52,H53)+H98)))</f>
        <v>62272.649579456884</v>
      </c>
      <c r="I106" s="113">
        <f t="shared" ref="I106:J106" ca="1" si="1">MAX($G81*I44,(-(MIN(I52,I53)+I98)))</f>
        <v>62272.649579456884</v>
      </c>
      <c r="J106" s="113">
        <f t="shared" ca="1" si="1"/>
        <v>62272.649579456884</v>
      </c>
      <c r="K106" s="19" t="s">
        <v>279</v>
      </c>
      <c r="L106" s="169"/>
      <c r="N106" s="1"/>
      <c r="O106" s="1"/>
      <c r="P106" s="1"/>
      <c r="Q106" s="1"/>
    </row>
    <row r="107" spans="1:17" ht="18.75" customHeight="1" x14ac:dyDescent="0.25">
      <c r="A107" s="610" t="s">
        <v>280</v>
      </c>
      <c r="B107" s="608"/>
      <c r="C107" s="608"/>
      <c r="D107" s="608"/>
      <c r="E107" s="655"/>
      <c r="F107" s="107" t="s">
        <v>281</v>
      </c>
      <c r="G107" s="113">
        <f ca="1">MAX((H106*H103+(H98*H104+(H52*H105-G52*G105)+H102+AD24))/(G103*G46),(I106*I103+(I98*I104+(I52*I105-G52*G105)+I102+AE24))/(G103*G46),(J106*J103+(J98*J104+(J52*J105-G52*G105)+J102+AF24))/(G103*G46))</f>
        <v>64764.214480500006</v>
      </c>
      <c r="H107" s="221"/>
      <c r="I107" s="222"/>
      <c r="J107" s="223"/>
      <c r="K107" s="19" t="s">
        <v>279</v>
      </c>
      <c r="L107" s="169"/>
      <c r="N107" s="1"/>
      <c r="O107" s="1"/>
      <c r="P107" s="1"/>
      <c r="Q107" s="1"/>
    </row>
    <row r="108" spans="1:17" ht="18.75" x14ac:dyDescent="0.25">
      <c r="A108" s="610" t="s">
        <v>282</v>
      </c>
      <c r="B108" s="608"/>
      <c r="C108" s="608"/>
      <c r="D108" s="608"/>
      <c r="E108" s="655"/>
      <c r="F108" s="107" t="s">
        <v>283</v>
      </c>
      <c r="G108" s="113">
        <f ca="1">MAX((H106*H103+(H98*H104+(H53*H105-G53*G105)+H102+AD24))/(G103*G46),(I106*I103+(I98*I104+(I53*I105-G53*G105)+I102+AE24))/(G103*G46),(J106*J103+(J98*J104+(J53*J105-G53*G105)+J102+AF24))/(G103*G46))</f>
        <v>64764.214480500006</v>
      </c>
      <c r="H108" s="226"/>
      <c r="I108" s="227"/>
      <c r="J108" s="228"/>
      <c r="K108" s="19" t="s">
        <v>279</v>
      </c>
      <c r="L108" s="169"/>
      <c r="N108" s="1"/>
      <c r="O108" s="1"/>
      <c r="P108" s="1"/>
      <c r="Q108" s="1"/>
    </row>
    <row r="109" spans="1:17" ht="18.75" x14ac:dyDescent="0.25">
      <c r="A109" s="610" t="s">
        <v>287</v>
      </c>
      <c r="B109" s="608"/>
      <c r="C109" s="608"/>
      <c r="D109" s="608"/>
      <c r="E109" s="655"/>
      <c r="F109" s="107" t="s">
        <v>285</v>
      </c>
      <c r="G109" s="113">
        <f ca="1">MAX(G106,G107,G108)</f>
        <v>778408.11974321108</v>
      </c>
      <c r="H109" s="224"/>
      <c r="I109" s="273" t="s">
        <v>354</v>
      </c>
      <c r="J109" s="225"/>
      <c r="K109" s="19" t="s">
        <v>279</v>
      </c>
      <c r="L109" s="169"/>
      <c r="N109" s="1"/>
      <c r="O109" s="1"/>
      <c r="P109" s="1"/>
      <c r="Q109" s="1"/>
    </row>
    <row r="110" spans="1:17" ht="18.75" x14ac:dyDescent="0.25">
      <c r="A110" s="610" t="s">
        <v>288</v>
      </c>
      <c r="B110" s="608"/>
      <c r="C110" s="608"/>
      <c r="D110" s="608"/>
      <c r="E110" s="655"/>
      <c r="F110" s="107" t="s">
        <v>286</v>
      </c>
      <c r="G110" s="113">
        <f ca="1">G109+MAX(G52,G53)</f>
        <v>778408.11974321108</v>
      </c>
      <c r="H110" s="226"/>
      <c r="I110" s="274" t="s">
        <v>354</v>
      </c>
      <c r="J110" s="228"/>
      <c r="K110" s="19" t="s">
        <v>279</v>
      </c>
      <c r="L110" s="164"/>
      <c r="N110" s="1"/>
      <c r="O110" s="1"/>
      <c r="P110" s="1"/>
      <c r="Q110" s="1"/>
    </row>
    <row r="111" spans="1:17" x14ac:dyDescent="0.25">
      <c r="A111" s="607" t="s">
        <v>233</v>
      </c>
      <c r="B111" s="608"/>
      <c r="C111" s="608"/>
      <c r="D111" s="608"/>
      <c r="E111" s="655"/>
      <c r="F111" s="108" t="s">
        <v>230</v>
      </c>
      <c r="G111" s="234" t="str">
        <f ca="1">IF(ABS(G109-G55)&lt;G109/1000,"Ano","Ne")</f>
        <v>Ano</v>
      </c>
      <c r="H111" s="224"/>
      <c r="I111" s="273"/>
      <c r="J111" s="225"/>
      <c r="K111" s="116" t="s">
        <v>124</v>
      </c>
      <c r="L111" s="164"/>
      <c r="N111" s="1"/>
      <c r="O111" s="1"/>
      <c r="P111" s="1"/>
      <c r="Q111" s="1"/>
    </row>
    <row r="112" spans="1:17" ht="18.75" x14ac:dyDescent="0.25">
      <c r="A112" s="610" t="s">
        <v>332</v>
      </c>
      <c r="B112" s="608"/>
      <c r="C112" s="608"/>
      <c r="D112" s="608"/>
      <c r="E112" s="655"/>
      <c r="F112" s="107" t="s">
        <v>330</v>
      </c>
      <c r="G112" s="113">
        <f ca="1">G110/(1-Šrouby!G17)</f>
        <v>778408.11974321108</v>
      </c>
      <c r="H112" s="226"/>
      <c r="I112" s="274" t="s">
        <v>355</v>
      </c>
      <c r="J112" s="228"/>
      <c r="K112" s="19" t="s">
        <v>279</v>
      </c>
      <c r="L112" s="164"/>
      <c r="N112" s="1"/>
      <c r="O112" s="1"/>
      <c r="P112" s="1"/>
      <c r="Q112" s="1"/>
    </row>
    <row r="113" spans="1:17" ht="18.75" x14ac:dyDescent="0.25">
      <c r="A113" s="610" t="s">
        <v>333</v>
      </c>
      <c r="B113" s="608"/>
      <c r="C113" s="608"/>
      <c r="D113" s="608"/>
      <c r="E113" s="655"/>
      <c r="F113" s="107" t="s">
        <v>331</v>
      </c>
      <c r="G113" s="113">
        <f ca="1">G112*(1+Šrouby!G18)</f>
        <v>778408.11974321108</v>
      </c>
      <c r="H113" s="224"/>
      <c r="I113" s="273" t="s">
        <v>356</v>
      </c>
      <c r="J113" s="225"/>
      <c r="K113" s="19" t="s">
        <v>279</v>
      </c>
      <c r="L113" s="164">
        <v>6</v>
      </c>
      <c r="N113" s="1"/>
      <c r="O113" s="1"/>
      <c r="P113" s="1"/>
      <c r="Q113" s="1"/>
    </row>
    <row r="114" spans="1:17" ht="18.75" x14ac:dyDescent="0.25">
      <c r="A114" s="610" t="s">
        <v>352</v>
      </c>
      <c r="B114" s="608"/>
      <c r="C114" s="608"/>
      <c r="D114" s="608"/>
      <c r="E114" s="655"/>
      <c r="F114" s="107" t="s">
        <v>353</v>
      </c>
      <c r="G114" s="113">
        <f ca="1">MAX(G112-G52, G112-G53)</f>
        <v>778408.11974321108</v>
      </c>
      <c r="H114" s="226"/>
      <c r="I114" s="274" t="s">
        <v>355</v>
      </c>
      <c r="J114" s="228"/>
      <c r="K114" s="19" t="s">
        <v>279</v>
      </c>
      <c r="L114" s="164"/>
      <c r="N114" s="1"/>
      <c r="O114" s="1"/>
      <c r="P114" s="1"/>
      <c r="Q114" s="1"/>
    </row>
    <row r="115" spans="1:17" ht="18.75" x14ac:dyDescent="0.25">
      <c r="A115" s="610" t="s">
        <v>350</v>
      </c>
      <c r="B115" s="608"/>
      <c r="C115" s="608"/>
      <c r="D115" s="608"/>
      <c r="E115" s="655"/>
      <c r="F115" s="107" t="s">
        <v>351</v>
      </c>
      <c r="G115" s="113">
        <f ca="1">MAX(G113-G52, G113-G53)</f>
        <v>778408.11974321108</v>
      </c>
      <c r="H115" s="226"/>
      <c r="I115" s="274" t="s">
        <v>356</v>
      </c>
      <c r="J115" s="228"/>
      <c r="K115" s="19" t="s">
        <v>279</v>
      </c>
      <c r="L115" s="164">
        <v>6</v>
      </c>
      <c r="N115" s="1"/>
      <c r="O115" s="1"/>
      <c r="P115" s="1"/>
      <c r="Q115" s="1"/>
    </row>
    <row r="116" spans="1:17" ht="18.75" x14ac:dyDescent="0.25">
      <c r="A116" s="610" t="s">
        <v>357</v>
      </c>
      <c r="B116" s="457"/>
      <c r="C116" s="457"/>
      <c r="D116" s="457"/>
      <c r="E116" s="616"/>
      <c r="F116" s="107" t="s">
        <v>359</v>
      </c>
      <c r="G116" s="115" t="s">
        <v>70</v>
      </c>
      <c r="H116" s="113">
        <f ca="1">($G114*$G103*$G46-H105*H52+$G52*$G105-H98*H104-H102-(AD24))/H103</f>
        <v>775916.55484216788</v>
      </c>
      <c r="I116" s="113">
        <f ca="1">($G114*$G103*$G46-I105*I52+$G52*$G105-I98*I104-I102-(AE24))/I103</f>
        <v>775916.55484216788</v>
      </c>
      <c r="J116" s="113">
        <f ca="1">($G114*$G103*$G46-J105*J52+$G52*$G105-J98*J104-J102-(AF24))/J103</f>
        <v>864308.15084825701</v>
      </c>
      <c r="K116" s="19" t="s">
        <v>279</v>
      </c>
      <c r="L116" s="164"/>
      <c r="N116" s="1"/>
      <c r="O116" s="1"/>
      <c r="P116" s="1"/>
      <c r="Q116" s="1"/>
    </row>
    <row r="117" spans="1:17" ht="18.75" x14ac:dyDescent="0.25">
      <c r="A117" s="610" t="s">
        <v>358</v>
      </c>
      <c r="B117" s="457"/>
      <c r="C117" s="457"/>
      <c r="D117" s="457"/>
      <c r="E117" s="616"/>
      <c r="F117" s="107" t="s">
        <v>360</v>
      </c>
      <c r="G117" s="115" t="s">
        <v>70</v>
      </c>
      <c r="H117" s="113">
        <f ca="1">($G114*$G103*$G46-H105*H53+$G53*$G105-H98*H104-H102-(AD24))/H103</f>
        <v>775916.55484216788</v>
      </c>
      <c r="I117" s="113">
        <f ca="1">($G114*$G103*$G46-I105*I53+$G53*$G105-I98*I104-I102-(AE24))/I103</f>
        <v>775916.55484216788</v>
      </c>
      <c r="J117" s="113">
        <f ca="1">($G114*$G103*$G46-J105*J53+$G53*$G105-J98*J104-J102-(AF24))/J103</f>
        <v>864308.15084825701</v>
      </c>
      <c r="K117" s="19" t="s">
        <v>279</v>
      </c>
      <c r="L117" s="164"/>
      <c r="N117" s="1"/>
      <c r="O117" s="1"/>
      <c r="P117" s="1"/>
      <c r="Q117" s="1"/>
    </row>
    <row r="118" spans="1:17" ht="18.75" x14ac:dyDescent="0.25">
      <c r="A118" s="610" t="s">
        <v>361</v>
      </c>
      <c r="B118" s="457"/>
      <c r="C118" s="457"/>
      <c r="D118" s="457"/>
      <c r="E118" s="616"/>
      <c r="F118" s="107" t="s">
        <v>363</v>
      </c>
      <c r="G118" s="115" t="s">
        <v>70</v>
      </c>
      <c r="H118" s="113">
        <f ca="1">H116+H98+H52</f>
        <v>779442.20719765907</v>
      </c>
      <c r="I118" s="113">
        <f ca="1">I116+I98+I52</f>
        <v>779442.20719765907</v>
      </c>
      <c r="J118" s="113">
        <f ca="1">J116+J98+J52</f>
        <v>867833.80320374819</v>
      </c>
      <c r="K118" s="19" t="s">
        <v>279</v>
      </c>
      <c r="L118" s="164"/>
      <c r="N118" s="1"/>
      <c r="O118" s="1"/>
      <c r="P118" s="1"/>
      <c r="Q118" s="1"/>
    </row>
    <row r="119" spans="1:17" ht="18.75" x14ac:dyDescent="0.25">
      <c r="A119" s="610" t="s">
        <v>362</v>
      </c>
      <c r="B119" s="457"/>
      <c r="C119" s="457"/>
      <c r="D119" s="457"/>
      <c r="E119" s="616"/>
      <c r="F119" s="107" t="s">
        <v>364</v>
      </c>
      <c r="G119" s="115" t="s">
        <v>70</v>
      </c>
      <c r="H119" s="113">
        <f ca="1">H117+H98+H53</f>
        <v>779442.20719765907</v>
      </c>
      <c r="I119" s="113">
        <f t="shared" ref="I119:J119" ca="1" si="2">I117+I98+I53</f>
        <v>779442.20719765907</v>
      </c>
      <c r="J119" s="113">
        <f t="shared" ca="1" si="2"/>
        <v>867833.80320374819</v>
      </c>
      <c r="K119" s="19" t="s">
        <v>279</v>
      </c>
      <c r="L119" s="164"/>
      <c r="N119" s="1"/>
      <c r="O119" s="1"/>
      <c r="P119" s="1"/>
      <c r="Q119" s="1"/>
    </row>
    <row r="120" spans="1:17" ht="18.75" x14ac:dyDescent="0.25">
      <c r="A120" s="610" t="s">
        <v>457</v>
      </c>
      <c r="B120" s="608"/>
      <c r="C120" s="608"/>
      <c r="D120" s="608"/>
      <c r="E120" s="655"/>
      <c r="F120" s="107" t="s">
        <v>366</v>
      </c>
      <c r="G120" s="110">
        <f ca="1">G114/G81</f>
        <v>100</v>
      </c>
      <c r="H120" s="110">
        <f ca="1">MAX(H116,H117)/$G81</f>
        <v>99.67991535059204</v>
      </c>
      <c r="I120" s="110">
        <f t="shared" ref="I120:J120" ca="1" si="3">MAX(I116,I117)/$G81</f>
        <v>99.67991535059204</v>
      </c>
      <c r="J120" s="110">
        <f t="shared" ca="1" si="3"/>
        <v>111.03534623114973</v>
      </c>
      <c r="K120" s="19" t="s">
        <v>101</v>
      </c>
      <c r="L120" s="164">
        <v>7</v>
      </c>
      <c r="N120" s="1"/>
      <c r="O120" s="1"/>
      <c r="P120" s="1"/>
      <c r="Q120" s="1"/>
    </row>
    <row r="121" spans="1:17" ht="18.75" x14ac:dyDescent="0.25">
      <c r="A121" s="610" t="s">
        <v>365</v>
      </c>
      <c r="B121" s="608"/>
      <c r="C121" s="608"/>
      <c r="D121" s="608"/>
      <c r="E121" s="655"/>
      <c r="F121" s="107" t="s">
        <v>367</v>
      </c>
      <c r="G121" s="110">
        <f ca="1">G114/G81</f>
        <v>100</v>
      </c>
      <c r="H121" s="110">
        <f ca="1">MIN(H116,H117)/$G81</f>
        <v>99.67991535059204</v>
      </c>
      <c r="I121" s="110">
        <f t="shared" ref="I121:J121" ca="1" si="4">MIN(I116,I117)/$G81</f>
        <v>99.67991535059204</v>
      </c>
      <c r="J121" s="110">
        <f t="shared" ca="1" si="4"/>
        <v>111.03534623114973</v>
      </c>
      <c r="K121" s="19" t="s">
        <v>101</v>
      </c>
      <c r="L121" s="164">
        <v>7</v>
      </c>
      <c r="N121" s="1"/>
      <c r="O121" s="1"/>
      <c r="P121" s="1"/>
      <c r="Q121" s="1"/>
    </row>
    <row r="122" spans="1:17" ht="19.5" thickBot="1" x14ac:dyDescent="0.4">
      <c r="A122" s="610" t="s">
        <v>458</v>
      </c>
      <c r="B122" s="608"/>
      <c r="C122" s="608"/>
      <c r="D122" s="608"/>
      <c r="E122" s="655"/>
      <c r="F122" s="107" t="s">
        <v>459</v>
      </c>
      <c r="G122" s="110">
        <f ca="1">(G120+G121)/2</f>
        <v>100</v>
      </c>
      <c r="H122" s="110">
        <f t="shared" ref="H122:J122" ca="1" si="5">(H120+H121)/2</f>
        <v>99.67991535059204</v>
      </c>
      <c r="I122" s="110">
        <f t="shared" ca="1" si="5"/>
        <v>99.67991535059204</v>
      </c>
      <c r="J122" s="110">
        <f t="shared" ca="1" si="5"/>
        <v>111.03534623114973</v>
      </c>
      <c r="K122" s="19" t="s">
        <v>101</v>
      </c>
      <c r="L122" s="164">
        <v>8</v>
      </c>
      <c r="N122" s="1"/>
      <c r="O122" s="1"/>
      <c r="P122" s="1"/>
      <c r="Q122" s="1"/>
    </row>
    <row r="123" spans="1:17" ht="16.5" thickBot="1" x14ac:dyDescent="0.3">
      <c r="A123" s="647" t="s">
        <v>397</v>
      </c>
      <c r="B123" s="618"/>
      <c r="C123" s="618"/>
      <c r="D123" s="618"/>
      <c r="E123" s="618"/>
      <c r="F123" s="233"/>
      <c r="G123" s="702"/>
      <c r="H123" s="703"/>
      <c r="I123" s="703"/>
      <c r="J123" s="704"/>
      <c r="K123" s="690"/>
      <c r="L123" s="691"/>
      <c r="N123" s="1"/>
      <c r="O123" s="1"/>
      <c r="P123" s="1"/>
      <c r="Q123" s="1"/>
    </row>
    <row r="124" spans="1:17" ht="18.75" x14ac:dyDescent="0.25">
      <c r="A124" s="692" t="s">
        <v>373</v>
      </c>
      <c r="B124" s="693"/>
      <c r="C124" s="693"/>
      <c r="D124" s="693"/>
      <c r="E124" s="694"/>
      <c r="F124" s="231" t="s">
        <v>377</v>
      </c>
      <c r="G124" s="232">
        <f ca="1">G112*Šrouby!G19/'Těsnění, zatížení'!G8</f>
        <v>989.29031267059293</v>
      </c>
      <c r="H124" s="695"/>
      <c r="I124" s="696"/>
      <c r="J124" s="697"/>
      <c r="K124" s="19" t="s">
        <v>374</v>
      </c>
      <c r="L124" s="166"/>
      <c r="N124" s="1"/>
      <c r="O124" s="1"/>
      <c r="P124" s="1"/>
      <c r="Q124" s="1"/>
    </row>
    <row r="125" spans="1:17" ht="18.75" x14ac:dyDescent="0.25">
      <c r="A125" s="698" t="s">
        <v>383</v>
      </c>
      <c r="B125" s="699"/>
      <c r="C125" s="699"/>
      <c r="D125" s="699"/>
      <c r="E125" s="700"/>
      <c r="F125" s="231" t="s">
        <v>384</v>
      </c>
      <c r="G125" s="275">
        <f ca="1">((G113/Šrouby!G15)^2+3*('Těsnění, zatížení'!G124*Šrouby!G20/(PI()*Šrouby!G4^3/16))^2)^(0.5)/Šrouby!G9</f>
        <v>0.92004577309693614</v>
      </c>
      <c r="H125" s="275">
        <f ca="1">((MAX(H118,H119)/Šrouby!$G15)^2+3*('Těsnění, zatížení'!$G124*Šrouby!$G20/PI()/Šrouby!$G4^3*16)^2)^(0.5)/Šrouby!$G9</f>
        <v>0.92126801473841702</v>
      </c>
      <c r="I125" s="275">
        <f ca="1">((MAX(I118,I119)/Šrouby!$G15)^2+3*('Těsnění, zatížení'!$G124*Šrouby!$G20/PI()/Šrouby!$G4^3*16)^2)^(0.5)/Šrouby!$G9</f>
        <v>0.92126801473841702</v>
      </c>
      <c r="J125" s="275">
        <f ca="1">((MAX(J118,J119)/Šrouby!$G15)^2+3*('Těsnění, zatížení'!$G124*Šrouby!$G20/PI()/Šrouby!$G4^3*16)^2)^(0.5)/Šrouby!$G9</f>
        <v>1.0257426585502984</v>
      </c>
      <c r="K125" s="19" t="s">
        <v>124</v>
      </c>
      <c r="L125" s="166">
        <v>9</v>
      </c>
      <c r="N125" s="1"/>
      <c r="O125" s="1"/>
      <c r="P125" s="1"/>
      <c r="Q125" s="1"/>
    </row>
    <row r="126" spans="1:17" ht="18.75" x14ac:dyDescent="0.25">
      <c r="A126" s="698" t="s">
        <v>390</v>
      </c>
      <c r="B126" s="699"/>
      <c r="C126" s="699"/>
      <c r="D126" s="699"/>
      <c r="E126" s="700"/>
      <c r="F126" s="231" t="s">
        <v>391</v>
      </c>
      <c r="G126" s="232">
        <f ca="1">G120/G43</f>
        <v>0.20833333333333334</v>
      </c>
      <c r="H126" s="232">
        <f t="shared" ref="H126:J126" ca="1" si="6">H120/H43</f>
        <v>0.20766649031373341</v>
      </c>
      <c r="I126" s="232">
        <f t="shared" ca="1" si="6"/>
        <v>0.20766649031373341</v>
      </c>
      <c r="J126" s="232">
        <f t="shared" ca="1" si="6"/>
        <v>0.23132363798156194</v>
      </c>
      <c r="K126" s="19" t="s">
        <v>124</v>
      </c>
      <c r="L126" s="166">
        <v>10</v>
      </c>
      <c r="N126" s="1"/>
      <c r="O126" s="1"/>
      <c r="P126" s="1"/>
      <c r="Q126" s="1"/>
    </row>
    <row r="127" spans="1:17" ht="18.75" x14ac:dyDescent="0.25">
      <c r="A127" s="698" t="s">
        <v>451</v>
      </c>
      <c r="B127" s="699"/>
      <c r="C127" s="699"/>
      <c r="D127" s="699"/>
      <c r="E127" s="700"/>
      <c r="F127" s="231" t="s">
        <v>450</v>
      </c>
      <c r="G127" s="232">
        <f ca="1">G112/Šrouby!G15</f>
        <v>276.0130100218027</v>
      </c>
      <c r="H127" s="232">
        <f ca="1">H118/Šrouby!$G15</f>
        <v>276.37968347200018</v>
      </c>
      <c r="I127" s="232">
        <f ca="1">I118/Šrouby!$G15</f>
        <v>276.37968347200018</v>
      </c>
      <c r="J127" s="232">
        <f ca="1">J118/Šrouby!$G15</f>
        <v>307.72215004637275</v>
      </c>
      <c r="K127" s="19" t="s">
        <v>101</v>
      </c>
      <c r="L127" s="166"/>
      <c r="N127" s="1"/>
      <c r="O127" s="1"/>
      <c r="P127" s="1"/>
      <c r="Q127" s="1"/>
    </row>
    <row r="128" spans="1:17" x14ac:dyDescent="0.25">
      <c r="A128" s="698" t="s">
        <v>392</v>
      </c>
      <c r="B128" s="699"/>
      <c r="C128" s="699"/>
      <c r="D128" s="699"/>
      <c r="E128" s="700"/>
      <c r="F128" s="231" t="s">
        <v>393</v>
      </c>
      <c r="G128" s="232">
        <f ca="1">G112/Šrouby!G15</f>
        <v>276.0130100218027</v>
      </c>
      <c r="H128" s="113">
        <f ca="1">G112/Šrouby!G8</f>
        <v>97301.014967901385</v>
      </c>
      <c r="I128" s="237"/>
      <c r="J128" s="238"/>
      <c r="K128" s="19" t="s">
        <v>396</v>
      </c>
      <c r="L128" s="166"/>
      <c r="N128" s="1"/>
      <c r="O128" s="1"/>
      <c r="P128" s="1"/>
      <c r="Q128" s="1"/>
    </row>
    <row r="129" spans="1:17" x14ac:dyDescent="0.25">
      <c r="A129" s="665" t="s">
        <v>395</v>
      </c>
      <c r="B129" s="545"/>
      <c r="C129" s="545"/>
      <c r="D129" s="545"/>
      <c r="E129" s="546"/>
      <c r="F129" s="107" t="s">
        <v>394</v>
      </c>
      <c r="G129" s="272">
        <f ca="1">4*H128/(PI()*D23)*(((Šrouby!G7-Šrouby!G6)/Šrouby!G14^2)+(Šrouby!G6/Šrouby!G4^2))</f>
        <v>9.4248344885493593E-2</v>
      </c>
      <c r="H129" s="666"/>
      <c r="I129" s="667"/>
      <c r="J129" s="668"/>
      <c r="K129" s="19" t="s">
        <v>123</v>
      </c>
      <c r="L129" s="164"/>
      <c r="N129" s="1"/>
      <c r="O129" s="1"/>
      <c r="P129" s="1"/>
      <c r="Q129" s="1"/>
    </row>
    <row r="130" spans="1:17" ht="18.75" x14ac:dyDescent="0.25">
      <c r="A130" s="665" t="s">
        <v>438</v>
      </c>
      <c r="B130" s="545"/>
      <c r="C130" s="545"/>
      <c r="D130" s="545"/>
      <c r="E130" s="546"/>
      <c r="F130" s="107" t="s">
        <v>440</v>
      </c>
      <c r="G130" s="272">
        <f ca="1">$G57/D11*($G114*$G87+G98*($G86-$G85+$G89)+(G52+G53)/2*($G86+$G84))*(360/2/PI())</f>
        <v>8.7745074310377938E-2</v>
      </c>
      <c r="H130" s="272">
        <f ca="1">$G57/E11*((H116+H117)/2*$G87+H98*($G86-$G85+$G89)+(H52+H53)/2*($G86+$G84))*(360/2/PI())</f>
        <v>8.7811893529430751E-2</v>
      </c>
      <c r="I130" s="272">
        <f t="shared" ref="I130:J130" ca="1" si="7">$G57/F11*((I116+I117)/2*$G87+I98*($G86-$G85+$G89)+(I52+I53)/2*($G86+$G84))*(360/2/PI())</f>
        <v>8.7811893529430751E-2</v>
      </c>
      <c r="J130" s="272">
        <f t="shared" ca="1" si="7"/>
        <v>0.10002631692464418</v>
      </c>
      <c r="K130" s="19" t="s">
        <v>442</v>
      </c>
      <c r="L130" s="164"/>
      <c r="N130" s="1"/>
      <c r="O130" s="1"/>
      <c r="P130" s="1"/>
      <c r="Q130" s="1"/>
    </row>
    <row r="131" spans="1:17" ht="18.75" x14ac:dyDescent="0.25">
      <c r="A131" s="665" t="s">
        <v>439</v>
      </c>
      <c r="B131" s="545"/>
      <c r="C131" s="545"/>
      <c r="D131" s="545"/>
      <c r="E131" s="546"/>
      <c r="F131" s="107" t="s">
        <v>441</v>
      </c>
      <c r="G131" s="272">
        <f ca="1">$G59/D17*(G114*$G94+G98*($G93-$G92+$G96)+(G52+G53)*($G93+$G91))*360/2/PI()</f>
        <v>0.12268175994253332</v>
      </c>
      <c r="H131" s="272">
        <f ca="1">$G59/E17*((H116+H117)/2*$G94+H98*($G93-$G92+$G96)+(H52+H53)/2*($G93+$G91))*360/2/PI()</f>
        <v>0.12286040126457246</v>
      </c>
      <c r="I131" s="272">
        <f t="shared" ref="I131:J131" ca="1" si="8">$G59/F17*((I116+I117)/2*$G94+I98*($G93-$G92+$G96)+(I52+I53)/2*($G93+$G91))*360/2/PI()</f>
        <v>0.12286040126457246</v>
      </c>
      <c r="J131" s="272">
        <f t="shared" ca="1" si="8"/>
        <v>0.13994009587508799</v>
      </c>
      <c r="K131" s="19" t="s">
        <v>442</v>
      </c>
      <c r="L131" s="164"/>
      <c r="N131" s="1"/>
      <c r="O131" s="1"/>
      <c r="P131" s="1"/>
      <c r="Q131" s="1"/>
    </row>
    <row r="132" spans="1:17" ht="19.5" thickBot="1" x14ac:dyDescent="0.3">
      <c r="A132" s="705" t="s">
        <v>445</v>
      </c>
      <c r="B132" s="706"/>
      <c r="C132" s="706"/>
      <c r="D132" s="706"/>
      <c r="E132" s="707"/>
      <c r="F132" s="218" t="s">
        <v>446</v>
      </c>
      <c r="G132" s="239">
        <f ca="1">G131+G130</f>
        <v>0.21042683425291125</v>
      </c>
      <c r="H132" s="239">
        <f t="shared" ref="H132:J132" ca="1" si="9">H131+H130</f>
        <v>0.21067229479400321</v>
      </c>
      <c r="I132" s="239">
        <f t="shared" ca="1" si="9"/>
        <v>0.21067229479400321</v>
      </c>
      <c r="J132" s="239">
        <f t="shared" ca="1" si="9"/>
        <v>0.23996641279973219</v>
      </c>
      <c r="K132" s="219" t="s">
        <v>442</v>
      </c>
      <c r="L132" s="220"/>
      <c r="N132" s="1"/>
      <c r="O132" s="1"/>
      <c r="P132" s="1"/>
      <c r="Q132" s="1"/>
    </row>
    <row r="133" spans="1:17" ht="16.5" thickTop="1" x14ac:dyDescent="0.25">
      <c r="N133" s="1"/>
      <c r="O133" s="1"/>
      <c r="P133" s="1"/>
      <c r="Q133" s="1"/>
    </row>
    <row r="134" spans="1:17" x14ac:dyDescent="0.25">
      <c r="B134" s="100"/>
      <c r="C134" s="100"/>
      <c r="D134" s="100"/>
      <c r="E134" s="100"/>
      <c r="F134" s="97"/>
      <c r="G134" s="99"/>
      <c r="H134" s="99"/>
      <c r="I134" s="99"/>
      <c r="J134" s="99"/>
      <c r="K134" s="315"/>
      <c r="N134" s="1"/>
      <c r="O134" s="1"/>
      <c r="P134" s="1"/>
      <c r="Q134" s="1"/>
    </row>
    <row r="135" spans="1:17" ht="15.75" customHeight="1" x14ac:dyDescent="0.25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</row>
    <row r="136" spans="1:17" ht="21" x14ac:dyDescent="0.35">
      <c r="A136" s="701" t="s">
        <v>182</v>
      </c>
      <c r="B136" s="701"/>
      <c r="C136" s="51" t="s">
        <v>187</v>
      </c>
      <c r="D136" s="522" t="s">
        <v>413</v>
      </c>
      <c r="E136" s="522"/>
      <c r="F136" s="522"/>
      <c r="G136" s="522"/>
    </row>
    <row r="137" spans="1:17" x14ac:dyDescent="0.25">
      <c r="C137" s="51" t="s">
        <v>188</v>
      </c>
      <c r="D137" s="522" t="s">
        <v>412</v>
      </c>
      <c r="E137" s="522"/>
      <c r="F137" s="522"/>
      <c r="G137" s="522"/>
      <c r="H137" s="522"/>
    </row>
    <row r="138" spans="1:17" ht="18.75" x14ac:dyDescent="0.35">
      <c r="C138" s="51" t="s">
        <v>184</v>
      </c>
      <c r="D138" s="522" t="s">
        <v>411</v>
      </c>
      <c r="E138" s="522"/>
      <c r="F138" s="522"/>
      <c r="G138" s="522"/>
      <c r="H138" s="522"/>
      <c r="I138" s="522"/>
    </row>
    <row r="139" spans="1:17" x14ac:dyDescent="0.25">
      <c r="C139" s="51" t="s">
        <v>185</v>
      </c>
      <c r="D139" s="522" t="s">
        <v>410</v>
      </c>
      <c r="E139" s="522"/>
      <c r="F139" s="522"/>
      <c r="G139" s="522"/>
      <c r="H139" s="522"/>
      <c r="I139" s="522"/>
    </row>
    <row r="140" spans="1:17" x14ac:dyDescent="0.25">
      <c r="C140" s="51" t="s">
        <v>186</v>
      </c>
      <c r="D140" s="522" t="s">
        <v>409</v>
      </c>
      <c r="E140" s="522"/>
      <c r="F140" s="522"/>
    </row>
    <row r="141" spans="1:17" x14ac:dyDescent="0.25">
      <c r="C141" s="51" t="s">
        <v>248</v>
      </c>
      <c r="D141" s="316" t="s">
        <v>335</v>
      </c>
    </row>
    <row r="142" spans="1:17" ht="18.75" x14ac:dyDescent="0.35">
      <c r="C142" s="51" t="s">
        <v>338</v>
      </c>
      <c r="D142" s="522" t="s">
        <v>414</v>
      </c>
      <c r="E142" s="522"/>
      <c r="F142" s="522"/>
      <c r="G142" s="522"/>
      <c r="H142" s="522"/>
      <c r="I142" s="522"/>
      <c r="J142" s="318"/>
      <c r="K142" s="318"/>
      <c r="L142" s="318"/>
      <c r="M142" s="318"/>
      <c r="N142" s="318"/>
      <c r="O142" s="318"/>
    </row>
    <row r="143" spans="1:17" ht="18.75" x14ac:dyDescent="0.35">
      <c r="C143" s="51" t="s">
        <v>370</v>
      </c>
      <c r="D143" s="522" t="s">
        <v>415</v>
      </c>
      <c r="E143" s="522"/>
      <c r="F143" s="522"/>
      <c r="G143" s="522"/>
      <c r="H143" s="522"/>
      <c r="I143" s="522"/>
      <c r="J143" s="318"/>
      <c r="K143" s="318"/>
      <c r="L143" s="318"/>
      <c r="M143" s="318"/>
      <c r="N143" s="318"/>
      <c r="O143" s="318"/>
    </row>
    <row r="144" spans="1:17" x14ac:dyDescent="0.25">
      <c r="C144" s="51" t="s">
        <v>385</v>
      </c>
      <c r="D144" s="522" t="s">
        <v>386</v>
      </c>
      <c r="E144" s="522"/>
      <c r="F144" s="522"/>
      <c r="G144" s="522"/>
      <c r="H144" s="522"/>
      <c r="I144" s="318"/>
      <c r="J144" s="318"/>
      <c r="K144" s="318"/>
      <c r="L144" s="318"/>
      <c r="M144" s="318"/>
      <c r="N144" s="318"/>
      <c r="O144" s="318"/>
    </row>
    <row r="145" spans="3:15" ht="18.75" x14ac:dyDescent="0.35">
      <c r="C145" s="51" t="s">
        <v>460</v>
      </c>
      <c r="D145" s="522" t="s">
        <v>461</v>
      </c>
      <c r="E145" s="522"/>
      <c r="F145" s="522"/>
      <c r="G145" s="522"/>
      <c r="H145" s="522"/>
      <c r="I145" s="318"/>
      <c r="J145" s="318"/>
      <c r="K145" s="318"/>
      <c r="L145" s="318"/>
      <c r="M145" s="318"/>
      <c r="N145" s="318"/>
      <c r="O145" s="318"/>
    </row>
    <row r="146" spans="3:15" x14ac:dyDescent="0.25">
      <c r="C146" s="51" t="s">
        <v>462</v>
      </c>
      <c r="D146" s="522" t="s">
        <v>480</v>
      </c>
      <c r="E146" s="522"/>
      <c r="F146" s="522"/>
      <c r="G146" s="522"/>
      <c r="H146" s="522"/>
      <c r="I146" s="522"/>
      <c r="J146" s="318"/>
      <c r="K146" s="318"/>
      <c r="L146" s="318"/>
      <c r="M146" s="318"/>
      <c r="N146" s="318"/>
      <c r="O146" s="318"/>
    </row>
    <row r="147" spans="3:15" x14ac:dyDescent="0.25">
      <c r="C147" s="51"/>
      <c r="D147" s="317"/>
      <c r="E147" s="317"/>
      <c r="F147" s="317"/>
      <c r="G147" s="317"/>
      <c r="H147" s="317"/>
      <c r="I147" s="318"/>
      <c r="J147" s="318"/>
      <c r="K147" s="318"/>
      <c r="L147" s="318"/>
      <c r="M147" s="318"/>
      <c r="N147" s="318"/>
      <c r="O147" s="318"/>
    </row>
    <row r="148" spans="3:15" x14ac:dyDescent="0.25">
      <c r="C148" s="240" t="s">
        <v>70</v>
      </c>
      <c r="D148" s="650" t="s">
        <v>398</v>
      </c>
      <c r="E148" s="449"/>
      <c r="F148" s="449"/>
      <c r="G148" s="449"/>
      <c r="H148" s="449"/>
      <c r="I148" s="449"/>
      <c r="J148" s="104"/>
      <c r="K148" s="318"/>
      <c r="L148" s="318"/>
      <c r="M148" s="318"/>
      <c r="N148" s="318"/>
      <c r="O148" s="318"/>
    </row>
    <row r="149" spans="3:15" x14ac:dyDescent="0.25">
      <c r="C149" s="318"/>
      <c r="D149" s="449"/>
      <c r="E149" s="449"/>
      <c r="F149" s="449"/>
      <c r="G149" s="449"/>
      <c r="H149" s="449"/>
      <c r="I149" s="449"/>
      <c r="J149" s="318"/>
      <c r="K149" s="318"/>
      <c r="L149" s="318"/>
      <c r="M149" s="318"/>
      <c r="N149" s="318"/>
      <c r="O149" s="318"/>
    </row>
    <row r="150" spans="3:15" x14ac:dyDescent="0.25">
      <c r="C150" s="318"/>
      <c r="D150" s="449"/>
      <c r="E150" s="449"/>
      <c r="F150" s="449"/>
      <c r="G150" s="449"/>
      <c r="H150" s="449"/>
      <c r="I150" s="449"/>
      <c r="J150" s="318"/>
      <c r="K150" s="318"/>
      <c r="L150" s="318"/>
      <c r="M150" s="318"/>
      <c r="N150" s="318"/>
      <c r="O150" s="318"/>
    </row>
    <row r="151" spans="3:15" ht="15.75" customHeight="1" x14ac:dyDescent="0.25">
      <c r="C151" s="318"/>
      <c r="D151" s="449"/>
      <c r="E151" s="449"/>
      <c r="F151" s="449"/>
      <c r="G151" s="449"/>
      <c r="H151" s="449"/>
      <c r="I151" s="449"/>
      <c r="J151" s="318"/>
      <c r="K151" s="318"/>
      <c r="L151" s="318"/>
      <c r="M151" s="318"/>
      <c r="N151" s="318"/>
      <c r="O151" s="318"/>
    </row>
  </sheetData>
  <sheetProtection pivotTables="0"/>
  <mergeCells count="204">
    <mergeCell ref="D144:H144"/>
    <mergeCell ref="K123:L123"/>
    <mergeCell ref="A123:E123"/>
    <mergeCell ref="A124:E124"/>
    <mergeCell ref="H124:J124"/>
    <mergeCell ref="A125:E125"/>
    <mergeCell ref="A126:E126"/>
    <mergeCell ref="A128:E128"/>
    <mergeCell ref="A136:B136"/>
    <mergeCell ref="G123:J123"/>
    <mergeCell ref="D142:I142"/>
    <mergeCell ref="D143:I143"/>
    <mergeCell ref="D140:F140"/>
    <mergeCell ref="D139:I139"/>
    <mergeCell ref="D138:I138"/>
    <mergeCell ref="D137:H137"/>
    <mergeCell ref="D136:G136"/>
    <mergeCell ref="A131:E131"/>
    <mergeCell ref="A127:E127"/>
    <mergeCell ref="A132:E132"/>
    <mergeCell ref="A121:E121"/>
    <mergeCell ref="A97:E97"/>
    <mergeCell ref="A114:E114"/>
    <mergeCell ref="A90:E90"/>
    <mergeCell ref="A112:E112"/>
    <mergeCell ref="A106:E106"/>
    <mergeCell ref="A107:E107"/>
    <mergeCell ref="A109:E109"/>
    <mergeCell ref="A108:E108"/>
    <mergeCell ref="A118:E118"/>
    <mergeCell ref="A111:E111"/>
    <mergeCell ref="A120:E120"/>
    <mergeCell ref="A116:E116"/>
    <mergeCell ref="A117:E117"/>
    <mergeCell ref="A113:E113"/>
    <mergeCell ref="A115:E115"/>
    <mergeCell ref="A105:E105"/>
    <mergeCell ref="A102:E102"/>
    <mergeCell ref="A103:E103"/>
    <mergeCell ref="A104:E104"/>
    <mergeCell ref="A98:E98"/>
    <mergeCell ref="A95:E95"/>
    <mergeCell ref="A96:E96"/>
    <mergeCell ref="A93:E93"/>
    <mergeCell ref="A122:E122"/>
    <mergeCell ref="A2:I2"/>
    <mergeCell ref="A64:E64"/>
    <mergeCell ref="A92:E92"/>
    <mergeCell ref="A87:E87"/>
    <mergeCell ref="A65:E65"/>
    <mergeCell ref="A67:E67"/>
    <mergeCell ref="A21:B21"/>
    <mergeCell ref="A9:B9"/>
    <mergeCell ref="A10:B10"/>
    <mergeCell ref="A12:B12"/>
    <mergeCell ref="A16:B16"/>
    <mergeCell ref="A18:B18"/>
    <mergeCell ref="A13:B13"/>
    <mergeCell ref="A19:B19"/>
    <mergeCell ref="A15:B15"/>
    <mergeCell ref="A25:B25"/>
    <mergeCell ref="A84:E84"/>
    <mergeCell ref="A75:E75"/>
    <mergeCell ref="A81:E81"/>
    <mergeCell ref="A3:C3"/>
    <mergeCell ref="G90:J90"/>
    <mergeCell ref="A72:E72"/>
    <mergeCell ref="A88:E88"/>
    <mergeCell ref="D26:E26"/>
    <mergeCell ref="D25:F25"/>
    <mergeCell ref="A78:E78"/>
    <mergeCell ref="A76:E76"/>
    <mergeCell ref="A80:E80"/>
    <mergeCell ref="A83:E83"/>
    <mergeCell ref="A82:E82"/>
    <mergeCell ref="A79:E79"/>
    <mergeCell ref="A34:E34"/>
    <mergeCell ref="A50:E50"/>
    <mergeCell ref="A63:E63"/>
    <mergeCell ref="A62:E62"/>
    <mergeCell ref="A52:E52"/>
    <mergeCell ref="A56:E56"/>
    <mergeCell ref="A70:E70"/>
    <mergeCell ref="A57:E57"/>
    <mergeCell ref="A69:E69"/>
    <mergeCell ref="A100:E100"/>
    <mergeCell ref="A4:B4"/>
    <mergeCell ref="A5:B5"/>
    <mergeCell ref="A6:B6"/>
    <mergeCell ref="A7:B7"/>
    <mergeCell ref="A8:B8"/>
    <mergeCell ref="A11:B11"/>
    <mergeCell ref="A17:B17"/>
    <mergeCell ref="A22:B22"/>
    <mergeCell ref="A73:E73"/>
    <mergeCell ref="A71:E71"/>
    <mergeCell ref="A38:E38"/>
    <mergeCell ref="A39:E39"/>
    <mergeCell ref="A37:E37"/>
    <mergeCell ref="A45:E45"/>
    <mergeCell ref="A46:E46"/>
    <mergeCell ref="A53:E53"/>
    <mergeCell ref="A55:E55"/>
    <mergeCell ref="A54:E54"/>
    <mergeCell ref="D28:H28"/>
    <mergeCell ref="D29:H29"/>
    <mergeCell ref="A24:B24"/>
    <mergeCell ref="A31:L31"/>
    <mergeCell ref="D27:F27"/>
    <mergeCell ref="A86:E86"/>
    <mergeCell ref="D148:I151"/>
    <mergeCell ref="Q33:T33"/>
    <mergeCell ref="N33:P33"/>
    <mergeCell ref="O42:S42"/>
    <mergeCell ref="K48:L48"/>
    <mergeCell ref="K33:L33"/>
    <mergeCell ref="A119:E119"/>
    <mergeCell ref="A36:E36"/>
    <mergeCell ref="A42:E42"/>
    <mergeCell ref="A110:E110"/>
    <mergeCell ref="K69:L69"/>
    <mergeCell ref="K61:L61"/>
    <mergeCell ref="A77:E77"/>
    <mergeCell ref="A94:E94"/>
    <mergeCell ref="A89:E89"/>
    <mergeCell ref="A91:E91"/>
    <mergeCell ref="A85:E85"/>
    <mergeCell ref="A47:K47"/>
    <mergeCell ref="A129:E129"/>
    <mergeCell ref="H129:J129"/>
    <mergeCell ref="A130:E130"/>
    <mergeCell ref="A40:E40"/>
    <mergeCell ref="A99:E99"/>
    <mergeCell ref="G69:J69"/>
    <mergeCell ref="G83:J83"/>
    <mergeCell ref="A58:E58"/>
    <mergeCell ref="A49:E49"/>
    <mergeCell ref="A59:E59"/>
    <mergeCell ref="A60:E60"/>
    <mergeCell ref="A35:E35"/>
    <mergeCell ref="A32:E32"/>
    <mergeCell ref="G32:J32"/>
    <mergeCell ref="A41:E41"/>
    <mergeCell ref="A44:E44"/>
    <mergeCell ref="A33:E33"/>
    <mergeCell ref="G33:J33"/>
    <mergeCell ref="A48:E48"/>
    <mergeCell ref="A61:E61"/>
    <mergeCell ref="G48:J48"/>
    <mergeCell ref="G61:J61"/>
    <mergeCell ref="AA5:AB5"/>
    <mergeCell ref="AA9:AB9"/>
    <mergeCell ref="AA6:AB6"/>
    <mergeCell ref="AA10:AB10"/>
    <mergeCell ref="K3:N3"/>
    <mergeCell ref="AA8:AC8"/>
    <mergeCell ref="AA7:AC7"/>
    <mergeCell ref="AA4:AC4"/>
    <mergeCell ref="AA3:AC3"/>
    <mergeCell ref="K11:P11"/>
    <mergeCell ref="D145:H145"/>
    <mergeCell ref="D146:I146"/>
    <mergeCell ref="K2:Z2"/>
    <mergeCell ref="K7:N7"/>
    <mergeCell ref="K4:N4"/>
    <mergeCell ref="K5:N5"/>
    <mergeCell ref="K6:N6"/>
    <mergeCell ref="K8:N8"/>
    <mergeCell ref="K9:N9"/>
    <mergeCell ref="K10:N10"/>
    <mergeCell ref="Q7:Y7"/>
    <mergeCell ref="Q3:Y3"/>
    <mergeCell ref="K90:L90"/>
    <mergeCell ref="K83:L83"/>
    <mergeCell ref="A51:E51"/>
    <mergeCell ref="A43:E43"/>
    <mergeCell ref="A66:E66"/>
    <mergeCell ref="A68:E68"/>
    <mergeCell ref="A74:E74"/>
    <mergeCell ref="G101:H101"/>
    <mergeCell ref="A101:E101"/>
    <mergeCell ref="K97:L97"/>
    <mergeCell ref="G97:J97"/>
    <mergeCell ref="K24:N24"/>
    <mergeCell ref="AA24:AB24"/>
    <mergeCell ref="AD25:AF25"/>
    <mergeCell ref="K12:T12"/>
    <mergeCell ref="K20:N20"/>
    <mergeCell ref="AA20:AB20"/>
    <mergeCell ref="K21:N21"/>
    <mergeCell ref="AA21:AB21"/>
    <mergeCell ref="K22:N22"/>
    <mergeCell ref="AA22:AB22"/>
    <mergeCell ref="K23:N23"/>
    <mergeCell ref="AA23:AB23"/>
    <mergeCell ref="Q21:Y21"/>
    <mergeCell ref="K17:N17"/>
    <mergeCell ref="K18:N18"/>
    <mergeCell ref="AA18:AB18"/>
    <mergeCell ref="K19:N19"/>
    <mergeCell ref="AA19:AB19"/>
    <mergeCell ref="K15:Z16"/>
    <mergeCell ref="Q17:Y17"/>
    <mergeCell ref="K25:U25"/>
  </mergeCells>
  <pageMargins left="0.7" right="0.7" top="0.78740157499999996" bottom="0.78740157499999996" header="0.3" footer="0.3"/>
  <pageSetup paperSize="9" orientation="portrait" r:id="rId1"/>
  <ignoredErrors>
    <ignoredError sqref="AD6 AD10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6"/>
  <sheetViews>
    <sheetView showGridLines="0" workbookViewId="0">
      <selection activeCell="H5" sqref="H5:J5"/>
    </sheetView>
  </sheetViews>
  <sheetFormatPr defaultRowHeight="15.75" x14ac:dyDescent="0.25"/>
  <cols>
    <col min="1" max="2" width="13.625" style="316" customWidth="1"/>
    <col min="3" max="3" width="5.375" style="316" customWidth="1"/>
    <col min="4" max="4" width="9.625" style="316" customWidth="1"/>
    <col min="5" max="5" width="6" style="316" customWidth="1"/>
    <col min="6" max="6" width="9.375" style="316" customWidth="1"/>
    <col min="7" max="10" width="12.5" style="316" customWidth="1"/>
    <col min="11" max="16384" width="9" style="316"/>
  </cols>
  <sheetData>
    <row r="1" spans="1:13" ht="42.75" customHeight="1" thickTop="1" thickBot="1" x14ac:dyDescent="0.3">
      <c r="A1" s="711" t="s">
        <v>475</v>
      </c>
      <c r="B1" s="712"/>
      <c r="C1" s="712"/>
      <c r="D1" s="712"/>
      <c r="E1" s="712"/>
      <c r="F1" s="712"/>
      <c r="G1" s="712"/>
      <c r="H1" s="712"/>
      <c r="I1" s="712"/>
      <c r="J1" s="712"/>
      <c r="K1" s="712"/>
      <c r="L1" s="713"/>
      <c r="M1" s="331"/>
    </row>
    <row r="2" spans="1:13" ht="29.25" customHeight="1" thickTop="1" thickBot="1" x14ac:dyDescent="0.3">
      <c r="A2" s="714" t="s">
        <v>1</v>
      </c>
      <c r="B2" s="715"/>
      <c r="C2" s="715"/>
      <c r="D2" s="715"/>
      <c r="E2" s="716"/>
      <c r="F2" s="330" t="s">
        <v>2</v>
      </c>
      <c r="G2" s="717" t="s">
        <v>476</v>
      </c>
      <c r="H2" s="715"/>
      <c r="I2" s="715"/>
      <c r="J2" s="718"/>
      <c r="K2" s="327" t="s">
        <v>120</v>
      </c>
      <c r="L2" s="328" t="s">
        <v>192</v>
      </c>
    </row>
    <row r="3" spans="1:13" ht="18.75" customHeight="1" thickTop="1" x14ac:dyDescent="0.25">
      <c r="A3" s="719" t="s">
        <v>392</v>
      </c>
      <c r="B3" s="719"/>
      <c r="C3" s="719"/>
      <c r="D3" s="719"/>
      <c r="E3" s="720"/>
      <c r="F3" s="332" t="s">
        <v>393</v>
      </c>
      <c r="G3" s="346">
        <f ca="1">'Těsnění, zatížení'!G128</f>
        <v>276.0130100218027</v>
      </c>
      <c r="H3" s="346">
        <f ca="1">'Těsnění, zatížení'!H128</f>
        <v>97301.014967901385</v>
      </c>
      <c r="I3" s="347"/>
      <c r="J3" s="348"/>
      <c r="K3" s="340" t="s">
        <v>396</v>
      </c>
      <c r="L3" s="334"/>
    </row>
    <row r="4" spans="1:13" ht="18.75" customHeight="1" x14ac:dyDescent="0.25">
      <c r="A4" s="457" t="s">
        <v>395</v>
      </c>
      <c r="B4" s="457"/>
      <c r="C4" s="457"/>
      <c r="D4" s="457"/>
      <c r="E4" s="458"/>
      <c r="F4" s="107" t="s">
        <v>394</v>
      </c>
      <c r="G4" s="352">
        <f ca="1">'Těsnění, zatížení'!G129</f>
        <v>9.4248344885493593E-2</v>
      </c>
      <c r="H4" s="349"/>
      <c r="I4" s="350"/>
      <c r="J4" s="351"/>
      <c r="K4" s="341" t="s">
        <v>123</v>
      </c>
      <c r="L4" s="335"/>
    </row>
    <row r="5" spans="1:13" ht="18.75" x14ac:dyDescent="0.35">
      <c r="A5" s="457" t="s">
        <v>458</v>
      </c>
      <c r="B5" s="608"/>
      <c r="C5" s="608"/>
      <c r="D5" s="608"/>
      <c r="E5" s="609"/>
      <c r="F5" s="107" t="s">
        <v>459</v>
      </c>
      <c r="G5" s="110">
        <f ca="1">'Těsnění, zatížení'!G122*'Těsnění, zatížení'!G46</f>
        <v>100</v>
      </c>
      <c r="H5" s="110">
        <f ca="1">'Těsnění, zatížení'!H122</f>
        <v>99.67991535059204</v>
      </c>
      <c r="I5" s="110">
        <f ca="1">'Těsnění, zatížení'!I122</f>
        <v>99.67991535059204</v>
      </c>
      <c r="J5" s="142">
        <f ca="1">'Těsnění, zatížení'!J122</f>
        <v>111.03534623114973</v>
      </c>
      <c r="K5" s="341" t="s">
        <v>101</v>
      </c>
      <c r="L5" s="336"/>
    </row>
    <row r="6" spans="1:13" ht="18.75" x14ac:dyDescent="0.25">
      <c r="A6" s="457" t="s">
        <v>457</v>
      </c>
      <c r="B6" s="608"/>
      <c r="C6" s="608"/>
      <c r="D6" s="608"/>
      <c r="E6" s="609"/>
      <c r="F6" s="107" t="s">
        <v>366</v>
      </c>
      <c r="G6" s="110">
        <f ca="1">'Těsnění, zatížení'!G120*'Těsnění, zatížení'!G46</f>
        <v>100</v>
      </c>
      <c r="H6" s="110">
        <f ca="1">'Těsnění, zatížení'!H120</f>
        <v>99.67991535059204</v>
      </c>
      <c r="I6" s="110">
        <f ca="1">'Těsnění, zatížení'!I120</f>
        <v>99.67991535059204</v>
      </c>
      <c r="J6" s="142">
        <f ca="1">'Těsnění, zatížení'!J120</f>
        <v>111.03534623114973</v>
      </c>
      <c r="K6" s="341" t="s">
        <v>101</v>
      </c>
      <c r="L6" s="337">
        <v>1</v>
      </c>
    </row>
    <row r="7" spans="1:13" ht="18.75" x14ac:dyDescent="0.25">
      <c r="A7" s="457" t="s">
        <v>365</v>
      </c>
      <c r="B7" s="608"/>
      <c r="C7" s="608"/>
      <c r="D7" s="608"/>
      <c r="E7" s="609"/>
      <c r="F7" s="107" t="s">
        <v>367</v>
      </c>
      <c r="G7" s="110">
        <f ca="1">'Těsnění, zatížení'!G121*'Těsnění, zatížení'!G46</f>
        <v>100</v>
      </c>
      <c r="H7" s="110">
        <f ca="1">'Těsnění, zatížení'!H121</f>
        <v>99.67991535059204</v>
      </c>
      <c r="I7" s="110">
        <f ca="1">'Těsnění, zatížení'!I121</f>
        <v>99.67991535059204</v>
      </c>
      <c r="J7" s="142">
        <f ca="1">'Těsnění, zatížení'!J121</f>
        <v>111.03534623114973</v>
      </c>
      <c r="K7" s="341" t="s">
        <v>101</v>
      </c>
      <c r="L7" s="337">
        <v>1</v>
      </c>
    </row>
    <row r="8" spans="1:13" ht="18.75" x14ac:dyDescent="0.25">
      <c r="A8" s="470" t="s">
        <v>451</v>
      </c>
      <c r="B8" s="470"/>
      <c r="C8" s="470"/>
      <c r="D8" s="470"/>
      <c r="E8" s="471"/>
      <c r="F8" s="107" t="s">
        <v>450</v>
      </c>
      <c r="G8" s="110">
        <f ca="1">'Těsnění, zatížení'!G127</f>
        <v>276.0130100218027</v>
      </c>
      <c r="H8" s="110">
        <f ca="1">'Těsnění, zatížení'!H127</f>
        <v>276.37968347200018</v>
      </c>
      <c r="I8" s="110">
        <f ca="1">'Těsnění, zatížení'!I127</f>
        <v>276.37968347200018</v>
      </c>
      <c r="J8" s="142">
        <f ca="1">'Těsnění, zatížení'!J127</f>
        <v>307.72215004637275</v>
      </c>
      <c r="K8" s="341" t="s">
        <v>101</v>
      </c>
      <c r="L8" s="338"/>
    </row>
    <row r="9" spans="1:13" ht="18.75" x14ac:dyDescent="0.25">
      <c r="A9" s="470" t="s">
        <v>390</v>
      </c>
      <c r="B9" s="470"/>
      <c r="C9" s="470"/>
      <c r="D9" s="470"/>
      <c r="E9" s="471"/>
      <c r="F9" s="107" t="s">
        <v>391</v>
      </c>
      <c r="G9" s="110">
        <f ca="1">'Těsnění, zatížení'!G126</f>
        <v>0.20833333333333334</v>
      </c>
      <c r="H9" s="110">
        <f ca="1">'Těsnění, zatížení'!H126</f>
        <v>0.20766649031373341</v>
      </c>
      <c r="I9" s="110">
        <f ca="1">'Těsnění, zatížení'!I126</f>
        <v>0.20766649031373341</v>
      </c>
      <c r="J9" s="142">
        <f ca="1">'Těsnění, zatížení'!J126</f>
        <v>0.23132363798156194</v>
      </c>
      <c r="K9" s="12" t="s">
        <v>124</v>
      </c>
      <c r="L9" s="338">
        <v>2</v>
      </c>
    </row>
    <row r="10" spans="1:13" ht="18.75" x14ac:dyDescent="0.25">
      <c r="A10" s="470" t="s">
        <v>383</v>
      </c>
      <c r="B10" s="470"/>
      <c r="C10" s="470"/>
      <c r="D10" s="470"/>
      <c r="E10" s="471"/>
      <c r="F10" s="107" t="s">
        <v>384</v>
      </c>
      <c r="G10" s="110">
        <f ca="1">'Těsnění, zatížení'!G125</f>
        <v>0.92004577309693614</v>
      </c>
      <c r="H10" s="110">
        <f ca="1">'Těsnění, zatížení'!H125</f>
        <v>0.92126801473841702</v>
      </c>
      <c r="I10" s="110">
        <f ca="1">'Těsnění, zatížení'!I125</f>
        <v>0.92126801473841702</v>
      </c>
      <c r="J10" s="142">
        <f ca="1">'Těsnění, zatížení'!J125</f>
        <v>1.0257426585502984</v>
      </c>
      <c r="K10" s="12" t="s">
        <v>124</v>
      </c>
      <c r="L10" s="338">
        <v>3</v>
      </c>
    </row>
    <row r="11" spans="1:13" ht="18.75" x14ac:dyDescent="0.25">
      <c r="A11" s="457" t="s">
        <v>478</v>
      </c>
      <c r="B11" s="457"/>
      <c r="C11" s="457"/>
      <c r="D11" s="457"/>
      <c r="E11" s="458"/>
      <c r="F11" s="107" t="s">
        <v>446</v>
      </c>
      <c r="G11" s="236">
        <f ca="1">'Těsnění, zatížení'!G132</f>
        <v>0.21042683425291125</v>
      </c>
      <c r="H11" s="236">
        <f ca="1">'Těsnění, zatížení'!H132</f>
        <v>0.21067229479400321</v>
      </c>
      <c r="I11" s="236">
        <f ca="1">'Těsnění, zatížení'!I132</f>
        <v>0.21067229479400321</v>
      </c>
      <c r="J11" s="353">
        <f ca="1">'Těsnění, zatížení'!J132</f>
        <v>0.23996641279973219</v>
      </c>
      <c r="K11" s="10" t="s">
        <v>140</v>
      </c>
      <c r="L11" s="338"/>
    </row>
    <row r="12" spans="1:13" ht="19.5" thickBot="1" x14ac:dyDescent="0.4">
      <c r="A12" s="708" t="s">
        <v>479</v>
      </c>
      <c r="B12" s="709"/>
      <c r="C12" s="709"/>
      <c r="D12" s="709"/>
      <c r="E12" s="710"/>
      <c r="F12" s="333" t="s">
        <v>70</v>
      </c>
      <c r="G12" s="354" t="str">
        <f ca="1">IF('Těsnění, zatížení'!G76='Těsnění, zatížení'!G49,"SPLNĚNA","NESPLNĚNA")</f>
        <v>SPLNĚNA</v>
      </c>
      <c r="H12" s="343"/>
      <c r="I12" s="344"/>
      <c r="J12" s="345"/>
      <c r="K12" s="342" t="s">
        <v>123</v>
      </c>
      <c r="L12" s="339">
        <v>4</v>
      </c>
    </row>
    <row r="13" spans="1:13" ht="16.5" thickTop="1" x14ac:dyDescent="0.25">
      <c r="A13" s="329"/>
      <c r="B13" s="329"/>
      <c r="C13" s="329"/>
      <c r="D13" s="329"/>
      <c r="E13" s="329"/>
      <c r="F13" s="329"/>
      <c r="G13" s="329"/>
      <c r="H13" s="329"/>
      <c r="I13" s="329"/>
      <c r="J13" s="329"/>
      <c r="K13" s="329"/>
      <c r="L13" s="329"/>
    </row>
    <row r="15" spans="1:13" ht="21" x14ac:dyDescent="0.35">
      <c r="A15" s="701" t="s">
        <v>182</v>
      </c>
      <c r="B15" s="701"/>
      <c r="C15" s="51" t="s">
        <v>187</v>
      </c>
      <c r="D15" s="522" t="s">
        <v>477</v>
      </c>
      <c r="E15" s="522"/>
      <c r="F15" s="522"/>
      <c r="G15" s="522"/>
      <c r="H15" s="522"/>
      <c r="I15" s="522"/>
    </row>
    <row r="16" spans="1:13" ht="18.75" x14ac:dyDescent="0.35">
      <c r="C16" s="51" t="s">
        <v>188</v>
      </c>
      <c r="D16" s="522" t="s">
        <v>461</v>
      </c>
      <c r="E16" s="522"/>
      <c r="F16" s="522"/>
      <c r="G16" s="522"/>
      <c r="H16" s="522"/>
    </row>
    <row r="17" spans="3:9" x14ac:dyDescent="0.25">
      <c r="C17" s="51" t="s">
        <v>184</v>
      </c>
      <c r="D17" s="522" t="s">
        <v>386</v>
      </c>
      <c r="E17" s="522"/>
      <c r="F17" s="522"/>
      <c r="G17" s="522"/>
      <c r="H17" s="522"/>
      <c r="I17" s="20"/>
    </row>
    <row r="18" spans="3:9" ht="15.75" customHeight="1" x14ac:dyDescent="0.25">
      <c r="C18" s="51" t="s">
        <v>185</v>
      </c>
      <c r="D18" s="447" t="s">
        <v>481</v>
      </c>
      <c r="E18" s="447"/>
      <c r="F18" s="447"/>
      <c r="G18" s="447"/>
      <c r="H18" s="447"/>
      <c r="I18" s="447"/>
    </row>
    <row r="19" spans="3:9" x14ac:dyDescent="0.25">
      <c r="C19" s="51"/>
      <c r="D19" s="447"/>
      <c r="E19" s="447"/>
      <c r="F19" s="447"/>
      <c r="G19" s="447"/>
      <c r="H19" s="447"/>
      <c r="I19" s="447"/>
    </row>
    <row r="20" spans="3:9" x14ac:dyDescent="0.25">
      <c r="C20" s="51"/>
      <c r="D20" s="447"/>
      <c r="E20" s="447"/>
      <c r="F20" s="447"/>
      <c r="G20" s="447"/>
      <c r="H20" s="447"/>
      <c r="I20" s="447"/>
    </row>
    <row r="21" spans="3:9" x14ac:dyDescent="0.25">
      <c r="C21" s="51"/>
      <c r="D21" s="20"/>
      <c r="E21" s="20"/>
      <c r="F21" s="20"/>
      <c r="G21" s="20"/>
      <c r="H21" s="20"/>
      <c r="I21" s="20"/>
    </row>
    <row r="22" spans="3:9" x14ac:dyDescent="0.25">
      <c r="C22" s="51"/>
      <c r="D22" s="20"/>
      <c r="E22" s="20"/>
      <c r="F22" s="20"/>
      <c r="G22" s="20"/>
      <c r="H22" s="20"/>
      <c r="I22" s="20"/>
    </row>
    <row r="23" spans="3:9" x14ac:dyDescent="0.25">
      <c r="C23" s="51"/>
      <c r="D23" s="20"/>
      <c r="E23" s="20"/>
      <c r="F23" s="20"/>
      <c r="G23" s="20"/>
      <c r="H23" s="20"/>
      <c r="I23" s="318"/>
    </row>
    <row r="24" spans="3:9" x14ac:dyDescent="0.25">
      <c r="C24" s="51"/>
      <c r="D24" s="20"/>
      <c r="E24" s="20"/>
      <c r="F24" s="20"/>
      <c r="G24" s="20"/>
      <c r="H24" s="20"/>
      <c r="I24" s="318"/>
    </row>
    <row r="25" spans="3:9" x14ac:dyDescent="0.25">
      <c r="C25" s="51"/>
      <c r="D25" s="20"/>
      <c r="E25" s="20"/>
      <c r="F25" s="20"/>
      <c r="G25" s="20"/>
      <c r="H25" s="20"/>
      <c r="I25" s="20"/>
    </row>
    <row r="26" spans="3:9" x14ac:dyDescent="0.25">
      <c r="C26" s="51"/>
      <c r="D26" s="317"/>
      <c r="E26" s="317"/>
      <c r="F26" s="317"/>
      <c r="G26" s="317"/>
      <c r="H26" s="317"/>
      <c r="I26" s="318"/>
    </row>
  </sheetData>
  <sheetProtection password="CC21" sheet="1" objects="1" scenarios="1"/>
  <mergeCells count="18">
    <mergeCell ref="A1:L1"/>
    <mergeCell ref="A2:E2"/>
    <mergeCell ref="G2:J2"/>
    <mergeCell ref="A3:E3"/>
    <mergeCell ref="A4:E4"/>
    <mergeCell ref="D17:H17"/>
    <mergeCell ref="D15:I15"/>
    <mergeCell ref="A15:B15"/>
    <mergeCell ref="D16:H16"/>
    <mergeCell ref="D18:I20"/>
    <mergeCell ref="A11:E11"/>
    <mergeCell ref="A12:E12"/>
    <mergeCell ref="A5:E5"/>
    <mergeCell ref="A6:E6"/>
    <mergeCell ref="A7:E7"/>
    <mergeCell ref="A8:E8"/>
    <mergeCell ref="A9:E9"/>
    <mergeCell ref="A10:E10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B3:I3"/>
  <sheetViews>
    <sheetView showGridLines="0" workbookViewId="0">
      <selection activeCell="G46" sqref="G46"/>
    </sheetView>
  </sheetViews>
  <sheetFormatPr defaultRowHeight="15.75" x14ac:dyDescent="0.25"/>
  <cols>
    <col min="1" max="3" width="9" style="316"/>
    <col min="4" max="4" width="9.875" style="316" bestFit="1" customWidth="1"/>
    <col min="5" max="16384" width="9" style="316"/>
  </cols>
  <sheetData>
    <row r="3" spans="2:9" ht="23.25" x14ac:dyDescent="0.35">
      <c r="B3" s="721" t="s">
        <v>341</v>
      </c>
      <c r="C3" s="721"/>
      <c r="D3" s="721"/>
      <c r="E3" s="721"/>
      <c r="F3" s="721"/>
      <c r="G3" s="721"/>
      <c r="H3" s="721"/>
      <c r="I3" s="721"/>
    </row>
  </sheetData>
  <sheetProtection password="CC21" sheet="1" objects="1" scenarios="1"/>
  <mergeCells count="1">
    <mergeCell ref="B3:I3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7</vt:i4>
      </vt:variant>
      <vt:variant>
        <vt:lpstr>Pojmenované oblasti</vt:lpstr>
      </vt:variant>
      <vt:variant>
        <vt:i4>1</vt:i4>
      </vt:variant>
    </vt:vector>
  </HeadingPairs>
  <TitlesOfParts>
    <vt:vector size="8" baseType="lpstr">
      <vt:lpstr>Jak postupovat</vt:lpstr>
      <vt:lpstr>1. příruba</vt:lpstr>
      <vt:lpstr>2. příruba</vt:lpstr>
      <vt:lpstr>Šrouby</vt:lpstr>
      <vt:lpstr>Těsnění, zatížení</vt:lpstr>
      <vt:lpstr>Vyhodnocení</vt:lpstr>
      <vt:lpstr>Přílohy</vt:lpstr>
      <vt:lpstr>'1. příruba'!Kriteria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Jeník</dc:creator>
  <cp:lastModifiedBy>dedecek</cp:lastModifiedBy>
  <dcterms:created xsi:type="dcterms:W3CDTF">2012-10-30T16:31:10Z</dcterms:created>
  <dcterms:modified xsi:type="dcterms:W3CDTF">2014-03-12T19:58:11Z</dcterms:modified>
</cp:coreProperties>
</file>