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og. " sheetId="1" state="visible" r:id="rId2"/>
  </sheets>
  <definedNames>
    <definedName function="false" hidden="false" name="BoardQty" vbProcedure="false">'Analog. '!$I$1</definedName>
    <definedName function="false" hidden="false" name="digikey_part_data" vbProcedure="false">'Analog. '!$J$5:$N$44</definedName>
    <definedName function="false" hidden="false" name="global_part_data" vbProcedure="false">'Analog. '!$A$5:$I$44</definedName>
    <definedName function="false" hidden="false" name="mouser_part_data" vbProcedure="false">'Analog. '!$O$5:$S$44</definedName>
    <definedName function="false" hidden="false" name="newark_part_data" vbProcedure="false">'Analog. '!$T$5:$X$44</definedName>
    <definedName function="false" hidden="false" name="rs_part_data" vbProcedure="false">'Analog. '!$Y$5:$AC$44</definedName>
    <definedName function="false" hidden="false" name="tme_part_data" vbProcedure="false">'Analog. '!$AD$5:$AH$44</definedName>
    <definedName function="false" hidden="false" name="TotalCost" vbProcedure="false">'Analog.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46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100   $0.01      $1.36
   500   $0.01      $4.87
  1000   $0.01      $7.65
  4000   $0.01     $22.28
  8000   $0.01     $40.64
 12000   $0.00     $58.08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$0.70
   100   $0.03      $3.10
   500   $0.02     $11.07
  1000   $0.02     $17.39
  4000   $0.01     $50.60
  8000   $0.01     $92.40
 12000   $0.01    $132.00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$1.46      $1.46
    10   $1.15     $11.49
   100   $0.86     $86.21
   500   $0.65    $325.67
  1000   $0.57    $574.72
  3500   $0.47   $1632.51
  7000   $0.45   $3148.39
 10500   $0.43   $4547.65
 17500   $0.43   $7551.78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$0.10      $1.04
   100   $0.05      $4.90
   500   $0.03     $17.18
  1000   $0.03     $28.44
  2000   $0.03     $52.94
  4000   $0.02     $96.88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$0.70
   100   $0.03      $3.10
   500   $0.02     $11.07
  1000   $0.02     $17.39
  4000   $0.01     $50.60
  8000   $0.01     $92.40
 12000   $0.01    $132.00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$0.50      $0.50
    10   $0.39      $3.90
    25   $0.33      $8.13
   100   $0.28     $28.03
   250   $0.25     $62.56
   500   $0.22    $107.61
  1000   $0.17    $166.17
  4000   $0.15    $600.60
  8000   $0.14   $1092.00
 12000   $0.13   $1528.80
 28000   $0.12   $3439.80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$0.30      $3.03
   100   $0.19     $18.86
   500   $0.13     $64.51
  1000   $0.10     $99.24
  3000   $0.10    $289.08
  6000   $0.09    $520.32
 15000   $0.08   $1156.35
 30000   $0.07   $2168.10
 75000   $0.06   $4806.00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$0.18      $0.18
     5   $0.17      $0.86
    10   $0.16      $1.64
    50   $0.15      $7.31
   100   $0.14     $13.61
   250   $0.12     $30.24
   500   $0.10     $50.40
  1000   $0.10     $95.76
  2000   $0.08    $157.08
  4000   $0.07    $295.68
  6000   $0.07    $415.80
 10000   $0.06    $646.80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$2.77      $2.77
    25   $2.63     $65.79
    50   $2.49    $124.65
   100   $2.38    $238.22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$0.48      $4.83
   100   $0.37     $37.03
   500   $0.32    $161.00
  1000   $0.27    $265.65
  5000   $0.23   $1167.25
 10000   $0.22   $2173.50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$1.02      $1.02
    10   $0.90      $9.02
   100   $0.71     $71.28
   500   $0.55    $276.40
  1000   $0.44    $436.43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$0.15      $1.48
   100   $0.10      $9.69
   500   $0.05     $23.69
  1000   $0.03     $32.31
  3000   $0.03     $79.95
 10000   $0.02    $209.00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$2.33      $2.33
    10   $2.06     $20.65
   100   $1.58    $157.66
  1000   $0.94    $942.50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10   $0.30      $2.97
    25   $0.23      $5.64
    50   $0.17      $8.39
   100   $0.12     $12.47
   250   $0.11     $26.34
   500   $0.09     $45.15
  1000   $0.07     $68.80
  5000   $0.06    $290.25
 10000   $0.06    $567.60
 25000   $0.05   $1370.75
 50000   $0.05   $2687.50
125000   $0.05   $6653.75</t>
        </r>
      </text>
    </comment>
    <comment ref="L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10   $1.43     $14.32
   100   $1.04    $103.95
  1000   $0.58    $580.00</t>
        </r>
      </text>
    </comment>
    <comment ref="L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$0.88      $0.88
    10   $0.76      $7.62
   100   $0.53     $53.13
  1000   $0.29    $290.00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$1.67      $1.67
    10   $1.48     $14.77
    25   $1.36     $33.94
    50   $1.24     $61.92
   100   $1.07    $107.17
   250   $0.90    $226.24
   500   $0.76    $381.04
  1000   $0.63    $633.48
  3000   $0.56   $1688.70
  6000   $0.55   $3312.48
 15000   $0.54   $8086.35</t>
        </r>
      </text>
    </comment>
    <comment ref="L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$1.77      $1.77
    10   $1.57     $15.67
   100   $1.14    $113.75
  1000   $0.70    $698.13
  5000   $0.63   $3173.35</t>
        </r>
      </text>
    </comment>
    <comment ref="L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$0.32      $3.15
    25   $0.27      $6.64
   100   $0.22     $21.63
   250   $0.18     $44.81
   500   $0.15     $74.16
  1000   $0.11    $108.00
  2000   $0.10    $198.00
  4000   $0.10    $396.00
  5000   $0.09    $465.00
  8000   $0.09    $744.00
 10000   $0.09    $870.00
 12000   $0.09   $1044.00
 25000   $0.08   $1995.00
 28000   $0.08   $2234.40
 50000   $0.08   $3840.00
100000   $0.07   $7500.00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$1.89      $1.89
    10   $1.70     $16.95
   100   $1.36    $136.24
   500   $1.12    $559.68
  1000   $0.93    $927.46
  3000   $0.78   $2328.75</t>
        </r>
      </text>
    </comment>
    <comment ref="L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10   $0.36      $3.63
   100   $0.27     $27.11
   500   $0.21    $106.50
  1000   $0.16    $164.59
  2500   $0.15    $364.25
  5000   $0.14    $681.50
 12500   $0.13   $1586.25
 25000   $0.12   $3008.00
 62500   $0.12   $7343.75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$0.51      $0.51
    10   $0.41      $4.14
   100   $0.28     $28.16
   500   $0.21    $105.60
  1000   $0.16    $158.40
  2500   $0.16    $392.15
  5000   $0.15    $733.70
 12500   $0.14   $1707.75
 25000   $0.13   $3238.50
 62500   $0.13   $7906.25</t>
        </r>
      </text>
    </comment>
    <comment ref="L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$0.38      $3.78
    25   $0.32      $7.98
   100   $0.26     $25.97
   250   $0.22     $53.80
   500   $0.18     $89.04
  1000   $0.13    $133.56
  2500   $0.09    $231.75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$2.62      $2.62
    10   $2.35     $23.53
   100   $1.89    $189.11
   500   $1.55    $776.88
  1000   $1.29   $1287.40
  2500   $1.16   $2909.25
  5000   $1.12   $5603.00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$13.23     $13.23
    10  $12.16    $121.58
   100  $10.27   $1026.82
   250  $11.38   $2843.86
   500   $9.13   $4567.12
  1000   $7.64   $7645.00</t>
        </r>
      </text>
    </comment>
    <comment ref="L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$2.46      $2.46
    10   $2.40     $24.02
    50   $2.29    $114.40
   100   $2.00    $200.20
   500   $1.94    $972.40
  1000   $1.51   $1508.00
  2500   $1.40   $3510.00
  5000   $1.35   $6760.00</t>
        </r>
      </text>
    </comment>
    <comment ref="L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$0.92      $0.92
    10   $0.82      $8.20
   100   $0.64     $63.96
   500   $0.53    $264.20
  1000   $0.42    $417.15
  5000   $0.36   $1795.50</t>
        </r>
      </text>
    </comment>
    <comment ref="L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$2.07      $2.07
    25   $1.72     $43.05
   100   $1.56    $156.45
  2500   $1.56   $3911.28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$7.37      $7.37
    10   $6.66     $66.57
   100   $5.51    $551.12
   250   $5.68   $1419.50
  1250   $3.76   $4696.88
  2500   $3.26   $8156.32</t>
        </r>
      </text>
    </comment>
    <comment ref="L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2500   $5.01  $12514.65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O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46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Q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100   $0.01      $1.40
   500   $0.01      $5.50
  1000   $0.01      $8.00
  4000   $0.01     $24.00
  8000   $0.01     $40.00
 48000   $0.00    $192.00</t>
        </r>
      </text>
    </comment>
    <comment ref="Q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$0.08      $0.83
   100   $0.06      $5.70
   500   $0.05     $25.00
  1000   $0.04     $42.00
  4000   $0.03    $132.00</t>
        </r>
      </text>
    </comment>
    <comment ref="Q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$1.90
  4000   $0.02     $76.00</t>
        </r>
      </text>
    </comment>
    <comment ref="Q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$1.46      $1.46
    10   $1.15     $11.50
   100   $0.87     $86.60
   500   $0.65    $327.00
  1000   $0.50    $502.00
  3500   $0.47   $1638.00
  7000   $0.45   $3164.00
 10500   $0.45   $4725.00</t>
        </r>
      </text>
    </comment>
    <comment ref="Q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$0.08      $0.83
   100   $0.06      $5.70
   500   $0.05     $25.00
  1000   $0.04     $42.00
  4000   $0.03    $132.00</t>
        </r>
      </text>
    </comment>
    <comment ref="Q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$0.36      $3.61
   100   $0.20     $20.40
  1000   $0.10    $104.00
  3000   $0.08    $237.00
  9000   $0.07    $639.00
 24000   $0.07   $1584.00
 45000   $0.06   $2610.00
 99000   $0.06   $5643.00</t>
        </r>
      </text>
    </comment>
    <comment ref="Q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$0.14      $1.44
    25   $0.13      $3.28
   100   $0.10     $10.00
   250   $0.09     $22.75
   500   $0.08     $38.50
  1000   $0.07     $68.00
  2000   $0.07    $136.00
  4000   $0.06    $256.00</t>
        </r>
      </text>
    </comment>
    <comment ref="Q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$3.09      $3.09
    10   $2.97     $29.70
    50   $2.75    $137.50
   100   $2.68    $268.00
   250   $2.57    $642.50
   500   $2.48   $1240.00
  1000   $2.42   $2420.00</t>
        </r>
      </text>
    </comment>
    <comment ref="Q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$0.87      $0.87
    10   $0.74      $7.43
   100   $0.57     $57.10
   500   $0.51    $252.50
  1000   $0.40    $398.00
  2000   $0.35    $706.00
 10000   $0.35   $3460.00</t>
        </r>
      </text>
    </comment>
    <comment ref="Q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$0.12      $1.24
   100   $0.04      $4.40
  1000   $0.03     $30.00
  2500   $0.03     $67.50
 10000   $0.03    $270.00</t>
        </r>
      </text>
    </comment>
    <comment ref="Q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$1.68      $1.68
    10   $1.24     $12.40
   100   $0.91     $90.60
   500   $0.77    $382.50
  1000   $0.64    $635.00
  3000   $0.56   $1692.00</t>
        </r>
      </text>
    </comment>
    <comment ref="Q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5000   $0.62   $3100.00</t>
        </r>
      </text>
    </comment>
    <comment ref="Q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$0.08
   100   $0.00      $0.20
  5000   $0.00     $10.00
 50000   $0.00     $50.00</t>
        </r>
      </text>
    </comment>
    <comment ref="Q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$0.40      $3.98
   100   $0.29     $29.50
   500   $0.25    $125.00
  1000   $0.19    $188.00
  2000   $0.17    $342.00
 10000   $0.16   $1590.00
 25000   $0.15   $3725.00
 50000   $0.14   $6850.00</t>
        </r>
      </text>
    </comment>
    <comment ref="Q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$1.84      $1.84
    10   $1.64     $16.40
    25   $1.57     $39.25
   100   $1.32    $132.00
   250   $1.24    $310.00
   500   $1.08    $540.00
  1000   $0.85    $847.00
  3000   $0.85   $2541.00</t>
        </r>
      </text>
    </comment>
    <comment ref="Q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$0.34      $3.41
   100   $0.21     $20.80
  1000   $0.16    $160.00
  2500   $0.14    $342.50
 10000   $0.13   $1270.00
 25000   $0.12   $3075.00</t>
        </r>
      </text>
    </comment>
    <comment ref="Q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$0.39      $3.92
   100   $0.21     $21.20
  1000   $0.16    $159.00
  2500   $0.14    $342.50
 10000   $0.13   $1290.00
 25000   $0.12   $2950.00
 50000   $0.12   $5800.00</t>
        </r>
      </text>
    </comment>
    <comment ref="Q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$0.38      $3.80
    25   $0.32      $8.00
    50   $0.30     $14.85
   100   $0.26     $26.10
   250   $0.22     $54.25
   500   $0.18     $89.00
  1000   $0.09     $92.00
  2500   $0.09    $230.00</t>
        </r>
      </text>
    </comment>
    <comment ref="Q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$2.55      $2.55
    10   $2.17     $21.70
   100   $1.73    $173.00
   500   $1.51    $755.00
  1000   $1.25   $1250.00
  2500   $1.17   $2925.00
  5000   $1.13   $5650.00
 10000   $1.12  $11200.00</t>
        </r>
      </text>
    </comment>
    <comment ref="Q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$12.87     $12.87
    10  $11.85    $118.50
    25  $11.23    $280.75
   100   $9.99    $999.00
   250   $9.51   $2377.50
   500   $8.90   $4450.00
  1000   $8.17   $8170.00</t>
        </r>
      </text>
    </comment>
    <comment ref="Q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$0.89      $0.89
    10   $0.76      $7.59
   100   $0.58     $58.30
   500   $0.52    $258.00
  1000   $0.41    $406.00
  5000   $0.36   $1805.00
 10000   $0.35   $3530.00</t>
        </r>
      </text>
    </comment>
    <comment ref="Q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$2.09      $2.09
    10   $1.97     $19.70
    25   $1.64     $41.00
   100   $1.50    $150.00
  2500   $1.50   $3750.00</t>
        </r>
      </text>
    </comment>
    <comment ref="Q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$7.17      $7.17
    10   $6.48     $64.80
    25   $6.18    $154.50
   100   $5.37    $537.00
   250   $5.12   $1280.00
   500   $4.66   $2330.00
  1000   $4.09   $4090.00</t>
        </r>
      </text>
    </comment>
    <comment ref="Q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$5.50      $5.50
    10   $5.23     $52.30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3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46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V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25   $0.03      $0.78
    50   $0.02      $1.15
   100   $0.01      $1.40
   250   $0.01      $3.00
   500   $0.01      $5.00
  1000   $0.01      $8.00</t>
        </r>
      </text>
    </comment>
    <comment ref="V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25   $0.08      $2.05
    50   $0.07      $3.45
   100   $0.06      $5.60
   250   $0.05     $13.25
   500   $0.05     $24.50
  1000   $0.04     $42.00</t>
        </r>
      </text>
    </comment>
    <comment ref="V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25   $0.04      $1.05
    50   $0.03      $1.55
   100   $0.02      $1.90
   250   $0.02      $4.25
   500   $0.01      $7.00
  1000   $0.01     $11.00</t>
        </r>
      </text>
    </comment>
    <comment ref="V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3500   $0.65   $2271.50</t>
        </r>
      </text>
    </comment>
    <comment ref="V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25   $0.08      $2.05
    50   $0.07      $3.45
   100   $0.06      $5.60
   250   $0.05     $13.25
   500   $0.05     $24.50
  1000   $0.04     $42.00</t>
        </r>
      </text>
    </comment>
    <comment ref="V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$2.77      $2.77</t>
        </r>
      </text>
    </comment>
    <comment ref="V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10000   $0.02    $190.00
 30000   $0.02    $540.00
 50000   $0.01    $750.00
100000   $0.01   $1200.00</t>
        </r>
      </text>
    </comment>
    <comment ref="V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$25.00
 10000   $0.00     $30.00
 15000   $0.00     $30.00</t>
        </r>
      </text>
    </comment>
    <comment ref="V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$0.81      $0.81
  6000   $0.81   $4884.00</t>
        </r>
      </text>
    </comment>
    <comment ref="V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 10   $0.01      $0.12
    25   $0.01      $0.20
   100   $0.01      $0.50
   250   $0.00      $1.00
  1000   $0.00      $2.00</t>
        </r>
      </text>
    </comment>
    <comment ref="V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$25.00
 10000   $0.00     $30.00
 15000   $0.00     $30.00</t>
        </r>
      </text>
    </comment>
    <comment ref="V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$0.40      $3.96
    25   $0.36      $9.05
    50   $0.33     $16.40
   100   $0.29     $29.40
   250   $0.27     $68.00
   500   $0.25    $124.50</t>
        </r>
      </text>
    </comment>
    <comment ref="V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$0.83      $0.83
  3000   $0.83   $2499.00
  5000   $0.81   $4040.00
 10000   $0.78   $7770.00</t>
        </r>
      </text>
    </comment>
    <comment ref="V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 5   $0.42      $2.10
    10   $0.36      $3.63
    25   $0.33      $8.30
    50   $0.30     $15.10
   100   $0.27     $27.10
   250   $0.24     $60.50
   500   $0.21    $106.50
  1000   $0.16    $164.00</t>
        </r>
      </text>
    </comment>
    <comment ref="V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$0.39      $3.90
   100   $0.21     $21.20
   500   $0.19     $93.00
  1000   $0.16    $159.00
  2500   $0.14    $342.50
 10000   $0.13   $1280.00
 25000   $0.12   $2950.00</t>
        </r>
      </text>
    </comment>
    <comment ref="V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$0.33      $0.33
    25   $0.25      $6.25
   100   $0.21     $21.20
   250   $0.18     $45.25
   500   $0.15     $76.00
  1000   $0.13    $132.00
  3000   $0.12    $360.00</t>
        </r>
      </text>
    </comment>
    <comment ref="V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$2.50      $2.50
    10   $2.13     $21.30
   100   $1.70    $170.00
   500   $1.49    $745.00
  1000   $1.24   $1240.00</t>
        </r>
      </text>
    </comment>
    <comment ref="V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$12.66     $12.66
    10  $11.63    $116.30
    25  $11.33    $283.25
   100   $9.82    $982.00</t>
        </r>
      </text>
    </comment>
    <comment ref="V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1 $600.00    $600.00</t>
        </r>
      </text>
    </comment>
    <comment ref="V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$2.02      $2.02
    25   $1.67     $41.75
   100   $1.54    $154.00</t>
        </r>
      </text>
    </comment>
    <comment ref="V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$7.05      $7.05
    10   $6.37     $63.70
    25   $5.90    $147.50
    50   $5.63    $281.50
   100   $5.27    $527.00
   250   $5.04   $1260.00
   500   $4.59   $2295.00
  1000   $3.71   $3710.00</t>
        </r>
      </text>
    </comment>
    <comment ref="V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$5.10      $5.10
    10   $4.90     $49.00
    25   $4.86    $121.50
   100   $4.78    $478.00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Y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46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A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$1.61
   250   $0.03      $6.84</t>
        </r>
      </text>
    </comment>
    <comment ref="AA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 500   $0.06     $27.94
  2000   $0.05     $95.12</t>
        </r>
      </text>
    </comment>
    <comment ref="AA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$2.34      $2.34
     5   $2.34     $11.69
    25   $2.10     $52.55</t>
        </r>
      </text>
    </comment>
    <comment ref="AA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 500   $0.06     $27.94
  2000   $0.05     $95.12</t>
        </r>
      </text>
    </comment>
    <comment ref="AA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 5   $0.36      $1.78
    40   $0.27     $10.65</t>
        </r>
      </text>
    </comment>
    <comment ref="AA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25   $0.28      $6.93
   125   $0.24     $30.02</t>
        </r>
      </text>
    </comment>
    <comment ref="AA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$7.09      $7.09
    10   $6.40     $63.97</t>
        </r>
      </text>
    </comment>
    <comment ref="AA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$7.60      $7.60
     5   $7.25     $36.26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D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3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46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F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$0.61
  1000   $0.00      $3.08
  4000   $0.00      $8.60
 20000   $0.00     $41.60</t>
        </r>
      </text>
    </comment>
    <comment ref="AF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100   $0.02      $2.48
   300   $0.02      $5.32
  1000   $0.01     $13.49
  4000   $0.01     $44.04
 20000   $0.01    $205.80</t>
        </r>
      </text>
    </comment>
    <comment ref="AF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$1.12
  1000   $0.01      $5.16
  4000   $0.00     $17.20
 20000   $0.00     $83.00</t>
        </r>
      </text>
    </comment>
    <comment ref="AF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100   $0.02      $2.48
   300   $0.02      $5.32
  1000   $0.01     $13.49
  4000   $0.01     $44.04
 20000   $0.01    $205.80</t>
        </r>
      </text>
    </comment>
    <comment ref="AF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$0.67
  1000   $0.00      $3.47
  5000   $0.00      $4.25
 15000   $0.00     $11.40
 50000   $0.00     $35.00</t>
        </r>
      </text>
    </comment>
    <comment ref="AF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$0.67
  1000   $0.00      $3.47
  5000   $0.00      $4.25
 15000   $0.00     $11.40
 50000   $0.00     $35.00</t>
        </r>
      </text>
    </comment>
    <comment ref="AF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$0.52
  1000   $0.00      $2.72
  5000   $0.00      $3.35
 15000   $0.00      $8.85
 50000   $0.00     $27.50</t>
        </r>
      </text>
    </comment>
    <comment ref="AF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$0.53
  1000   $0.00      $2.09
  5000   $0.00      $3.25
 15000   $0.00      $8.70
 50000   $0.00     $25.50</t>
        </r>
      </text>
    </comment>
    <comment ref="AF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 5   $0.13      $0.64
    50   $0.09      $4.26
   250   $0.06     $16.18
  1000   $0.06     $57.98</t>
        </r>
      </text>
    </comment>
    <comment ref="AF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 2   $0.38      $0.75
    10   $0.26      $2.56
    50   $0.22     $10.95
   250   $0.20     $48.80
  1000   $0.17    $171.60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<sst xmlns="http://schemas.openxmlformats.org/spreadsheetml/2006/main" count="349" uniqueCount="276">
  <si>
    <t xml:space="preserve">Proj:</t>
  </si>
  <si>
    <t xml:space="preserve">NikLoad - Programmable electronic load</t>
  </si>
  <si>
    <t xml:space="preserve">Board Qty:</t>
  </si>
  <si>
    <t xml:space="preserve">Co.:</t>
  </si>
  <si>
    <t xml:space="preserve">Author: Niko Montonen</t>
  </si>
  <si>
    <t xml:space="preserve">Total Cost:</t>
  </si>
  <si>
    <t xml:space="preserve">Date:</t>
  </si>
  <si>
    <t xml:space="preserve">2017-12-01 09:54:19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</si>
  <si>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</si>
  <si>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</si>
  <si>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</si>
  <si>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</si>
  <si>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</si>
  <si>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</si>
  <si>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</si>
  <si>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</si>
  <si>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</si>
  <si>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</si>
  <si>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</si>
  <si>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</si>
  <si>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</si>
  <si>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</si>
  <si>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</si>
  <si>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</si>
  <si>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</si>
  <si>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</si>
  <si>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</si>
  <si>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C101,C106,C206,C210-C217</t>
  </si>
  <si>
    <t xml:space="preserve">0.1µF</t>
  </si>
  <si>
    <t xml:space="preserve">Capacitors_SMD:C_0603</t>
  </si>
  <si>
    <t xml:space="preserve">Kemet</t>
  </si>
  <si>
    <t xml:space="preserve">C0603C104K3RACTU</t>
  </si>
  <si>
    <t xml:space="preserve">399-1281-1-ND</t>
  </si>
  <si>
    <t xml:space="preserve">NonStk</t>
  </si>
  <si>
    <t xml:space="preserve">80-C0603C104K3R</t>
  </si>
  <si>
    <t xml:space="preserve">64K2837</t>
  </si>
  <si>
    <t xml:space="preserve">147-538</t>
  </si>
  <si>
    <t xml:space="preserve">C0603C104K3RAC</t>
  </si>
  <si>
    <t xml:space="preserve">C102</t>
  </si>
  <si>
    <t xml:space="preserve">1µF</t>
  </si>
  <si>
    <t xml:space="preserve">C0603C105K4RACTU</t>
  </si>
  <si>
    <t xml:space="preserve">399-7847-1-ND</t>
  </si>
  <si>
    <t xml:space="preserve">80-C0603C105K4R</t>
  </si>
  <si>
    <t xml:space="preserve">93K5997</t>
  </si>
  <si>
    <t xml:space="preserve">801-5221</t>
  </si>
  <si>
    <t xml:space="preserve">C0603C105K4RAC</t>
  </si>
  <si>
    <t xml:space="preserve">C103</t>
  </si>
  <si>
    <t xml:space="preserve">4.7nF</t>
  </si>
  <si>
    <t xml:space="preserve">KEMET</t>
  </si>
  <si>
    <t xml:space="preserve">C0603C472J5RACTU</t>
  </si>
  <si>
    <t xml:space="preserve">399-1088-1-ND</t>
  </si>
  <si>
    <t xml:space="preserve">80-C0603C472J5R</t>
  </si>
  <si>
    <t xml:space="preserve">52K5445</t>
  </si>
  <si>
    <t xml:space="preserve">869-1777</t>
  </si>
  <si>
    <t xml:space="preserve">C0603C472J5RAC</t>
  </si>
  <si>
    <t xml:space="preserve">C104,C105</t>
  </si>
  <si>
    <t xml:space="preserve">56µF</t>
  </si>
  <si>
    <t xml:space="preserve">Panasonic Electronic Components</t>
  </si>
  <si>
    <t xml:space="preserve">EEF-CX1D560R</t>
  </si>
  <si>
    <t xml:space="preserve">P18997CT-ND</t>
  </si>
  <si>
    <t xml:space="preserve">667-EEF-CX1D560R</t>
  </si>
  <si>
    <t xml:space="preserve">80Y2642</t>
  </si>
  <si>
    <t xml:space="preserve">866-3779</t>
  </si>
  <si>
    <t xml:space="preserve">C107-C111,C201</t>
  </si>
  <si>
    <t xml:space="preserve">10µF</t>
  </si>
  <si>
    <t xml:space="preserve">Samsung Electro-Mechanics</t>
  </si>
  <si>
    <t xml:space="preserve">CL31B106MOHNNNE</t>
  </si>
  <si>
    <t xml:space="preserve">1276-6641-1-ND</t>
  </si>
  <si>
    <t xml:space="preserve">C202-C205,C207-C209</t>
  </si>
  <si>
    <t xml:space="preserve">D101,D102</t>
  </si>
  <si>
    <t xml:space="preserve">APG1608ZGCK</t>
  </si>
  <si>
    <t xml:space="preserve">Kingbright</t>
  </si>
  <si>
    <t xml:space="preserve">754-2113-1-ND</t>
  </si>
  <si>
    <t xml:space="preserve">Not Assigned</t>
  </si>
  <si>
    <t xml:space="preserve">D201-D203</t>
  </si>
  <si>
    <t xml:space="preserve">BAT46WQ-7-F</t>
  </si>
  <si>
    <t xml:space="preserve">Diodes Incorporated</t>
  </si>
  <si>
    <t xml:space="preserve">BAT46WQ-7-FDICT-ND</t>
  </si>
  <si>
    <t xml:space="preserve">621-BAT46WQ-7-F</t>
  </si>
  <si>
    <t xml:space="preserve">45W6117</t>
  </si>
  <si>
    <t xml:space="preserve">F101</t>
  </si>
  <si>
    <t xml:space="preserve">16V 1.1A 1812</t>
  </si>
  <si>
    <t xml:space="preserve">Resistors_SMD:R_1812</t>
  </si>
  <si>
    <t xml:space="preserve">Bel Fuse Inc.</t>
  </si>
  <si>
    <t xml:space="preserve">0ZCG0110AF2C</t>
  </si>
  <si>
    <t xml:space="preserve">507-1767-1-ND</t>
  </si>
  <si>
    <t xml:space="preserve">530-0ZCG0110AF2C</t>
  </si>
  <si>
    <t xml:space="preserve">J101</t>
  </si>
  <si>
    <t xml:space="preserve">Pomona 4mm 30A connector</t>
  </si>
  <si>
    <t xml:space="preserve">Pomona Electronics</t>
  </si>
  <si>
    <t xml:space="preserve">6883</t>
  </si>
  <si>
    <t xml:space="preserve">501-1316-ND</t>
  </si>
  <si>
    <t xml:space="preserve">565-6883</t>
  </si>
  <si>
    <t xml:space="preserve">02J8383</t>
  </si>
  <si>
    <t xml:space="preserve">864-3992</t>
  </si>
  <si>
    <t xml:space="preserve">J102</t>
  </si>
  <si>
    <t xml:space="preserve">02x15 IDC</t>
  </si>
  <si>
    <t xml:space="preserve">On Shore Technology Inc.</t>
  </si>
  <si>
    <t xml:space="preserve">302-S301</t>
  </si>
  <si>
    <t xml:space="preserve">ED10527-ND</t>
  </si>
  <si>
    <t xml:space="preserve">Q101-Q112</t>
  </si>
  <si>
    <t xml:space="preserve">PHP23NQ11T</t>
  </si>
  <si>
    <t xml:space="preserve">TO-220_plated_mount:TO-220_Horizontal</t>
  </si>
  <si>
    <t xml:space="preserve">Nexperia USA Inc.</t>
  </si>
  <si>
    <t xml:space="preserve">PHP23NQ11T\,127</t>
  </si>
  <si>
    <t xml:space="preserve">1727-4642-ND</t>
  </si>
  <si>
    <t xml:space="preserve">771-PHP23NQ11T127</t>
  </si>
  <si>
    <t xml:space="preserve">Q113,Q114</t>
  </si>
  <si>
    <t xml:space="preserve">2N7002</t>
  </si>
  <si>
    <t xml:space="preserve">2N7002P\,235</t>
  </si>
  <si>
    <t xml:space="preserve">1727-1865-1-ND</t>
  </si>
  <si>
    <t xml:space="preserve">771-2N7002P235</t>
  </si>
  <si>
    <t xml:space="preserve">54T9625</t>
  </si>
  <si>
    <t xml:space="preserve">R101,R208,R211</t>
  </si>
  <si>
    <t xml:space="preserve">1k</t>
  </si>
  <si>
    <t xml:space="preserve">Stackpole Electronics Inc.</t>
  </si>
  <si>
    <t xml:space="preserve">RNCF1206TKY1K00</t>
  </si>
  <si>
    <t xml:space="preserve">RNCF1206TKY1K00CT-ND</t>
  </si>
  <si>
    <t xml:space="preserve">R102-R113,R145,R146</t>
  </si>
  <si>
    <t xml:space="preserve">100</t>
  </si>
  <si>
    <t xml:space="preserve">Yageo</t>
  </si>
  <si>
    <t xml:space="preserve">RC0603FR-07100RL</t>
  </si>
  <si>
    <t xml:space="preserve">311-100HRCT-ND</t>
  </si>
  <si>
    <t xml:space="preserve">603-RC0603FR-07100RL</t>
  </si>
  <si>
    <t xml:space="preserve">68R0052</t>
  </si>
  <si>
    <t xml:space="preserve">RC0603FR-07100R</t>
  </si>
  <si>
    <t xml:space="preserve">R114,R201,R202,R220-R222</t>
  </si>
  <si>
    <t xml:space="preserve">100k</t>
  </si>
  <si>
    <t xml:space="preserve">RC0603FR-07100KL</t>
  </si>
  <si>
    <t xml:space="preserve">311-100KHRCT-ND</t>
  </si>
  <si>
    <t xml:space="preserve">603-RC0603FR-07100KL</t>
  </si>
  <si>
    <t xml:space="preserve">68R0051</t>
  </si>
  <si>
    <t xml:space="preserve">RC0603FR-07100K</t>
  </si>
  <si>
    <t xml:space="preserve">R115-R126</t>
  </si>
  <si>
    <t xml:space="preserve">0R02</t>
  </si>
  <si>
    <t xml:space="preserve">RU3216FR020CS</t>
  </si>
  <si>
    <t xml:space="preserve">1276-6161-1-ND</t>
  </si>
  <si>
    <t xml:space="preserve">R127-R134,R143,R144</t>
  </si>
  <si>
    <t xml:space="preserve">33</t>
  </si>
  <si>
    <t xml:space="preserve">RC0603FR-0733RL</t>
  </si>
  <si>
    <t xml:space="preserve">311-33.0HRCT-ND</t>
  </si>
  <si>
    <t xml:space="preserve">603-RC0603FR-0733RL</t>
  </si>
  <si>
    <t xml:space="preserve">68R0085</t>
  </si>
  <si>
    <t xml:space="preserve">R135-R142</t>
  </si>
  <si>
    <t xml:space="preserve">51k1</t>
  </si>
  <si>
    <t xml:space="preserve">RC0603FR-0751K1L</t>
  </si>
  <si>
    <t xml:space="preserve">311-51.1KHRCT-ND</t>
  </si>
  <si>
    <t xml:space="preserve">603-RC0603FR-0751K1L</t>
  </si>
  <si>
    <t xml:space="preserve">66R2455</t>
  </si>
  <si>
    <t xml:space="preserve">R203-R205,R207,R212-R217,R224-R227</t>
  </si>
  <si>
    <t xml:space="preserve">20k</t>
  </si>
  <si>
    <t xml:space="preserve">RNCF0805TKT20K0</t>
  </si>
  <si>
    <t xml:space="preserve">RNCF0805TKT20K0CT-ND</t>
  </si>
  <si>
    <t xml:space="preserve">R206</t>
  </si>
  <si>
    <t xml:space="preserve">990k</t>
  </si>
  <si>
    <t xml:space="preserve">Vishay</t>
  </si>
  <si>
    <t xml:space="preserve">PTN1206E9903BST1</t>
  </si>
  <si>
    <t xml:space="preserve">764-1556-1-ND</t>
  </si>
  <si>
    <t xml:space="preserve">R209</t>
  </si>
  <si>
    <t xml:space="preserve">2mOhm</t>
  </si>
  <si>
    <t xml:space="preserve">Bourns Inc.</t>
  </si>
  <si>
    <t xml:space="preserve">CSS2H-3920K-2L00F</t>
  </si>
  <si>
    <t xml:space="preserve">CSS2H-3920K-2L00FCT-ND</t>
  </si>
  <si>
    <t xml:space="preserve">652-CSS2H3920K2L00F</t>
  </si>
  <si>
    <t xml:space="preserve">13AC5070</t>
  </si>
  <si>
    <t xml:space="preserve">134-8152</t>
  </si>
  <si>
    <t xml:space="preserve">R210</t>
  </si>
  <si>
    <t xml:space="preserve">41.2k</t>
  </si>
  <si>
    <t xml:space="preserve">Panasonic</t>
  </si>
  <si>
    <t xml:space="preserve">ERA-8ARW4122V</t>
  </si>
  <si>
    <t xml:space="preserve">P18848CT-ND</t>
  </si>
  <si>
    <t xml:space="preserve">667-ERA-8ARW4122V</t>
  </si>
  <si>
    <t xml:space="preserve">R218</t>
  </si>
  <si>
    <t xml:space="preserve">10k</t>
  </si>
  <si>
    <t xml:space="preserve">RC0603FR-0710KL</t>
  </si>
  <si>
    <t xml:space="preserve">311-10.0KHRCT-ND</t>
  </si>
  <si>
    <t xml:space="preserve">603-RC0603FR-0710KL</t>
  </si>
  <si>
    <t xml:space="preserve">68R0049</t>
  </si>
  <si>
    <t xml:space="preserve">RC0603FR-0710K</t>
  </si>
  <si>
    <t xml:space="preserve">R219</t>
  </si>
  <si>
    <t xml:space="preserve">RC0603JR-0733RL</t>
  </si>
  <si>
    <t xml:space="preserve">603-RC0603JR-0733RL</t>
  </si>
  <si>
    <t xml:space="preserve">68R0182</t>
  </si>
  <si>
    <t xml:space="preserve">RC0603JR-0733R</t>
  </si>
  <si>
    <t xml:space="preserve">R223</t>
  </si>
  <si>
    <t xml:space="preserve">60k4</t>
  </si>
  <si>
    <t xml:space="preserve">RC0603FR-0760K4L</t>
  </si>
  <si>
    <t xml:space="preserve">311-60.4KHRCT-ND</t>
  </si>
  <si>
    <t xml:space="preserve">603-RC0603FR-0760K4L</t>
  </si>
  <si>
    <t xml:space="preserve">66R2511</t>
  </si>
  <si>
    <t xml:space="preserve">504-8136</t>
  </si>
  <si>
    <t xml:space="preserve">RV101-RV113</t>
  </si>
  <si>
    <t xml:space="preserve">5V</t>
  </si>
  <si>
    <t xml:space="preserve">Resistors_SMD:R_0603</t>
  </si>
  <si>
    <t xml:space="preserve">AVX Corporation</t>
  </si>
  <si>
    <t xml:space="preserve">VC060303A100DP</t>
  </si>
  <si>
    <t xml:space="preserve">478-2498-1-ND</t>
  </si>
  <si>
    <t xml:space="preserve">581-VC060303A100DP</t>
  </si>
  <si>
    <t xml:space="preserve">36K3718</t>
  </si>
  <si>
    <t xml:space="preserve">887-0728</t>
  </si>
  <si>
    <t xml:space="preserve">VC060303A100</t>
  </si>
  <si>
    <t xml:space="preserve">U101</t>
  </si>
  <si>
    <t xml:space="preserve">OPA180</t>
  </si>
  <si>
    <t xml:space="preserve">Texas Instruments</t>
  </si>
  <si>
    <t xml:space="preserve">OPA180IDBVR</t>
  </si>
  <si>
    <t xml:space="preserve">296-40435-1-ND</t>
  </si>
  <si>
    <t xml:space="preserve">595-OPA180IDBVR</t>
  </si>
  <si>
    <t xml:space="preserve">75X0087</t>
  </si>
  <si>
    <t xml:space="preserve">U102</t>
  </si>
  <si>
    <t xml:space="preserve">74HC595</t>
  </si>
  <si>
    <t xml:space="preserve">STMicroelectronics</t>
  </si>
  <si>
    <t xml:space="preserve">M74HC595YRM13TR</t>
  </si>
  <si>
    <t xml:space="preserve">497-14396-1-ND</t>
  </si>
  <si>
    <t xml:space="preserve">511-M74HC595YRM13TR</t>
  </si>
  <si>
    <t xml:space="preserve">18AC7477</t>
  </si>
  <si>
    <t xml:space="preserve">U103</t>
  </si>
  <si>
    <t xml:space="preserve">NCP1117DT50G</t>
  </si>
  <si>
    <t xml:space="preserve">TO_SOT_Packages_SMD:TO-252-2</t>
  </si>
  <si>
    <t xml:space="preserve">ON Semiconductor</t>
  </si>
  <si>
    <t xml:space="preserve">NCP1117DT50GOS-ND</t>
  </si>
  <si>
    <t xml:space="preserve">863-NCP1117DT50G</t>
  </si>
  <si>
    <t xml:space="preserve">26K4839</t>
  </si>
  <si>
    <t xml:space="preserve">516-5871</t>
  </si>
  <si>
    <t xml:space="preserve">U104</t>
  </si>
  <si>
    <t xml:space="preserve">SPX1117-33</t>
  </si>
  <si>
    <t xml:space="preserve">TO_SOT_Packages_SMD:SOT-223-3Lead_TabPin2</t>
  </si>
  <si>
    <t xml:space="preserve">Exar Corporation</t>
  </si>
  <si>
    <t xml:space="preserve">SPX1117M3-L-3-3/TR</t>
  </si>
  <si>
    <t xml:space="preserve">1016-1848-1-ND</t>
  </si>
  <si>
    <t xml:space="preserve">701-SPX1117M3-L-33TR</t>
  </si>
  <si>
    <t xml:space="preserve">23R9322</t>
  </si>
  <si>
    <t xml:space="preserve">686-5840</t>
  </si>
  <si>
    <t xml:space="preserve">U201-U204,U209</t>
  </si>
  <si>
    <t xml:space="preserve">OPA388</t>
  </si>
  <si>
    <t xml:space="preserve">OPA388IDR</t>
  </si>
  <si>
    <t xml:space="preserve">296-45348-1-ND</t>
  </si>
  <si>
    <t xml:space="preserve">595-OPA388IDR</t>
  </si>
  <si>
    <t xml:space="preserve">16AC3410</t>
  </si>
  <si>
    <t xml:space="preserve">U205</t>
  </si>
  <si>
    <t xml:space="preserve">ADS127L01</t>
  </si>
  <si>
    <t xml:space="preserve">ADS127L01IPBSR</t>
  </si>
  <si>
    <t xml:space="preserve">296-44344-1-ND</t>
  </si>
  <si>
    <t xml:space="preserve">595-ADS127L01IPBSR</t>
  </si>
  <si>
    <t xml:space="preserve">91Y4152</t>
  </si>
  <si>
    <t xml:space="preserve">U206</t>
  </si>
  <si>
    <t xml:space="preserve">TXETCLSANF-16.384MHz</t>
  </si>
  <si>
    <t xml:space="preserve">Taitien</t>
  </si>
  <si>
    <t xml:space="preserve">TXETCLSANF-16.384000</t>
  </si>
  <si>
    <t xml:space="preserve">1664-1272-1-ND</t>
  </si>
  <si>
    <t xml:space="preserve">U207</t>
  </si>
  <si>
    <t xml:space="preserve">NX3L4357</t>
  </si>
  <si>
    <t xml:space="preserve">NXP USA Inc.</t>
  </si>
  <si>
    <t xml:space="preserve">NX3L4357GM\,115</t>
  </si>
  <si>
    <t xml:space="preserve">568-12422-1-ND</t>
  </si>
  <si>
    <t xml:space="preserve">771-NX3L4357GM115</t>
  </si>
  <si>
    <t xml:space="preserve">44Y6001</t>
  </si>
  <si>
    <t xml:space="preserve">U208</t>
  </si>
  <si>
    <t xml:space="preserve">MCP4921T-E/MS</t>
  </si>
  <si>
    <t xml:space="preserve">Microchip Technology</t>
  </si>
  <si>
    <t xml:space="preserve">MCP4921T-E/MSCT-ND</t>
  </si>
  <si>
    <t xml:space="preserve">579-MCP4921T-E/MS</t>
  </si>
  <si>
    <t xml:space="preserve">08J8745</t>
  </si>
  <si>
    <t xml:space="preserve">U210</t>
  </si>
  <si>
    <t xml:space="preserve">DAC8560</t>
  </si>
  <si>
    <t xml:space="preserve">DAC8560IADGKT</t>
  </si>
  <si>
    <t xml:space="preserve">296-21385-1-ND</t>
  </si>
  <si>
    <t xml:space="preserve">595-DAC8560IADGKT</t>
  </si>
  <si>
    <t xml:space="preserve">96W2823</t>
  </si>
  <si>
    <t xml:space="preserve">813-6429</t>
  </si>
  <si>
    <t xml:space="preserve">U211</t>
  </si>
  <si>
    <t xml:space="preserve">MAX6126AASA25+</t>
  </si>
  <si>
    <t xml:space="preserve">Maxim Integrated</t>
  </si>
  <si>
    <t xml:space="preserve">MAX6126AASA25+-ND</t>
  </si>
  <si>
    <t xml:space="preserve">700-MAX6126AASA25</t>
  </si>
  <si>
    <t xml:space="preserve">81Y9532</t>
  </si>
  <si>
    <t xml:space="preserve">732-8033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</si>
</sst>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399-1281-1-ND%20" TargetMode="External"/><Relationship Id="rId3" Type="http://schemas.openxmlformats.org/officeDocument/2006/relationships/hyperlink" Target="http://www.mouser.com/ProductDetail/KEMET/C0603C104K3RACTU/?qs=sGAEpiMZZMs0AnBnWHyRQFqPnX0Olvco4w4aWMbN5gs%3D" TargetMode="External"/><Relationship Id="rId4" Type="http://schemas.openxmlformats.org/officeDocument/2006/relationships/hyperlink" Target="http://www.newark.com/kemet/c0603c104k3ractu/ceramic-capacitor-0-1uf-25v-x7r/dp/64K2837" TargetMode="External"/><Relationship Id="rId5" Type="http://schemas.openxmlformats.org/officeDocument/2006/relationships/hyperlink" Target="http://it.rs-online.com/web/c/?searchTerm=C0603C104K3RACTU%20" TargetMode="External"/><Relationship Id="rId6" Type="http://schemas.openxmlformats.org/officeDocument/2006/relationships/hyperlink" Target="https://www.tme.eu/en/details/c0603c104k3rac/0603-mlcc-smd-capacitors/kemet/c0603c104k3ractu/" TargetMode="External"/><Relationship Id="rId7" Type="http://schemas.openxmlformats.org/officeDocument/2006/relationships/hyperlink" Target="http://www.digikey.com/scripts/DkSearch/dksus.dll?WT.z_header=search_go&amp;lang=en&amp;keywords=399-7847-1-ND%20" TargetMode="External"/><Relationship Id="rId8" Type="http://schemas.openxmlformats.org/officeDocument/2006/relationships/hyperlink" Target="http://www.mouser.com/ProductDetail/KEMET/C0603C105K4RACTU/?qs=sGAEpiMZZMs0AnBnWHyRQKLP9quIYhdRNWcGDs%252b6gb0%3D" TargetMode="External"/><Relationship Id="rId9" Type="http://schemas.openxmlformats.org/officeDocument/2006/relationships/hyperlink" Target="http://www.newark.com/kemet/c0603c105k4ractu/ceramic-capacitor-1uf-16v-x7r/dp/93K5997" TargetMode="External"/><Relationship Id="rId10" Type="http://schemas.openxmlformats.org/officeDocument/2006/relationships/hyperlink" Target="https://it.rs-online.com/web/p/condensatori-ceramici-multistrato/8015221/" TargetMode="External"/><Relationship Id="rId11" Type="http://schemas.openxmlformats.org/officeDocument/2006/relationships/hyperlink" Target="https://www.tme.eu/en/details/c0603c105k4rac/0603-mlcc-smd-capacitors/kemet/c0603c105k4ractu/" TargetMode="External"/><Relationship Id="rId12" Type="http://schemas.openxmlformats.org/officeDocument/2006/relationships/hyperlink" Target="http://www.digikey.com/scripts/DkSearch/dksus.dll?WT.z_header=search_go&amp;lang=en&amp;keywords=399-1088-1-ND%20" TargetMode="External"/><Relationship Id="rId13" Type="http://schemas.openxmlformats.org/officeDocument/2006/relationships/hyperlink" Target="http://www.mouser.com/ProductDetail/KEMET/C0603C472J5RACTU/?qs=sGAEpiMZZMs0AnBnWHyRQNxKe5JtXT0C4QrDgbzq4bU%3D" TargetMode="External"/><Relationship Id="rId14" Type="http://schemas.openxmlformats.org/officeDocument/2006/relationships/hyperlink" Target="http://www.newark.com/kemet/c0603c472j5ractu/ceramic-capacitor-4700pf-50v-x7r/dp/52K5445" TargetMode="External"/><Relationship Id="rId15" Type="http://schemas.openxmlformats.org/officeDocument/2006/relationships/hyperlink" Target="https://it.rs-online.com/web/p/condensatori-ceramici-multistrato/8691777/" TargetMode="External"/><Relationship Id="rId16" Type="http://schemas.openxmlformats.org/officeDocument/2006/relationships/hyperlink" Target="https://www.tme.eu/en/details/c0603c472j5rac/0603-mlcc-smd-capacitors/kemet/c0603c472j5ractu/" TargetMode="External"/><Relationship Id="rId17" Type="http://schemas.openxmlformats.org/officeDocument/2006/relationships/hyperlink" Target="http://www.digikey.com/scripts/DkSearch/dksus.dll?WT.z_header=search_go&amp;lang=en&amp;keywords=P18997CT-ND%20Panasonic%20Electronic%20Components" TargetMode="External"/><Relationship Id="rId18" Type="http://schemas.openxmlformats.org/officeDocument/2006/relationships/hyperlink" Target="http://www.mouser.com/Search/Refine.aspx?Keyword=EEF-CX1D560R%20" TargetMode="External"/><Relationship Id="rId19" Type="http://schemas.openxmlformats.org/officeDocument/2006/relationships/hyperlink" Target="http://www.newark.com/webapp/wcs/stores/servlet/Search?catalogId=15003&amp;langId=-1&amp;storeId=10194&amp;gs=true&amp;st=EEF-CX1D560R%20Panasonic%20Electronic%20Components" TargetMode="External"/><Relationship Id="rId20" Type="http://schemas.openxmlformats.org/officeDocument/2006/relationships/hyperlink" Target="https://it.rs-online.com/web/p/condensatori-elettrolitici/8663779/" TargetMode="External"/><Relationship Id="rId21" Type="http://schemas.openxmlformats.org/officeDocument/2006/relationships/hyperlink" Target="http://www.digikey.com/scripts/DkSearch/dksus.dll?WT.z_header=search_go&amp;lang=en&amp;keywords=1276-6641-1-ND%20Samsung%20Electro-Mechanics" TargetMode="External"/><Relationship Id="rId22" Type="http://schemas.openxmlformats.org/officeDocument/2006/relationships/hyperlink" Target="http://www.digikey.com/scripts/DkSearch/dksus.dll?WT.z_header=search_go&amp;lang=en&amp;keywords=399-7847-1-ND%20" TargetMode="External"/><Relationship Id="rId23" Type="http://schemas.openxmlformats.org/officeDocument/2006/relationships/hyperlink" Target="http://www.mouser.com/ProductDetail/KEMET/C0603C105K4RACTU/?qs=sGAEpiMZZMs0AnBnWHyRQKLP9quIYhdRNWcGDs%252b6gb0%3D" TargetMode="External"/><Relationship Id="rId24" Type="http://schemas.openxmlformats.org/officeDocument/2006/relationships/hyperlink" Target="http://www.newark.com/kemet/c0603c105k4ractu/ceramic-capacitor-1uf-16v-x7r/dp/93K5997" TargetMode="External"/><Relationship Id="rId25" Type="http://schemas.openxmlformats.org/officeDocument/2006/relationships/hyperlink" Target="https://it.rs-online.com/web/p/condensatori-ceramici-multistrato/8015221/" TargetMode="External"/><Relationship Id="rId26" Type="http://schemas.openxmlformats.org/officeDocument/2006/relationships/hyperlink" Target="https://www.tme.eu/en/details/c0603c105k4rac/0603-mlcc-smd-capacitors/kemet/c0603c105k4ractu/" TargetMode="External"/><Relationship Id="rId27" Type="http://schemas.openxmlformats.org/officeDocument/2006/relationships/hyperlink" Target="http://www.digikey.com/scripts/DkSearch/dksus.dll?WT.z_header=search_go&amp;lang=en&amp;keywords=754-2113-1-ND%20" TargetMode="External"/><Relationship Id="rId28" Type="http://schemas.openxmlformats.org/officeDocument/2006/relationships/hyperlink" Target="http://www.mouser.com/Search/Refine.aspx?Keyword=APG1608ZGCK%20" TargetMode="External"/><Relationship Id="rId29" Type="http://schemas.openxmlformats.org/officeDocument/2006/relationships/hyperlink" Target="http://www.digikey.com/scripts/DkSearch/dksus.dll?WT.z_header=search_go&amp;lang=en&amp;keywords=BAT46WQ-7-FDICT-ND%20" TargetMode="External"/><Relationship Id="rId30" Type="http://schemas.openxmlformats.org/officeDocument/2006/relationships/hyperlink" Target="http://www.mouser.com/Search/Refine.aspx?Keyword=BAT46WQ-7-F%20" TargetMode="External"/><Relationship Id="rId31" Type="http://schemas.openxmlformats.org/officeDocument/2006/relationships/hyperlink" Target="http://www.newark.com/webapp/wcs/stores/servlet/Search?catalogId=15003&amp;langId=-1&amp;storeId=10194&amp;gs=true&amp;st=BAT46WQ-7-F%20Diodes%20Incorporated" TargetMode="External"/><Relationship Id="rId32" Type="http://schemas.openxmlformats.org/officeDocument/2006/relationships/hyperlink" Target="http://www.digikey.com/scripts/DkSearch/dksus.dll?WT.z_header=search_go&amp;lang=en&amp;keywords=507-1767-1-ND%20" TargetMode="External"/><Relationship Id="rId33" Type="http://schemas.openxmlformats.org/officeDocument/2006/relationships/hyperlink" Target="http://www.mouser.com/Search/Refine.aspx?Keyword=0ZCG0110AF2C%20" TargetMode="External"/><Relationship Id="rId34" Type="http://schemas.openxmlformats.org/officeDocument/2006/relationships/hyperlink" Target="http://www.digikey.com/scripts/DkSearch/dksus.dll?WT.z_header=search_go&amp;lang=en&amp;keywords=501-1316-ND%20" TargetMode="External"/><Relationship Id="rId35" Type="http://schemas.openxmlformats.org/officeDocument/2006/relationships/hyperlink" Target="http://www.mouser.com/ProductDetail/Pomona-Electronics/6883/?qs=sGAEpiMZZMv8kklI404QlS1lY6X45RXS" TargetMode="External"/><Relationship Id="rId36" Type="http://schemas.openxmlformats.org/officeDocument/2006/relationships/hyperlink" Target="http://www.newark.com/pomona/6883/double-binding-post-30a-black/dp/02J8383" TargetMode="External"/><Relationship Id="rId37" Type="http://schemas.openxmlformats.org/officeDocument/2006/relationships/hyperlink" Target="https://it.rs-online.com/web/p/hmi-touch-screen/8643992/" TargetMode="External"/><Relationship Id="rId38" Type="http://schemas.openxmlformats.org/officeDocument/2006/relationships/hyperlink" Target="http://www.digikey.com/scripts/DkSearch/dksus.dll?WT.z_header=search_go&amp;lang=en&amp;keywords=ED10527-ND%20" TargetMode="External"/><Relationship Id="rId39" Type="http://schemas.openxmlformats.org/officeDocument/2006/relationships/hyperlink" Target="http://www.digikey.com/scripts/DkSearch/dksus.dll?WT.z_header=search_go&amp;lang=en&amp;keywords=1727-4642-ND%20" TargetMode="External"/><Relationship Id="rId40" Type="http://schemas.openxmlformats.org/officeDocument/2006/relationships/hyperlink" Target="http://www.mouser.com/Search/Refine.aspx?Keyword=PHP23NQ11T%5C%2C127%20" TargetMode="External"/><Relationship Id="rId41" Type="http://schemas.openxmlformats.org/officeDocument/2006/relationships/hyperlink" Target="http://www.digikey.com/scripts/DkSearch/dksus.dll?WT.z_header=search_go&amp;lang=en&amp;keywords=1727-1865-1-ND%20" TargetMode="External"/><Relationship Id="rId42" Type="http://schemas.openxmlformats.org/officeDocument/2006/relationships/hyperlink" Target="http://www.mouser.com/ProductDetail/Nexperia/2N7002P235/?qs=sGAEpiMZZMshyDBzk1%2FWi7p4QsCjHKBGyVCwCMHkTlQ%3D" TargetMode="External"/><Relationship Id="rId43" Type="http://schemas.openxmlformats.org/officeDocument/2006/relationships/hyperlink" Target="http://www.newark.com/nxp/2n7002p-235/trans-mosfet-n-ch-60v-0-36a-automotive/dp/54T9625?iscrfnonsku=true" TargetMode="External"/><Relationship Id="rId44" Type="http://schemas.openxmlformats.org/officeDocument/2006/relationships/hyperlink" Target="http://www.digikey.com/scripts/DkSearch/dksus.dll?WT.z_header=search_go&amp;lang=en&amp;keywords=RNCF1206TKY1K00CT-ND%20" TargetMode="External"/><Relationship Id="rId45" Type="http://schemas.openxmlformats.org/officeDocument/2006/relationships/hyperlink" Target="http://www.digikey.com/scripts/DkSearch/dksus.dll?WT.z_header=search_go&amp;lang=en&amp;keywords=311-100HRCT-ND%20" TargetMode="External"/><Relationship Id="rId46" Type="http://schemas.openxmlformats.org/officeDocument/2006/relationships/hyperlink" Target="http://www.mouser.com/Search/Refine.aspx?Keyword=RC0603FR-07100RL%20" TargetMode="External"/><Relationship Id="rId47" Type="http://schemas.openxmlformats.org/officeDocument/2006/relationships/hyperlink" Target="http://www.newark.com/yageo/rc0603fr-07100rl/res-thick-film-100r-1-0-1w-0603/dp/68R0052" TargetMode="External"/><Relationship Id="rId48" Type="http://schemas.openxmlformats.org/officeDocument/2006/relationships/hyperlink" Target="https://www.tme.eu/en/details/rc0603fr-07100r/0603-smd-resistors/yageo/rc0603fr-07100rl/" TargetMode="External"/><Relationship Id="rId49" Type="http://schemas.openxmlformats.org/officeDocument/2006/relationships/hyperlink" Target="http://www.digikey.com/scripts/DkSearch/dksus.dll?WT.z_header=search_go&amp;lang=en&amp;keywords=311-100KHRCT-ND%20" TargetMode="External"/><Relationship Id="rId50" Type="http://schemas.openxmlformats.org/officeDocument/2006/relationships/hyperlink" Target="http://www.mouser.com/Search/Refine.aspx?Keyword=RC0603FR-07100KL%20" TargetMode="External"/><Relationship Id="rId51" Type="http://schemas.openxmlformats.org/officeDocument/2006/relationships/hyperlink" Target="http://www.newark.com/yageo/rc0603fr-07100kl/res-thick-film-100k-1-0-1w-0603/dp/68R0051" TargetMode="External"/><Relationship Id="rId52" Type="http://schemas.openxmlformats.org/officeDocument/2006/relationships/hyperlink" Target="https://www.tme.eu/en/details/rc0603fr-07100k/0603-smd-resistors/yageo/rc0603fr-07100kl/" TargetMode="External"/><Relationship Id="rId53" Type="http://schemas.openxmlformats.org/officeDocument/2006/relationships/hyperlink" Target="http://www.digikey.com/scripts/DkSearch/dksus.dll?WT.z_header=search_go&amp;lang=en&amp;keywords=1276-6161-1-ND%20Samsung%20Electro-Mechanics" TargetMode="External"/><Relationship Id="rId54" Type="http://schemas.openxmlformats.org/officeDocument/2006/relationships/hyperlink" Target="http://www.digikey.com/scripts/DkSearch/dksus.dll?WT.z_header=search_go&amp;lang=en&amp;keywords=311-33.0HRCT-ND%20" TargetMode="External"/><Relationship Id="rId55" Type="http://schemas.openxmlformats.org/officeDocument/2006/relationships/hyperlink" Target="http://www.mouser.com/Search/Refine.aspx?Keyword=RC0603FR-0733RL%20" TargetMode="External"/><Relationship Id="rId56" Type="http://schemas.openxmlformats.org/officeDocument/2006/relationships/hyperlink" Target="http://www.newark.com/yageo/rc0603fr-0733rl/res-thick-film-33r-1-0-1w-0603/dp/68R0085" TargetMode="External"/><Relationship Id="rId57" Type="http://schemas.openxmlformats.org/officeDocument/2006/relationships/hyperlink" Target="http://www.digikey.com/scripts/DkSearch/dksus.dll?WT.z_header=search_go&amp;lang=en&amp;keywords=311-51.1KHRCT-ND%20" TargetMode="External"/><Relationship Id="rId58" Type="http://schemas.openxmlformats.org/officeDocument/2006/relationships/hyperlink" Target="http://www.mouser.com/Search/Refine.aspx?Keyword=RC0603FR-0751K1L%20" TargetMode="External"/><Relationship Id="rId59" Type="http://schemas.openxmlformats.org/officeDocument/2006/relationships/hyperlink" Target="http://www.newark.com/yageo/rc0603fr-0751k1l/resistor/dp/66R2455" TargetMode="External"/><Relationship Id="rId60" Type="http://schemas.openxmlformats.org/officeDocument/2006/relationships/hyperlink" Target="http://www.digikey.com/scripts/DkSearch/dksus.dll?WT.z_header=search_go&amp;lang=en&amp;keywords=RNCF0805TKT20K0CT-ND%20" TargetMode="External"/><Relationship Id="rId61" Type="http://schemas.openxmlformats.org/officeDocument/2006/relationships/hyperlink" Target="http://www.digikey.com/scripts/DkSearch/dksus.dll?WT.z_header=search_go&amp;lang=en&amp;keywords=764-1556-1-ND%20" TargetMode="External"/><Relationship Id="rId62" Type="http://schemas.openxmlformats.org/officeDocument/2006/relationships/hyperlink" Target="http://www.digikey.com/scripts/DkSearch/dksus.dll?WT.z_header=search_go&amp;lang=en&amp;keywords=CSS2H-3920K-2L00FCT-ND%20" TargetMode="External"/><Relationship Id="rId63" Type="http://schemas.openxmlformats.org/officeDocument/2006/relationships/hyperlink" Target="http://www.mouser.com/ProductDetail/Bourns/CSS2H-3920K-2L00F/?qs=sGAEpiMZZMtlleCFQhR%2Fze%252bwwzj9NwmYMg21fqATB%252bdKP0qMmwc8BQ%3D%3D" TargetMode="External"/><Relationship Id="rId64" Type="http://schemas.openxmlformats.org/officeDocument/2006/relationships/hyperlink" Target="http://www.newark.com/bourns/css2h-3920k-2l00f/currentsenseshunt-3920-r002-1/dp/13AC5070" TargetMode="External"/><Relationship Id="rId65" Type="http://schemas.openxmlformats.org/officeDocument/2006/relationships/hyperlink" Target="http://it.rs-online.com/web/c/?searchTerm=CSS2H-3920K-2L00F%20" TargetMode="External"/><Relationship Id="rId66" Type="http://schemas.openxmlformats.org/officeDocument/2006/relationships/hyperlink" Target="http://www.digikey.com/scripts/DkSearch/dksus.dll?WT.z_header=search_go&amp;lang=en&amp;keywords=P18848CT-ND%20" TargetMode="External"/><Relationship Id="rId67" Type="http://schemas.openxmlformats.org/officeDocument/2006/relationships/hyperlink" Target="http://www.mouser.com/Search/Refine.aspx?Keyword=ERA-8ARW4122V%20" TargetMode="External"/><Relationship Id="rId68" Type="http://schemas.openxmlformats.org/officeDocument/2006/relationships/hyperlink" Target="http://www.digikey.com/scripts/DkSearch/dksus.dll?WT.z_header=search_go&amp;lang=en&amp;keywords=311-10.0KHRCT-ND%20" TargetMode="External"/><Relationship Id="rId69" Type="http://schemas.openxmlformats.org/officeDocument/2006/relationships/hyperlink" Target="http://www.mouser.com/ProductDetail/Yageo/RC0603FR-0710KL/?qs=sGAEpiMZZMu61qfTUdNhGy0AaN4GKk3uV0uhGqAFOnk%3D" TargetMode="External"/><Relationship Id="rId70" Type="http://schemas.openxmlformats.org/officeDocument/2006/relationships/hyperlink" Target="http://www.newark.com/yageo/rc0603fr-0710kl/res-thick-film-10k-1-0-1w-0603/dp/68R0049" TargetMode="External"/><Relationship Id="rId71" Type="http://schemas.openxmlformats.org/officeDocument/2006/relationships/hyperlink" Target="https://www.tme.eu/en/details/rc0603fr-0710k/0603-smd-resistors/yageo/rc0603fr-0710kl/" TargetMode="External"/><Relationship Id="rId72" Type="http://schemas.openxmlformats.org/officeDocument/2006/relationships/hyperlink" Target="http://www.digikey.com/scripts/DkSearch/dksus.dll?WT.z_header=search_go&amp;lang=en&amp;keywords=311-33.0HRCT-ND%20" TargetMode="External"/><Relationship Id="rId73" Type="http://schemas.openxmlformats.org/officeDocument/2006/relationships/hyperlink" Target="http://www.mouser.com/ProductDetail/Yageo/RC0603JR-0733RL/?qs=sGAEpiMZZMu61qfTUdNhG5eFuApKbqVdjHep9YG%2F29A%3D" TargetMode="External"/><Relationship Id="rId74" Type="http://schemas.openxmlformats.org/officeDocument/2006/relationships/hyperlink" Target="http://www.newark.com/yageo/rc0603jr-0733rl/res-thick-film-33r-5-0-1w-0603/dp/68R0182" TargetMode="External"/><Relationship Id="rId75" Type="http://schemas.openxmlformats.org/officeDocument/2006/relationships/hyperlink" Target="https://www.tme.eu/en/details/rc0603jr-0733r/0603-smd-resistors/yageo/rc0603jr-0733rl/" TargetMode="External"/><Relationship Id="rId76" Type="http://schemas.openxmlformats.org/officeDocument/2006/relationships/hyperlink" Target="http://www.digikey.com/scripts/DkSearch/dksus.dll?WT.z_header=search_go&amp;lang=en&amp;keywords=311-60.4KHRCT-ND%20" TargetMode="External"/><Relationship Id="rId77" Type="http://schemas.openxmlformats.org/officeDocument/2006/relationships/hyperlink" Target="http://www.mouser.com/Search/Refine.aspx?Keyword=RC0603FR-0760K4L%20" TargetMode="External"/><Relationship Id="rId78" Type="http://schemas.openxmlformats.org/officeDocument/2006/relationships/hyperlink" Target="http://www.newark.com/yageo/rc0603fr-0760k4l/resistor/dp/66R2511" TargetMode="External"/><Relationship Id="rId79" Type="http://schemas.openxmlformats.org/officeDocument/2006/relationships/hyperlink" Target="http://it.rs-online.com/web/c/?searchTerm=RC0603FR-0760K4L%20" TargetMode="External"/><Relationship Id="rId80" Type="http://schemas.openxmlformats.org/officeDocument/2006/relationships/hyperlink" Target="http://www.digikey.com/scripts/DkSearch/dksus.dll?WT.z_header=search_go&amp;lang=en&amp;keywords=478-2498-1-ND%20" TargetMode="External"/><Relationship Id="rId81" Type="http://schemas.openxmlformats.org/officeDocument/2006/relationships/hyperlink" Target="http://www.mouser.com/Search/Refine.aspx?Keyword=VC060303A100DP%20" TargetMode="External"/><Relationship Id="rId82" Type="http://schemas.openxmlformats.org/officeDocument/2006/relationships/hyperlink" Target="http://www.newark.com/avx/vc060303a100dp/varistor-5v-12v-0603/dp/36K3718" TargetMode="External"/><Relationship Id="rId83" Type="http://schemas.openxmlformats.org/officeDocument/2006/relationships/hyperlink" Target="http://it.rs-online.com/web/c/?searchTerm=VC060303A100DP%20" TargetMode="External"/><Relationship Id="rId84" Type="http://schemas.openxmlformats.org/officeDocument/2006/relationships/hyperlink" Target="https://www.tme.eu/en/details/vc060303a100/smd-surge-arrestors/avx/vc060303a100dp/" TargetMode="External"/><Relationship Id="rId85" Type="http://schemas.openxmlformats.org/officeDocument/2006/relationships/hyperlink" Target="http://www.digikey.com/scripts/DkSearch/dksus.dll?WT.z_header=search_go&amp;lang=en&amp;keywords=296-40435-1-ND%20" TargetMode="External"/><Relationship Id="rId86" Type="http://schemas.openxmlformats.org/officeDocument/2006/relationships/hyperlink" Target="http://www.mouser.com/ProductDetail/Texas-Instruments/OPA180IDBVR/?qs=sGAEpiMZZMvtNjJQt4UgLWQrDjTfSPIfz%252bUgFVc8bm5QJR5%252bmnavvw%3D%3D" TargetMode="External"/><Relationship Id="rId87" Type="http://schemas.openxmlformats.org/officeDocument/2006/relationships/hyperlink" Target="http://www.newark.com/webapp/wcs/stores/servlet/Search?catalogId=15003&amp;langId=-1&amp;storeId=10194&amp;gs=true&amp;st=OPA180IDBVR%20" TargetMode="External"/><Relationship Id="rId88" Type="http://schemas.openxmlformats.org/officeDocument/2006/relationships/hyperlink" Target="http://www.digikey.com/scripts/DkSearch/dksus.dll?WT.z_header=search_go&amp;lang=en&amp;keywords=497-14396-1-ND%20" TargetMode="External"/><Relationship Id="rId89" Type="http://schemas.openxmlformats.org/officeDocument/2006/relationships/hyperlink" Target="http://www.mouser.com/Search/Refine.aspx?Keyword=M74HC595YRM13TR%20" TargetMode="External"/><Relationship Id="rId90" Type="http://schemas.openxmlformats.org/officeDocument/2006/relationships/hyperlink" Target="http://www.newark.com/webapp/wcs/stores/servlet/Search?catalogId=15003&amp;langId=-1&amp;storeId=10194&amp;gs=true&amp;st=M74HC595YRM13TR%20" TargetMode="External"/><Relationship Id="rId91" Type="http://schemas.openxmlformats.org/officeDocument/2006/relationships/hyperlink" Target="http://www.digikey.com/scripts/DkSearch/dksus.dll?WT.z_header=search_go&amp;lang=en&amp;keywords=NCP1117DT50GOS-ND%20" TargetMode="External"/><Relationship Id="rId92" Type="http://schemas.openxmlformats.org/officeDocument/2006/relationships/hyperlink" Target="http://www.mouser.com/Search/Refine.aspx?Keyword=NCP1117DT50G%20" TargetMode="External"/><Relationship Id="rId93" Type="http://schemas.openxmlformats.org/officeDocument/2006/relationships/hyperlink" Target="http://www.newark.com/on-semiconductor/ncp1117dt50g/ldo-voltage-regulator-5v-1a-d/dp/26K4839" TargetMode="External"/><Relationship Id="rId94" Type="http://schemas.openxmlformats.org/officeDocument/2006/relationships/hyperlink" Target="https://it.rs-online.com/web/p/regolatori-di-tensione-low-dropout/5165871/" TargetMode="External"/><Relationship Id="rId95" Type="http://schemas.openxmlformats.org/officeDocument/2006/relationships/hyperlink" Target="https://www.tme.eu/en/details/ncp1117dt50g/ldo-unregulated-voltage-regulators/on-semiconductor/" TargetMode="External"/><Relationship Id="rId96" Type="http://schemas.openxmlformats.org/officeDocument/2006/relationships/hyperlink" Target="http://www.digikey.com/scripts/DkSearch/dksus.dll?WT.z_header=search_go&amp;lang=en&amp;keywords=1016-1848-1-ND%20" TargetMode="External"/><Relationship Id="rId97" Type="http://schemas.openxmlformats.org/officeDocument/2006/relationships/hyperlink" Target="http://www.mouser.com/Search/Refine.aspx?Keyword=SPX1117M3-L-3-3%2FTR%20" TargetMode="External"/><Relationship Id="rId98" Type="http://schemas.openxmlformats.org/officeDocument/2006/relationships/hyperlink" Target="http://www.newark.com/exar/spx1117m3-l-3-3-tr/ldo-voltage-regulator-800ma-3/dp/23R9322" TargetMode="External"/><Relationship Id="rId99" Type="http://schemas.openxmlformats.org/officeDocument/2006/relationships/hyperlink" Target="https://it.rs-online.com/web/p/regolatori-di-tensione-low-dropout/6865840/" TargetMode="External"/><Relationship Id="rId100" Type="http://schemas.openxmlformats.org/officeDocument/2006/relationships/hyperlink" Target="http://www.digikey.com/scripts/DkSearch/dksus.dll?WT.z_header=search_go&amp;lang=en&amp;keywords=296-45348-1-ND%20" TargetMode="External"/><Relationship Id="rId101" Type="http://schemas.openxmlformats.org/officeDocument/2006/relationships/hyperlink" Target="http://www.mouser.com/ProductDetail/Texas-Instruments/OPA388IDR/?qs=sGAEpiMZZMvtNjJQt4UgLY0WvFPScpaoffO%252b32HfBdAqPQeFvt3Ygg%3D%3D" TargetMode="External"/><Relationship Id="rId102" Type="http://schemas.openxmlformats.org/officeDocument/2006/relationships/hyperlink" Target="http://www.newark.com/webapp/wcs/stores/servlet/Search?catalogId=15003&amp;langId=-1&amp;storeId=10194&amp;gs=true&amp;st=OPA388IDR%20" TargetMode="External"/><Relationship Id="rId103" Type="http://schemas.openxmlformats.org/officeDocument/2006/relationships/hyperlink" Target="http://www.digikey.com/scripts/DkSearch/dksus.dll?WT.z_header=search_go&amp;lang=en&amp;keywords=296-44344-1-ND%20" TargetMode="External"/><Relationship Id="rId104" Type="http://schemas.openxmlformats.org/officeDocument/2006/relationships/hyperlink" Target="http://www.mouser.com/ProductDetail/Texas-Instruments/ADS127L01IPBSR/?qs=sGAEpiMZZMvTvDTV69d2QkqGqkQQzW0UeDvVHvxvK5c%3D" TargetMode="External"/><Relationship Id="rId105" Type="http://schemas.openxmlformats.org/officeDocument/2006/relationships/hyperlink" Target="http://www.newark.com/webapp/wcs/stores/servlet/Search?catalogId=15003&amp;langId=-1&amp;storeId=10194&amp;gs=true&amp;st=ADS127L01IPBSR%20" TargetMode="External"/><Relationship Id="rId106" Type="http://schemas.openxmlformats.org/officeDocument/2006/relationships/hyperlink" Target="http://www.digikey.com/scripts/DkSearch/dksus.dll?WT.z_header=search_go&amp;lang=en&amp;keywords=1664-1272-1-ND%20" TargetMode="External"/><Relationship Id="rId107" Type="http://schemas.openxmlformats.org/officeDocument/2006/relationships/hyperlink" Target="http://www.digikey.com/scripts/DkSearch/dksus.dll?WT.z_header=search_go&amp;lang=en&amp;keywords=568-12422-1-ND%20" TargetMode="External"/><Relationship Id="rId108" Type="http://schemas.openxmlformats.org/officeDocument/2006/relationships/hyperlink" Target="http://www.mouser.com/Search/Refine.aspx?Keyword=NX3L4357GM%5C%2C115%20" TargetMode="External"/><Relationship Id="rId109" Type="http://schemas.openxmlformats.org/officeDocument/2006/relationships/hyperlink" Target="http://www.newark.com/webapp/wcs/stores/servlet/Search?catalogId=15003&amp;langId=-1&amp;storeId=10194&amp;gs=true&amp;st=NX3L4357GM%5C%2C115%20NXP%20USA%20Inc." TargetMode="External"/><Relationship Id="rId110" Type="http://schemas.openxmlformats.org/officeDocument/2006/relationships/hyperlink" Target="http://www.digikey.com/scripts/DkSearch/dksus.dll?WT.z_header=search_go&amp;lang=en&amp;keywords=MCP4921T-E%2FMSCT-ND%20" TargetMode="External"/><Relationship Id="rId111" Type="http://schemas.openxmlformats.org/officeDocument/2006/relationships/hyperlink" Target="http://www.mouser.com/ProductDetail/Microchip-Technology/MCP4921T-E-MS/?qs=sGAEpiMZZMswix2y39yldQVf9uPVDyBm6LCe%2FfR4nCM%3D" TargetMode="External"/><Relationship Id="rId112" Type="http://schemas.openxmlformats.org/officeDocument/2006/relationships/hyperlink" Target="http://www.newark.com/microchip/mcp4921t-e-ms/digital-to-analog-converter-dac/dp/08J8745" TargetMode="External"/><Relationship Id="rId113" Type="http://schemas.openxmlformats.org/officeDocument/2006/relationships/hyperlink" Target="http://www.digikey.com/scripts/DkSearch/dksus.dll?WT.z_header=search_go&amp;lang=en&amp;keywords=296-21385-1-ND%20" TargetMode="External"/><Relationship Id="rId114" Type="http://schemas.openxmlformats.org/officeDocument/2006/relationships/hyperlink" Target="http://www.mouser.com/ProductDetail/Texas-Instruments/DAC8560IADGKT/?qs=sGAEpiMZZMswix2y39yldcf%252bvBxmzpDnkW3LIGdWGQo%3D" TargetMode="External"/><Relationship Id="rId115" Type="http://schemas.openxmlformats.org/officeDocument/2006/relationships/hyperlink" Target="http://www.newark.com/webapp/wcs/stores/servlet/Search?catalogId=15003&amp;langId=-1&amp;storeId=10194&amp;gs=true&amp;st=DAC8560IADGKT%20" TargetMode="External"/><Relationship Id="rId116" Type="http://schemas.openxmlformats.org/officeDocument/2006/relationships/hyperlink" Target="http://it.rs-online.com/web/c/?searchTerm=DAC8560IADGKT%20" TargetMode="External"/><Relationship Id="rId117" Type="http://schemas.openxmlformats.org/officeDocument/2006/relationships/hyperlink" Target="http://www.digikey.com/scripts/DkSearch/dksus.dll?WT.z_header=search_go&amp;lang=en&amp;keywords=MAX6126AASA25%2B-ND%20" TargetMode="External"/><Relationship Id="rId118" Type="http://schemas.openxmlformats.org/officeDocument/2006/relationships/hyperlink" Target="http://www.mouser.com/ProductDetail/Maxim-Integrated/MAX6126AASA25+/?qs=sGAEpiMZZMuBck1X%252b7j9fB2T4ftaG3guPOQ2ojwFWD0%3D" TargetMode="External"/><Relationship Id="rId119" Type="http://schemas.openxmlformats.org/officeDocument/2006/relationships/hyperlink" Target="http://www.newark.com/webapp/wcs/stores/servlet/Search?catalogId=15003&amp;langId=-1&amp;storeId=10194&amp;gs=true&amp;st=MAX6126AASA25%2B%20" TargetMode="External"/><Relationship Id="rId120" Type="http://schemas.openxmlformats.org/officeDocument/2006/relationships/hyperlink" Target="https://it.rs-online.com/web/p/riferimenti-di-tensione/7328033/" TargetMode="External"/><Relationship Id="rId12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0" max="1025" min="35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H2" s="1" t="s">
        <v>5</v>
      </c>
      <c r="I2" s="4" t="n">
        <f aca="false">SUM(I7:I44)</f>
        <v>96.489197</v>
      </c>
      <c r="M2" s="4" t="n">
        <f aca="false">SUM(M7:M44)</f>
        <v>110.892</v>
      </c>
      <c r="R2" s="4" t="n">
        <f aca="false">SUM(R7:R44)</f>
        <v>72.767</v>
      </c>
      <c r="W2" s="4" t="n">
        <f aca="false">SUM(W7:W44)</f>
        <v>655.311</v>
      </c>
      <c r="AB2" s="4" t="n">
        <f aca="false">SUM(AB7:AB44)</f>
        <v>20.793232</v>
      </c>
      <c r="AG2" s="4" t="n">
        <f aca="false">SUM(AG7:AG44)</f>
        <v>2.45906</v>
      </c>
    </row>
    <row r="3" customFormat="false" ht="15" hidden="false" customHeight="false" outlineLevel="0" collapsed="false">
      <c r="A3" s="1" t="s">
        <v>6</v>
      </c>
      <c r="B3" s="2" t="s">
        <v>7</v>
      </c>
      <c r="H3" s="1" t="s">
        <v>8</v>
      </c>
      <c r="I3" s="5" t="n">
        <f aca="false">TotalCost/BoardQty</f>
        <v>96.489197</v>
      </c>
      <c r="M3" s="6" t="str">
        <f aca="false">(ROWS(M7:M44)-COUNTBLANK(M7:M44))&amp;" of "&amp;ROWS(M7:M44)&amp;" parts found"</f>
        <v>38 of 38 parts found</v>
      </c>
      <c r="R3" s="6" t="str">
        <f aca="false">(ROWS(R7:R44)-COUNTBLANK(R7:R44))&amp;" of "&amp;ROWS(R7:R44)&amp;" parts found"</f>
        <v>30 of 38 parts found</v>
      </c>
      <c r="W3" s="6" t="str">
        <f aca="false">(ROWS(W7:W44)-COUNTBLANK(W7:W44))&amp;" of "&amp;ROWS(W7:W44)&amp;" parts found"</f>
        <v>26 of 38 parts found</v>
      </c>
      <c r="AB3" s="6" t="str">
        <f aca="false">(ROWS(AB7:AB44)-COUNTBLANK(AB7:AB44))&amp;" of "&amp;ROWS(AB7:AB44)&amp;" parts found"</f>
        <v>8 of 38 parts found</v>
      </c>
      <c r="AG3" s="6" t="str">
        <f aca="false">(ROWS(AG7:AG44)-COUNTBLANK(AG7:AG44))&amp;" of "&amp;ROWS(AG7:AG44)&amp;" parts found"</f>
        <v>10 of 38 parts found</v>
      </c>
    </row>
    <row r="5" customFormat="false" ht="15" hidden="false" customHeight="false" outlineLevel="0" collapsed="false">
      <c r="A5" s="7" t="s">
        <v>9</v>
      </c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9" t="s">
        <v>11</v>
      </c>
      <c r="P5" s="9"/>
      <c r="Q5" s="9"/>
      <c r="R5" s="9"/>
      <c r="S5" s="9"/>
      <c r="T5" s="10" t="s">
        <v>12</v>
      </c>
      <c r="U5" s="10"/>
      <c r="V5" s="10"/>
      <c r="W5" s="10"/>
      <c r="X5" s="10"/>
      <c r="Y5" s="11" t="s">
        <v>13</v>
      </c>
      <c r="Z5" s="11"/>
      <c r="AA5" s="11"/>
      <c r="AB5" s="11"/>
      <c r="AC5" s="11"/>
      <c r="AD5" s="12" t="s">
        <v>14</v>
      </c>
      <c r="AE5" s="12"/>
      <c r="AF5" s="12"/>
      <c r="AG5" s="12"/>
      <c r="AH5" s="12"/>
    </row>
    <row r="6" customFormat="false" ht="15" hidden="false" customHeight="false" outlineLevel="0" collapsed="false">
      <c r="A6" s="13" t="s">
        <v>15</v>
      </c>
      <c r="B6" s="13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22</v>
      </c>
      <c r="M6" s="13" t="s">
        <v>23</v>
      </c>
      <c r="N6" s="13" t="s">
        <v>26</v>
      </c>
      <c r="O6" s="13" t="s">
        <v>24</v>
      </c>
      <c r="P6" s="13" t="s">
        <v>25</v>
      </c>
      <c r="Q6" s="13" t="s">
        <v>22</v>
      </c>
      <c r="R6" s="13" t="s">
        <v>23</v>
      </c>
      <c r="S6" s="13" t="s">
        <v>26</v>
      </c>
      <c r="T6" s="13" t="s">
        <v>24</v>
      </c>
      <c r="U6" s="13" t="s">
        <v>25</v>
      </c>
      <c r="V6" s="13" t="s">
        <v>22</v>
      </c>
      <c r="W6" s="13" t="s">
        <v>23</v>
      </c>
      <c r="X6" s="13" t="s">
        <v>26</v>
      </c>
      <c r="Y6" s="13" t="s">
        <v>24</v>
      </c>
      <c r="Z6" s="13" t="s">
        <v>25</v>
      </c>
      <c r="AA6" s="13" t="s">
        <v>22</v>
      </c>
      <c r="AB6" s="13" t="s">
        <v>23</v>
      </c>
      <c r="AC6" s="13" t="s">
        <v>26</v>
      </c>
      <c r="AD6" s="13" t="s">
        <v>24</v>
      </c>
      <c r="AE6" s="13" t="s">
        <v>25</v>
      </c>
      <c r="AF6" s="13" t="s">
        <v>22</v>
      </c>
      <c r="AG6" s="13" t="s">
        <v>23</v>
      </c>
      <c r="AH6" s="13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29</v>
      </c>
      <c r="E7" s="0" t="s">
        <v>30</v>
      </c>
      <c r="F7" s="0" t="s">
        <v>31</v>
      </c>
      <c r="G7" s="0" t="n">
        <f aca="false">BoardQty*11</f>
        <v>11</v>
      </c>
      <c r="H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0.00615</v>
      </c>
      <c r="I7" s="14" t="n">
        <f aca="false">IFERROR(G7*H7,"")</f>
        <v>0.06765</v>
      </c>
      <c r="J7" s="0" t="n">
        <v>36543</v>
      </c>
      <c r="L7" s="14" t="n">
        <f aca="false">IFERROR(LOOKUP(IF(K7="",G7,K7),{0,1,10,100,500,1000,4000,8000,12000},{0,0.1,0.031,0.0136,0.00974,0.00765,0.00557,0.00508,0.00484}),"")</f>
        <v>0.031</v>
      </c>
      <c r="M7" s="14" t="n">
        <f aca="false">IFERROR(IF(K7="",G7,K7)*L7,"")</f>
        <v>0.341</v>
      </c>
      <c r="N7" s="15" t="s">
        <v>32</v>
      </c>
      <c r="O7" s="16" t="s">
        <v>33</v>
      </c>
      <c r="Q7" s="14" t="n">
        <f aca="false">IFERROR(LOOKUP(IF(P7="",G7,P7),{0,1,10,100,500,1000,4000,8000,48000},{0,0.1,0.031,0.014,0.011,0.008,0.006,0.005,0.004}),"")</f>
        <v>0.031</v>
      </c>
      <c r="R7" s="14" t="n">
        <f aca="false">IFERROR(IF(P7="",G7,P7)*Q7,"")</f>
        <v>0.341</v>
      </c>
      <c r="S7" s="15" t="s">
        <v>34</v>
      </c>
      <c r="T7" s="0" t="n">
        <v>2340</v>
      </c>
      <c r="V7" s="14" t="n">
        <f aca="false">IFERROR(LOOKUP(IF(U7="",G7,U7),{0,1,25,50,100,250,500,1000},{0,0.1,0.031,0.023,0.014,0.012,0.01,0.008}),"")</f>
        <v>0.1</v>
      </c>
      <c r="W7" s="14" t="n">
        <f aca="false">IFERROR(IF(U7="",G7,U7)*V7,"")</f>
        <v>1.1</v>
      </c>
      <c r="X7" s="15" t="s">
        <v>35</v>
      </c>
      <c r="Y7" s="0" t="n">
        <v>13700</v>
      </c>
      <c r="AA7" s="14" t="n">
        <f aca="false">IFERROR(LOOKUP(IF(Z7="",G7,Z7),{0,1,50,250},{0,0.032103,0.032103,0.027347}),"")</f>
        <v>0.032103</v>
      </c>
      <c r="AB7" s="14" t="n">
        <f aca="false">IFERROR(IF(Z7="",G7,Z7)*AA7,"")</f>
        <v>0.353133</v>
      </c>
      <c r="AC7" s="15" t="s">
        <v>36</v>
      </c>
      <c r="AD7" s="16" t="s">
        <v>33</v>
      </c>
      <c r="AF7" s="14" t="n">
        <f aca="false">IFERROR(LOOKUP(IF(AE7="",G7,AE7),{0,1,100,1000,4000,20000},{0,0.00615,0.00615,0.00308,0.00215,0.00208}),"")</f>
        <v>0.00615</v>
      </c>
      <c r="AG7" s="14" t="n">
        <f aca="false">IFERROR(IF(AE7="",G7,AE7)*AF7,"")</f>
        <v>0.06765</v>
      </c>
      <c r="AH7" s="15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D8" s="0" t="s">
        <v>29</v>
      </c>
      <c r="E8" s="0" t="s">
        <v>30</v>
      </c>
      <c r="F8" s="0" t="s">
        <v>40</v>
      </c>
      <c r="G8" s="0" t="n">
        <f aca="false">BoardQty*1</f>
        <v>1</v>
      </c>
      <c r="H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0.02485</v>
      </c>
      <c r="I8" s="14" t="n">
        <f aca="false">IFERROR(G8*H8,"")</f>
        <v>0.02485</v>
      </c>
      <c r="J8" s="0" t="n">
        <v>173494</v>
      </c>
      <c r="L8" s="14" t="n">
        <f aca="false">IFERROR(LOOKUP(IF(K8="",G8,K8),{0,1,10,100,500,1000,4000,8000,12000},{0,0.1,0.07,0.031,0.02214,0.01739,0.01265,0.01155,0.011}),"")</f>
        <v>0.1</v>
      </c>
      <c r="M8" s="14" t="n">
        <f aca="false">IFERROR(IF(K8="",G8,K8)*L8,"")</f>
        <v>0.1</v>
      </c>
      <c r="N8" s="15" t="s">
        <v>41</v>
      </c>
      <c r="O8" s="0" t="n">
        <v>55733</v>
      </c>
      <c r="Q8" s="14" t="n">
        <f aca="false">IFERROR(LOOKUP(IF(P8="",G8,P8),{0,1,10,100,500,1000,4000},{0,0.201,0.083,0.057,0.05,0.042,0.033}),"")</f>
        <v>0.201</v>
      </c>
      <c r="R8" s="14" t="n">
        <f aca="false">IFERROR(IF(P8="",G8,P8)*Q8,"")</f>
        <v>0.201</v>
      </c>
      <c r="S8" s="15" t="s">
        <v>42</v>
      </c>
      <c r="T8" s="0" t="n">
        <v>1160</v>
      </c>
      <c r="V8" s="14" t="n">
        <f aca="false">IFERROR(LOOKUP(IF(U8="",G8,U8),{0,1,25,50,100,250,500,1000},{0,0.2,0.082,0.069,0.056,0.053,0.049,0.042}),"")</f>
        <v>0.2</v>
      </c>
      <c r="W8" s="14" t="n">
        <f aca="false">IFERROR(IF(U8="",G8,U8)*V8,"")</f>
        <v>0.2</v>
      </c>
      <c r="X8" s="15" t="s">
        <v>43</v>
      </c>
      <c r="Y8" s="0" t="n">
        <v>1500</v>
      </c>
      <c r="AA8" s="14" t="n">
        <f aca="false">IFERROR(LOOKUP(IF(Z8="",G8,Z8),{0,1,500,2000},{0,0.055883,0.055883,0.04756}),"")</f>
        <v>0.055883</v>
      </c>
      <c r="AB8" s="14" t="n">
        <f aca="false">IFERROR(IF(Z8="",G8,Z8)*AA8,"")</f>
        <v>0.055883</v>
      </c>
      <c r="AC8" s="15" t="s">
        <v>44</v>
      </c>
      <c r="AD8" s="0" t="n">
        <v>8300</v>
      </c>
      <c r="AF8" s="14" t="n">
        <f aca="false">IFERROR(LOOKUP(IF(AE8="",G8,AE8),{0,1,100,300,1000,4000,20000},{0,0.02485,0.02485,0.01775,0.01349,0.01101,0.01029}),"")</f>
        <v>0.02485</v>
      </c>
      <c r="AG8" s="14" t="n">
        <f aca="false">IFERROR(IF(AE8="",G8,AE8)*AF8,"")</f>
        <v>0.02485</v>
      </c>
      <c r="AH8" s="15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D9" s="0" t="s">
        <v>29</v>
      </c>
      <c r="E9" s="0" t="s">
        <v>48</v>
      </c>
      <c r="F9" s="0" t="s">
        <v>49</v>
      </c>
      <c r="G9" s="0" t="n">
        <f aca="false">BoardQty*1</f>
        <v>1</v>
      </c>
      <c r="H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0.01117</v>
      </c>
      <c r="I9" s="14" t="n">
        <f aca="false">IFERROR(G9*H9,"")</f>
        <v>0.01117</v>
      </c>
      <c r="J9" s="0" t="n">
        <v>147334</v>
      </c>
      <c r="L9" s="14" t="n">
        <f aca="false">IFERROR(LOOKUP(IF(K9="",G9,K9),{0,1,10,100,500,1000,4000,8000,12000},{0,0.1,0.042,0.0186,0.01328,0.01044,0.00759,0.00693,0.0066}),"")</f>
        <v>0.1</v>
      </c>
      <c r="M9" s="14" t="n">
        <f aca="false">IFERROR(IF(K9="",G9,K9)*L9,"")</f>
        <v>0.1</v>
      </c>
      <c r="N9" s="15" t="s">
        <v>50</v>
      </c>
      <c r="O9" s="0" t="n">
        <v>50557</v>
      </c>
      <c r="Q9" s="14" t="n">
        <f aca="false">IFERROR(LOOKUP(IF(P9="",G9,P9),{0,1,10,100,4000},{0,0.1,0.042,0.019,0.019}),"")</f>
        <v>0.1</v>
      </c>
      <c r="R9" s="14" t="n">
        <f aca="false">IFERROR(IF(P9="",G9,P9)*Q9,"")</f>
        <v>0.1</v>
      </c>
      <c r="S9" s="15" t="s">
        <v>51</v>
      </c>
      <c r="T9" s="0" t="n">
        <v>951</v>
      </c>
      <c r="V9" s="14" t="n">
        <f aca="false">IFERROR(LOOKUP(IF(U9="",G9,U9),{0,1,25,50,100,250,500,1000},{0,0.1,0.042,0.031,0.019,0.017,0.014,0.011}),"")</f>
        <v>0.1</v>
      </c>
      <c r="W9" s="14" t="n">
        <f aca="false">IFERROR(IF(U9="",G9,U9)*V9,"")</f>
        <v>0.1</v>
      </c>
      <c r="X9" s="15" t="s">
        <v>52</v>
      </c>
      <c r="Y9" s="16" t="s">
        <v>33</v>
      </c>
      <c r="AC9" s="15" t="s">
        <v>53</v>
      </c>
      <c r="AD9" s="0" t="n">
        <v>31100</v>
      </c>
      <c r="AF9" s="14" t="n">
        <f aca="false">IFERROR(LOOKUP(IF(AE9="",G9,AE9),{0,1,100,1000,4000,20000},{0,0.01117,0.01117,0.00516,0.0043,0.00415}),"")</f>
        <v>0.01117</v>
      </c>
      <c r="AG9" s="14" t="n">
        <f aca="false">IFERROR(IF(AE9="",G9,AE9)*AF9,"")</f>
        <v>0.01117</v>
      </c>
      <c r="AH9" s="15" t="s">
        <v>54</v>
      </c>
    </row>
    <row r="10" customFormat="false" ht="15" hidden="false" customHeight="false" outlineLevel="0" collapsed="false">
      <c r="A10" s="0" t="s">
        <v>55</v>
      </c>
      <c r="B10" s="0" t="s">
        <v>56</v>
      </c>
      <c r="E10" s="0" t="s">
        <v>57</v>
      </c>
      <c r="F10" s="0" t="s">
        <v>58</v>
      </c>
      <c r="G10" s="0" t="n">
        <f aca="false">BoardQty*2</f>
        <v>2</v>
      </c>
      <c r="H1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0.649</v>
      </c>
      <c r="I10" s="14" t="n">
        <f aca="false">IFERROR(G10*H10,"")</f>
        <v>1.298</v>
      </c>
      <c r="J10" s="0" t="n">
        <v>2187</v>
      </c>
      <c r="L10" s="14" t="n">
        <f aca="false">IFERROR(LOOKUP(IF(K10="",G10,K10),{0,1,10,100,500,1000,3500,7000,10500,17500},{0,1.46,1.149,0.8621,0.65134,0.57472,0.46643,0.44977,0.43311,0.43153}),"")</f>
        <v>1.46</v>
      </c>
      <c r="M10" s="14" t="n">
        <f aca="false">IFERROR(IF(K10="",G10,K10)*L10,"")</f>
        <v>2.92</v>
      </c>
      <c r="N10" s="15" t="s">
        <v>59</v>
      </c>
      <c r="O10" s="16" t="s">
        <v>33</v>
      </c>
      <c r="Q10" s="14" t="n">
        <f aca="false">IFERROR(LOOKUP(IF(P10="",G10,P10),{0,1,10,100,500,1000,3500,7000,10500},{0,1.46,1.15,0.866,0.654,0.502,0.468,0.452,0.45}),"")</f>
        <v>1.46</v>
      </c>
      <c r="R10" s="14" t="n">
        <f aca="false">IFERROR(IF(P10="",G10,P10)*Q10,"")</f>
        <v>2.92</v>
      </c>
      <c r="S10" s="15" t="s">
        <v>60</v>
      </c>
      <c r="T10" s="16" t="s">
        <v>33</v>
      </c>
      <c r="V10" s="14" t="n">
        <f aca="false">IFERROR(LOOKUP(IF(U10="",G10,U10),{0,1,3500},{0,0.649,0.649}),"")</f>
        <v>0.649</v>
      </c>
      <c r="W10" s="14" t="n">
        <f aca="false">IFERROR(IF(U10="",G10,U10)*V10,"")</f>
        <v>1.298</v>
      </c>
      <c r="X10" s="15" t="s">
        <v>61</v>
      </c>
      <c r="Y10" s="0" t="n">
        <v>530</v>
      </c>
      <c r="AA10" s="14" t="n">
        <f aca="false">IFERROR(LOOKUP(IF(Z10="",G10,Z10),{0,1,5,25},{0,2.337574,2.337574,2.102152}),"")</f>
        <v>2.337574</v>
      </c>
      <c r="AB10" s="14" t="n">
        <f aca="false">IFERROR(IF(Z10="",G10,Z10)*AA10,"")</f>
        <v>4.675148</v>
      </c>
      <c r="AC10" s="15" t="s">
        <v>62</v>
      </c>
    </row>
    <row r="11" customFormat="false" ht="15" hidden="false" customHeight="false" outlineLevel="0" collapsed="false">
      <c r="A11" s="0" t="s">
        <v>63</v>
      </c>
      <c r="B11" s="0" t="s">
        <v>64</v>
      </c>
      <c r="E11" s="0" t="s">
        <v>65</v>
      </c>
      <c r="F11" s="0" t="s">
        <v>66</v>
      </c>
      <c r="G11" s="0" t="n">
        <f aca="false">BoardQty*6</f>
        <v>6</v>
      </c>
      <c r="H1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0.15</v>
      </c>
      <c r="I11" s="14" t="n">
        <f aca="false">IFERROR(G11*H11,"")</f>
        <v>0.9</v>
      </c>
      <c r="J11" s="0" t="n">
        <v>78842</v>
      </c>
      <c r="L11" s="14" t="n">
        <f aca="false">IFERROR(LOOKUP(IF(K11="",G11,K11),{0,1,10,100,500,1000,2000,4000},{0,0.15,0.104,0.049,0.03436,0.02844,0.02647,0.02422}),"")</f>
        <v>0.15</v>
      </c>
      <c r="M11" s="14" t="n">
        <f aca="false">IFERROR(IF(K11="",G11,K11)*L11,"")</f>
        <v>0.9</v>
      </c>
      <c r="N11" s="15" t="s">
        <v>67</v>
      </c>
    </row>
    <row r="12" customFormat="false" ht="15" hidden="false" customHeight="false" outlineLevel="0" collapsed="false">
      <c r="A12" s="0" t="s">
        <v>68</v>
      </c>
      <c r="B12" s="0" t="s">
        <v>39</v>
      </c>
      <c r="E12" s="0" t="s">
        <v>30</v>
      </c>
      <c r="F12" s="0" t="s">
        <v>40</v>
      </c>
      <c r="G12" s="0" t="n">
        <f aca="false">BoardQty*7</f>
        <v>7</v>
      </c>
      <c r="H1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0.02485</v>
      </c>
      <c r="I12" s="14" t="n">
        <f aca="false">IFERROR(G12*H12,"")</f>
        <v>0.17395</v>
      </c>
      <c r="J12" s="0" t="n">
        <v>173494</v>
      </c>
      <c r="L12" s="14" t="n">
        <f aca="false">IFERROR(LOOKUP(IF(K12="",G12,K12),{0,1,10,100,500,1000,4000,8000,12000},{0,0.1,0.07,0.031,0.02214,0.01739,0.01265,0.01155,0.011}),"")</f>
        <v>0.1</v>
      </c>
      <c r="M12" s="14" t="n">
        <f aca="false">IFERROR(IF(K12="",G12,K12)*L12,"")</f>
        <v>0.7</v>
      </c>
      <c r="N12" s="15" t="s">
        <v>41</v>
      </c>
      <c r="O12" s="0" t="n">
        <v>55733</v>
      </c>
      <c r="Q12" s="14" t="n">
        <f aca="false">IFERROR(LOOKUP(IF(P12="",G12,P12),{0,1,10,100,500,1000,4000},{0,0.201,0.083,0.057,0.05,0.042,0.033}),"")</f>
        <v>0.201</v>
      </c>
      <c r="R12" s="14" t="n">
        <f aca="false">IFERROR(IF(P12="",G12,P12)*Q12,"")</f>
        <v>1.407</v>
      </c>
      <c r="S12" s="15" t="s">
        <v>42</v>
      </c>
      <c r="T12" s="0" t="n">
        <v>1160</v>
      </c>
      <c r="V12" s="14" t="n">
        <f aca="false">IFERROR(LOOKUP(IF(U12="",G12,U12),{0,1,25,50,100,250,500,1000},{0,0.2,0.082,0.069,0.056,0.053,0.049,0.042}),"")</f>
        <v>0.2</v>
      </c>
      <c r="W12" s="14" t="n">
        <f aca="false">IFERROR(IF(U12="",G12,U12)*V12,"")</f>
        <v>1.4</v>
      </c>
      <c r="X12" s="15" t="s">
        <v>43</v>
      </c>
      <c r="Y12" s="0" t="n">
        <v>1500</v>
      </c>
      <c r="AA12" s="14" t="n">
        <f aca="false">IFERROR(LOOKUP(IF(Z12="",G12,Z12),{0,1,500,2000},{0,0.055883,0.055883,0.04756}),"")</f>
        <v>0.055883</v>
      </c>
      <c r="AB12" s="14" t="n">
        <f aca="false">IFERROR(IF(Z12="",G12,Z12)*AA12,"")</f>
        <v>0.391181</v>
      </c>
      <c r="AC12" s="15" t="s">
        <v>44</v>
      </c>
      <c r="AD12" s="0" t="n">
        <v>8300</v>
      </c>
      <c r="AF12" s="14" t="n">
        <f aca="false">IFERROR(LOOKUP(IF(AE12="",G12,AE12),{0,1,100,300,1000,4000,20000},{0,0.02485,0.02485,0.01775,0.01349,0.01101,0.01029}),"")</f>
        <v>0.02485</v>
      </c>
      <c r="AG12" s="14" t="n">
        <f aca="false">IFERROR(IF(AE12="",G12,AE12)*AF12,"")</f>
        <v>0.17395</v>
      </c>
      <c r="AH12" s="15" t="s">
        <v>45</v>
      </c>
    </row>
    <row r="13" customFormat="false" ht="15" hidden="false" customHeight="false" outlineLevel="0" collapsed="false">
      <c r="A13" s="0" t="s">
        <v>69</v>
      </c>
      <c r="B13" s="0" t="s">
        <v>70</v>
      </c>
      <c r="E13" s="0" t="s">
        <v>71</v>
      </c>
      <c r="F13" s="0" t="s">
        <v>70</v>
      </c>
      <c r="G13" s="0" t="n">
        <f aca="false">BoardQty*2</f>
        <v>2</v>
      </c>
      <c r="H1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0.5</v>
      </c>
      <c r="I13" s="14" t="n">
        <f aca="false">IFERROR(G13*H13,"")</f>
        <v>1</v>
      </c>
      <c r="J13" s="0" t="n">
        <v>3790</v>
      </c>
      <c r="L13" s="14" t="n">
        <f aca="false">IFERROR(LOOKUP(IF(K13="",G13,K13),{0,1,10,25,100,250,500,1000,4000,8000,12000,28000},{0,0.5,0.39,0.3252,0.2803,0.25024,0.21522,0.16617,0.15015,0.1365,0.1274,0.12285}),"")</f>
        <v>0.5</v>
      </c>
      <c r="M13" s="14" t="n">
        <f aca="false">IFERROR(IF(K13="",G13,K13)*L13,"")</f>
        <v>1</v>
      </c>
      <c r="N13" s="15" t="s">
        <v>72</v>
      </c>
      <c r="O13" s="16" t="s">
        <v>33</v>
      </c>
      <c r="S13" s="15" t="s">
        <v>73</v>
      </c>
    </row>
    <row r="14" customFormat="false" ht="15" hidden="false" customHeight="false" outlineLevel="0" collapsed="false">
      <c r="A14" s="0" t="s">
        <v>74</v>
      </c>
      <c r="B14" s="0" t="s">
        <v>75</v>
      </c>
      <c r="E14" s="0" t="s">
        <v>76</v>
      </c>
      <c r="F14" s="0" t="s">
        <v>75</v>
      </c>
      <c r="G14" s="0" t="n">
        <f aca="false">BoardQty*3</f>
        <v>3</v>
      </c>
      <c r="H1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0.4</v>
      </c>
      <c r="I14" s="14" t="n">
        <f aca="false">IFERROR(G14*H14,"")</f>
        <v>1.2</v>
      </c>
      <c r="J14" s="0" t="n">
        <v>2067</v>
      </c>
      <c r="L14" s="14" t="n">
        <f aca="false">IFERROR(LOOKUP(IF(K14="",G14,K14),{0,1,10,100,500,1000,3000,6000,15000,30000,75000},{0,0.4,0.303,0.1886,0.12902,0.09924,0.09636,0.08672,0.07709,0.07227,0.06408}),"")</f>
        <v>0.4</v>
      </c>
      <c r="M14" s="14" t="n">
        <f aca="false">IFERROR(IF(K14="",G14,K14)*L14,"")</f>
        <v>1.2</v>
      </c>
      <c r="N14" s="15" t="s">
        <v>77</v>
      </c>
      <c r="O14" s="0" t="n">
        <v>3228</v>
      </c>
      <c r="Q14" s="14" t="n">
        <f aca="false">IFERROR(LOOKUP(IF(P14="",G14,P14),{0,1,10,100,1000,3000,9000,24000,45000,99000},{0,0.481,0.361,0.204,0.104,0.079,0.071,0.066,0.058,0.057}),"")</f>
        <v>0.481</v>
      </c>
      <c r="R14" s="14" t="n">
        <f aca="false">IFERROR(IF(P14="",G14,P14)*Q14,"")</f>
        <v>1.443</v>
      </c>
      <c r="S14" s="15" t="s">
        <v>78</v>
      </c>
      <c r="T14" s="16" t="s">
        <v>33</v>
      </c>
      <c r="X14" s="15" t="s">
        <v>79</v>
      </c>
    </row>
    <row r="15" customFormat="false" ht="15" hidden="false" customHeight="false" outlineLevel="0" collapsed="false">
      <c r="A15" s="0" t="s">
        <v>80</v>
      </c>
      <c r="B15" s="0" t="s">
        <v>81</v>
      </c>
      <c r="D15" s="0" t="s">
        <v>82</v>
      </c>
      <c r="E15" s="0" t="s">
        <v>83</v>
      </c>
      <c r="F15" s="0" t="s">
        <v>84</v>
      </c>
      <c r="G15" s="0" t="n">
        <f aca="false">BoardQty*1</f>
        <v>1</v>
      </c>
      <c r="H1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0.151</v>
      </c>
      <c r="I15" s="14" t="n">
        <f aca="false">IFERROR(G15*H15,"")</f>
        <v>0.151</v>
      </c>
      <c r="J15" s="0" t="n">
        <v>49191</v>
      </c>
      <c r="L15" s="14" t="n">
        <f aca="false">IFERROR(LOOKUP(IF(K15="",G15,K15),{0,1,5,10,50,100,250,500,1000,2000,4000,6000,10000},{0,0.18,0.172,0.164,0.1462,0.1361,0.12096,0.1008,0.09576,0.07854,0.07392,0.0693,0.06468}),"")</f>
        <v>0.18</v>
      </c>
      <c r="M15" s="14" t="n">
        <f aca="false">IFERROR(IF(K15="",G15,K15)*L15,"")</f>
        <v>0.18</v>
      </c>
      <c r="N15" s="15" t="s">
        <v>85</v>
      </c>
      <c r="O15" s="0" t="n">
        <v>13199</v>
      </c>
      <c r="Q15" s="14" t="n">
        <f aca="false">IFERROR(LOOKUP(IF(P15="",G15,P15),{0,1,10,25,100,250,500,1000,2000,4000},{0,0.151,0.144,0.131,0.1,0.091,0.077,0.068,0.068,0.064}),"")</f>
        <v>0.151</v>
      </c>
      <c r="R15" s="14" t="n">
        <f aca="false">IFERROR(IF(P15="",G15,P15)*Q15,"")</f>
        <v>0.151</v>
      </c>
      <c r="S15" s="15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  <c r="E16" s="0" t="s">
        <v>89</v>
      </c>
      <c r="F16" s="0" t="s">
        <v>90</v>
      </c>
      <c r="G16" s="0" t="n">
        <f aca="false">BoardQty*1</f>
        <v>1</v>
      </c>
      <c r="H1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2.77</v>
      </c>
      <c r="I16" s="14" t="n">
        <f aca="false">IFERROR(G16*H16,"")</f>
        <v>2.77</v>
      </c>
      <c r="J16" s="0" t="n">
        <v>1759</v>
      </c>
      <c r="L16" s="14" t="n">
        <f aca="false">IFERROR(LOOKUP(IF(K16="",G16,K16),{0,1,25,50,100},{0,2.77,2.6316,2.493,2.3822}),"")</f>
        <v>2.77</v>
      </c>
      <c r="M16" s="14" t="n">
        <f aca="false">IFERROR(IF(K16="",G16,K16)*L16,"")</f>
        <v>2.77</v>
      </c>
      <c r="N16" s="15" t="s">
        <v>91</v>
      </c>
      <c r="O16" s="0" t="n">
        <v>5709</v>
      </c>
      <c r="Q16" s="14" t="n">
        <f aca="false">IFERROR(LOOKUP(IF(P16="",G16,P16),{0,1,10,50,100,250,500,1000},{0,3.09,2.97,2.75,2.68,2.57,2.48,2.42}),"")</f>
        <v>3.09</v>
      </c>
      <c r="R16" s="14" t="n">
        <f aca="false">IFERROR(IF(P16="",G16,P16)*Q16,"")</f>
        <v>3.09</v>
      </c>
      <c r="S16" s="15" t="s">
        <v>92</v>
      </c>
      <c r="T16" s="0" t="n">
        <v>1057</v>
      </c>
      <c r="V16" s="14" t="n">
        <f aca="false">IFERROR(LOOKUP(IF(U16="",G16,U16),{0,1},{0,2.77}),"")</f>
        <v>2.77</v>
      </c>
      <c r="W16" s="14" t="n">
        <f aca="false">IFERROR(IF(U16="",G16,U16)*V16,"")</f>
        <v>2.77</v>
      </c>
      <c r="X16" s="15" t="s">
        <v>93</v>
      </c>
      <c r="Y16" s="0" t="n">
        <v>1</v>
      </c>
      <c r="AC16" s="15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  <c r="E17" s="0" t="s">
        <v>97</v>
      </c>
      <c r="F17" s="0" t="s">
        <v>98</v>
      </c>
      <c r="G17" s="0" t="n">
        <f aca="false">BoardQty*1</f>
        <v>1</v>
      </c>
      <c r="H1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0.52</v>
      </c>
      <c r="I17" s="14" t="n">
        <f aca="false">IFERROR(G17*H17,"")</f>
        <v>0.52</v>
      </c>
      <c r="J17" s="0" t="n">
        <v>15687</v>
      </c>
      <c r="L17" s="14" t="n">
        <f aca="false">IFERROR(LOOKUP(IF(K17="",G17,K17),{0,1,10,100,500,1000,5000,10000},{0,0.52,0.483,0.3703,0.322,0.26565,0.23345,0.21735}),"")</f>
        <v>0.52</v>
      </c>
      <c r="M17" s="14" t="n">
        <f aca="false">IFERROR(IF(K17="",G17,K17)*L17,"")</f>
        <v>0.52</v>
      </c>
      <c r="N17" s="15" t="s">
        <v>99</v>
      </c>
    </row>
    <row r="18" customFormat="false" ht="15" hidden="false" customHeight="false" outlineLevel="0" collapsed="false">
      <c r="A18" s="0" t="s">
        <v>100</v>
      </c>
      <c r="B18" s="0" t="s">
        <v>101</v>
      </c>
      <c r="D18" s="0" t="s">
        <v>102</v>
      </c>
      <c r="E18" s="0" t="s">
        <v>103</v>
      </c>
      <c r="F18" s="0" t="s">
        <v>104</v>
      </c>
      <c r="G18" s="0" t="n">
        <f aca="false">BoardQty*12</f>
        <v>12</v>
      </c>
      <c r="H1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0.743</v>
      </c>
      <c r="I18" s="14" t="n">
        <f aca="false">IFERROR(G18*H18,"")</f>
        <v>8.916</v>
      </c>
      <c r="J18" s="0" t="n">
        <v>12466</v>
      </c>
      <c r="L18" s="14" t="n">
        <f aca="false">IFERROR(LOOKUP(IF(K18="",G18,K18),{0,1,10,100,500,1000},{0,1.02,0.902,0.7128,0.5528,0.43643}),"")</f>
        <v>0.902</v>
      </c>
      <c r="M18" s="14" t="n">
        <f aca="false">IFERROR(IF(K18="",G18,K18)*L18,"")</f>
        <v>10.824</v>
      </c>
      <c r="N18" s="15" t="s">
        <v>105</v>
      </c>
      <c r="O18" s="0" t="n">
        <v>4795</v>
      </c>
      <c r="Q18" s="14" t="n">
        <f aca="false">IFERROR(LOOKUP(IF(P18="",G18,P18),{0,1,10,100,500,1000,2000,10000},{0,0.873,0.743,0.571,0.505,0.398,0.353,0.346}),"")</f>
        <v>0.743</v>
      </c>
      <c r="R18" s="14" t="n">
        <f aca="false">IFERROR(IF(P18="",G18,P18)*Q18,"")</f>
        <v>8.916</v>
      </c>
      <c r="S18" s="15" t="s">
        <v>106</v>
      </c>
    </row>
    <row r="19" customFormat="false" ht="15" hidden="false" customHeight="false" outlineLevel="0" collapsed="false">
      <c r="A19" s="0" t="s">
        <v>107</v>
      </c>
      <c r="B19" s="0" t="s">
        <v>108</v>
      </c>
      <c r="E19" s="0" t="s">
        <v>103</v>
      </c>
      <c r="F19" s="0" t="s">
        <v>109</v>
      </c>
      <c r="G19" s="0" t="n">
        <f aca="false">BoardQty*2</f>
        <v>2</v>
      </c>
      <c r="H1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0.019</v>
      </c>
      <c r="I19" s="14" t="n">
        <f aca="false">IFERROR(G19*H19,"")</f>
        <v>0.038</v>
      </c>
      <c r="J19" s="0" t="n">
        <v>231762</v>
      </c>
      <c r="L19" s="14" t="n">
        <f aca="false">IFERROR(LOOKUP(IF(K19="",G19,K19),{0,1,10,100,500,1000,3000,10000},{0,0.16,0.148,0.0969,0.04738,0.03231,0.02665,0.0209}),"")</f>
        <v>0.16</v>
      </c>
      <c r="M19" s="14" t="n">
        <f aca="false">IFERROR(IF(K19="",G19,K19)*L19,"")</f>
        <v>0.32</v>
      </c>
      <c r="N19" s="15" t="s">
        <v>110</v>
      </c>
      <c r="O19" s="16" t="s">
        <v>33</v>
      </c>
      <c r="Q19" s="14" t="n">
        <f aca="false">IFERROR(LOOKUP(IF(P19="",G19,P19),{0,1,10,100,1000,2500,10000},{0,0.14,0.124,0.044,0.03,0.027,0.027}),"")</f>
        <v>0.14</v>
      </c>
      <c r="R19" s="14" t="n">
        <f aca="false">IFERROR(IF(P19="",G19,P19)*Q19,"")</f>
        <v>0.28</v>
      </c>
      <c r="S19" s="15" t="s">
        <v>111</v>
      </c>
      <c r="T19" s="16" t="s">
        <v>33</v>
      </c>
      <c r="V19" s="14" t="n">
        <f aca="false">IFERROR(LOOKUP(IF(U19="",G19,U19),{0,1,10000,30000,50000,100000},{0,0.019,0.019,0.018,0.015,0.012}),"")</f>
        <v>0.019</v>
      </c>
      <c r="W19" s="14" t="n">
        <f aca="false">IFERROR(IF(U19="",G19,U19)*V19,"")</f>
        <v>0.038</v>
      </c>
      <c r="X19" s="15" t="s">
        <v>112</v>
      </c>
    </row>
    <row r="20" customFormat="false" ht="15" hidden="false" customHeight="false" outlineLevel="0" collapsed="false">
      <c r="A20" s="0" t="s">
        <v>113</v>
      </c>
      <c r="B20" s="0" t="s">
        <v>114</v>
      </c>
      <c r="E20" s="0" t="s">
        <v>115</v>
      </c>
      <c r="F20" s="0" t="s">
        <v>116</v>
      </c>
      <c r="G20" s="0" t="n">
        <f aca="false">BoardQty*3</f>
        <v>3</v>
      </c>
      <c r="H2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2.33</v>
      </c>
      <c r="I20" s="14" t="n">
        <f aca="false">IFERROR(G20*H20,"")</f>
        <v>6.99</v>
      </c>
      <c r="J20" s="0" t="n">
        <v>498</v>
      </c>
      <c r="L20" s="14" t="n">
        <f aca="false">IFERROR(LOOKUP(IF(K20="",G20,K20),{0,1,10,100,1000},{0,2.33,2.065,1.5766,0.9425}),"")</f>
        <v>2.33</v>
      </c>
      <c r="M20" s="14" t="n">
        <f aca="false">IFERROR(IF(K20="",G20,K20)*L20,"")</f>
        <v>6.99</v>
      </c>
      <c r="N20" s="15" t="s">
        <v>117</v>
      </c>
    </row>
    <row r="21" customFormat="false" ht="15" hidden="false" customHeight="false" outlineLevel="0" collapsed="false">
      <c r="A21" s="0" t="s">
        <v>118</v>
      </c>
      <c r="B21" s="0" t="s">
        <v>119</v>
      </c>
      <c r="E21" s="0" t="s">
        <v>120</v>
      </c>
      <c r="F21" s="0" t="s">
        <v>121</v>
      </c>
      <c r="G21" s="0" t="n">
        <f aca="false">BoardQty*14</f>
        <v>14</v>
      </c>
      <c r="H2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0.0067</v>
      </c>
      <c r="I21" s="14" t="n">
        <f aca="false">IFERROR(G21*H21,"")</f>
        <v>0.0938</v>
      </c>
      <c r="J21" s="0" t="n">
        <v>4610181</v>
      </c>
      <c r="L21" s="14" t="n">
        <f aca="false">IFERROR(LOOKUP(IF(K21="",G21,K21),{0,1,10,100,1000,2500,5000,10000,25000,50000,125000},{0,0.1,0.015,0.006,0.00268,0.00233,0.00192,0.00167,0.00147,0.00135,0.00132}),"")</f>
        <v>0.015</v>
      </c>
      <c r="M21" s="14" t="n">
        <f aca="false">IFERROR(IF(K21="",G21,K21)*L21,"")</f>
        <v>0.21</v>
      </c>
      <c r="N21" s="15" t="s">
        <v>122</v>
      </c>
      <c r="O21" s="0" t="n">
        <v>497767</v>
      </c>
      <c r="Q21" s="14" t="n">
        <f aca="false">IFERROR(LOOKUP(IF(P21="",G21,P21),{0,1,10,100,5000,50000},{0,0.1,0.009,0.004,0.002,0.001}),"")</f>
        <v>0.009</v>
      </c>
      <c r="R21" s="14" t="n">
        <f aca="false">IFERROR(IF(P21="",G21,P21)*Q21,"")</f>
        <v>0.126</v>
      </c>
      <c r="S21" s="15" t="s">
        <v>123</v>
      </c>
      <c r="T21" s="0" t="n">
        <v>5852</v>
      </c>
      <c r="V21" s="14" t="n">
        <f aca="false">IFERROR(LOOKUP(IF(U21="",G21,U21),{0,1,10,25,100,250,1000},{0,0.08,0.014,0.01,0.006,0.004,0.003}),"")</f>
        <v>0.014</v>
      </c>
      <c r="W21" s="14" t="n">
        <f aca="false">IFERROR(IF(U21="",G21,U21)*V21,"")</f>
        <v>0.196</v>
      </c>
      <c r="X21" s="15" t="s">
        <v>124</v>
      </c>
      <c r="AD21" s="16" t="s">
        <v>33</v>
      </c>
      <c r="AF21" s="14" t="n">
        <f aca="false">IFERROR(LOOKUP(IF(AE21="",G21,AE21),{0,1,100,1000,5000,15000,50000},{0,0.0067,0.0067,0.00347,0.00085,0.00076,0.0007}),"")</f>
        <v>0.0067</v>
      </c>
      <c r="AG21" s="14" t="n">
        <f aca="false">IFERROR(IF(AE21="",G21,AE21)*AF21,"")</f>
        <v>0.0938</v>
      </c>
      <c r="AH21" s="15" t="s">
        <v>125</v>
      </c>
    </row>
    <row r="22" customFormat="false" ht="15" hidden="false" customHeight="false" outlineLevel="0" collapsed="false">
      <c r="A22" s="0" t="s">
        <v>126</v>
      </c>
      <c r="B22" s="0" t="s">
        <v>127</v>
      </c>
      <c r="E22" s="0" t="s">
        <v>120</v>
      </c>
      <c r="F22" s="0" t="s">
        <v>128</v>
      </c>
      <c r="G22" s="0" t="n">
        <f aca="false">BoardQty*6</f>
        <v>6</v>
      </c>
      <c r="H2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0.0067</v>
      </c>
      <c r="I22" s="14" t="n">
        <f aca="false">IFERROR(G22*H22,"")</f>
        <v>0.0402</v>
      </c>
      <c r="J22" s="0" t="n">
        <v>2541464</v>
      </c>
      <c r="L22" s="14" t="n">
        <f aca="false">IFERROR(LOOKUP(IF(K22="",G22,K22),{0,1,10,100,1000,2500,5000,10000,25000,50000,125000},{0,0.1,0.015,0.006,0.00268,0.00233,0.00192,0.00167,0.00147,0.00135,0.00132}),"")</f>
        <v>0.1</v>
      </c>
      <c r="M22" s="14" t="n">
        <f aca="false">IFERROR(IF(K22="",G22,K22)*L22,"")</f>
        <v>0.6</v>
      </c>
      <c r="N22" s="15" t="s">
        <v>129</v>
      </c>
      <c r="O22" s="16" t="s">
        <v>33</v>
      </c>
      <c r="Q22" s="14" t="n">
        <f aca="false">IFERROR(LOOKUP(IF(P22="",G22,P22),{0,1,10,100,5000,50000},{0,0.1,0.009,0.004,0.002,0.001}),"")</f>
        <v>0.1</v>
      </c>
      <c r="R22" s="14" t="n">
        <f aca="false">IFERROR(IF(P22="",G22,P22)*Q22,"")</f>
        <v>0.6</v>
      </c>
      <c r="S22" s="15" t="s">
        <v>130</v>
      </c>
      <c r="T22" s="0" t="n">
        <v>7455</v>
      </c>
      <c r="V22" s="14" t="n">
        <f aca="false">IFERROR(LOOKUP(IF(U22="",G22,U22),{0,1,10,25,100,250,1000},{0,0.08,0.014,0.01,0.006,0.004,0.003}),"")</f>
        <v>0.08</v>
      </c>
      <c r="W22" s="14" t="n">
        <f aca="false">IFERROR(IF(U22="",G22,U22)*V22,"")</f>
        <v>0.48</v>
      </c>
      <c r="X22" s="15" t="s">
        <v>131</v>
      </c>
      <c r="AD22" s="16" t="s">
        <v>33</v>
      </c>
      <c r="AF22" s="14" t="n">
        <f aca="false">IFERROR(LOOKUP(IF(AE22="",G22,AE22),{0,1,100,1000,5000,15000,50000},{0,0.0067,0.0067,0.00347,0.00085,0.00076,0.0007}),"")</f>
        <v>0.0067</v>
      </c>
      <c r="AG22" s="14" t="n">
        <f aca="false">IFERROR(IF(AE22="",G22,AE22)*AF22,"")</f>
        <v>0.0402</v>
      </c>
      <c r="AH22" s="15" t="s">
        <v>132</v>
      </c>
    </row>
    <row r="23" customFormat="false" ht="15" hidden="false" customHeight="false" outlineLevel="0" collapsed="false">
      <c r="A23" s="0" t="s">
        <v>133</v>
      </c>
      <c r="B23" s="0" t="s">
        <v>134</v>
      </c>
      <c r="E23" s="0" t="s">
        <v>65</v>
      </c>
      <c r="F23" s="0" t="s">
        <v>135</v>
      </c>
      <c r="G23" s="0" t="n">
        <f aca="false">BoardQty*12</f>
        <v>12</v>
      </c>
      <c r="H2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0.297</v>
      </c>
      <c r="I23" s="14" t="n">
        <f aca="false">IFERROR(G23*H23,"")</f>
        <v>3.564</v>
      </c>
      <c r="J23" s="0" t="n">
        <v>14508</v>
      </c>
      <c r="L23" s="14" t="n">
        <f aca="false">IFERROR(LOOKUP(IF(K23="",G23,K23),{0,1,10,25,50,100,250,500,1000,5000,10000,25000,50000,125000},{0,0.39,0.297,0.2256,0.1678,0.1247,0.10536,0.0903,0.0688,0.05805,0.05676,0.05483,0.05375,0.05323}),"")</f>
        <v>0.297</v>
      </c>
      <c r="M23" s="14" t="n">
        <f aca="false">IFERROR(IF(K23="",G23,K23)*L23,"")</f>
        <v>3.564</v>
      </c>
      <c r="N23" s="15" t="s">
        <v>136</v>
      </c>
    </row>
    <row r="24" customFormat="false" ht="15" hidden="false" customHeight="false" outlineLevel="0" collapsed="false">
      <c r="A24" s="0" t="s">
        <v>137</v>
      </c>
      <c r="B24" s="0" t="s">
        <v>138</v>
      </c>
      <c r="E24" s="0" t="s">
        <v>120</v>
      </c>
      <c r="F24" s="0" t="s">
        <v>139</v>
      </c>
      <c r="G24" s="0" t="n">
        <f aca="false">BoardQty*10</f>
        <v>10</v>
      </c>
      <c r="H2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0.009</v>
      </c>
      <c r="I24" s="14" t="n">
        <f aca="false">IFERROR(G24*H24,"")</f>
        <v>0.09</v>
      </c>
      <c r="J24" s="0" t="n">
        <v>1833768</v>
      </c>
      <c r="L24" s="14" t="n">
        <f aca="false">IFERROR(LOOKUP(IF(K24="",G24,K24),{0,1,10,100,1000,2500,5000,10000,25000,50000,125000},{0,0.1,0.015,0.006,0.00268,0.00233,0.00192,0.00167,0.00147,0.00135,0.00132}),"")</f>
        <v>0.015</v>
      </c>
      <c r="M24" s="14" t="n">
        <f aca="false">IFERROR(IF(K24="",G24,K24)*L24,"")</f>
        <v>0.15</v>
      </c>
      <c r="N24" s="15" t="s">
        <v>140</v>
      </c>
      <c r="O24" s="0" t="n">
        <v>429032</v>
      </c>
      <c r="Q24" s="14" t="n">
        <f aca="false">IFERROR(LOOKUP(IF(P24="",G24,P24),{0,1,10,100,5000,50000},{0,0.1,0.009,0.004,0.002,0.001}),"")</f>
        <v>0.009</v>
      </c>
      <c r="R24" s="14" t="n">
        <f aca="false">IFERROR(IF(P24="",G24,P24)*Q24,"")</f>
        <v>0.09</v>
      </c>
      <c r="S24" s="15" t="s">
        <v>141</v>
      </c>
      <c r="T24" s="0" t="n">
        <v>2500</v>
      </c>
      <c r="V24" s="14" t="n">
        <f aca="false">IFERROR(LOOKUP(IF(U24="",G24,U24),{0,1,10,25,100,250,1000},{0,0.08,0.014,0.01,0.006,0.004,0.003}),"")</f>
        <v>0.014</v>
      </c>
      <c r="W24" s="14" t="n">
        <f aca="false">IFERROR(IF(U24="",G24,U24)*V24,"")</f>
        <v>0.14</v>
      </c>
      <c r="X24" s="15" t="s">
        <v>142</v>
      </c>
    </row>
    <row r="25" customFormat="false" ht="15" hidden="false" customHeight="false" outlineLevel="0" collapsed="false">
      <c r="A25" s="0" t="s">
        <v>143</v>
      </c>
      <c r="B25" s="0" t="s">
        <v>144</v>
      </c>
      <c r="E25" s="0" t="s">
        <v>120</v>
      </c>
      <c r="F25" s="0" t="s">
        <v>145</v>
      </c>
      <c r="G25" s="0" t="n">
        <f aca="false">BoardQty*8</f>
        <v>8</v>
      </c>
      <c r="H2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</v>
      </c>
      <c r="I25" s="14" t="n">
        <f aca="false">IFERROR(G25*H25,"")</f>
        <v>0.04</v>
      </c>
      <c r="J25" s="0" t="n">
        <v>345874</v>
      </c>
      <c r="L25" s="14" t="n">
        <f aca="false">IFERROR(LOOKUP(IF(K25="",G25,K25),{0,1,10,100,1000,2500,5000,10000,25000,50000,125000},{0,0.1,0.015,0.006,0.00268,0.00233,0.00192,0.00167,0.00147,0.00135,0.00132}),"")</f>
        <v>0.1</v>
      </c>
      <c r="M25" s="14" t="n">
        <f aca="false">IFERROR(IF(K25="",G25,K25)*L25,"")</f>
        <v>0.8</v>
      </c>
      <c r="N25" s="15" t="s">
        <v>146</v>
      </c>
      <c r="O25" s="0" t="n">
        <v>68975</v>
      </c>
      <c r="Q25" s="14" t="n">
        <f aca="false">IFERROR(LOOKUP(IF(P25="",G25,P25),{0,1,10,100,5000,50000},{0,0.1,0.009,0.004,0.002,0.001}),"")</f>
        <v>0.1</v>
      </c>
      <c r="R25" s="14" t="n">
        <f aca="false">IFERROR(IF(P25="",G25,P25)*Q25,"")</f>
        <v>0.8</v>
      </c>
      <c r="S25" s="15" t="s">
        <v>147</v>
      </c>
      <c r="T25" s="16" t="s">
        <v>33</v>
      </c>
      <c r="V25" s="14" t="n">
        <f aca="false">IFERROR(LOOKUP(IF(U25="",G25,U25),{0,1,5000,10000,15000},{0,0.005,0.005,0.003,0.002}),"")</f>
        <v>0.005</v>
      </c>
      <c r="W25" s="14" t="n">
        <f aca="false">IFERROR(IF(U25="",G25,U25)*V25,"")</f>
        <v>0.04</v>
      </c>
      <c r="X25" s="15" t="s">
        <v>148</v>
      </c>
    </row>
    <row r="26" customFormat="false" ht="15" hidden="false" customHeight="false" outlineLevel="0" collapsed="false">
      <c r="A26" s="0" t="s">
        <v>149</v>
      </c>
      <c r="B26" s="0" t="s">
        <v>150</v>
      </c>
      <c r="E26" s="0" t="s">
        <v>115</v>
      </c>
      <c r="F26" s="0" t="s">
        <v>151</v>
      </c>
      <c r="G26" s="0" t="n">
        <f aca="false">BoardQty*14</f>
        <v>14</v>
      </c>
      <c r="H2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1.432</v>
      </c>
      <c r="I26" s="14" t="n">
        <f aca="false">IFERROR(G26*H26,"")</f>
        <v>20.048</v>
      </c>
      <c r="J26" s="0" t="n">
        <v>6972</v>
      </c>
      <c r="L26" s="14" t="n">
        <f aca="false">IFERROR(LOOKUP(IF(K26="",G26,K26),{0,1,10,100,1000},{0,1.62,1.432,1.0395,0.58}),"")</f>
        <v>1.432</v>
      </c>
      <c r="M26" s="14" t="n">
        <f aca="false">IFERROR(IF(K26="",G26,K26)*L26,"")</f>
        <v>20.048</v>
      </c>
      <c r="N26" s="15" t="s">
        <v>152</v>
      </c>
    </row>
    <row r="27" customFormat="false" ht="15" hidden="false" customHeight="false" outlineLevel="0" collapsed="false">
      <c r="A27" s="0" t="s">
        <v>153</v>
      </c>
      <c r="B27" s="0" t="s">
        <v>154</v>
      </c>
      <c r="E27" s="0" t="s">
        <v>155</v>
      </c>
      <c r="F27" s="0" t="s">
        <v>156</v>
      </c>
      <c r="G27" s="0" t="n">
        <f aca="false">BoardQty*1</f>
        <v>1</v>
      </c>
      <c r="H2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0.88</v>
      </c>
      <c r="I27" s="14" t="n">
        <f aca="false">IFERROR(G27*H27,"")</f>
        <v>0.88</v>
      </c>
      <c r="J27" s="0" t="n">
        <v>1998</v>
      </c>
      <c r="L27" s="14" t="n">
        <f aca="false">IFERROR(LOOKUP(IF(K27="",G27,K27),{0,1,10,100,1000},{0,0.88,0.762,0.5313,0.29}),"")</f>
        <v>0.88</v>
      </c>
      <c r="M27" s="14" t="n">
        <f aca="false">IFERROR(IF(K27="",G27,K27)*L27,"")</f>
        <v>0.88</v>
      </c>
      <c r="N27" s="15" t="s">
        <v>157</v>
      </c>
    </row>
    <row r="28" customFormat="false" ht="15" hidden="false" customHeight="false" outlineLevel="0" collapsed="false">
      <c r="A28" s="0" t="s">
        <v>158</v>
      </c>
      <c r="B28" s="0" t="s">
        <v>159</v>
      </c>
      <c r="E28" s="0" t="s">
        <v>160</v>
      </c>
      <c r="F28" s="0" t="s">
        <v>161</v>
      </c>
      <c r="G28" s="0" t="n">
        <f aca="false">BoardQty*1</f>
        <v>1</v>
      </c>
      <c r="H2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0.814</v>
      </c>
      <c r="I28" s="14" t="n">
        <f aca="false">IFERROR(G28*H28,"")</f>
        <v>0.814</v>
      </c>
      <c r="J28" s="0" t="n">
        <v>12861</v>
      </c>
      <c r="L28" s="14" t="n">
        <f aca="false">IFERROR(LOOKUP(IF(K28="",G28,K28),{0,1,10,25,50,100,250,500,1000,3000,6000,15000},{0,1.67,1.477,1.3576,1.2384,1.0717,0.90496,0.76208,0.63348,0.5629,0.55208,0.53909}),"")</f>
        <v>1.67</v>
      </c>
      <c r="M28" s="14" t="n">
        <f aca="false">IFERROR(IF(K28="",G28,K28)*L28,"")</f>
        <v>1.67</v>
      </c>
      <c r="N28" s="15" t="s">
        <v>162</v>
      </c>
      <c r="O28" s="0" t="n">
        <v>5625</v>
      </c>
      <c r="Q28" s="14" t="n">
        <f aca="false">IFERROR(LOOKUP(IF(P28="",G28,P28),{0,1,10,100,500,1000,3000},{0,1.68,1.24,0.906,0.765,0.635,0.564}),"")</f>
        <v>1.68</v>
      </c>
      <c r="R28" s="14" t="n">
        <f aca="false">IFERROR(IF(P28="",G28,P28)*Q28,"")</f>
        <v>1.68</v>
      </c>
      <c r="S28" s="15" t="s">
        <v>163</v>
      </c>
      <c r="T28" s="16" t="s">
        <v>33</v>
      </c>
      <c r="V28" s="14" t="n">
        <f aca="false">IFERROR(LOOKUP(IF(U28="",G28,U28),{0,1,6000},{0,0.814,0.814}),"")</f>
        <v>0.814</v>
      </c>
      <c r="W28" s="14" t="n">
        <f aca="false">IFERROR(IF(U28="",G28,U28)*V28,"")</f>
        <v>0.814</v>
      </c>
      <c r="X28" s="15" t="s">
        <v>164</v>
      </c>
      <c r="Y28" s="16" t="s">
        <v>33</v>
      </c>
      <c r="AC28" s="15" t="s">
        <v>165</v>
      </c>
    </row>
    <row r="29" customFormat="false" ht="15" hidden="false" customHeight="false" outlineLevel="0" collapsed="false">
      <c r="A29" s="0" t="s">
        <v>166</v>
      </c>
      <c r="B29" s="0" t="s">
        <v>167</v>
      </c>
      <c r="E29" s="0" t="s">
        <v>168</v>
      </c>
      <c r="F29" s="0" t="s">
        <v>169</v>
      </c>
      <c r="G29" s="0" t="n">
        <f aca="false">BoardQty*1</f>
        <v>1</v>
      </c>
      <c r="H2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0.62</v>
      </c>
      <c r="I29" s="14" t="n">
        <f aca="false">IFERROR(G29*H29,"")</f>
        <v>0.62</v>
      </c>
      <c r="J29" s="0" t="n">
        <v>981</v>
      </c>
      <c r="L29" s="14" t="n">
        <f aca="false">IFERROR(LOOKUP(IF(K29="",G29,K29),{0,1,10,100,1000,5000},{0,1.77,1.567,1.1375,0.69813,0.63467}),"")</f>
        <v>1.77</v>
      </c>
      <c r="M29" s="14" t="n">
        <f aca="false">IFERROR(IF(K29="",G29,K29)*L29,"")</f>
        <v>1.77</v>
      </c>
      <c r="N29" s="15" t="s">
        <v>170</v>
      </c>
      <c r="O29" s="16" t="s">
        <v>33</v>
      </c>
      <c r="Q29" s="14" t="n">
        <f aca="false">IFERROR(LOOKUP(IF(P29="",G29,P29),{0,1,5000},{0,0.62,0.62}),"")</f>
        <v>0.62</v>
      </c>
      <c r="R29" s="14" t="n">
        <f aca="false">IFERROR(IF(P29="",G29,P29)*Q29,"")</f>
        <v>0.62</v>
      </c>
      <c r="S29" s="15" t="s">
        <v>171</v>
      </c>
    </row>
    <row r="30" customFormat="false" ht="15" hidden="false" customHeight="false" outlineLevel="0" collapsed="false">
      <c r="A30" s="0" t="s">
        <v>172</v>
      </c>
      <c r="B30" s="0" t="s">
        <v>173</v>
      </c>
      <c r="E30" s="0" t="s">
        <v>120</v>
      </c>
      <c r="F30" s="0" t="s">
        <v>174</v>
      </c>
      <c r="G30" s="0" t="n">
        <f aca="false">BoardQty*1</f>
        <v>1</v>
      </c>
      <c r="H3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0.00524</v>
      </c>
      <c r="I30" s="14" t="n">
        <f aca="false">IFERROR(G30*H30,"")</f>
        <v>0.00524</v>
      </c>
      <c r="J30" s="0" t="n">
        <v>6677964</v>
      </c>
      <c r="L30" s="14" t="n">
        <f aca="false">IFERROR(LOOKUP(IF(K30="",G30,K30),{0,1,10,100,1000,2500,5000,10000,25000,50000,125000},{0,0.1,0.015,0.006,0.00268,0.00233,0.00192,0.00167,0.00147,0.00135,0.00132}),"")</f>
        <v>0.1</v>
      </c>
      <c r="M30" s="14" t="n">
        <f aca="false">IFERROR(IF(K30="",G30,K30)*L30,"")</f>
        <v>0.1</v>
      </c>
      <c r="N30" s="15" t="s">
        <v>175</v>
      </c>
      <c r="O30" s="0" t="n">
        <v>802053</v>
      </c>
      <c r="Q30" s="14" t="n">
        <f aca="false">IFERROR(LOOKUP(IF(P30="",G30,P30),{0,1,10,100,5000,50000},{0,0.1,0.009,0.004,0.002,0.001}),"")</f>
        <v>0.1</v>
      </c>
      <c r="R30" s="14" t="n">
        <f aca="false">IFERROR(IF(P30="",G30,P30)*Q30,"")</f>
        <v>0.1</v>
      </c>
      <c r="S30" s="15" t="s">
        <v>176</v>
      </c>
      <c r="T30" s="0" t="n">
        <v>4996</v>
      </c>
      <c r="V30" s="14" t="n">
        <f aca="false">IFERROR(LOOKUP(IF(U30="",G30,U30),{0,1,10,25,100,250,1000},{0,0.08,0.014,0.01,0.006,0.004,0.003}),"")</f>
        <v>0.08</v>
      </c>
      <c r="W30" s="14" t="n">
        <f aca="false">IFERROR(IF(U30="",G30,U30)*V30,"")</f>
        <v>0.08</v>
      </c>
      <c r="X30" s="15" t="s">
        <v>177</v>
      </c>
      <c r="AD30" s="16" t="s">
        <v>33</v>
      </c>
      <c r="AF30" s="14" t="n">
        <f aca="false">IFERROR(LOOKUP(IF(AE30="",G30,AE30),{0,1,100,1000,5000,15000,50000},{0,0.00524,0.00524,0.00272,0.00067,0.00059,0.00055}),"")</f>
        <v>0.00524</v>
      </c>
      <c r="AG30" s="14" t="n">
        <f aca="false">IFERROR(IF(AE30="",G30,AE30)*AF30,"")</f>
        <v>0.00524</v>
      </c>
      <c r="AH30" s="15" t="s">
        <v>178</v>
      </c>
    </row>
    <row r="31" customFormat="false" ht="15" hidden="false" customHeight="false" outlineLevel="0" collapsed="false">
      <c r="A31" s="0" t="s">
        <v>179</v>
      </c>
      <c r="B31" s="0" t="s">
        <v>138</v>
      </c>
      <c r="E31" s="0" t="s">
        <v>120</v>
      </c>
      <c r="F31" s="0" t="s">
        <v>180</v>
      </c>
      <c r="G31" s="0" t="n">
        <f aca="false">BoardQty*1</f>
        <v>1</v>
      </c>
      <c r="H3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0.00533</v>
      </c>
      <c r="I31" s="14" t="n">
        <f aca="false">IFERROR(G31*H31,"")</f>
        <v>0.00533</v>
      </c>
      <c r="J31" s="0" t="n">
        <v>1833768</v>
      </c>
      <c r="L31" s="14" t="n">
        <f aca="false">IFERROR(LOOKUP(IF(K31="",G31,K31),{0,1,10,100,1000,2500,5000,10000,25000,50000,125000},{0,0.1,0.015,0.006,0.00268,0.00233,0.00192,0.00167,0.00147,0.00135,0.00132}),"")</f>
        <v>0.1</v>
      </c>
      <c r="M31" s="14" t="n">
        <f aca="false">IFERROR(IF(K31="",G31,K31)*L31,"")</f>
        <v>0.1</v>
      </c>
      <c r="N31" s="15" t="s">
        <v>140</v>
      </c>
      <c r="O31" s="0" t="n">
        <v>267106</v>
      </c>
      <c r="Q31" s="14" t="n">
        <f aca="false">IFERROR(LOOKUP(IF(P31="",G31,P31),{0,1,10,100,5000,50000},{0,0.1,0.008,0.002,0.002,0.001}),"")</f>
        <v>0.1</v>
      </c>
      <c r="R31" s="14" t="n">
        <f aca="false">IFERROR(IF(P31="",G31,P31)*Q31,"")</f>
        <v>0.1</v>
      </c>
      <c r="S31" s="15" t="s">
        <v>181</v>
      </c>
      <c r="T31" s="0" t="n">
        <v>2920</v>
      </c>
      <c r="V31" s="14" t="n">
        <f aca="false">IFERROR(LOOKUP(IF(U31="",G31,U31),{0,1,10,25,100,250,1000},{0,0.07,0.012,0.008,0.005,0.004,0.002}),"")</f>
        <v>0.07</v>
      </c>
      <c r="W31" s="14" t="n">
        <f aca="false">IFERROR(IF(U31="",G31,U31)*V31,"")</f>
        <v>0.07</v>
      </c>
      <c r="X31" s="15" t="s">
        <v>182</v>
      </c>
      <c r="AD31" s="0" t="n">
        <v>3000</v>
      </c>
      <c r="AF31" s="14" t="n">
        <f aca="false">IFERROR(LOOKUP(IF(AE31="",G31,AE31),{0,1,100,1000,5000,15000,50000},{0,0.00533,0.00533,0.00209,0.00065,0.00058,0.00051}),"")</f>
        <v>0.00533</v>
      </c>
      <c r="AG31" s="14" t="n">
        <f aca="false">IFERROR(IF(AE31="",G31,AE31)*AF31,"")</f>
        <v>0.00533</v>
      </c>
      <c r="AH31" s="15" t="s">
        <v>183</v>
      </c>
    </row>
    <row r="32" customFormat="false" ht="15" hidden="false" customHeight="false" outlineLevel="0" collapsed="false">
      <c r="A32" s="0" t="s">
        <v>184</v>
      </c>
      <c r="B32" s="0" t="s">
        <v>185</v>
      </c>
      <c r="E32" s="0" t="s">
        <v>120</v>
      </c>
      <c r="F32" s="0" t="s">
        <v>186</v>
      </c>
      <c r="G32" s="0" t="n">
        <f aca="false">BoardQty*1</f>
        <v>1</v>
      </c>
      <c r="H3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</v>
      </c>
      <c r="I32" s="14" t="n">
        <f aca="false">IFERROR(G32*H32,"")</f>
        <v>0.005</v>
      </c>
      <c r="J32" s="0" t="n">
        <v>181015</v>
      </c>
      <c r="L32" s="14" t="n">
        <f aca="false">IFERROR(LOOKUP(IF(K32="",G32,K32),{0,1,10,100,1000,2500,5000,10000,25000,50000,125000},{0,0.1,0.015,0.006,0.00268,0.00233,0.00192,0.00167,0.00147,0.00135,0.00132}),"")</f>
        <v>0.1</v>
      </c>
      <c r="M32" s="14" t="n">
        <f aca="false">IFERROR(IF(K32="",G32,K32)*L32,"")</f>
        <v>0.1</v>
      </c>
      <c r="N32" s="15" t="s">
        <v>187</v>
      </c>
      <c r="O32" s="0" t="n">
        <v>108568</v>
      </c>
      <c r="Q32" s="14" t="n">
        <f aca="false">IFERROR(LOOKUP(IF(P32="",G32,P32),{0,1,10,100,5000,50000},{0,0.1,0.009,0.004,0.002,0.001}),"")</f>
        <v>0.1</v>
      </c>
      <c r="R32" s="14" t="n">
        <f aca="false">IFERROR(IF(P32="",G32,P32)*Q32,"")</f>
        <v>0.1</v>
      </c>
      <c r="S32" s="15" t="s">
        <v>188</v>
      </c>
      <c r="T32" s="16" t="s">
        <v>33</v>
      </c>
      <c r="V32" s="14" t="n">
        <f aca="false">IFERROR(LOOKUP(IF(U32="",G32,U32),{0,1,5000,10000,15000},{0,0.005,0.005,0.003,0.002}),"")</f>
        <v>0.005</v>
      </c>
      <c r="W32" s="14" t="n">
        <f aca="false">IFERROR(IF(U32="",G32,U32)*V32,"")</f>
        <v>0.005</v>
      </c>
      <c r="X32" s="15" t="s">
        <v>189</v>
      </c>
      <c r="Y32" s="16" t="s">
        <v>33</v>
      </c>
      <c r="AC32" s="15" t="s">
        <v>190</v>
      </c>
    </row>
    <row r="33" customFormat="false" ht="15" hidden="false" customHeight="false" outlineLevel="0" collapsed="false">
      <c r="A33" s="0" t="s">
        <v>191</v>
      </c>
      <c r="B33" s="0" t="s">
        <v>192</v>
      </c>
      <c r="D33" s="0" t="s">
        <v>193</v>
      </c>
      <c r="E33" s="0" t="s">
        <v>194</v>
      </c>
      <c r="F33" s="0" t="s">
        <v>195</v>
      </c>
      <c r="G33" s="0" t="n">
        <f aca="false">BoardQty*13</f>
        <v>13</v>
      </c>
      <c r="H3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0.12779</v>
      </c>
      <c r="I33" s="14" t="n">
        <f aca="false">IFERROR(G33*H33,"")</f>
        <v>1.66127</v>
      </c>
      <c r="J33" s="0" t="n">
        <v>7232</v>
      </c>
      <c r="L33" s="14" t="n">
        <f aca="false">IFERROR(LOOKUP(IF(K33="",G33,K33),{0,1,10,25,100,250,500,1000,2000,4000,5000,8000,10000,12000,25000,28000,50000,100000},{0,0.4,0.315,0.2656,0.2163,0.17924,0.14832,0.108,0.099,0.099,0.093,0.093,0.087,0.087,0.0798,0.0798,0.0768,0.075}),"")</f>
        <v>0.315</v>
      </c>
      <c r="M33" s="14" t="n">
        <f aca="false">IFERROR(IF(K33="",G33,K33)*L33,"")</f>
        <v>4.095</v>
      </c>
      <c r="N33" s="15" t="s">
        <v>196</v>
      </c>
      <c r="O33" s="0" t="n">
        <v>5598</v>
      </c>
      <c r="Q33" s="14" t="n">
        <f aca="false">IFERROR(LOOKUP(IF(P33="",G33,P33),{0,1,10,100,500,1000,2000,10000,25000,50000},{0,0.542,0.398,0.295,0.25,0.188,0.171,0.159,0.149,0.137}),"")</f>
        <v>0.398</v>
      </c>
      <c r="R33" s="14" t="n">
        <f aca="false">IFERROR(IF(P33="",G33,P33)*Q33,"")</f>
        <v>5.174</v>
      </c>
      <c r="S33" s="15" t="s">
        <v>197</v>
      </c>
      <c r="T33" s="0" t="n">
        <v>2102</v>
      </c>
      <c r="V33" s="14" t="n">
        <f aca="false">IFERROR(LOOKUP(IF(U33="",G33,U33),{0,1,10,25,50,100,250,500},{0,0.54,0.396,0.362,0.328,0.294,0.272,0.249}),"")</f>
        <v>0.396</v>
      </c>
      <c r="W33" s="14" t="n">
        <f aca="false">IFERROR(IF(U33="",G33,U33)*V33,"")</f>
        <v>5.148</v>
      </c>
      <c r="X33" s="15" t="s">
        <v>198</v>
      </c>
      <c r="Y33" s="16" t="s">
        <v>33</v>
      </c>
      <c r="AC33" s="15" t="s">
        <v>199</v>
      </c>
      <c r="AD33" s="0" t="n">
        <v>2880</v>
      </c>
      <c r="AF33" s="14" t="n">
        <f aca="false">IFERROR(LOOKUP(IF(AE33="",G33,AE33),{0,1,5,50,250,1000},{0,0.12779,0.12779,0.08519,0.06472,0.05798}),"")</f>
        <v>0.12779</v>
      </c>
      <c r="AG33" s="14" t="n">
        <f aca="false">IFERROR(IF(AE33="",G33,AE33)*AF33,"")</f>
        <v>1.66127</v>
      </c>
      <c r="AH33" s="15" t="s">
        <v>200</v>
      </c>
    </row>
    <row r="34" customFormat="false" ht="15" hidden="false" customHeight="false" outlineLevel="0" collapsed="false">
      <c r="A34" s="0" t="s">
        <v>201</v>
      </c>
      <c r="B34" s="0" t="s">
        <v>202</v>
      </c>
      <c r="E34" s="0" t="s">
        <v>203</v>
      </c>
      <c r="F34" s="0" t="s">
        <v>204</v>
      </c>
      <c r="G34" s="0" t="n">
        <f aca="false">BoardQty*1</f>
        <v>1</v>
      </c>
      <c r="H3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0.833</v>
      </c>
      <c r="I34" s="14" t="n">
        <f aca="false">IFERROR(G34*H34,"")</f>
        <v>0.833</v>
      </c>
      <c r="J34" s="0" t="n">
        <v>6909</v>
      </c>
      <c r="L34" s="14" t="n">
        <f aca="false">IFERROR(LOOKUP(IF(K34="",G34,K34),{0,1,10,100,500,1000,3000},{0,1.89,1.695,1.3624,1.11936,0.92746,0.77625}),"")</f>
        <v>1.89</v>
      </c>
      <c r="M34" s="14" t="n">
        <f aca="false">IFERROR(IF(K34="",G34,K34)*L34,"")</f>
        <v>1.89</v>
      </c>
      <c r="N34" s="15" t="s">
        <v>205</v>
      </c>
      <c r="O34" s="0" t="n">
        <v>2649</v>
      </c>
      <c r="Q34" s="14" t="n">
        <f aca="false">IFERROR(LOOKUP(IF(P34="",G34,P34),{0,1,10,25,100,250,500,1000,3000},{0,1.84,1.64,1.57,1.32,1.24,1.08,0.847,0.847}),"")</f>
        <v>1.84</v>
      </c>
      <c r="R34" s="14" t="n">
        <f aca="false">IFERROR(IF(P34="",G34,P34)*Q34,"")</f>
        <v>1.84</v>
      </c>
      <c r="S34" s="15" t="s">
        <v>206</v>
      </c>
      <c r="T34" s="16" t="s">
        <v>33</v>
      </c>
      <c r="V34" s="14" t="n">
        <f aca="false">IFERROR(LOOKUP(IF(U34="",G34,U34),{0,1,3000,5000,10000},{0,0.833,0.833,0.808,0.777}),"")</f>
        <v>0.833</v>
      </c>
      <c r="W34" s="14" t="n">
        <f aca="false">IFERROR(IF(U34="",G34,U34)*V34,"")</f>
        <v>0.833</v>
      </c>
      <c r="X34" s="15" t="s">
        <v>207</v>
      </c>
    </row>
    <row r="35" customFormat="false" ht="15" hidden="false" customHeight="false" outlineLevel="0" collapsed="false">
      <c r="A35" s="0" t="s">
        <v>208</v>
      </c>
      <c r="B35" s="0" t="s">
        <v>209</v>
      </c>
      <c r="E35" s="0" t="s">
        <v>210</v>
      </c>
      <c r="F35" s="0" t="s">
        <v>211</v>
      </c>
      <c r="G35" s="0" t="n">
        <f aca="false">BoardQty*1</f>
        <v>1</v>
      </c>
      <c r="H3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0.412</v>
      </c>
      <c r="I35" s="14" t="n">
        <f aca="false">IFERROR(G35*H35,"")</f>
        <v>0.412</v>
      </c>
      <c r="J35" s="0" t="n">
        <v>4433</v>
      </c>
      <c r="L35" s="14" t="n">
        <f aca="false">IFERROR(LOOKUP(IF(K35="",G35,K35),{0,1,10,100,500,1000,2500,5000,12500,25000,62500},{0,0.42,0.363,0.2711,0.213,0.16459,0.1457,0.1363,0.1269,0.12032,0.1175}),"")</f>
        <v>0.42</v>
      </c>
      <c r="M35" s="14" t="n">
        <f aca="false">IFERROR(IF(K35="",G35,K35)*L35,"")</f>
        <v>0.42</v>
      </c>
      <c r="N35" s="15" t="s">
        <v>212</v>
      </c>
      <c r="O35" s="0" t="n">
        <v>13200</v>
      </c>
      <c r="Q35" s="14" t="n">
        <f aca="false">IFERROR(LOOKUP(IF(P35="",G35,P35),{0,1,10,100,1000,2500,10000,25000},{0,0.412,0.341,0.208,0.16,0.137,0.127,0.123}),"")</f>
        <v>0.412</v>
      </c>
      <c r="R35" s="14" t="n">
        <f aca="false">IFERROR(IF(P35="",G35,P35)*Q35,"")</f>
        <v>0.412</v>
      </c>
      <c r="S35" s="15" t="s">
        <v>213</v>
      </c>
      <c r="T35" s="0" t="n">
        <v>705</v>
      </c>
      <c r="V35" s="14" t="n">
        <f aca="false">IFERROR(LOOKUP(IF(U35="",G35,U35),{0,1,5,10,25,50,100,250,500,1000},{0,0.42,0.42,0.363,0.332,0.302,0.271,0.242,0.213,0.164}),"")</f>
        <v>0.42</v>
      </c>
      <c r="W35" s="14" t="n">
        <f aca="false">IFERROR(IF(U35="",G35,U35)*V35,"")</f>
        <v>0.42</v>
      </c>
      <c r="X35" s="15" t="s">
        <v>214</v>
      </c>
    </row>
    <row r="36" customFormat="false" ht="15" hidden="false" customHeight="false" outlineLevel="0" collapsed="false">
      <c r="A36" s="0" t="s">
        <v>215</v>
      </c>
      <c r="B36" s="0" t="s">
        <v>216</v>
      </c>
      <c r="D36" s="0" t="s">
        <v>217</v>
      </c>
      <c r="E36" s="0" t="s">
        <v>218</v>
      </c>
      <c r="F36" s="0" t="s">
        <v>216</v>
      </c>
      <c r="G36" s="0" t="n">
        <f aca="false">BoardQty*1</f>
        <v>1</v>
      </c>
      <c r="H3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0.3567</v>
      </c>
      <c r="I36" s="14" t="n">
        <f aca="false">IFERROR(G36*H36,"")</f>
        <v>0.3567</v>
      </c>
      <c r="J36" s="0" t="n">
        <v>5189</v>
      </c>
      <c r="L36" s="14" t="n">
        <f aca="false">IFERROR(LOOKUP(IF(K36="",G36,K36),{0,1,10,100,500,1000,2500,5000,12500,25000,62500},{0,0.51,0.414,0.2816,0.2112,0.1584,0.15686,0.14674,0.13662,0.12954,0.1265}),"")</f>
        <v>0.51</v>
      </c>
      <c r="M36" s="14" t="n">
        <f aca="false">IFERROR(IF(K36="",G36,K36)*L36,"")</f>
        <v>0.51</v>
      </c>
      <c r="N36" s="15" t="s">
        <v>219</v>
      </c>
      <c r="O36" s="0" t="n">
        <v>3466</v>
      </c>
      <c r="Q36" s="14" t="n">
        <f aca="false">IFERROR(LOOKUP(IF(P36="",G36,P36),{0,1,10,100,1000,2500,10000,25000,50000},{0,0.522,0.392,0.212,0.159,0.137,0.129,0.118,0.116}),"")</f>
        <v>0.522</v>
      </c>
      <c r="R36" s="14" t="n">
        <f aca="false">IFERROR(IF(P36="",G36,P36)*Q36,"")</f>
        <v>0.522</v>
      </c>
      <c r="S36" s="15" t="s">
        <v>220</v>
      </c>
      <c r="T36" s="0" t="n">
        <v>3885</v>
      </c>
      <c r="V36" s="14" t="n">
        <f aca="false">IFERROR(LOOKUP(IF(U36="",G36,U36),{0,1,10,100,500,1000,2500,10000,25000},{0,0.52,0.39,0.212,0.186,0.159,0.137,0.128,0.118}),"")</f>
        <v>0.52</v>
      </c>
      <c r="W36" s="14" t="n">
        <f aca="false">IFERROR(IF(U36="",G36,U36)*V36,"")</f>
        <v>0.52</v>
      </c>
      <c r="X36" s="15" t="s">
        <v>221</v>
      </c>
      <c r="Y36" s="0" t="n">
        <v>80</v>
      </c>
      <c r="AA36" s="14" t="n">
        <f aca="false">IFERROR(LOOKUP(IF(Z36="",G36,Z36),{0,1,5,40},{0,0.3567,0.3567,0.266336}),"")</f>
        <v>0.3567</v>
      </c>
      <c r="AB36" s="14" t="n">
        <f aca="false">IFERROR(IF(Z36="",G36,Z36)*AA36,"")</f>
        <v>0.3567</v>
      </c>
      <c r="AC36" s="15" t="s">
        <v>222</v>
      </c>
      <c r="AD36" s="0" t="n">
        <v>413</v>
      </c>
      <c r="AF36" s="14" t="n">
        <f aca="false">IFERROR(LOOKUP(IF(AE36="",G36,AE36),{0,1,2,10,50,250,1000},{0,0.3756,0.3756,0.2564,0.2189,0.1952,0.1716}),"")</f>
        <v>0.3756</v>
      </c>
      <c r="AG36" s="14" t="n">
        <f aca="false">IFERROR(IF(AE36="",G36,AE36)*AF36,"")</f>
        <v>0.3756</v>
      </c>
      <c r="AH36" s="15" t="s">
        <v>216</v>
      </c>
    </row>
    <row r="37" customFormat="false" ht="15" hidden="false" customHeight="false" outlineLevel="0" collapsed="false">
      <c r="A37" s="0" t="s">
        <v>223</v>
      </c>
      <c r="B37" s="0" t="s">
        <v>224</v>
      </c>
      <c r="D37" s="0" t="s">
        <v>225</v>
      </c>
      <c r="E37" s="0" t="s">
        <v>226</v>
      </c>
      <c r="F37" s="0" t="s">
        <v>227</v>
      </c>
      <c r="G37" s="0" t="n">
        <f aca="false">BoardQty*1</f>
        <v>1</v>
      </c>
      <c r="H3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0.277037</v>
      </c>
      <c r="I37" s="14" t="n">
        <f aca="false">IFERROR(G37*H37,"")</f>
        <v>0.277037</v>
      </c>
      <c r="J37" s="0" t="n">
        <v>22464</v>
      </c>
      <c r="L37" s="14" t="n">
        <f aca="false">IFERROR(LOOKUP(IF(K37="",G37,K37),{0,1,10,25,100,250,500,1000,2500},{0,0.48,0.378,0.3192,0.2597,0.2152,0.17808,0.13356,0.0927}),"")</f>
        <v>0.48</v>
      </c>
      <c r="M37" s="14" t="n">
        <f aca="false">IFERROR(IF(K37="",G37,K37)*L37,"")</f>
        <v>0.48</v>
      </c>
      <c r="N37" s="15" t="s">
        <v>228</v>
      </c>
      <c r="O37" s="0" t="n">
        <v>13239</v>
      </c>
      <c r="Q37" s="14" t="n">
        <f aca="false">IFERROR(LOOKUP(IF(P37="",G37,P37),{0,1,10,25,50,100,250,500,1000,2500},{0,0.481,0.38,0.32,0.297,0.261,0.217,0.178,0.092,0.092}),"")</f>
        <v>0.481</v>
      </c>
      <c r="R37" s="14" t="n">
        <f aca="false">IFERROR(IF(P37="",G37,P37)*Q37,"")</f>
        <v>0.481</v>
      </c>
      <c r="S37" s="15" t="s">
        <v>229</v>
      </c>
      <c r="T37" s="0" t="n">
        <v>432</v>
      </c>
      <c r="V37" s="14" t="n">
        <f aca="false">IFERROR(LOOKUP(IF(U37="",G37,U37),{0,1,25,100,250,500,1000,3000},{0,0.329,0.25,0.212,0.181,0.152,0.132,0.12}),"")</f>
        <v>0.329</v>
      </c>
      <c r="W37" s="14" t="n">
        <f aca="false">IFERROR(IF(U37="",G37,U37)*V37,"")</f>
        <v>0.329</v>
      </c>
      <c r="X37" s="15" t="s">
        <v>230</v>
      </c>
      <c r="Y37" s="0" t="n">
        <v>300</v>
      </c>
      <c r="AA37" s="14" t="n">
        <f aca="false">IFERROR(LOOKUP(IF(Z37="",G37,Z37),{0,1,25,125},{0,0.277037,0.277037,0.240178}),"")</f>
        <v>0.277037</v>
      </c>
      <c r="AB37" s="14" t="n">
        <f aca="false">IFERROR(IF(Z37="",G37,Z37)*AA37,"")</f>
        <v>0.277037</v>
      </c>
      <c r="AC37" s="15" t="s">
        <v>231</v>
      </c>
    </row>
    <row r="38" customFormat="false" ht="15" hidden="false" customHeight="false" outlineLevel="0" collapsed="false">
      <c r="A38" s="0" t="s">
        <v>232</v>
      </c>
      <c r="B38" s="0" t="s">
        <v>233</v>
      </c>
      <c r="E38" s="0" t="s">
        <v>203</v>
      </c>
      <c r="F38" s="0" t="s">
        <v>234</v>
      </c>
      <c r="G38" s="0" t="n">
        <f aca="false">BoardQty*5</f>
        <v>5</v>
      </c>
      <c r="H3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2.5</v>
      </c>
      <c r="I38" s="14" t="n">
        <f aca="false">IFERROR(G38*H38,"")</f>
        <v>12.5</v>
      </c>
      <c r="J38" s="0" t="n">
        <v>311</v>
      </c>
      <c r="L38" s="14" t="n">
        <f aca="false">IFERROR(LOOKUP(IF(K38="",G38,K38),{0,1,10,100,500,1000,2500,5000},{0,2.62,2.353,1.8911,1.55376,1.2874,1.1637,1.1206}),"")</f>
        <v>2.62</v>
      </c>
      <c r="M38" s="14" t="n">
        <f aca="false">IFERROR(IF(K38="",G38,K38)*L38,"")</f>
        <v>13.1</v>
      </c>
      <c r="N38" s="15" t="s">
        <v>235</v>
      </c>
      <c r="O38" s="0" t="n">
        <v>2594</v>
      </c>
      <c r="Q38" s="14" t="n">
        <f aca="false">IFERROR(LOOKUP(IF(P38="",G38,P38),{0,1,10,100,500,1000,2500,5000,10000},{0,2.55,2.17,1.73,1.51,1.25,1.17,1.13,1.12}),"")</f>
        <v>2.55</v>
      </c>
      <c r="R38" s="14" t="n">
        <f aca="false">IFERROR(IF(P38="",G38,P38)*Q38,"")</f>
        <v>12.75</v>
      </c>
      <c r="S38" s="15" t="s">
        <v>236</v>
      </c>
      <c r="T38" s="0" t="n">
        <v>2338</v>
      </c>
      <c r="V38" s="14" t="n">
        <f aca="false">IFERROR(LOOKUP(IF(U38="",G38,U38),{0,1,10,100,500,1000},{0,2.5,2.13,1.7,1.49,1.24}),"")</f>
        <v>2.5</v>
      </c>
      <c r="W38" s="14" t="n">
        <f aca="false">IFERROR(IF(U38="",G38,U38)*V38,"")</f>
        <v>12.5</v>
      </c>
      <c r="X38" s="15" t="s">
        <v>237</v>
      </c>
    </row>
    <row r="39" customFormat="false" ht="15" hidden="false" customHeight="false" outlineLevel="0" collapsed="false">
      <c r="A39" s="0" t="s">
        <v>238</v>
      </c>
      <c r="B39" s="0" t="s">
        <v>239</v>
      </c>
      <c r="E39" s="0" t="s">
        <v>203</v>
      </c>
      <c r="F39" s="0" t="s">
        <v>240</v>
      </c>
      <c r="G39" s="0" t="n">
        <f aca="false">BoardQty*1</f>
        <v>1</v>
      </c>
      <c r="H3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12.66</v>
      </c>
      <c r="I39" s="14" t="n">
        <f aca="false">IFERROR(G39*H39,"")</f>
        <v>12.66</v>
      </c>
      <c r="J39" s="0" t="n">
        <v>3289</v>
      </c>
      <c r="L39" s="14" t="n">
        <f aca="false">IFERROR(LOOKUP(IF(K39="",G39,K39),{0,1,10,100,250,500,1000},{0,13.23,12.158,10.2682,11.37544,9.13424,7.645}),"")</f>
        <v>13.23</v>
      </c>
      <c r="M39" s="14" t="n">
        <f aca="false">IFERROR(IF(K39="",G39,K39)*L39,"")</f>
        <v>13.23</v>
      </c>
      <c r="N39" s="15" t="s">
        <v>241</v>
      </c>
      <c r="O39" s="0" t="n">
        <v>1190</v>
      </c>
      <c r="Q39" s="14" t="n">
        <f aca="false">IFERROR(LOOKUP(IF(P39="",G39,P39),{0,1,10,25,100,250,500,1000},{0,12.87,11.85,11.23,9.99,9.51,8.9,8.17}),"")</f>
        <v>12.87</v>
      </c>
      <c r="R39" s="14" t="n">
        <f aca="false">IFERROR(IF(P39="",G39,P39)*Q39,"")</f>
        <v>12.87</v>
      </c>
      <c r="S39" s="15" t="s">
        <v>242</v>
      </c>
      <c r="T39" s="0" t="n">
        <v>1000</v>
      </c>
      <c r="V39" s="14" t="n">
        <f aca="false">IFERROR(LOOKUP(IF(U39="",G39,U39),{0,1,10,25,100},{0,12.66,11.63,11.33,9.82}),"")</f>
        <v>12.66</v>
      </c>
      <c r="W39" s="14" t="n">
        <f aca="false">IFERROR(IF(U39="",G39,U39)*V39,"")</f>
        <v>12.66</v>
      </c>
      <c r="X39" s="15" t="s">
        <v>243</v>
      </c>
    </row>
    <row r="40" customFormat="false" ht="15" hidden="false" customHeight="false" outlineLevel="0" collapsed="false">
      <c r="A40" s="0" t="s">
        <v>244</v>
      </c>
      <c r="B40" s="0" t="s">
        <v>245</v>
      </c>
      <c r="E40" s="0" t="s">
        <v>246</v>
      </c>
      <c r="F40" s="0" t="s">
        <v>247</v>
      </c>
      <c r="G40" s="0" t="n">
        <f aca="false">BoardQty*1</f>
        <v>1</v>
      </c>
      <c r="H4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2.46</v>
      </c>
      <c r="I40" s="14" t="n">
        <f aca="false">IFERROR(G40*H40,"")</f>
        <v>2.46</v>
      </c>
      <c r="J40" s="0" t="n">
        <v>53</v>
      </c>
      <c r="L40" s="14" t="n">
        <f aca="false">IFERROR(LOOKUP(IF(K40="",G40,K40),{0,1,10,50,100,500,1000,2500,5000},{0,2.46,2.402,2.288,2.002,1.9448,1.508,1.404,1.352}),"")</f>
        <v>2.46</v>
      </c>
      <c r="M40" s="14" t="n">
        <f aca="false">IFERROR(IF(K40="",G40,K40)*L40,"")</f>
        <v>2.46</v>
      </c>
      <c r="N40" s="15" t="s">
        <v>248</v>
      </c>
    </row>
    <row r="41" customFormat="false" ht="15" hidden="false" customHeight="false" outlineLevel="0" collapsed="false">
      <c r="A41" s="0" t="s">
        <v>249</v>
      </c>
      <c r="B41" s="0" t="s">
        <v>250</v>
      </c>
      <c r="E41" s="0" t="s">
        <v>251</v>
      </c>
      <c r="F41" s="0" t="s">
        <v>252</v>
      </c>
      <c r="G41" s="0" t="n">
        <f aca="false">BoardQty*1</f>
        <v>1</v>
      </c>
      <c r="H4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0.893</v>
      </c>
      <c r="I41" s="14" t="n">
        <f aca="false">IFERROR(G41*H41,"")</f>
        <v>0.893</v>
      </c>
      <c r="J41" s="0" t="n">
        <v>8788</v>
      </c>
      <c r="L41" s="14" t="n">
        <f aca="false">IFERROR(LOOKUP(IF(K41="",G41,K41),{0,1,10,100,500,1000,5000},{0,0.92,0.82,0.6396,0.5284,0.41715,0.3591}),"")</f>
        <v>0.92</v>
      </c>
      <c r="M41" s="14" t="n">
        <f aca="false">IFERROR(IF(K41="",G41,K41)*L41,"")</f>
        <v>0.92</v>
      </c>
      <c r="N41" s="15" t="s">
        <v>253</v>
      </c>
      <c r="O41" s="0" t="n">
        <v>4403</v>
      </c>
      <c r="Q41" s="14" t="n">
        <f aca="false">IFERROR(LOOKUP(IF(P41="",G41,P41),{0,1,10,100,500,1000,5000,10000},{0,0.893,0.759,0.583,0.516,0.406,0.361,0.353}),"")</f>
        <v>0.893</v>
      </c>
      <c r="R41" s="14" t="n">
        <f aca="false">IFERROR(IF(P41="",G41,P41)*Q41,"")</f>
        <v>0.893</v>
      </c>
      <c r="S41" s="15" t="s">
        <v>254</v>
      </c>
      <c r="T41" s="0" t="n">
        <v>9</v>
      </c>
      <c r="V41" s="14" t="n">
        <f aca="false">IFERROR(LOOKUP(IF(U41="",G41,U41),{0,1},{0,600}),"")</f>
        <v>600</v>
      </c>
      <c r="W41" s="14" t="n">
        <f aca="false">IFERROR(IF(U41="",G41,U41)*V41,"")</f>
        <v>600</v>
      </c>
      <c r="X41" s="15" t="s">
        <v>255</v>
      </c>
    </row>
    <row r="42" customFormat="false" ht="15" hidden="false" customHeight="false" outlineLevel="0" collapsed="false">
      <c r="A42" s="0" t="s">
        <v>256</v>
      </c>
      <c r="B42" s="0" t="s">
        <v>257</v>
      </c>
      <c r="E42" s="0" t="s">
        <v>258</v>
      </c>
      <c r="F42" s="0" t="s">
        <v>257</v>
      </c>
      <c r="G42" s="0" t="n">
        <f aca="false">BoardQty*1</f>
        <v>1</v>
      </c>
      <c r="H4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2.02</v>
      </c>
      <c r="I42" s="14" t="n">
        <f aca="false">IFERROR(G42*H42,"")</f>
        <v>2.02</v>
      </c>
      <c r="J42" s="0" t="n">
        <v>4385</v>
      </c>
      <c r="L42" s="14" t="n">
        <f aca="false">IFERROR(LOOKUP(IF(K42="",G42,K42),{0,1,25,100,2500},{0,2.07,1.722,1.5645,1.56451}),"")</f>
        <v>2.07</v>
      </c>
      <c r="M42" s="14" t="n">
        <f aca="false">IFERROR(IF(K42="",G42,K42)*L42,"")</f>
        <v>2.07</v>
      </c>
      <c r="N42" s="15" t="s">
        <v>259</v>
      </c>
      <c r="O42" s="0" t="n">
        <v>3861</v>
      </c>
      <c r="Q42" s="14" t="n">
        <f aca="false">IFERROR(LOOKUP(IF(P42="",G42,P42),{0,1,10,25,100,2500},{0,2.09,1.97,1.64,1.5,1.5}),"")</f>
        <v>2.09</v>
      </c>
      <c r="R42" s="14" t="n">
        <f aca="false">IFERROR(IF(P42="",G42,P42)*Q42,"")</f>
        <v>2.09</v>
      </c>
      <c r="S42" s="15" t="s">
        <v>260</v>
      </c>
      <c r="T42" s="0" t="n">
        <v>1466</v>
      </c>
      <c r="V42" s="14" t="n">
        <f aca="false">IFERROR(LOOKUP(IF(U42="",G42,U42),{0,1,25,100},{0,2.02,1.67,1.54}),"")</f>
        <v>2.02</v>
      </c>
      <c r="W42" s="14" t="n">
        <f aca="false">IFERROR(IF(U42="",G42,U42)*V42,"")</f>
        <v>2.02</v>
      </c>
      <c r="X42" s="15" t="s">
        <v>261</v>
      </c>
    </row>
    <row r="43" customFormat="false" ht="15" hidden="false" customHeight="false" outlineLevel="0" collapsed="false">
      <c r="A43" s="0" t="s">
        <v>262</v>
      </c>
      <c r="B43" s="0" t="s">
        <v>263</v>
      </c>
      <c r="E43" s="0" t="s">
        <v>203</v>
      </c>
      <c r="F43" s="0" t="s">
        <v>264</v>
      </c>
      <c r="G43" s="0" t="n">
        <f aca="false">BoardQty*1</f>
        <v>1</v>
      </c>
      <c r="H4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7.05</v>
      </c>
      <c r="I43" s="14" t="n">
        <f aca="false">IFERROR(G43*H43,"")</f>
        <v>7.05</v>
      </c>
      <c r="J43" s="0" t="n">
        <v>21</v>
      </c>
      <c r="L43" s="14" t="n">
        <f aca="false">IFERROR(LOOKUP(IF(K43="",G43,K43),{0,1,10,100,250,1250,2500},{0,7.37,6.657,5.5112,5.678,3.7575,3.26253}),"")</f>
        <v>7.37</v>
      </c>
      <c r="M43" s="14" t="n">
        <f aca="false">IFERROR(IF(K43="",G43,K43)*L43,"")</f>
        <v>7.37</v>
      </c>
      <c r="N43" s="15" t="s">
        <v>265</v>
      </c>
      <c r="O43" s="0" t="n">
        <v>846</v>
      </c>
      <c r="Q43" s="14" t="n">
        <f aca="false">IFERROR(LOOKUP(IF(P43="",G43,P43),{0,1,10,25,100,250,500,1000},{0,7.17,6.48,6.18,5.37,5.12,4.66,4.09}),"")</f>
        <v>7.17</v>
      </c>
      <c r="R43" s="14" t="n">
        <f aca="false">IFERROR(IF(P43="",G43,P43)*Q43,"")</f>
        <v>7.17</v>
      </c>
      <c r="S43" s="15" t="s">
        <v>266</v>
      </c>
      <c r="T43" s="0" t="n">
        <v>247</v>
      </c>
      <c r="V43" s="14" t="n">
        <f aca="false">IFERROR(LOOKUP(IF(U43="",G43,U43),{0,1,10,25,50,100,250,500,1000},{0,7.05,6.37,5.9,5.63,5.27,5.04,4.59,3.71}),"")</f>
        <v>7.05</v>
      </c>
      <c r="W43" s="14" t="n">
        <f aca="false">IFERROR(IF(U43="",G43,U43)*V43,"")</f>
        <v>7.05</v>
      </c>
      <c r="X43" s="15" t="s">
        <v>267</v>
      </c>
      <c r="Y43" s="0" t="n">
        <v>6</v>
      </c>
      <c r="AA43" s="14" t="n">
        <f aca="false">IFERROR(LOOKUP(IF(Z43="",G43,Z43),{0,1,10},{0,7.08644,6.39682}),"")</f>
        <v>7.08644</v>
      </c>
      <c r="AB43" s="14" t="n">
        <f aca="false">IFERROR(IF(Z43="",G43,Z43)*AA43,"")</f>
        <v>7.08644</v>
      </c>
      <c r="AC43" s="15" t="s">
        <v>268</v>
      </c>
    </row>
    <row r="44" customFormat="false" ht="15" hidden="false" customHeight="false" outlineLevel="0" collapsed="false">
      <c r="A44" s="0" t="s">
        <v>269</v>
      </c>
      <c r="B44" s="0" t="s">
        <v>270</v>
      </c>
      <c r="E44" s="0" t="s">
        <v>271</v>
      </c>
      <c r="F44" s="0" t="s">
        <v>270</v>
      </c>
      <c r="G44" s="0" t="n">
        <f aca="false">BoardQty*1</f>
        <v>1</v>
      </c>
      <c r="H4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5.1</v>
      </c>
      <c r="I44" s="14" t="n">
        <f aca="false">IFERROR(G44*H44,"")</f>
        <v>5.1</v>
      </c>
      <c r="J44" s="0" t="n">
        <v>1957</v>
      </c>
      <c r="L44" s="14" t="n">
        <f aca="false">IFERROR(LOOKUP(IF(K44="",G44,K44),{0,1,2500},{0,5.49,5.00586}),"")</f>
        <v>5.49</v>
      </c>
      <c r="M44" s="14" t="n">
        <f aca="false">IFERROR(IF(K44="",G44,K44)*L44,"")</f>
        <v>5.49</v>
      </c>
      <c r="N44" s="15" t="s">
        <v>272</v>
      </c>
      <c r="O44" s="0" t="n">
        <v>1670</v>
      </c>
      <c r="Q44" s="14" t="n">
        <f aca="false">IFERROR(LOOKUP(IF(P44="",G44,P44),{0,1,10},{0,5.5,5.23}),"")</f>
        <v>5.5</v>
      </c>
      <c r="R44" s="14" t="n">
        <f aca="false">IFERROR(IF(P44="",G44,P44)*Q44,"")</f>
        <v>5.5</v>
      </c>
      <c r="S44" s="15" t="s">
        <v>273</v>
      </c>
      <c r="T44" s="0" t="n">
        <v>1</v>
      </c>
      <c r="V44" s="14" t="n">
        <f aca="false">IFERROR(LOOKUP(IF(U44="",G44,U44),{0,1,10,25,100},{0,5.1,4.9,4.86,4.78}),"")</f>
        <v>5.1</v>
      </c>
      <c r="W44" s="14" t="n">
        <f aca="false">IFERROR(IF(U44="",G44,U44)*V44,"")</f>
        <v>5.1</v>
      </c>
      <c r="X44" s="15" t="s">
        <v>274</v>
      </c>
      <c r="Y44" s="0" t="n">
        <v>13</v>
      </c>
      <c r="AA44" s="14" t="n">
        <f aca="false">IFERROR(LOOKUP(IF(Z44="",G44,Z44),{0,1,5},{0,7.59771,7.2529}),"")</f>
        <v>7.59771</v>
      </c>
      <c r="AB44" s="14" t="n">
        <f aca="false">IFERROR(IF(Z44="",G44,Z44)*AA44,"")</f>
        <v>7.59771</v>
      </c>
      <c r="AC44" s="15" t="s">
        <v>275</v>
      </c>
    </row>
    <row r="46" customFormat="false" ht="15" hidden="false" customHeight="false" outlineLevel="0" collapsed="false">
      <c r="K46" s="6" t="n">
        <f aca="false">IFERROR(IF(OR(K7:K44),COUNTIF(K7:K44,"&gt;0")&amp;" of "&amp;ROWS(K7:K44)&amp;" parts purchased",""),"")</f>
        <v>0</v>
      </c>
      <c r="P46" s="6" t="n">
        <f aca="false">IFERROR(IF(OR(P7:P44),COUNTIF(P7:P44,"&gt;0")&amp;" of "&amp;ROWS(P7:P44)&amp;" parts purchased",""),"")</f>
        <v>0</v>
      </c>
      <c r="U46" s="6" t="n">
        <f aca="false">IFERROR(IF(OR(U7:U44),COUNTIF(U7:U44,"&gt;0")&amp;" of "&amp;ROWS(U7:U44)&amp;" parts purchased",""),"")</f>
        <v>0</v>
      </c>
      <c r="Z46" s="6" t="n">
        <f aca="false">IFERROR(IF(OR(Z7:Z44),COUNTIF(Z7:Z44,"&gt;0")&amp;" of "&amp;ROWS(Z7:Z44)&amp;" parts purchased",""),"")</f>
        <v>0</v>
      </c>
      <c r="AE46" s="6" t="n">
        <f aca="false">IFERROR(IF(OR(AE7:AE44),COUNTIF(AE7:AE44,"&gt;0")&amp;" of "&amp;ROWS(AE7:AE44)&amp;" parts purchased",""),"")</f>
        <v>0</v>
      </c>
    </row>
    <row r="47" customFormat="false" ht="15" hidden="false" customHeight="false" outlineLevel="0" collapsed="false">
      <c r="K47" s="0" t="str">
        <f aca="false" t="array" ref="K47:K47">IFERROR(CONCATENATE(TEXT(INDEX($K$7:$K$44,SMALL(IF($N$7:$N$44&lt;&gt;"",IF($K$7:$K$44&lt;&gt;"",ROW($K$7:$K$44)-MIN(ROW($K$7:$K$44))+1,""),""),ROW()-ROW(A$47)+1)),"##0"),","),"")</f>
        <v/>
      </c>
      <c r="L47" s="0" t="str">
        <f aca="false" t="array" ref="L47:L47">IFERROR(CONCATENATE((INDEX($N$7:$N$44,SMALL(IF($N$7:$N$44&lt;&gt;"",IF($K$7:$K$44&lt;&gt;"",ROW($K$7:$K$44)-MIN(ROW($K$7:$K$44))+1,""),""),ROW()-ROW(A$47)+1))),","),"")</f>
        <v/>
      </c>
      <c r="M47" s="0" t="str">
        <f aca="false" t="array" ref="M47:M47">IFERROR(CONCATENATE((INDEX($A$7:$A$44,SMALL(IF($N$7:$N$44&lt;&gt;"",IF($K$7:$K$44&lt;&gt;"",ROW($K$7:$K$44)-MIN(ROW($K$7:$K$44))+1,""),""),ROW()-ROW(A$47)+1))),),"")</f>
        <v/>
      </c>
      <c r="P47" s="0" t="str">
        <f aca="false" t="array" ref="P47:P47">IFERROR(CONCATENATE((INDEX($S$7:$S$44,SMALL(IF($S$7:$S$44&lt;&gt;"",IF($P$7:$P$44&lt;&gt;"",ROW($P$7:$P$44)-MIN(ROW($P$7:$P$44))+1,""),""),ROW()-ROW(A$47)+1)))," "),"")</f>
        <v/>
      </c>
      <c r="Q47" s="0" t="str">
        <f aca="false" t="array" ref="Q47:Q47">IFERROR(CONCATENATE(TEXT(INDEX($P$7:$P$44,SMALL(IF($S$7:$S$44&lt;&gt;"",IF($P$7:$P$44&lt;&gt;"",ROW($P$7:$P$44)-MIN(ROW($P$7:$P$44))+1,""),""),ROW()-ROW(A$47)+1)),"##0")," "),"")</f>
        <v/>
      </c>
      <c r="R47" s="0" t="str">
        <f aca="false" t="array" ref="R47:R47">IFERROR(CONCATENATE((INDEX($A$7:$A$44,SMALL(IF($S$7:$S$44&lt;&gt;"",IF($P$7:$P$44&lt;&gt;"",ROW($P$7:$P$44)-MIN(ROW($P$7:$P$44))+1,""),""),ROW()-ROW(A$47)+1))),),"")</f>
        <v/>
      </c>
      <c r="U47" s="0" t="str">
        <f aca="false" t="array" ref="U47:U47">IFERROR(CONCATENATE((INDEX($X$7:$X$44,SMALL(IF($X$7:$X$44&lt;&gt;"",IF($U$7:$U$44&lt;&gt;"",ROW($U$7:$U$44)-MIN(ROW($U$7:$U$44))+1,""),""),ROW()-ROW(A$47)+1))),","),"")</f>
        <v/>
      </c>
      <c r="V47" s="0" t="str">
        <f aca="false" t="array" ref="V47:V47">IFERROR(CONCATENATE(TEXT(INDEX($U$7:$U$44,SMALL(IF($X$7:$X$44&lt;&gt;"",IF($U$7:$U$44&lt;&gt;"",ROW($U$7:$U$44)-MIN(ROW($U$7:$U$44))+1,""),""),ROW()-ROW(A$47)+1)),"##0"),","),"")</f>
        <v/>
      </c>
      <c r="W47" s="0" t="str">
        <f aca="false" t="array" ref="W47:W47">IFERROR(CONCATENATE((INDEX($A$7:$A$44,SMALL(IF($X$7:$X$44&lt;&gt;"",IF($U$7:$U$44&lt;&gt;"",ROW($U$7:$U$44)-MIN(ROW($U$7:$U$44))+1,""),""),ROW()-ROW(A$47)+1))),),"")</f>
        <v/>
      </c>
      <c r="Z47" s="0" t="str">
        <f aca="false" t="array" ref="Z47:Z47">IFERROR(CONCATENATE((INDEX($AC$7:$AC$44,SMALL(IF($AC$7:$AC$44&lt;&gt;"",IF($Z$7:$Z$44&lt;&gt;"",ROW($Z$7:$Z$44)-MIN(ROW($Z$7:$Z$44))+1,""),""),ROW()-ROW(A$47)+1)))," "),"")</f>
        <v/>
      </c>
      <c r="AA47" s="0" t="str">
        <f aca="false" t="array" ref="AA47:AA47">IFERROR(CONCATENATE(TEXT(INDEX($Z$7:$Z$44,SMALL(IF($AC$7:$AC$44&lt;&gt;"",IF($Z$7:$Z$44&lt;&gt;"",ROW($Z$7:$Z$44)-MIN(ROW($Z$7:$Z$44))+1,""),""),ROW()-ROW(A$47)+1)),"##0")," "),"")</f>
        <v/>
      </c>
      <c r="AB47" s="0" t="str">
        <f aca="false" t="array" ref="AB47:AB47">IFERROR(CONCATENATE((INDEX($A$7:$A$44,SMALL(IF($AC$7:$AC$44&lt;&gt;"",IF($Z$7:$Z$44&lt;&gt;"",ROW($Z$7:$Z$44)-MIN(ROW($Z$7:$Z$44))+1,""),""),ROW()-ROW(A$47)+1))),),"")</f>
        <v/>
      </c>
      <c r="AE47" s="0" t="str">
        <f aca="false" t="array" ref="AE47:AE47">IFERROR(CONCATENATE((INDEX($AH$7:$AH$44,SMALL(IF($AH$7:$AH$44&lt;&gt;"",IF($AE$7:$AE$44&lt;&gt;"",ROW($AE$7:$AE$44)-MIN(ROW($AE$7:$AE$44))+1,""),""),ROW()-ROW(A$47)+1)))," "),"")</f>
        <v/>
      </c>
      <c r="AF47" s="0" t="str">
        <f aca="false" t="array" ref="AF47:AF47">IFERROR(CONCATENATE(TEXT(INDEX($AE$7:$AE$44,SMALL(IF($AH$7:$AH$44&lt;&gt;"",IF($AE$7:$AE$44&lt;&gt;"",ROW($AE$7:$AE$44)-MIN(ROW($AE$7:$AE$44))+1,""),""),ROW()-ROW(A$47)+1)),"##0")," "),"")</f>
        <v/>
      </c>
      <c r="AG47" s="0" t="str">
        <f aca="false" t="array" ref="AG47:AG47">IFERROR(CONCATENATE((INDEX($A$7:$A$44,SMALL(IF($AH$7:$AH$44&lt;&gt;"",IF($AE$7:$AE$44&lt;&gt;"",ROW($AE$7:$AE$44)-MIN(ROW($AE$7:$AE$44))+1,""),""),ROW()-ROW(A$47)+1))),),"")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IFERROR(CONCATENATE(TEXT(INDEX($K$7:$K$44,SMALL(IF($N$7:$N$44&lt;&gt;"",IF($K$7:$K$44&lt;&gt;"",ROW($K$7:$K$44)-MIN(ROW($K$7:$K$44))+1,""),""),ROW()-ROW(A$47)+1)),"##0"),","),"")</f>
        <v/>
      </c>
      <c r="L48" s="0" t="str">
        <f aca="false" t="array" ref="L48:L48">IFERROR(CONCATENATE((INDEX($N$7:$N$44,SMALL(IF($N$7:$N$44&lt;&gt;"",IF($K$7:$K$44&lt;&gt;"",ROW($K$7:$K$44)-MIN(ROW($K$7:$K$44))+1,""),""),ROW()-ROW(A$47)+1))),","),"")</f>
        <v/>
      </c>
      <c r="M48" s="0" t="str">
        <f aca="false" t="array" ref="M48:M48">IFERROR(CONCATENATE((INDEX($A$7:$A$44,SMALL(IF($N$7:$N$44&lt;&gt;"",IF($K$7:$K$44&lt;&gt;"",ROW($K$7:$K$44)-MIN(ROW($K$7:$K$44))+1,""),""),ROW()-ROW(A$47)+1))),),"")</f>
        <v/>
      </c>
      <c r="P48" s="0" t="str">
        <f aca="false" t="array" ref="P48:P48">IFERROR(CONCATENATE((INDEX($S$7:$S$44,SMALL(IF($S$7:$S$44&lt;&gt;"",IF($P$7:$P$44&lt;&gt;"",ROW($P$7:$P$44)-MIN(ROW($P$7:$P$44))+1,""),""),ROW()-ROW(A$47)+1)))," "),"")</f>
        <v/>
      </c>
      <c r="Q48" s="0" t="str">
        <f aca="false" t="array" ref="Q48:Q48">IFERROR(CONCATENATE(TEXT(INDEX($P$7:$P$44,SMALL(IF($S$7:$S$44&lt;&gt;"",IF($P$7:$P$44&lt;&gt;"",ROW($P$7:$P$44)-MIN(ROW($P$7:$P$44))+1,""),""),ROW()-ROW(A$47)+1)),"##0")," "),"")</f>
        <v/>
      </c>
      <c r="R48" s="0" t="str">
        <f aca="false" t="array" ref="R48:R48">IFERROR(CONCATENATE((INDEX($A$7:$A$44,SMALL(IF($S$7:$S$44&lt;&gt;"",IF($P$7:$P$44&lt;&gt;"",ROW($P$7:$P$44)-MIN(ROW($P$7:$P$44))+1,""),""),ROW()-ROW(A$47)+1))),),"")</f>
        <v/>
      </c>
      <c r="U48" s="0" t="str">
        <f aca="false" t="array" ref="U48:U48">IFERROR(CONCATENATE((INDEX($X$7:$X$44,SMALL(IF($X$7:$X$44&lt;&gt;"",IF($U$7:$U$44&lt;&gt;"",ROW($U$7:$U$44)-MIN(ROW($U$7:$U$44))+1,""),""),ROW()-ROW(A$47)+1))),","),"")</f>
        <v/>
      </c>
      <c r="V48" s="0" t="str">
        <f aca="false" t="array" ref="V48:V48">IFERROR(CONCATENATE(TEXT(INDEX($U$7:$U$44,SMALL(IF($X$7:$X$44&lt;&gt;"",IF($U$7:$U$44&lt;&gt;"",ROW($U$7:$U$44)-MIN(ROW($U$7:$U$44))+1,""),""),ROW()-ROW(A$47)+1)),"##0"),","),"")</f>
        <v/>
      </c>
      <c r="W48" s="0" t="str">
        <f aca="false" t="array" ref="W48:W48">IFERROR(CONCATENATE((INDEX($A$7:$A$44,SMALL(IF($X$7:$X$44&lt;&gt;"",IF($U$7:$U$44&lt;&gt;"",ROW($U$7:$U$44)-MIN(ROW($U$7:$U$44))+1,""),""),ROW()-ROW(A$47)+1))),),"")</f>
        <v/>
      </c>
      <c r="Z48" s="0" t="str">
        <f aca="false" t="array" ref="Z48:Z48">IFERROR(CONCATENATE((INDEX($AC$7:$AC$44,SMALL(IF($AC$7:$AC$44&lt;&gt;"",IF($Z$7:$Z$44&lt;&gt;"",ROW($Z$7:$Z$44)-MIN(ROW($Z$7:$Z$44))+1,""),""),ROW()-ROW(A$47)+1)))," "),"")</f>
        <v/>
      </c>
      <c r="AA48" s="0" t="str">
        <f aca="false" t="array" ref="AA48:AA48">IFERROR(CONCATENATE(TEXT(INDEX($Z$7:$Z$44,SMALL(IF($AC$7:$AC$44&lt;&gt;"",IF($Z$7:$Z$44&lt;&gt;"",ROW($Z$7:$Z$44)-MIN(ROW($Z$7:$Z$44))+1,""),""),ROW()-ROW(A$47)+1)),"##0")," "),"")</f>
        <v/>
      </c>
      <c r="AB48" s="0" t="str">
        <f aca="false" t="array" ref="AB48:AB48">IFERROR(CONCATENATE((INDEX($A$7:$A$44,SMALL(IF($AC$7:$AC$44&lt;&gt;"",IF($Z$7:$Z$44&lt;&gt;"",ROW($Z$7:$Z$44)-MIN(ROW($Z$7:$Z$44))+1,""),""),ROW()-ROW(A$47)+1))),),"")</f>
        <v/>
      </c>
      <c r="AE48" s="0" t="str">
        <f aca="false" t="array" ref="AE48:AE48">IFERROR(CONCATENATE((INDEX($AH$7:$AH$44,SMALL(IF($AH$7:$AH$44&lt;&gt;"",IF($AE$7:$AE$44&lt;&gt;"",ROW($AE$7:$AE$44)-MIN(ROW($AE$7:$AE$44))+1,""),""),ROW()-ROW(A$47)+1)))," "),"")</f>
        <v/>
      </c>
      <c r="AF48" s="0" t="str">
        <f aca="false" t="array" ref="AF48:AF48">IFERROR(CONCATENATE(TEXT(INDEX($AE$7:$AE$44,SMALL(IF($AH$7:$AH$44&lt;&gt;"",IF($AE$7:$AE$44&lt;&gt;"",ROW($AE$7:$AE$44)-MIN(ROW($AE$7:$AE$44))+1,""),""),ROW()-ROW(A$47)+1)),"##0")," "),"")</f>
        <v/>
      </c>
      <c r="AG48" s="0" t="str">
        <f aca="false" t="array" ref="AG48:AG48">IFERROR(CONCATENATE((INDEX($A$7:$A$44,SMALL(IF($AH$7:$AH$44&lt;&gt;"",IF($AE$7:$AE$44&lt;&gt;"",ROW($AE$7:$AE$44)-MIN(ROW($AE$7:$AE$44))+1,""),""),ROW()-ROW(A$47)+1))),),"")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IFERROR(CONCATENATE(TEXT(INDEX($K$7:$K$44,SMALL(IF($N$7:$N$44&lt;&gt;"",IF($K$7:$K$44&lt;&gt;"",ROW($K$7:$K$44)-MIN(ROW($K$7:$K$44))+1,""),""),ROW()-ROW(A$47)+1)),"##0"),","),"")</f>
        <v/>
      </c>
      <c r="L49" s="0" t="str">
        <f aca="false" t="array" ref="L49:L49">IFERROR(CONCATENATE((INDEX($N$7:$N$44,SMALL(IF($N$7:$N$44&lt;&gt;"",IF($K$7:$K$44&lt;&gt;"",ROW($K$7:$K$44)-MIN(ROW($K$7:$K$44))+1,""),""),ROW()-ROW(A$47)+1))),","),"")</f>
        <v/>
      </c>
      <c r="M49" s="0" t="str">
        <f aca="false" t="array" ref="M49:M49">IFERROR(CONCATENATE((INDEX($A$7:$A$44,SMALL(IF($N$7:$N$44&lt;&gt;"",IF($K$7:$K$44&lt;&gt;"",ROW($K$7:$K$44)-MIN(ROW($K$7:$K$44))+1,""),""),ROW()-ROW(A$47)+1))),),"")</f>
        <v/>
      </c>
      <c r="P49" s="0" t="str">
        <f aca="false" t="array" ref="P49:P49">IFERROR(CONCATENATE((INDEX($S$7:$S$44,SMALL(IF($S$7:$S$44&lt;&gt;"",IF($P$7:$P$44&lt;&gt;"",ROW($P$7:$P$44)-MIN(ROW($P$7:$P$44))+1,""),""),ROW()-ROW(A$47)+1)))," "),"")</f>
        <v/>
      </c>
      <c r="Q49" s="0" t="str">
        <f aca="false" t="array" ref="Q49:Q49">IFERROR(CONCATENATE(TEXT(INDEX($P$7:$P$44,SMALL(IF($S$7:$S$44&lt;&gt;"",IF($P$7:$P$44&lt;&gt;"",ROW($P$7:$P$44)-MIN(ROW($P$7:$P$44))+1,""),""),ROW()-ROW(A$47)+1)),"##0")," "),"")</f>
        <v/>
      </c>
      <c r="R49" s="0" t="str">
        <f aca="false" t="array" ref="R49:R49">IFERROR(CONCATENATE((INDEX($A$7:$A$44,SMALL(IF($S$7:$S$44&lt;&gt;"",IF($P$7:$P$44&lt;&gt;"",ROW($P$7:$P$44)-MIN(ROW($P$7:$P$44))+1,""),""),ROW()-ROW(A$47)+1))),),"")</f>
        <v/>
      </c>
      <c r="U49" s="0" t="str">
        <f aca="false" t="array" ref="U49:U49">IFERROR(CONCATENATE((INDEX($X$7:$X$44,SMALL(IF($X$7:$X$44&lt;&gt;"",IF($U$7:$U$44&lt;&gt;"",ROW($U$7:$U$44)-MIN(ROW($U$7:$U$44))+1,""),""),ROW()-ROW(A$47)+1))),","),"")</f>
        <v/>
      </c>
      <c r="V49" s="0" t="str">
        <f aca="false" t="array" ref="V49:V49">IFERROR(CONCATENATE(TEXT(INDEX($U$7:$U$44,SMALL(IF($X$7:$X$44&lt;&gt;"",IF($U$7:$U$44&lt;&gt;"",ROW($U$7:$U$44)-MIN(ROW($U$7:$U$44))+1,""),""),ROW()-ROW(A$47)+1)),"##0"),","),"")</f>
        <v/>
      </c>
      <c r="W49" s="0" t="str">
        <f aca="false" t="array" ref="W49:W49">IFERROR(CONCATENATE((INDEX($A$7:$A$44,SMALL(IF($X$7:$X$44&lt;&gt;"",IF($U$7:$U$44&lt;&gt;"",ROW($U$7:$U$44)-MIN(ROW($U$7:$U$44))+1,""),""),ROW()-ROW(A$47)+1))),),"")</f>
        <v/>
      </c>
      <c r="Z49" s="0" t="str">
        <f aca="false" t="array" ref="Z49:Z49">IFERROR(CONCATENATE((INDEX($AC$7:$AC$44,SMALL(IF($AC$7:$AC$44&lt;&gt;"",IF($Z$7:$Z$44&lt;&gt;"",ROW($Z$7:$Z$44)-MIN(ROW($Z$7:$Z$44))+1,""),""),ROW()-ROW(A$47)+1)))," "),"")</f>
        <v/>
      </c>
      <c r="AA49" s="0" t="str">
        <f aca="false" t="array" ref="AA49:AA49">IFERROR(CONCATENATE(TEXT(INDEX($Z$7:$Z$44,SMALL(IF($AC$7:$AC$44&lt;&gt;"",IF($Z$7:$Z$44&lt;&gt;"",ROW($Z$7:$Z$44)-MIN(ROW($Z$7:$Z$44))+1,""),""),ROW()-ROW(A$47)+1)),"##0")," "),"")</f>
        <v/>
      </c>
      <c r="AB49" s="0" t="str">
        <f aca="false" t="array" ref="AB49:AB49">IFERROR(CONCATENATE((INDEX($A$7:$A$44,SMALL(IF($AC$7:$AC$44&lt;&gt;"",IF($Z$7:$Z$44&lt;&gt;"",ROW($Z$7:$Z$44)-MIN(ROW($Z$7:$Z$44))+1,""),""),ROW()-ROW(A$47)+1))),),"")</f>
        <v/>
      </c>
      <c r="AE49" s="0" t="str">
        <f aca="false" t="array" ref="AE49:AE49">IFERROR(CONCATENATE((INDEX($AH$7:$AH$44,SMALL(IF($AH$7:$AH$44&lt;&gt;"",IF($AE$7:$AE$44&lt;&gt;"",ROW($AE$7:$AE$44)-MIN(ROW($AE$7:$AE$44))+1,""),""),ROW()-ROW(A$47)+1)))," "),"")</f>
        <v/>
      </c>
      <c r="AF49" s="0" t="str">
        <f aca="false" t="array" ref="AF49:AF49">IFERROR(CONCATENATE(TEXT(INDEX($AE$7:$AE$44,SMALL(IF($AH$7:$AH$44&lt;&gt;"",IF($AE$7:$AE$44&lt;&gt;"",ROW($AE$7:$AE$44)-MIN(ROW($AE$7:$AE$44))+1,""),""),ROW()-ROW(A$47)+1)),"##0")," "),"")</f>
        <v/>
      </c>
      <c r="AG49" s="0" t="str">
        <f aca="false" t="array" ref="AG49:AG49">IFERROR(CONCATENATE((INDEX($A$7:$A$44,SMALL(IF($AH$7:$AH$44&lt;&gt;"",IF($AE$7:$AE$44&lt;&gt;"",ROW($AE$7:$AE$44)-MIN(ROW($AE$7:$AE$44))+1,""),""),ROW()-ROW(A$47)+1))),),"")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IFERROR(CONCATENATE(TEXT(INDEX($K$7:$K$44,SMALL(IF($N$7:$N$44&lt;&gt;"",IF($K$7:$K$44&lt;&gt;"",ROW($K$7:$K$44)-MIN(ROW($K$7:$K$44))+1,""),""),ROW()-ROW(A$47)+1)),"##0"),","),"")</f>
        <v/>
      </c>
      <c r="L50" s="0" t="str">
        <f aca="false" t="array" ref="L50:L50">IFERROR(CONCATENATE((INDEX($N$7:$N$44,SMALL(IF($N$7:$N$44&lt;&gt;"",IF($K$7:$K$44&lt;&gt;"",ROW($K$7:$K$44)-MIN(ROW($K$7:$K$44))+1,""),""),ROW()-ROW(A$47)+1))),","),"")</f>
        <v/>
      </c>
      <c r="M50" s="0" t="str">
        <f aca="false" t="array" ref="M50:M50">IFERROR(CONCATENATE((INDEX($A$7:$A$44,SMALL(IF($N$7:$N$44&lt;&gt;"",IF($K$7:$K$44&lt;&gt;"",ROW($K$7:$K$44)-MIN(ROW($K$7:$K$44))+1,""),""),ROW()-ROW(A$47)+1))),),"")</f>
        <v/>
      </c>
      <c r="P50" s="0" t="str">
        <f aca="false" t="array" ref="P50:P50">IFERROR(CONCATENATE((INDEX($S$7:$S$44,SMALL(IF($S$7:$S$44&lt;&gt;"",IF($P$7:$P$44&lt;&gt;"",ROW($P$7:$P$44)-MIN(ROW($P$7:$P$44))+1,""),""),ROW()-ROW(A$47)+1)))," "),"")</f>
        <v/>
      </c>
      <c r="Q50" s="0" t="str">
        <f aca="false" t="array" ref="Q50:Q50">IFERROR(CONCATENATE(TEXT(INDEX($P$7:$P$44,SMALL(IF($S$7:$S$44&lt;&gt;"",IF($P$7:$P$44&lt;&gt;"",ROW($P$7:$P$44)-MIN(ROW($P$7:$P$44))+1,""),""),ROW()-ROW(A$47)+1)),"##0")," "),"")</f>
        <v/>
      </c>
      <c r="R50" s="0" t="str">
        <f aca="false" t="array" ref="R50:R50">IFERROR(CONCATENATE((INDEX($A$7:$A$44,SMALL(IF($S$7:$S$44&lt;&gt;"",IF($P$7:$P$44&lt;&gt;"",ROW($P$7:$P$44)-MIN(ROW($P$7:$P$44))+1,""),""),ROW()-ROW(A$47)+1))),),"")</f>
        <v/>
      </c>
      <c r="U50" s="0" t="str">
        <f aca="false" t="array" ref="U50:U50">IFERROR(CONCATENATE((INDEX($X$7:$X$44,SMALL(IF($X$7:$X$44&lt;&gt;"",IF($U$7:$U$44&lt;&gt;"",ROW($U$7:$U$44)-MIN(ROW($U$7:$U$44))+1,""),""),ROW()-ROW(A$47)+1))),","),"")</f>
        <v/>
      </c>
      <c r="V50" s="0" t="str">
        <f aca="false" t="array" ref="V50:V50">IFERROR(CONCATENATE(TEXT(INDEX($U$7:$U$44,SMALL(IF($X$7:$X$44&lt;&gt;"",IF($U$7:$U$44&lt;&gt;"",ROW($U$7:$U$44)-MIN(ROW($U$7:$U$44))+1,""),""),ROW()-ROW(A$47)+1)),"##0"),","),"")</f>
        <v/>
      </c>
      <c r="W50" s="0" t="str">
        <f aca="false" t="array" ref="W50:W50">IFERROR(CONCATENATE((INDEX($A$7:$A$44,SMALL(IF($X$7:$X$44&lt;&gt;"",IF($U$7:$U$44&lt;&gt;"",ROW($U$7:$U$44)-MIN(ROW($U$7:$U$44))+1,""),""),ROW()-ROW(A$47)+1))),),"")</f>
        <v/>
      </c>
      <c r="Z50" s="0" t="str">
        <f aca="false" t="array" ref="Z50:Z50">IFERROR(CONCATENATE((INDEX($AC$7:$AC$44,SMALL(IF($AC$7:$AC$44&lt;&gt;"",IF($Z$7:$Z$44&lt;&gt;"",ROW($Z$7:$Z$44)-MIN(ROW($Z$7:$Z$44))+1,""),""),ROW()-ROW(A$47)+1)))," "),"")</f>
        <v/>
      </c>
      <c r="AA50" s="0" t="str">
        <f aca="false" t="array" ref="AA50:AA50">IFERROR(CONCATENATE(TEXT(INDEX($Z$7:$Z$44,SMALL(IF($AC$7:$AC$44&lt;&gt;"",IF($Z$7:$Z$44&lt;&gt;"",ROW($Z$7:$Z$44)-MIN(ROW($Z$7:$Z$44))+1,""),""),ROW()-ROW(A$47)+1)),"##0")," "),"")</f>
        <v/>
      </c>
      <c r="AB50" s="0" t="str">
        <f aca="false" t="array" ref="AB50:AB50">IFERROR(CONCATENATE((INDEX($A$7:$A$44,SMALL(IF($AC$7:$AC$44&lt;&gt;"",IF($Z$7:$Z$44&lt;&gt;"",ROW($Z$7:$Z$44)-MIN(ROW($Z$7:$Z$44))+1,""),""),ROW()-ROW(A$47)+1))),),"")</f>
        <v/>
      </c>
      <c r="AE50" s="0" t="str">
        <f aca="false" t="array" ref="AE50:AE50">IFERROR(CONCATENATE((INDEX($AH$7:$AH$44,SMALL(IF($AH$7:$AH$44&lt;&gt;"",IF($AE$7:$AE$44&lt;&gt;"",ROW($AE$7:$AE$44)-MIN(ROW($AE$7:$AE$44))+1,""),""),ROW()-ROW(A$47)+1)))," "),"")</f>
        <v/>
      </c>
      <c r="AF50" s="0" t="str">
        <f aca="false" t="array" ref="AF50:AF50">IFERROR(CONCATENATE(TEXT(INDEX($AE$7:$AE$44,SMALL(IF($AH$7:$AH$44&lt;&gt;"",IF($AE$7:$AE$44&lt;&gt;"",ROW($AE$7:$AE$44)-MIN(ROW($AE$7:$AE$44))+1,""),""),ROW()-ROW(A$47)+1)),"##0")," "),"")</f>
        <v/>
      </c>
      <c r="AG50" s="0" t="str">
        <f aca="false" t="array" ref="AG50:AG50">IFERROR(CONCATENATE((INDEX($A$7:$A$44,SMALL(IF($AH$7:$AH$44&lt;&gt;"",IF($AE$7:$AE$44&lt;&gt;"",ROW($AE$7:$AE$44)-MIN(ROW($AE$7:$AE$44))+1,""),""),ROW()-ROW(A$47)+1))),),"")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IFERROR(CONCATENATE(TEXT(INDEX($K$7:$K$44,SMALL(IF($N$7:$N$44&lt;&gt;"",IF($K$7:$K$44&lt;&gt;"",ROW($K$7:$K$44)-MIN(ROW($K$7:$K$44))+1,""),""),ROW()-ROW(A$47)+1)),"##0"),","),"")</f>
        <v/>
      </c>
      <c r="L51" s="0" t="str">
        <f aca="false" t="array" ref="L51:L51">IFERROR(CONCATENATE((INDEX($N$7:$N$44,SMALL(IF($N$7:$N$44&lt;&gt;"",IF($K$7:$K$44&lt;&gt;"",ROW($K$7:$K$44)-MIN(ROW($K$7:$K$44))+1,""),""),ROW()-ROW(A$47)+1))),","),"")</f>
        <v/>
      </c>
      <c r="M51" s="0" t="str">
        <f aca="false" t="array" ref="M51:M51">IFERROR(CONCATENATE((INDEX($A$7:$A$44,SMALL(IF($N$7:$N$44&lt;&gt;"",IF($K$7:$K$44&lt;&gt;"",ROW($K$7:$K$44)-MIN(ROW($K$7:$K$44))+1,""),""),ROW()-ROW(A$47)+1))),),"")</f>
        <v/>
      </c>
      <c r="P51" s="0" t="str">
        <f aca="false" t="array" ref="P51:P51">IFERROR(CONCATENATE((INDEX($S$7:$S$44,SMALL(IF($S$7:$S$44&lt;&gt;"",IF($P$7:$P$44&lt;&gt;"",ROW($P$7:$P$44)-MIN(ROW($P$7:$P$44))+1,""),""),ROW()-ROW(A$47)+1)))," "),"")</f>
        <v/>
      </c>
      <c r="Q51" s="0" t="str">
        <f aca="false" t="array" ref="Q51:Q51">IFERROR(CONCATENATE(TEXT(INDEX($P$7:$P$44,SMALL(IF($S$7:$S$44&lt;&gt;"",IF($P$7:$P$44&lt;&gt;"",ROW($P$7:$P$44)-MIN(ROW($P$7:$P$44))+1,""),""),ROW()-ROW(A$47)+1)),"##0")," "),"")</f>
        <v/>
      </c>
      <c r="R51" s="0" t="str">
        <f aca="false" t="array" ref="R51:R51">IFERROR(CONCATENATE((INDEX($A$7:$A$44,SMALL(IF($S$7:$S$44&lt;&gt;"",IF($P$7:$P$44&lt;&gt;"",ROW($P$7:$P$44)-MIN(ROW($P$7:$P$44))+1,""),""),ROW()-ROW(A$47)+1))),),"")</f>
        <v/>
      </c>
      <c r="U51" s="0" t="str">
        <f aca="false" t="array" ref="U51:U51">IFERROR(CONCATENATE((INDEX($X$7:$X$44,SMALL(IF($X$7:$X$44&lt;&gt;"",IF($U$7:$U$44&lt;&gt;"",ROW($U$7:$U$44)-MIN(ROW($U$7:$U$44))+1,""),""),ROW()-ROW(A$47)+1))),","),"")</f>
        <v/>
      </c>
      <c r="V51" s="0" t="str">
        <f aca="false" t="array" ref="V51:V51">IFERROR(CONCATENATE(TEXT(INDEX($U$7:$U$44,SMALL(IF($X$7:$X$44&lt;&gt;"",IF($U$7:$U$44&lt;&gt;"",ROW($U$7:$U$44)-MIN(ROW($U$7:$U$44))+1,""),""),ROW()-ROW(A$47)+1)),"##0"),","),"")</f>
        <v/>
      </c>
      <c r="W51" s="0" t="str">
        <f aca="false" t="array" ref="W51:W51">IFERROR(CONCATENATE((INDEX($A$7:$A$44,SMALL(IF($X$7:$X$44&lt;&gt;"",IF($U$7:$U$44&lt;&gt;"",ROW($U$7:$U$44)-MIN(ROW($U$7:$U$44))+1,""),""),ROW()-ROW(A$47)+1))),),"")</f>
        <v/>
      </c>
      <c r="Z51" s="0" t="str">
        <f aca="false" t="array" ref="Z51:Z51">IFERROR(CONCATENATE((INDEX($AC$7:$AC$44,SMALL(IF($AC$7:$AC$44&lt;&gt;"",IF($Z$7:$Z$44&lt;&gt;"",ROW($Z$7:$Z$44)-MIN(ROW($Z$7:$Z$44))+1,""),""),ROW()-ROW(A$47)+1)))," "),"")</f>
        <v/>
      </c>
      <c r="AA51" s="0" t="str">
        <f aca="false" t="array" ref="AA51:AA51">IFERROR(CONCATENATE(TEXT(INDEX($Z$7:$Z$44,SMALL(IF($AC$7:$AC$44&lt;&gt;"",IF($Z$7:$Z$44&lt;&gt;"",ROW($Z$7:$Z$44)-MIN(ROW($Z$7:$Z$44))+1,""),""),ROW()-ROW(A$47)+1)),"##0")," "),"")</f>
        <v/>
      </c>
      <c r="AB51" s="0" t="str">
        <f aca="false" t="array" ref="AB51:AB51">IFERROR(CONCATENATE((INDEX($A$7:$A$44,SMALL(IF($AC$7:$AC$44&lt;&gt;"",IF($Z$7:$Z$44&lt;&gt;"",ROW($Z$7:$Z$44)-MIN(ROW($Z$7:$Z$44))+1,""),""),ROW()-ROW(A$47)+1))),),"")</f>
        <v/>
      </c>
      <c r="AE51" s="0" t="str">
        <f aca="false" t="array" ref="AE51:AE51">IFERROR(CONCATENATE((INDEX($AH$7:$AH$44,SMALL(IF($AH$7:$AH$44&lt;&gt;"",IF($AE$7:$AE$44&lt;&gt;"",ROW($AE$7:$AE$44)-MIN(ROW($AE$7:$AE$44))+1,""),""),ROW()-ROW(A$47)+1)))," "),"")</f>
        <v/>
      </c>
      <c r="AF51" s="0" t="str">
        <f aca="false" t="array" ref="AF51:AF51">IFERROR(CONCATENATE(TEXT(INDEX($AE$7:$AE$44,SMALL(IF($AH$7:$AH$44&lt;&gt;"",IF($AE$7:$AE$44&lt;&gt;"",ROW($AE$7:$AE$44)-MIN(ROW($AE$7:$AE$44))+1,""),""),ROW()-ROW(A$47)+1)),"##0")," "),"")</f>
        <v/>
      </c>
      <c r="AG51" s="0" t="str">
        <f aca="false" t="array" ref="AG51:AG51">IFERROR(CONCATENATE((INDEX($A$7:$A$44,SMALL(IF($AH$7:$AH$44&lt;&gt;"",IF($AE$7:$AE$44&lt;&gt;"",ROW($AE$7:$AE$44)-MIN(ROW($AE$7:$AE$44))+1,""),""),ROW()-ROW(A$47)+1))),),"")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IFERROR(CONCATENATE(TEXT(INDEX($K$7:$K$44,SMALL(IF($N$7:$N$44&lt;&gt;"",IF($K$7:$K$44&lt;&gt;"",ROW($K$7:$K$44)-MIN(ROW($K$7:$K$44))+1,""),""),ROW()-ROW(A$47)+1)),"##0"),","),"")</f>
        <v/>
      </c>
      <c r="L52" s="0" t="str">
        <f aca="false" t="array" ref="L52:L52">IFERROR(CONCATENATE((INDEX($N$7:$N$44,SMALL(IF($N$7:$N$44&lt;&gt;"",IF($K$7:$K$44&lt;&gt;"",ROW($K$7:$K$44)-MIN(ROW($K$7:$K$44))+1,""),""),ROW()-ROW(A$47)+1))),","),"")</f>
        <v/>
      </c>
      <c r="M52" s="0" t="str">
        <f aca="false" t="array" ref="M52:M52">IFERROR(CONCATENATE((INDEX($A$7:$A$44,SMALL(IF($N$7:$N$44&lt;&gt;"",IF($K$7:$K$44&lt;&gt;"",ROW($K$7:$K$44)-MIN(ROW($K$7:$K$44))+1,""),""),ROW()-ROW(A$47)+1))),),"")</f>
        <v/>
      </c>
      <c r="P52" s="0" t="str">
        <f aca="false" t="array" ref="P52:P52">IFERROR(CONCATENATE((INDEX($S$7:$S$44,SMALL(IF($S$7:$S$44&lt;&gt;"",IF($P$7:$P$44&lt;&gt;"",ROW($P$7:$P$44)-MIN(ROW($P$7:$P$44))+1,""),""),ROW()-ROW(A$47)+1)))," "),"")</f>
        <v/>
      </c>
      <c r="Q52" s="0" t="str">
        <f aca="false" t="array" ref="Q52:Q52">IFERROR(CONCATENATE(TEXT(INDEX($P$7:$P$44,SMALL(IF($S$7:$S$44&lt;&gt;"",IF($P$7:$P$44&lt;&gt;"",ROW($P$7:$P$44)-MIN(ROW($P$7:$P$44))+1,""),""),ROW()-ROW(A$47)+1)),"##0")," "),"")</f>
        <v/>
      </c>
      <c r="R52" s="0" t="str">
        <f aca="false" t="array" ref="R52:R52">IFERROR(CONCATENATE((INDEX($A$7:$A$44,SMALL(IF($S$7:$S$44&lt;&gt;"",IF($P$7:$P$44&lt;&gt;"",ROW($P$7:$P$44)-MIN(ROW($P$7:$P$44))+1,""),""),ROW()-ROW(A$47)+1))),),"")</f>
        <v/>
      </c>
      <c r="U52" s="0" t="str">
        <f aca="false" t="array" ref="U52:U52">IFERROR(CONCATENATE((INDEX($X$7:$X$44,SMALL(IF($X$7:$X$44&lt;&gt;"",IF($U$7:$U$44&lt;&gt;"",ROW($U$7:$U$44)-MIN(ROW($U$7:$U$44))+1,""),""),ROW()-ROW(A$47)+1))),","),"")</f>
        <v/>
      </c>
      <c r="V52" s="0" t="str">
        <f aca="false" t="array" ref="V52:V52">IFERROR(CONCATENATE(TEXT(INDEX($U$7:$U$44,SMALL(IF($X$7:$X$44&lt;&gt;"",IF($U$7:$U$44&lt;&gt;"",ROW($U$7:$U$44)-MIN(ROW($U$7:$U$44))+1,""),""),ROW()-ROW(A$47)+1)),"##0"),","),"")</f>
        <v/>
      </c>
      <c r="W52" s="0" t="str">
        <f aca="false" t="array" ref="W52:W52">IFERROR(CONCATENATE((INDEX($A$7:$A$44,SMALL(IF($X$7:$X$44&lt;&gt;"",IF($U$7:$U$44&lt;&gt;"",ROW($U$7:$U$44)-MIN(ROW($U$7:$U$44))+1,""),""),ROW()-ROW(A$47)+1))),),"")</f>
        <v/>
      </c>
      <c r="Z52" s="0" t="str">
        <f aca="false" t="array" ref="Z52:Z52">IFERROR(CONCATENATE((INDEX($AC$7:$AC$44,SMALL(IF($AC$7:$AC$44&lt;&gt;"",IF($Z$7:$Z$44&lt;&gt;"",ROW($Z$7:$Z$44)-MIN(ROW($Z$7:$Z$44))+1,""),""),ROW()-ROW(A$47)+1)))," "),"")</f>
        <v/>
      </c>
      <c r="AA52" s="0" t="str">
        <f aca="false" t="array" ref="AA52:AA52">IFERROR(CONCATENATE(TEXT(INDEX($Z$7:$Z$44,SMALL(IF($AC$7:$AC$44&lt;&gt;"",IF($Z$7:$Z$44&lt;&gt;"",ROW($Z$7:$Z$44)-MIN(ROW($Z$7:$Z$44))+1,""),""),ROW()-ROW(A$47)+1)),"##0")," "),"")</f>
        <v/>
      </c>
      <c r="AB52" s="0" t="str">
        <f aca="false" t="array" ref="AB52:AB52">IFERROR(CONCATENATE((INDEX($A$7:$A$44,SMALL(IF($AC$7:$AC$44&lt;&gt;"",IF($Z$7:$Z$44&lt;&gt;"",ROW($Z$7:$Z$44)-MIN(ROW($Z$7:$Z$44))+1,""),""),ROW()-ROW(A$47)+1))),),"")</f>
        <v/>
      </c>
      <c r="AE52" s="0" t="str">
        <f aca="false" t="array" ref="AE52:AE52">IFERROR(CONCATENATE((INDEX($AH$7:$AH$44,SMALL(IF($AH$7:$AH$44&lt;&gt;"",IF($AE$7:$AE$44&lt;&gt;"",ROW($AE$7:$AE$44)-MIN(ROW($AE$7:$AE$44))+1,""),""),ROW()-ROW(A$47)+1)))," "),"")</f>
        <v/>
      </c>
      <c r="AF52" s="0" t="str">
        <f aca="false" t="array" ref="AF52:AF52">IFERROR(CONCATENATE(TEXT(INDEX($AE$7:$AE$44,SMALL(IF($AH$7:$AH$44&lt;&gt;"",IF($AE$7:$AE$44&lt;&gt;"",ROW($AE$7:$AE$44)-MIN(ROW($AE$7:$AE$44))+1,""),""),ROW()-ROW(A$47)+1)),"##0")," "),"")</f>
        <v/>
      </c>
      <c r="AG52" s="0" t="str">
        <f aca="false" t="array" ref="AG52:AG52">IFERROR(CONCATENATE((INDEX($A$7:$A$44,SMALL(IF($AH$7:$AH$44&lt;&gt;"",IF($AE$7:$AE$44&lt;&gt;"",ROW($AE$7:$AE$44)-MIN(ROW($AE$7:$AE$44))+1,""),""),ROW()-ROW(A$47)+1))),),"")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IFERROR(CONCATENATE(TEXT(INDEX($K$7:$K$44,SMALL(IF($N$7:$N$44&lt;&gt;"",IF($K$7:$K$44&lt;&gt;"",ROW($K$7:$K$44)-MIN(ROW($K$7:$K$44))+1,""),""),ROW()-ROW(A$47)+1)),"##0"),","),"")</f>
        <v/>
      </c>
      <c r="L53" s="0" t="str">
        <f aca="false" t="array" ref="L53:L53">IFERROR(CONCATENATE((INDEX($N$7:$N$44,SMALL(IF($N$7:$N$44&lt;&gt;"",IF($K$7:$K$44&lt;&gt;"",ROW($K$7:$K$44)-MIN(ROW($K$7:$K$44))+1,""),""),ROW()-ROW(A$47)+1))),","),"")</f>
        <v/>
      </c>
      <c r="M53" s="0" t="str">
        <f aca="false" t="array" ref="M53:M53">IFERROR(CONCATENATE((INDEX($A$7:$A$44,SMALL(IF($N$7:$N$44&lt;&gt;"",IF($K$7:$K$44&lt;&gt;"",ROW($K$7:$K$44)-MIN(ROW($K$7:$K$44))+1,""),""),ROW()-ROW(A$47)+1))),),"")</f>
        <v/>
      </c>
      <c r="P53" s="0" t="str">
        <f aca="false" t="array" ref="P53:P53">IFERROR(CONCATENATE((INDEX($S$7:$S$44,SMALL(IF($S$7:$S$44&lt;&gt;"",IF($P$7:$P$44&lt;&gt;"",ROW($P$7:$P$44)-MIN(ROW($P$7:$P$44))+1,""),""),ROW()-ROW(A$47)+1)))," "),"")</f>
        <v/>
      </c>
      <c r="Q53" s="0" t="str">
        <f aca="false" t="array" ref="Q53:Q53">IFERROR(CONCATENATE(TEXT(INDEX($P$7:$P$44,SMALL(IF($S$7:$S$44&lt;&gt;"",IF($P$7:$P$44&lt;&gt;"",ROW($P$7:$P$44)-MIN(ROW($P$7:$P$44))+1,""),""),ROW()-ROW(A$47)+1)),"##0")," "),"")</f>
        <v/>
      </c>
      <c r="R53" s="0" t="str">
        <f aca="false" t="array" ref="R53:R53">IFERROR(CONCATENATE((INDEX($A$7:$A$44,SMALL(IF($S$7:$S$44&lt;&gt;"",IF($P$7:$P$44&lt;&gt;"",ROW($P$7:$P$44)-MIN(ROW($P$7:$P$44))+1,""),""),ROW()-ROW(A$47)+1))),),"")</f>
        <v/>
      </c>
      <c r="U53" s="0" t="str">
        <f aca="false" t="array" ref="U53:U53">IFERROR(CONCATENATE((INDEX($X$7:$X$44,SMALL(IF($X$7:$X$44&lt;&gt;"",IF($U$7:$U$44&lt;&gt;"",ROW($U$7:$U$44)-MIN(ROW($U$7:$U$44))+1,""),""),ROW()-ROW(A$47)+1))),","),"")</f>
        <v/>
      </c>
      <c r="V53" s="0" t="str">
        <f aca="false" t="array" ref="V53:V53">IFERROR(CONCATENATE(TEXT(INDEX($U$7:$U$44,SMALL(IF($X$7:$X$44&lt;&gt;"",IF($U$7:$U$44&lt;&gt;"",ROW($U$7:$U$44)-MIN(ROW($U$7:$U$44))+1,""),""),ROW()-ROW(A$47)+1)),"##0"),","),"")</f>
        <v/>
      </c>
      <c r="W53" s="0" t="str">
        <f aca="false" t="array" ref="W53:W53">IFERROR(CONCATENATE((INDEX($A$7:$A$44,SMALL(IF($X$7:$X$44&lt;&gt;"",IF($U$7:$U$44&lt;&gt;"",ROW($U$7:$U$44)-MIN(ROW($U$7:$U$44))+1,""),""),ROW()-ROW(A$47)+1))),),"")</f>
        <v/>
      </c>
      <c r="Z53" s="0" t="str">
        <f aca="false" t="array" ref="Z53:Z53">IFERROR(CONCATENATE((INDEX($AC$7:$AC$44,SMALL(IF($AC$7:$AC$44&lt;&gt;"",IF($Z$7:$Z$44&lt;&gt;"",ROW($Z$7:$Z$44)-MIN(ROW($Z$7:$Z$44))+1,""),""),ROW()-ROW(A$47)+1)))," "),"")</f>
        <v/>
      </c>
      <c r="AA53" s="0" t="str">
        <f aca="false" t="array" ref="AA53:AA53">IFERROR(CONCATENATE(TEXT(INDEX($Z$7:$Z$44,SMALL(IF($AC$7:$AC$44&lt;&gt;"",IF($Z$7:$Z$44&lt;&gt;"",ROW($Z$7:$Z$44)-MIN(ROW($Z$7:$Z$44))+1,""),""),ROW()-ROW(A$47)+1)),"##0")," "),"")</f>
        <v/>
      </c>
      <c r="AB53" s="0" t="str">
        <f aca="false" t="array" ref="AB53:AB53">IFERROR(CONCATENATE((INDEX($A$7:$A$44,SMALL(IF($AC$7:$AC$44&lt;&gt;"",IF($Z$7:$Z$44&lt;&gt;"",ROW($Z$7:$Z$44)-MIN(ROW($Z$7:$Z$44))+1,""),""),ROW()-ROW(A$47)+1))),),"")</f>
        <v/>
      </c>
      <c r="AE53" s="0" t="str">
        <f aca="false" t="array" ref="AE53:AE53">IFERROR(CONCATENATE((INDEX($AH$7:$AH$44,SMALL(IF($AH$7:$AH$44&lt;&gt;"",IF($AE$7:$AE$44&lt;&gt;"",ROW($AE$7:$AE$44)-MIN(ROW($AE$7:$AE$44))+1,""),""),ROW()-ROW(A$47)+1)))," "),"")</f>
        <v/>
      </c>
      <c r="AF53" s="0" t="str">
        <f aca="false" t="array" ref="AF53:AF53">IFERROR(CONCATENATE(TEXT(INDEX($AE$7:$AE$44,SMALL(IF($AH$7:$AH$44&lt;&gt;"",IF($AE$7:$AE$44&lt;&gt;"",ROW($AE$7:$AE$44)-MIN(ROW($AE$7:$AE$44))+1,""),""),ROW()-ROW(A$47)+1)),"##0")," "),"")</f>
        <v/>
      </c>
      <c r="AG53" s="0" t="str">
        <f aca="false" t="array" ref="AG53:AG53">IFERROR(CONCATENATE((INDEX($A$7:$A$44,SMALL(IF($AH$7:$AH$44&lt;&gt;"",IF($AE$7:$AE$44&lt;&gt;"",ROW($AE$7:$AE$44)-MIN(ROW($AE$7:$AE$44))+1,""),""),ROW()-ROW(A$47)+1))),),"")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IFERROR(CONCATENATE(TEXT(INDEX($K$7:$K$44,SMALL(IF($N$7:$N$44&lt;&gt;"",IF($K$7:$K$44&lt;&gt;"",ROW($K$7:$K$44)-MIN(ROW($K$7:$K$44))+1,""),""),ROW()-ROW(A$47)+1)),"##0"),","),"")</f>
        <v/>
      </c>
      <c r="L54" s="0" t="str">
        <f aca="false" t="array" ref="L54:L54">IFERROR(CONCATENATE((INDEX($N$7:$N$44,SMALL(IF($N$7:$N$44&lt;&gt;"",IF($K$7:$K$44&lt;&gt;"",ROW($K$7:$K$44)-MIN(ROW($K$7:$K$44))+1,""),""),ROW()-ROW(A$47)+1))),","),"")</f>
        <v/>
      </c>
      <c r="M54" s="0" t="str">
        <f aca="false" t="array" ref="M54:M54">IFERROR(CONCATENATE((INDEX($A$7:$A$44,SMALL(IF($N$7:$N$44&lt;&gt;"",IF($K$7:$K$44&lt;&gt;"",ROW($K$7:$K$44)-MIN(ROW($K$7:$K$44))+1,""),""),ROW()-ROW(A$47)+1))),),"")</f>
        <v/>
      </c>
      <c r="P54" s="0" t="str">
        <f aca="false" t="array" ref="P54:P54">IFERROR(CONCATENATE((INDEX($S$7:$S$44,SMALL(IF($S$7:$S$44&lt;&gt;"",IF($P$7:$P$44&lt;&gt;"",ROW($P$7:$P$44)-MIN(ROW($P$7:$P$44))+1,""),""),ROW()-ROW(A$47)+1)))," "),"")</f>
        <v/>
      </c>
      <c r="Q54" s="0" t="str">
        <f aca="false" t="array" ref="Q54:Q54">IFERROR(CONCATENATE(TEXT(INDEX($P$7:$P$44,SMALL(IF($S$7:$S$44&lt;&gt;"",IF($P$7:$P$44&lt;&gt;"",ROW($P$7:$P$44)-MIN(ROW($P$7:$P$44))+1,""),""),ROW()-ROW(A$47)+1)),"##0")," "),"")</f>
        <v/>
      </c>
      <c r="R54" s="0" t="str">
        <f aca="false" t="array" ref="R54:R54">IFERROR(CONCATENATE((INDEX($A$7:$A$44,SMALL(IF($S$7:$S$44&lt;&gt;"",IF($P$7:$P$44&lt;&gt;"",ROW($P$7:$P$44)-MIN(ROW($P$7:$P$44))+1,""),""),ROW()-ROW(A$47)+1))),),"")</f>
        <v/>
      </c>
      <c r="U54" s="0" t="str">
        <f aca="false" t="array" ref="U54:U54">IFERROR(CONCATENATE((INDEX($X$7:$X$44,SMALL(IF($X$7:$X$44&lt;&gt;"",IF($U$7:$U$44&lt;&gt;"",ROW($U$7:$U$44)-MIN(ROW($U$7:$U$44))+1,""),""),ROW()-ROW(A$47)+1))),","),"")</f>
        <v/>
      </c>
      <c r="V54" s="0" t="str">
        <f aca="false" t="array" ref="V54:V54">IFERROR(CONCATENATE(TEXT(INDEX($U$7:$U$44,SMALL(IF($X$7:$X$44&lt;&gt;"",IF($U$7:$U$44&lt;&gt;"",ROW($U$7:$U$44)-MIN(ROW($U$7:$U$44))+1,""),""),ROW()-ROW(A$47)+1)),"##0"),","),"")</f>
        <v/>
      </c>
      <c r="W54" s="0" t="str">
        <f aca="false" t="array" ref="W54:W54">IFERROR(CONCATENATE((INDEX($A$7:$A$44,SMALL(IF($X$7:$X$44&lt;&gt;"",IF($U$7:$U$44&lt;&gt;"",ROW($U$7:$U$44)-MIN(ROW($U$7:$U$44))+1,""),""),ROW()-ROW(A$47)+1))),),"")</f>
        <v/>
      </c>
      <c r="Z54" s="0" t="str">
        <f aca="false" t="array" ref="Z54:Z54">IFERROR(CONCATENATE((INDEX($AC$7:$AC$44,SMALL(IF($AC$7:$AC$44&lt;&gt;"",IF($Z$7:$Z$44&lt;&gt;"",ROW($Z$7:$Z$44)-MIN(ROW($Z$7:$Z$44))+1,""),""),ROW()-ROW(A$47)+1)))," "),"")</f>
        <v/>
      </c>
      <c r="AA54" s="0" t="str">
        <f aca="false" t="array" ref="AA54:AA54">IFERROR(CONCATENATE(TEXT(INDEX($Z$7:$Z$44,SMALL(IF($AC$7:$AC$44&lt;&gt;"",IF($Z$7:$Z$44&lt;&gt;"",ROW($Z$7:$Z$44)-MIN(ROW($Z$7:$Z$44))+1,""),""),ROW()-ROW(A$47)+1)),"##0")," "),"")</f>
        <v/>
      </c>
      <c r="AB54" s="0" t="str">
        <f aca="false" t="array" ref="AB54:AB54">IFERROR(CONCATENATE((INDEX($A$7:$A$44,SMALL(IF($AC$7:$AC$44&lt;&gt;"",IF($Z$7:$Z$44&lt;&gt;"",ROW($Z$7:$Z$44)-MIN(ROW($Z$7:$Z$44))+1,""),""),ROW()-ROW(A$47)+1))),),"")</f>
        <v/>
      </c>
      <c r="AE54" s="0" t="str">
        <f aca="false" t="array" ref="AE54:AE54">IFERROR(CONCATENATE((INDEX($AH$7:$AH$44,SMALL(IF($AH$7:$AH$44&lt;&gt;"",IF($AE$7:$AE$44&lt;&gt;"",ROW($AE$7:$AE$44)-MIN(ROW($AE$7:$AE$44))+1,""),""),ROW()-ROW(A$47)+1)))," "),"")</f>
        <v/>
      </c>
      <c r="AF54" s="0" t="str">
        <f aca="false" t="array" ref="AF54:AF54">IFERROR(CONCATENATE(TEXT(INDEX($AE$7:$AE$44,SMALL(IF($AH$7:$AH$44&lt;&gt;"",IF($AE$7:$AE$44&lt;&gt;"",ROW($AE$7:$AE$44)-MIN(ROW($AE$7:$AE$44))+1,""),""),ROW()-ROW(A$47)+1)),"##0")," "),"")</f>
        <v/>
      </c>
      <c r="AG54" s="0" t="str">
        <f aca="false" t="array" ref="AG54:AG54">IFERROR(CONCATENATE((INDEX($A$7:$A$44,SMALL(IF($AH$7:$AH$44&lt;&gt;"",IF($AE$7:$AE$44&lt;&gt;"",ROW($AE$7:$AE$44)-MIN(ROW($AE$7:$AE$44))+1,""),""),ROW()-ROW(A$47)+1))),),"")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IFERROR(CONCATENATE(TEXT(INDEX($K$7:$K$44,SMALL(IF($N$7:$N$44&lt;&gt;"",IF($K$7:$K$44&lt;&gt;"",ROW($K$7:$K$44)-MIN(ROW($K$7:$K$44))+1,""),""),ROW()-ROW(A$47)+1)),"##0"),","),"")</f>
        <v/>
      </c>
      <c r="L55" s="0" t="str">
        <f aca="false" t="array" ref="L55:L55">IFERROR(CONCATENATE((INDEX($N$7:$N$44,SMALL(IF($N$7:$N$44&lt;&gt;"",IF($K$7:$K$44&lt;&gt;"",ROW($K$7:$K$44)-MIN(ROW($K$7:$K$44))+1,""),""),ROW()-ROW(A$47)+1))),","),"")</f>
        <v/>
      </c>
      <c r="M55" s="0" t="str">
        <f aca="false" t="array" ref="M55:M55">IFERROR(CONCATENATE((INDEX($A$7:$A$44,SMALL(IF($N$7:$N$44&lt;&gt;"",IF($K$7:$K$44&lt;&gt;"",ROW($K$7:$K$44)-MIN(ROW($K$7:$K$44))+1,""),""),ROW()-ROW(A$47)+1))),),"")</f>
        <v/>
      </c>
      <c r="P55" s="0" t="str">
        <f aca="false" t="array" ref="P55:P55">IFERROR(CONCATENATE((INDEX($S$7:$S$44,SMALL(IF($S$7:$S$44&lt;&gt;"",IF($P$7:$P$44&lt;&gt;"",ROW($P$7:$P$44)-MIN(ROW($P$7:$P$44))+1,""),""),ROW()-ROW(A$47)+1)))," "),"")</f>
        <v/>
      </c>
      <c r="Q55" s="0" t="str">
        <f aca="false" t="array" ref="Q55:Q55">IFERROR(CONCATENATE(TEXT(INDEX($P$7:$P$44,SMALL(IF($S$7:$S$44&lt;&gt;"",IF($P$7:$P$44&lt;&gt;"",ROW($P$7:$P$44)-MIN(ROW($P$7:$P$44))+1,""),""),ROW()-ROW(A$47)+1)),"##0")," "),"")</f>
        <v/>
      </c>
      <c r="R55" s="0" t="str">
        <f aca="false" t="array" ref="R55:R55">IFERROR(CONCATENATE((INDEX($A$7:$A$44,SMALL(IF($S$7:$S$44&lt;&gt;"",IF($P$7:$P$44&lt;&gt;"",ROW($P$7:$P$44)-MIN(ROW($P$7:$P$44))+1,""),""),ROW()-ROW(A$47)+1))),),"")</f>
        <v/>
      </c>
      <c r="U55" s="0" t="str">
        <f aca="false" t="array" ref="U55:U55">IFERROR(CONCATENATE((INDEX($X$7:$X$44,SMALL(IF($X$7:$X$44&lt;&gt;"",IF($U$7:$U$44&lt;&gt;"",ROW($U$7:$U$44)-MIN(ROW($U$7:$U$44))+1,""),""),ROW()-ROW(A$47)+1))),","),"")</f>
        <v/>
      </c>
      <c r="V55" s="0" t="str">
        <f aca="false" t="array" ref="V55:V55">IFERROR(CONCATENATE(TEXT(INDEX($U$7:$U$44,SMALL(IF($X$7:$X$44&lt;&gt;"",IF($U$7:$U$44&lt;&gt;"",ROW($U$7:$U$44)-MIN(ROW($U$7:$U$44))+1,""),""),ROW()-ROW(A$47)+1)),"##0"),","),"")</f>
        <v/>
      </c>
      <c r="W55" s="0" t="str">
        <f aca="false" t="array" ref="W55:W55">IFERROR(CONCATENATE((INDEX($A$7:$A$44,SMALL(IF($X$7:$X$44&lt;&gt;"",IF($U$7:$U$44&lt;&gt;"",ROW($U$7:$U$44)-MIN(ROW($U$7:$U$44))+1,""),""),ROW()-ROW(A$47)+1))),),"")</f>
        <v/>
      </c>
      <c r="Z55" s="0" t="str">
        <f aca="false" t="array" ref="Z55:Z55">IFERROR(CONCATENATE((INDEX($AC$7:$AC$44,SMALL(IF($AC$7:$AC$44&lt;&gt;"",IF($Z$7:$Z$44&lt;&gt;"",ROW($Z$7:$Z$44)-MIN(ROW($Z$7:$Z$44))+1,""),""),ROW()-ROW(A$47)+1)))," "),"")</f>
        <v/>
      </c>
      <c r="AA55" s="0" t="str">
        <f aca="false" t="array" ref="AA55:AA55">IFERROR(CONCATENATE(TEXT(INDEX($Z$7:$Z$44,SMALL(IF($AC$7:$AC$44&lt;&gt;"",IF($Z$7:$Z$44&lt;&gt;"",ROW($Z$7:$Z$44)-MIN(ROW($Z$7:$Z$44))+1,""),""),ROW()-ROW(A$47)+1)),"##0")," "),"")</f>
        <v/>
      </c>
      <c r="AB55" s="0" t="str">
        <f aca="false" t="array" ref="AB55:AB55">IFERROR(CONCATENATE((INDEX($A$7:$A$44,SMALL(IF($AC$7:$AC$44&lt;&gt;"",IF($Z$7:$Z$44&lt;&gt;"",ROW($Z$7:$Z$44)-MIN(ROW($Z$7:$Z$44))+1,""),""),ROW()-ROW(A$47)+1))),),"")</f>
        <v/>
      </c>
      <c r="AE55" s="0" t="str">
        <f aca="false" t="array" ref="AE55:AE55">IFERROR(CONCATENATE((INDEX($AH$7:$AH$44,SMALL(IF($AH$7:$AH$44&lt;&gt;"",IF($AE$7:$AE$44&lt;&gt;"",ROW($AE$7:$AE$44)-MIN(ROW($AE$7:$AE$44))+1,""),""),ROW()-ROW(A$47)+1)))," "),"")</f>
        <v/>
      </c>
      <c r="AF55" s="0" t="str">
        <f aca="false" t="array" ref="AF55:AF55">IFERROR(CONCATENATE(TEXT(INDEX($AE$7:$AE$44,SMALL(IF($AH$7:$AH$44&lt;&gt;"",IF($AE$7:$AE$44&lt;&gt;"",ROW($AE$7:$AE$44)-MIN(ROW($AE$7:$AE$44))+1,""),""),ROW()-ROW(A$47)+1)),"##0")," "),"")</f>
        <v/>
      </c>
      <c r="AG55" s="0" t="str">
        <f aca="false" t="array" ref="AG55:AG55">IFERROR(CONCATENATE((INDEX($A$7:$A$44,SMALL(IF($AH$7:$AH$44&lt;&gt;"",IF($AE$7:$AE$44&lt;&gt;"",ROW($AE$7:$AE$44)-MIN(ROW($AE$7:$AE$44))+1,""),""),ROW()-ROW(A$47)+1))),),"")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IFERROR(CONCATENATE(TEXT(INDEX($K$7:$K$44,SMALL(IF($N$7:$N$44&lt;&gt;"",IF($K$7:$K$44&lt;&gt;"",ROW($K$7:$K$44)-MIN(ROW($K$7:$K$44))+1,""),""),ROW()-ROW(A$47)+1)),"##0"),","),"")</f>
        <v/>
      </c>
      <c r="L56" s="0" t="str">
        <f aca="false" t="array" ref="L56:L56">IFERROR(CONCATENATE((INDEX($N$7:$N$44,SMALL(IF($N$7:$N$44&lt;&gt;"",IF($K$7:$K$44&lt;&gt;"",ROW($K$7:$K$44)-MIN(ROW($K$7:$K$44))+1,""),""),ROW()-ROW(A$47)+1))),","),"")</f>
        <v/>
      </c>
      <c r="M56" s="0" t="str">
        <f aca="false" t="array" ref="M56:M56">IFERROR(CONCATENATE((INDEX($A$7:$A$44,SMALL(IF($N$7:$N$44&lt;&gt;"",IF($K$7:$K$44&lt;&gt;"",ROW($K$7:$K$44)-MIN(ROW($K$7:$K$44))+1,""),""),ROW()-ROW(A$47)+1))),),"")</f>
        <v/>
      </c>
      <c r="P56" s="0" t="str">
        <f aca="false" t="array" ref="P56:P56">IFERROR(CONCATENATE((INDEX($S$7:$S$44,SMALL(IF($S$7:$S$44&lt;&gt;"",IF($P$7:$P$44&lt;&gt;"",ROW($P$7:$P$44)-MIN(ROW($P$7:$P$44))+1,""),""),ROW()-ROW(A$47)+1)))," "),"")</f>
        <v/>
      </c>
      <c r="Q56" s="0" t="str">
        <f aca="false" t="array" ref="Q56:Q56">IFERROR(CONCATENATE(TEXT(INDEX($P$7:$P$44,SMALL(IF($S$7:$S$44&lt;&gt;"",IF($P$7:$P$44&lt;&gt;"",ROW($P$7:$P$44)-MIN(ROW($P$7:$P$44))+1,""),""),ROW()-ROW(A$47)+1)),"##0")," "),"")</f>
        <v/>
      </c>
      <c r="R56" s="0" t="str">
        <f aca="false" t="array" ref="R56:R56">IFERROR(CONCATENATE((INDEX($A$7:$A$44,SMALL(IF($S$7:$S$44&lt;&gt;"",IF($P$7:$P$44&lt;&gt;"",ROW($P$7:$P$44)-MIN(ROW($P$7:$P$44))+1,""),""),ROW()-ROW(A$47)+1))),),"")</f>
        <v/>
      </c>
      <c r="U56" s="0" t="str">
        <f aca="false" t="array" ref="U56:U56">IFERROR(CONCATENATE((INDEX($X$7:$X$44,SMALL(IF($X$7:$X$44&lt;&gt;"",IF($U$7:$U$44&lt;&gt;"",ROW($U$7:$U$44)-MIN(ROW($U$7:$U$44))+1,""),""),ROW()-ROW(A$47)+1))),","),"")</f>
        <v/>
      </c>
      <c r="V56" s="0" t="str">
        <f aca="false" t="array" ref="V56:V56">IFERROR(CONCATENATE(TEXT(INDEX($U$7:$U$44,SMALL(IF($X$7:$X$44&lt;&gt;"",IF($U$7:$U$44&lt;&gt;"",ROW($U$7:$U$44)-MIN(ROW($U$7:$U$44))+1,""),""),ROW()-ROW(A$47)+1)),"##0"),","),"")</f>
        <v/>
      </c>
      <c r="W56" s="0" t="str">
        <f aca="false" t="array" ref="W56:W56">IFERROR(CONCATENATE((INDEX($A$7:$A$44,SMALL(IF($X$7:$X$44&lt;&gt;"",IF($U$7:$U$44&lt;&gt;"",ROW($U$7:$U$44)-MIN(ROW($U$7:$U$44))+1,""),""),ROW()-ROW(A$47)+1))),),"")</f>
        <v/>
      </c>
      <c r="Z56" s="0" t="str">
        <f aca="false" t="array" ref="Z56:Z56">IFERROR(CONCATENATE((INDEX($AC$7:$AC$44,SMALL(IF($AC$7:$AC$44&lt;&gt;"",IF($Z$7:$Z$44&lt;&gt;"",ROW($Z$7:$Z$44)-MIN(ROW($Z$7:$Z$44))+1,""),""),ROW()-ROW(A$47)+1)))," "),"")</f>
        <v/>
      </c>
      <c r="AA56" s="0" t="str">
        <f aca="false" t="array" ref="AA56:AA56">IFERROR(CONCATENATE(TEXT(INDEX($Z$7:$Z$44,SMALL(IF($AC$7:$AC$44&lt;&gt;"",IF($Z$7:$Z$44&lt;&gt;"",ROW($Z$7:$Z$44)-MIN(ROW($Z$7:$Z$44))+1,""),""),ROW()-ROW(A$47)+1)),"##0")," "),"")</f>
        <v/>
      </c>
      <c r="AB56" s="0" t="str">
        <f aca="false" t="array" ref="AB56:AB56">IFERROR(CONCATENATE((INDEX($A$7:$A$44,SMALL(IF($AC$7:$AC$44&lt;&gt;"",IF($Z$7:$Z$44&lt;&gt;"",ROW($Z$7:$Z$44)-MIN(ROW($Z$7:$Z$44))+1,""),""),ROW()-ROW(A$47)+1))),),"")</f>
        <v/>
      </c>
      <c r="AE56" s="0" t="str">
        <f aca="false" t="array" ref="AE56:AE56">IFERROR(CONCATENATE((INDEX($AH$7:$AH$44,SMALL(IF($AH$7:$AH$44&lt;&gt;"",IF($AE$7:$AE$44&lt;&gt;"",ROW($AE$7:$AE$44)-MIN(ROW($AE$7:$AE$44))+1,""),""),ROW()-ROW(A$47)+1)))," "),"")</f>
        <v/>
      </c>
      <c r="AF56" s="0" t="str">
        <f aca="false" t="array" ref="AF56:AF56">IFERROR(CONCATENATE(TEXT(INDEX($AE$7:$AE$44,SMALL(IF($AH$7:$AH$44&lt;&gt;"",IF($AE$7:$AE$44&lt;&gt;"",ROW($AE$7:$AE$44)-MIN(ROW($AE$7:$AE$44))+1,""),""),ROW()-ROW(A$47)+1)),"##0")," "),"")</f>
        <v/>
      </c>
      <c r="AG56" s="0" t="str">
        <f aca="false" t="array" ref="AG56:AG56">IFERROR(CONCATENATE((INDEX($A$7:$A$44,SMALL(IF($AH$7:$AH$44&lt;&gt;"",IF($AE$7:$AE$44&lt;&gt;"",ROW($AE$7:$AE$44)-MIN(ROW($AE$7:$AE$44))+1,""),""),ROW()-ROW(A$47)+1))),),"")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IFERROR(CONCATENATE(TEXT(INDEX($K$7:$K$44,SMALL(IF($N$7:$N$44&lt;&gt;"",IF($K$7:$K$44&lt;&gt;"",ROW($K$7:$K$44)-MIN(ROW($K$7:$K$44))+1,""),""),ROW()-ROW(A$47)+1)),"##0"),","),"")</f>
        <v/>
      </c>
      <c r="L57" s="0" t="str">
        <f aca="false" t="array" ref="L57:L57">IFERROR(CONCATENATE((INDEX($N$7:$N$44,SMALL(IF($N$7:$N$44&lt;&gt;"",IF($K$7:$K$44&lt;&gt;"",ROW($K$7:$K$44)-MIN(ROW($K$7:$K$44))+1,""),""),ROW()-ROW(A$47)+1))),","),"")</f>
        <v/>
      </c>
      <c r="M57" s="0" t="str">
        <f aca="false" t="array" ref="M57:M57">IFERROR(CONCATENATE((INDEX($A$7:$A$44,SMALL(IF($N$7:$N$44&lt;&gt;"",IF($K$7:$K$44&lt;&gt;"",ROW($K$7:$K$44)-MIN(ROW($K$7:$K$44))+1,""),""),ROW()-ROW(A$47)+1))),),"")</f>
        <v/>
      </c>
      <c r="P57" s="0" t="str">
        <f aca="false" t="array" ref="P57:P57">IFERROR(CONCATENATE((INDEX($S$7:$S$44,SMALL(IF($S$7:$S$44&lt;&gt;"",IF($P$7:$P$44&lt;&gt;"",ROW($P$7:$P$44)-MIN(ROW($P$7:$P$44))+1,""),""),ROW()-ROW(A$47)+1)))," "),"")</f>
        <v/>
      </c>
      <c r="Q57" s="0" t="str">
        <f aca="false" t="array" ref="Q57:Q57">IFERROR(CONCATENATE(TEXT(INDEX($P$7:$P$44,SMALL(IF($S$7:$S$44&lt;&gt;"",IF($P$7:$P$44&lt;&gt;"",ROW($P$7:$P$44)-MIN(ROW($P$7:$P$44))+1,""),""),ROW()-ROW(A$47)+1)),"##0")," "),"")</f>
        <v/>
      </c>
      <c r="R57" s="0" t="str">
        <f aca="false" t="array" ref="R57:R57">IFERROR(CONCATENATE((INDEX($A$7:$A$44,SMALL(IF($S$7:$S$44&lt;&gt;"",IF($P$7:$P$44&lt;&gt;"",ROW($P$7:$P$44)-MIN(ROW($P$7:$P$44))+1,""),""),ROW()-ROW(A$47)+1))),),"")</f>
        <v/>
      </c>
      <c r="U57" s="0" t="str">
        <f aca="false" t="array" ref="U57:U57">IFERROR(CONCATENATE((INDEX($X$7:$X$44,SMALL(IF($X$7:$X$44&lt;&gt;"",IF($U$7:$U$44&lt;&gt;"",ROW($U$7:$U$44)-MIN(ROW($U$7:$U$44))+1,""),""),ROW()-ROW(A$47)+1))),","),"")</f>
        <v/>
      </c>
      <c r="V57" s="0" t="str">
        <f aca="false" t="array" ref="V57:V57">IFERROR(CONCATENATE(TEXT(INDEX($U$7:$U$44,SMALL(IF($X$7:$X$44&lt;&gt;"",IF($U$7:$U$44&lt;&gt;"",ROW($U$7:$U$44)-MIN(ROW($U$7:$U$44))+1,""),""),ROW()-ROW(A$47)+1)),"##0"),","),"")</f>
        <v/>
      </c>
      <c r="W57" s="0" t="str">
        <f aca="false" t="array" ref="W57:W57">IFERROR(CONCATENATE((INDEX($A$7:$A$44,SMALL(IF($X$7:$X$44&lt;&gt;"",IF($U$7:$U$44&lt;&gt;"",ROW($U$7:$U$44)-MIN(ROW($U$7:$U$44))+1,""),""),ROW()-ROW(A$47)+1))),),"")</f>
        <v/>
      </c>
      <c r="Z57" s="0" t="str">
        <f aca="false" t="array" ref="Z57:Z57">IFERROR(CONCATENATE((INDEX($AC$7:$AC$44,SMALL(IF($AC$7:$AC$44&lt;&gt;"",IF($Z$7:$Z$44&lt;&gt;"",ROW($Z$7:$Z$44)-MIN(ROW($Z$7:$Z$44))+1,""),""),ROW()-ROW(A$47)+1)))," "),"")</f>
        <v/>
      </c>
      <c r="AA57" s="0" t="str">
        <f aca="false" t="array" ref="AA57:AA57">IFERROR(CONCATENATE(TEXT(INDEX($Z$7:$Z$44,SMALL(IF($AC$7:$AC$44&lt;&gt;"",IF($Z$7:$Z$44&lt;&gt;"",ROW($Z$7:$Z$44)-MIN(ROW($Z$7:$Z$44))+1,""),""),ROW()-ROW(A$47)+1)),"##0")," "),"")</f>
        <v/>
      </c>
      <c r="AB57" s="0" t="str">
        <f aca="false" t="array" ref="AB57:AB57">IFERROR(CONCATENATE((INDEX($A$7:$A$44,SMALL(IF($AC$7:$AC$44&lt;&gt;"",IF($Z$7:$Z$44&lt;&gt;"",ROW($Z$7:$Z$44)-MIN(ROW($Z$7:$Z$44))+1,""),""),ROW()-ROW(A$47)+1))),),"")</f>
        <v/>
      </c>
      <c r="AE57" s="0" t="str">
        <f aca="false" t="array" ref="AE57:AE57">IFERROR(CONCATENATE((INDEX($AH$7:$AH$44,SMALL(IF($AH$7:$AH$44&lt;&gt;"",IF($AE$7:$AE$44&lt;&gt;"",ROW($AE$7:$AE$44)-MIN(ROW($AE$7:$AE$44))+1,""),""),ROW()-ROW(A$47)+1)))," "),"")</f>
        <v/>
      </c>
      <c r="AF57" s="0" t="str">
        <f aca="false" t="array" ref="AF57:AF57">IFERROR(CONCATENATE(TEXT(INDEX($AE$7:$AE$44,SMALL(IF($AH$7:$AH$44&lt;&gt;"",IF($AE$7:$AE$44&lt;&gt;"",ROW($AE$7:$AE$44)-MIN(ROW($AE$7:$AE$44))+1,""),""),ROW()-ROW(A$47)+1)),"##0")," "),"")</f>
        <v/>
      </c>
      <c r="AG57" s="0" t="str">
        <f aca="false" t="array" ref="AG57:AG57">IFERROR(CONCATENATE((INDEX($A$7:$A$44,SMALL(IF($AH$7:$AH$44&lt;&gt;"",IF($AE$7:$AE$44&lt;&gt;"",ROW($AE$7:$AE$44)-MIN(ROW($AE$7:$AE$44))+1,""),""),ROW()-ROW(A$47)+1))),),"")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IFERROR(CONCATENATE(TEXT(INDEX($K$7:$K$44,SMALL(IF($N$7:$N$44&lt;&gt;"",IF($K$7:$K$44&lt;&gt;"",ROW($K$7:$K$44)-MIN(ROW($K$7:$K$44))+1,""),""),ROW()-ROW(A$47)+1)),"##0"),","),"")</f>
        <v/>
      </c>
      <c r="L58" s="0" t="str">
        <f aca="false" t="array" ref="L58:L58">IFERROR(CONCATENATE((INDEX($N$7:$N$44,SMALL(IF($N$7:$N$44&lt;&gt;"",IF($K$7:$K$44&lt;&gt;"",ROW($K$7:$K$44)-MIN(ROW($K$7:$K$44))+1,""),""),ROW()-ROW(A$47)+1))),","),"")</f>
        <v/>
      </c>
      <c r="M58" s="0" t="str">
        <f aca="false" t="array" ref="M58:M58">IFERROR(CONCATENATE((INDEX($A$7:$A$44,SMALL(IF($N$7:$N$44&lt;&gt;"",IF($K$7:$K$44&lt;&gt;"",ROW($K$7:$K$44)-MIN(ROW($K$7:$K$44))+1,""),""),ROW()-ROW(A$47)+1))),),"")</f>
        <v/>
      </c>
      <c r="P58" s="0" t="str">
        <f aca="false" t="array" ref="P58:P58">IFERROR(CONCATENATE((INDEX($S$7:$S$44,SMALL(IF($S$7:$S$44&lt;&gt;"",IF($P$7:$P$44&lt;&gt;"",ROW($P$7:$P$44)-MIN(ROW($P$7:$P$44))+1,""),""),ROW()-ROW(A$47)+1)))," "),"")</f>
        <v/>
      </c>
      <c r="Q58" s="0" t="str">
        <f aca="false" t="array" ref="Q58:Q58">IFERROR(CONCATENATE(TEXT(INDEX($P$7:$P$44,SMALL(IF($S$7:$S$44&lt;&gt;"",IF($P$7:$P$44&lt;&gt;"",ROW($P$7:$P$44)-MIN(ROW($P$7:$P$44))+1,""),""),ROW()-ROW(A$47)+1)),"##0")," "),"")</f>
        <v/>
      </c>
      <c r="R58" s="0" t="str">
        <f aca="false" t="array" ref="R58:R58">IFERROR(CONCATENATE((INDEX($A$7:$A$44,SMALL(IF($S$7:$S$44&lt;&gt;"",IF($P$7:$P$44&lt;&gt;"",ROW($P$7:$P$44)-MIN(ROW($P$7:$P$44))+1,""),""),ROW()-ROW(A$47)+1))),),"")</f>
        <v/>
      </c>
      <c r="U58" s="0" t="str">
        <f aca="false" t="array" ref="U58:U58">IFERROR(CONCATENATE((INDEX($X$7:$X$44,SMALL(IF($X$7:$X$44&lt;&gt;"",IF($U$7:$U$44&lt;&gt;"",ROW($U$7:$U$44)-MIN(ROW($U$7:$U$44))+1,""),""),ROW()-ROW(A$47)+1))),","),"")</f>
        <v/>
      </c>
      <c r="V58" s="0" t="str">
        <f aca="false" t="array" ref="V58:V58">IFERROR(CONCATENATE(TEXT(INDEX($U$7:$U$44,SMALL(IF($X$7:$X$44&lt;&gt;"",IF($U$7:$U$44&lt;&gt;"",ROW($U$7:$U$44)-MIN(ROW($U$7:$U$44))+1,""),""),ROW()-ROW(A$47)+1)),"##0"),","),"")</f>
        <v/>
      </c>
      <c r="W58" s="0" t="str">
        <f aca="false" t="array" ref="W58:W58">IFERROR(CONCATENATE((INDEX($A$7:$A$44,SMALL(IF($X$7:$X$44&lt;&gt;"",IF($U$7:$U$44&lt;&gt;"",ROW($U$7:$U$44)-MIN(ROW($U$7:$U$44))+1,""),""),ROW()-ROW(A$47)+1))),),"")</f>
        <v/>
      </c>
      <c r="Z58" s="0" t="str">
        <f aca="false" t="array" ref="Z58:Z58">IFERROR(CONCATENATE((INDEX($AC$7:$AC$44,SMALL(IF($AC$7:$AC$44&lt;&gt;"",IF($Z$7:$Z$44&lt;&gt;"",ROW($Z$7:$Z$44)-MIN(ROW($Z$7:$Z$44))+1,""),""),ROW()-ROW(A$47)+1)))," "),"")</f>
        <v/>
      </c>
      <c r="AA58" s="0" t="str">
        <f aca="false" t="array" ref="AA58:AA58">IFERROR(CONCATENATE(TEXT(INDEX($Z$7:$Z$44,SMALL(IF($AC$7:$AC$44&lt;&gt;"",IF($Z$7:$Z$44&lt;&gt;"",ROW($Z$7:$Z$44)-MIN(ROW($Z$7:$Z$44))+1,""),""),ROW()-ROW(A$47)+1)),"##0")," "),"")</f>
        <v/>
      </c>
      <c r="AB58" s="0" t="str">
        <f aca="false" t="array" ref="AB58:AB58">IFERROR(CONCATENATE((INDEX($A$7:$A$44,SMALL(IF($AC$7:$AC$44&lt;&gt;"",IF($Z$7:$Z$44&lt;&gt;"",ROW($Z$7:$Z$44)-MIN(ROW($Z$7:$Z$44))+1,""),""),ROW()-ROW(A$47)+1))),),"")</f>
        <v/>
      </c>
      <c r="AE58" s="0" t="str">
        <f aca="false" t="array" ref="AE58:AE58">IFERROR(CONCATENATE((INDEX($AH$7:$AH$44,SMALL(IF($AH$7:$AH$44&lt;&gt;"",IF($AE$7:$AE$44&lt;&gt;"",ROW($AE$7:$AE$44)-MIN(ROW($AE$7:$AE$44))+1,""),""),ROW()-ROW(A$47)+1)))," "),"")</f>
        <v/>
      </c>
      <c r="AF58" s="0" t="str">
        <f aca="false" t="array" ref="AF58:AF58">IFERROR(CONCATENATE(TEXT(INDEX($AE$7:$AE$44,SMALL(IF($AH$7:$AH$44&lt;&gt;"",IF($AE$7:$AE$44&lt;&gt;"",ROW($AE$7:$AE$44)-MIN(ROW($AE$7:$AE$44))+1,""),""),ROW()-ROW(A$47)+1)),"##0")," "),"")</f>
        <v/>
      </c>
      <c r="AG58" s="0" t="str">
        <f aca="false" t="array" ref="AG58:AG58">IFERROR(CONCATENATE((INDEX($A$7:$A$44,SMALL(IF($AH$7:$AH$44&lt;&gt;"",IF($AE$7:$AE$44&lt;&gt;"",ROW($AE$7:$AE$44)-MIN(ROW($AE$7:$AE$44))+1,""),""),ROW()-ROW(A$47)+1))),),"")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IFERROR(CONCATENATE(TEXT(INDEX($K$7:$K$44,SMALL(IF($N$7:$N$44&lt;&gt;"",IF($K$7:$K$44&lt;&gt;"",ROW($K$7:$K$44)-MIN(ROW($K$7:$K$44))+1,""),""),ROW()-ROW(A$47)+1)),"##0"),","),"")</f>
        <v/>
      </c>
      <c r="L59" s="0" t="str">
        <f aca="false" t="array" ref="L59:L59">IFERROR(CONCATENATE((INDEX($N$7:$N$44,SMALL(IF($N$7:$N$44&lt;&gt;"",IF($K$7:$K$44&lt;&gt;"",ROW($K$7:$K$44)-MIN(ROW($K$7:$K$44))+1,""),""),ROW()-ROW(A$47)+1))),","),"")</f>
        <v/>
      </c>
      <c r="M59" s="0" t="str">
        <f aca="false" t="array" ref="M59:M59">IFERROR(CONCATENATE((INDEX($A$7:$A$44,SMALL(IF($N$7:$N$44&lt;&gt;"",IF($K$7:$K$44&lt;&gt;"",ROW($K$7:$K$44)-MIN(ROW($K$7:$K$44))+1,""),""),ROW()-ROW(A$47)+1))),),"")</f>
        <v/>
      </c>
      <c r="P59" s="0" t="str">
        <f aca="false" t="array" ref="P59:P59">IFERROR(CONCATENATE((INDEX($S$7:$S$44,SMALL(IF($S$7:$S$44&lt;&gt;"",IF($P$7:$P$44&lt;&gt;"",ROW($P$7:$P$44)-MIN(ROW($P$7:$P$44))+1,""),""),ROW()-ROW(A$47)+1)))," "),"")</f>
        <v/>
      </c>
      <c r="Q59" s="0" t="str">
        <f aca="false" t="array" ref="Q59:Q59">IFERROR(CONCATENATE(TEXT(INDEX($P$7:$P$44,SMALL(IF($S$7:$S$44&lt;&gt;"",IF($P$7:$P$44&lt;&gt;"",ROW($P$7:$P$44)-MIN(ROW($P$7:$P$44))+1,""),""),ROW()-ROW(A$47)+1)),"##0")," "),"")</f>
        <v/>
      </c>
      <c r="R59" s="0" t="str">
        <f aca="false" t="array" ref="R59:R59">IFERROR(CONCATENATE((INDEX($A$7:$A$44,SMALL(IF($S$7:$S$44&lt;&gt;"",IF($P$7:$P$44&lt;&gt;"",ROW($P$7:$P$44)-MIN(ROW($P$7:$P$44))+1,""),""),ROW()-ROW(A$47)+1))),),"")</f>
        <v/>
      </c>
      <c r="U59" s="0" t="str">
        <f aca="false" t="array" ref="U59:U59">IFERROR(CONCATENATE((INDEX($X$7:$X$44,SMALL(IF($X$7:$X$44&lt;&gt;"",IF($U$7:$U$44&lt;&gt;"",ROW($U$7:$U$44)-MIN(ROW($U$7:$U$44))+1,""),""),ROW()-ROW(A$47)+1))),","),"")</f>
        <v/>
      </c>
      <c r="V59" s="0" t="str">
        <f aca="false" t="array" ref="V59:V59">IFERROR(CONCATENATE(TEXT(INDEX($U$7:$U$44,SMALL(IF($X$7:$X$44&lt;&gt;"",IF($U$7:$U$44&lt;&gt;"",ROW($U$7:$U$44)-MIN(ROW($U$7:$U$44))+1,""),""),ROW()-ROW(A$47)+1)),"##0"),","),"")</f>
        <v/>
      </c>
      <c r="W59" s="0" t="str">
        <f aca="false" t="array" ref="W59:W59">IFERROR(CONCATENATE((INDEX($A$7:$A$44,SMALL(IF($X$7:$X$44&lt;&gt;"",IF($U$7:$U$44&lt;&gt;"",ROW($U$7:$U$44)-MIN(ROW($U$7:$U$44))+1,""),""),ROW()-ROW(A$47)+1))),),"")</f>
        <v/>
      </c>
      <c r="Z59" s="0" t="str">
        <f aca="false" t="array" ref="Z59:Z59">IFERROR(CONCATENATE((INDEX($AC$7:$AC$44,SMALL(IF($AC$7:$AC$44&lt;&gt;"",IF($Z$7:$Z$44&lt;&gt;"",ROW($Z$7:$Z$44)-MIN(ROW($Z$7:$Z$44))+1,""),""),ROW()-ROW(A$47)+1)))," "),"")</f>
        <v/>
      </c>
      <c r="AA59" s="0" t="str">
        <f aca="false" t="array" ref="AA59:AA59">IFERROR(CONCATENATE(TEXT(INDEX($Z$7:$Z$44,SMALL(IF($AC$7:$AC$44&lt;&gt;"",IF($Z$7:$Z$44&lt;&gt;"",ROW($Z$7:$Z$44)-MIN(ROW($Z$7:$Z$44))+1,""),""),ROW()-ROW(A$47)+1)),"##0")," "),"")</f>
        <v/>
      </c>
      <c r="AB59" s="0" t="str">
        <f aca="false" t="array" ref="AB59:AB59">IFERROR(CONCATENATE((INDEX($A$7:$A$44,SMALL(IF($AC$7:$AC$44&lt;&gt;"",IF($Z$7:$Z$44&lt;&gt;"",ROW($Z$7:$Z$44)-MIN(ROW($Z$7:$Z$44))+1,""),""),ROW()-ROW(A$47)+1))),),"")</f>
        <v/>
      </c>
      <c r="AE59" s="0" t="str">
        <f aca="false" t="array" ref="AE59:AE59">IFERROR(CONCATENATE((INDEX($AH$7:$AH$44,SMALL(IF($AH$7:$AH$44&lt;&gt;"",IF($AE$7:$AE$44&lt;&gt;"",ROW($AE$7:$AE$44)-MIN(ROW($AE$7:$AE$44))+1,""),""),ROW()-ROW(A$47)+1)))," "),"")</f>
        <v/>
      </c>
      <c r="AF59" s="0" t="str">
        <f aca="false" t="array" ref="AF59:AF59">IFERROR(CONCATENATE(TEXT(INDEX($AE$7:$AE$44,SMALL(IF($AH$7:$AH$44&lt;&gt;"",IF($AE$7:$AE$44&lt;&gt;"",ROW($AE$7:$AE$44)-MIN(ROW($AE$7:$AE$44))+1,""),""),ROW()-ROW(A$47)+1)),"##0")," "),"")</f>
        <v/>
      </c>
      <c r="AG59" s="0" t="str">
        <f aca="false" t="array" ref="AG59:AG59">IFERROR(CONCATENATE((INDEX($A$7:$A$44,SMALL(IF($AH$7:$AH$44&lt;&gt;"",IF($AE$7:$AE$44&lt;&gt;"",ROW($AE$7:$AE$44)-MIN(ROW($AE$7:$AE$44))+1,""),""),ROW()-ROW(A$47)+1))),),"")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IFERROR(CONCATENATE(TEXT(INDEX($K$7:$K$44,SMALL(IF($N$7:$N$44&lt;&gt;"",IF($K$7:$K$44&lt;&gt;"",ROW($K$7:$K$44)-MIN(ROW($K$7:$K$44))+1,""),""),ROW()-ROW(A$47)+1)),"##0"),","),"")</f>
        <v/>
      </c>
      <c r="L60" s="0" t="str">
        <f aca="false" t="array" ref="L60:L60">IFERROR(CONCATENATE((INDEX($N$7:$N$44,SMALL(IF($N$7:$N$44&lt;&gt;"",IF($K$7:$K$44&lt;&gt;"",ROW($K$7:$K$44)-MIN(ROW($K$7:$K$44))+1,""),""),ROW()-ROW(A$47)+1))),","),"")</f>
        <v/>
      </c>
      <c r="M60" s="0" t="str">
        <f aca="false" t="array" ref="M60:M60">IFERROR(CONCATENATE((INDEX($A$7:$A$44,SMALL(IF($N$7:$N$44&lt;&gt;"",IF($K$7:$K$44&lt;&gt;"",ROW($K$7:$K$44)-MIN(ROW($K$7:$K$44))+1,""),""),ROW()-ROW(A$47)+1))),),"")</f>
        <v/>
      </c>
      <c r="P60" s="0" t="str">
        <f aca="false" t="array" ref="P60:P60">IFERROR(CONCATENATE((INDEX($S$7:$S$44,SMALL(IF($S$7:$S$44&lt;&gt;"",IF($P$7:$P$44&lt;&gt;"",ROW($P$7:$P$44)-MIN(ROW($P$7:$P$44))+1,""),""),ROW()-ROW(A$47)+1)))," "),"")</f>
        <v/>
      </c>
      <c r="Q60" s="0" t="str">
        <f aca="false" t="array" ref="Q60:Q60">IFERROR(CONCATENATE(TEXT(INDEX($P$7:$P$44,SMALL(IF($S$7:$S$44&lt;&gt;"",IF($P$7:$P$44&lt;&gt;"",ROW($P$7:$P$44)-MIN(ROW($P$7:$P$44))+1,""),""),ROW()-ROW(A$47)+1)),"##0")," "),"")</f>
        <v/>
      </c>
      <c r="R60" s="0" t="str">
        <f aca="false" t="array" ref="R60:R60">IFERROR(CONCATENATE((INDEX($A$7:$A$44,SMALL(IF($S$7:$S$44&lt;&gt;"",IF($P$7:$P$44&lt;&gt;"",ROW($P$7:$P$44)-MIN(ROW($P$7:$P$44))+1,""),""),ROW()-ROW(A$47)+1))),),"")</f>
        <v/>
      </c>
      <c r="U60" s="0" t="str">
        <f aca="false" t="array" ref="U60:U60">IFERROR(CONCATENATE((INDEX($X$7:$X$44,SMALL(IF($X$7:$X$44&lt;&gt;"",IF($U$7:$U$44&lt;&gt;"",ROW($U$7:$U$44)-MIN(ROW($U$7:$U$44))+1,""),""),ROW()-ROW(A$47)+1))),","),"")</f>
        <v/>
      </c>
      <c r="V60" s="0" t="str">
        <f aca="false" t="array" ref="V60:V60">IFERROR(CONCATENATE(TEXT(INDEX($U$7:$U$44,SMALL(IF($X$7:$X$44&lt;&gt;"",IF($U$7:$U$44&lt;&gt;"",ROW($U$7:$U$44)-MIN(ROW($U$7:$U$44))+1,""),""),ROW()-ROW(A$47)+1)),"##0"),","),"")</f>
        <v/>
      </c>
      <c r="W60" s="0" t="str">
        <f aca="false" t="array" ref="W60:W60">IFERROR(CONCATENATE((INDEX($A$7:$A$44,SMALL(IF($X$7:$X$44&lt;&gt;"",IF($U$7:$U$44&lt;&gt;"",ROW($U$7:$U$44)-MIN(ROW($U$7:$U$44))+1,""),""),ROW()-ROW(A$47)+1))),),"")</f>
        <v/>
      </c>
      <c r="Z60" s="0" t="str">
        <f aca="false" t="array" ref="Z60:Z60">IFERROR(CONCATENATE((INDEX($AC$7:$AC$44,SMALL(IF($AC$7:$AC$44&lt;&gt;"",IF($Z$7:$Z$44&lt;&gt;"",ROW($Z$7:$Z$44)-MIN(ROW($Z$7:$Z$44))+1,""),""),ROW()-ROW(A$47)+1)))," "),"")</f>
        <v/>
      </c>
      <c r="AA60" s="0" t="str">
        <f aca="false" t="array" ref="AA60:AA60">IFERROR(CONCATENATE(TEXT(INDEX($Z$7:$Z$44,SMALL(IF($AC$7:$AC$44&lt;&gt;"",IF($Z$7:$Z$44&lt;&gt;"",ROW($Z$7:$Z$44)-MIN(ROW($Z$7:$Z$44))+1,""),""),ROW()-ROW(A$47)+1)),"##0")," "),"")</f>
        <v/>
      </c>
      <c r="AB60" s="0" t="str">
        <f aca="false" t="array" ref="AB60:AB60">IFERROR(CONCATENATE((INDEX($A$7:$A$44,SMALL(IF($AC$7:$AC$44&lt;&gt;"",IF($Z$7:$Z$44&lt;&gt;"",ROW($Z$7:$Z$44)-MIN(ROW($Z$7:$Z$44))+1,""),""),ROW()-ROW(A$47)+1))),),"")</f>
        <v/>
      </c>
      <c r="AE60" s="0" t="str">
        <f aca="false" t="array" ref="AE60:AE60">IFERROR(CONCATENATE((INDEX($AH$7:$AH$44,SMALL(IF($AH$7:$AH$44&lt;&gt;"",IF($AE$7:$AE$44&lt;&gt;"",ROW($AE$7:$AE$44)-MIN(ROW($AE$7:$AE$44))+1,""),""),ROW()-ROW(A$47)+1)))," "),"")</f>
        <v/>
      </c>
      <c r="AF60" s="0" t="str">
        <f aca="false" t="array" ref="AF60:AF60">IFERROR(CONCATENATE(TEXT(INDEX($AE$7:$AE$44,SMALL(IF($AH$7:$AH$44&lt;&gt;"",IF($AE$7:$AE$44&lt;&gt;"",ROW($AE$7:$AE$44)-MIN(ROW($AE$7:$AE$44))+1,""),""),ROW()-ROW(A$47)+1)),"##0")," "),"")</f>
        <v/>
      </c>
      <c r="AG60" s="0" t="str">
        <f aca="false" t="array" ref="AG60:AG60">IFERROR(CONCATENATE((INDEX($A$7:$A$44,SMALL(IF($AH$7:$AH$44&lt;&gt;"",IF($AE$7:$AE$44&lt;&gt;"",ROW($AE$7:$AE$44)-MIN(ROW($AE$7:$AE$44))+1,""),""),ROW()-ROW(A$47)+1))),),"")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IFERROR(CONCATENATE(TEXT(INDEX($K$7:$K$44,SMALL(IF($N$7:$N$44&lt;&gt;"",IF($K$7:$K$44&lt;&gt;"",ROW($K$7:$K$44)-MIN(ROW($K$7:$K$44))+1,""),""),ROW()-ROW(A$47)+1)),"##0"),","),"")</f>
        <v/>
      </c>
      <c r="L61" s="0" t="str">
        <f aca="false" t="array" ref="L61:L61">IFERROR(CONCATENATE((INDEX($N$7:$N$44,SMALL(IF($N$7:$N$44&lt;&gt;"",IF($K$7:$K$44&lt;&gt;"",ROW($K$7:$K$44)-MIN(ROW($K$7:$K$44))+1,""),""),ROW()-ROW(A$47)+1))),","),"")</f>
        <v/>
      </c>
      <c r="M61" s="0" t="str">
        <f aca="false" t="array" ref="M61:M61">IFERROR(CONCATENATE((INDEX($A$7:$A$44,SMALL(IF($N$7:$N$44&lt;&gt;"",IF($K$7:$K$44&lt;&gt;"",ROW($K$7:$K$44)-MIN(ROW($K$7:$K$44))+1,""),""),ROW()-ROW(A$47)+1))),),"")</f>
        <v/>
      </c>
      <c r="P61" s="0" t="str">
        <f aca="false" t="array" ref="P61:P61">IFERROR(CONCATENATE((INDEX($S$7:$S$44,SMALL(IF($S$7:$S$44&lt;&gt;"",IF($P$7:$P$44&lt;&gt;"",ROW($P$7:$P$44)-MIN(ROW($P$7:$P$44))+1,""),""),ROW()-ROW(A$47)+1)))," "),"")</f>
        <v/>
      </c>
      <c r="Q61" s="0" t="str">
        <f aca="false" t="array" ref="Q61:Q61">IFERROR(CONCATENATE(TEXT(INDEX($P$7:$P$44,SMALL(IF($S$7:$S$44&lt;&gt;"",IF($P$7:$P$44&lt;&gt;"",ROW($P$7:$P$44)-MIN(ROW($P$7:$P$44))+1,""),""),ROW()-ROW(A$47)+1)),"##0")," "),"")</f>
        <v/>
      </c>
      <c r="R61" s="0" t="str">
        <f aca="false" t="array" ref="R61:R61">IFERROR(CONCATENATE((INDEX($A$7:$A$44,SMALL(IF($S$7:$S$44&lt;&gt;"",IF($P$7:$P$44&lt;&gt;"",ROW($P$7:$P$44)-MIN(ROW($P$7:$P$44))+1,""),""),ROW()-ROW(A$47)+1))),),"")</f>
        <v/>
      </c>
      <c r="U61" s="0" t="str">
        <f aca="false" t="array" ref="U61:U61">IFERROR(CONCATENATE((INDEX($X$7:$X$44,SMALL(IF($X$7:$X$44&lt;&gt;"",IF($U$7:$U$44&lt;&gt;"",ROW($U$7:$U$44)-MIN(ROW($U$7:$U$44))+1,""),""),ROW()-ROW(A$47)+1))),","),"")</f>
        <v/>
      </c>
      <c r="V61" s="0" t="str">
        <f aca="false" t="array" ref="V61:V61">IFERROR(CONCATENATE(TEXT(INDEX($U$7:$U$44,SMALL(IF($X$7:$X$44&lt;&gt;"",IF($U$7:$U$44&lt;&gt;"",ROW($U$7:$U$44)-MIN(ROW($U$7:$U$44))+1,""),""),ROW()-ROW(A$47)+1)),"##0"),","),"")</f>
        <v/>
      </c>
      <c r="W61" s="0" t="str">
        <f aca="false" t="array" ref="W61:W61">IFERROR(CONCATENATE((INDEX($A$7:$A$44,SMALL(IF($X$7:$X$44&lt;&gt;"",IF($U$7:$U$44&lt;&gt;"",ROW($U$7:$U$44)-MIN(ROW($U$7:$U$44))+1,""),""),ROW()-ROW(A$47)+1))),),"")</f>
        <v/>
      </c>
      <c r="Z61" s="0" t="str">
        <f aca="false" t="array" ref="Z61:Z61">IFERROR(CONCATENATE((INDEX($AC$7:$AC$44,SMALL(IF($AC$7:$AC$44&lt;&gt;"",IF($Z$7:$Z$44&lt;&gt;"",ROW($Z$7:$Z$44)-MIN(ROW($Z$7:$Z$44))+1,""),""),ROW()-ROW(A$47)+1)))," "),"")</f>
        <v/>
      </c>
      <c r="AA61" s="0" t="str">
        <f aca="false" t="array" ref="AA61:AA61">IFERROR(CONCATENATE(TEXT(INDEX($Z$7:$Z$44,SMALL(IF($AC$7:$AC$44&lt;&gt;"",IF($Z$7:$Z$44&lt;&gt;"",ROW($Z$7:$Z$44)-MIN(ROW($Z$7:$Z$44))+1,""),""),ROW()-ROW(A$47)+1)),"##0")," "),"")</f>
        <v/>
      </c>
      <c r="AB61" s="0" t="str">
        <f aca="false" t="array" ref="AB61:AB61">IFERROR(CONCATENATE((INDEX($A$7:$A$44,SMALL(IF($AC$7:$AC$44&lt;&gt;"",IF($Z$7:$Z$44&lt;&gt;"",ROW($Z$7:$Z$44)-MIN(ROW($Z$7:$Z$44))+1,""),""),ROW()-ROW(A$47)+1))),),"")</f>
        <v/>
      </c>
      <c r="AE61" s="0" t="str">
        <f aca="false" t="array" ref="AE61:AE61">IFERROR(CONCATENATE((INDEX($AH$7:$AH$44,SMALL(IF($AH$7:$AH$44&lt;&gt;"",IF($AE$7:$AE$44&lt;&gt;"",ROW($AE$7:$AE$44)-MIN(ROW($AE$7:$AE$44))+1,""),""),ROW()-ROW(A$47)+1)))," "),"")</f>
        <v/>
      </c>
      <c r="AF61" s="0" t="str">
        <f aca="false" t="array" ref="AF61:AF61">IFERROR(CONCATENATE(TEXT(INDEX($AE$7:$AE$44,SMALL(IF($AH$7:$AH$44&lt;&gt;"",IF($AE$7:$AE$44&lt;&gt;"",ROW($AE$7:$AE$44)-MIN(ROW($AE$7:$AE$44))+1,""),""),ROW()-ROW(A$47)+1)),"##0")," "),"")</f>
        <v/>
      </c>
      <c r="AG61" s="0" t="str">
        <f aca="false" t="array" ref="AG61:AG61">IFERROR(CONCATENATE((INDEX($A$7:$A$44,SMALL(IF($AH$7:$AH$44&lt;&gt;"",IF($AE$7:$AE$44&lt;&gt;"",ROW($AE$7:$AE$44)-MIN(ROW($AE$7:$AE$44))+1,""),""),ROW()-ROW(A$47)+1))),),"")</f>
        <v/>
      </c>
    </row>
    <row r="62" customFormat="false" ht="15" hidden="false" customHeight="false" outlineLevel="0" collapsed="false">
      <c r="K62" s="0" t="str">
        <f aca="false" t="array" ref="K62:K62">IFERROR(CONCATENATE(TEXT(INDEX($K$7:$K$44,SMALL(IF($N$7:$N$44&lt;&gt;"",IF($K$7:$K$44&lt;&gt;"",ROW($K$7:$K$44)-MIN(ROW($K$7:$K$44))+1,""),""),ROW()-ROW(A$47)+1)),"##0"),","),"")</f>
        <v/>
      </c>
      <c r="L62" s="0" t="str">
        <f aca="false" t="array" ref="L62:L62">IFERROR(CONCATENATE((INDEX($N$7:$N$44,SMALL(IF($N$7:$N$44&lt;&gt;"",IF($K$7:$K$44&lt;&gt;"",ROW($K$7:$K$44)-MIN(ROW($K$7:$K$44))+1,""),""),ROW()-ROW(A$47)+1))),","),"")</f>
        <v/>
      </c>
      <c r="M62" s="0" t="str">
        <f aca="false" t="array" ref="M62:M62">IFERROR(CONCATENATE((INDEX($A$7:$A$44,SMALL(IF($N$7:$N$44&lt;&gt;"",IF($K$7:$K$44&lt;&gt;"",ROW($K$7:$K$44)-MIN(ROW($K$7:$K$44))+1,""),""),ROW()-ROW(A$47)+1))),),"")</f>
        <v/>
      </c>
      <c r="P62" s="0" t="str">
        <f aca="false" t="array" ref="P62:P62">IFERROR(CONCATENATE((INDEX($S$7:$S$44,SMALL(IF($S$7:$S$44&lt;&gt;"",IF($P$7:$P$44&lt;&gt;"",ROW($P$7:$P$44)-MIN(ROW($P$7:$P$44))+1,""),""),ROW()-ROW(A$47)+1)))," "),"")</f>
        <v/>
      </c>
      <c r="Q62" s="0" t="str">
        <f aca="false" t="array" ref="Q62:Q62">IFERROR(CONCATENATE(TEXT(INDEX($P$7:$P$44,SMALL(IF($S$7:$S$44&lt;&gt;"",IF($P$7:$P$44&lt;&gt;"",ROW($P$7:$P$44)-MIN(ROW($P$7:$P$44))+1,""),""),ROW()-ROW(A$47)+1)),"##0")," "),"")</f>
        <v/>
      </c>
      <c r="R62" s="0" t="str">
        <f aca="false" t="array" ref="R62:R62">IFERROR(CONCATENATE((INDEX($A$7:$A$44,SMALL(IF($S$7:$S$44&lt;&gt;"",IF($P$7:$P$44&lt;&gt;"",ROW($P$7:$P$44)-MIN(ROW($P$7:$P$44))+1,""),""),ROW()-ROW(A$47)+1))),),"")</f>
        <v/>
      </c>
      <c r="U62" s="0" t="str">
        <f aca="false" t="array" ref="U62:U62">IFERROR(CONCATENATE((INDEX($X$7:$X$44,SMALL(IF($X$7:$X$44&lt;&gt;"",IF($U$7:$U$44&lt;&gt;"",ROW($U$7:$U$44)-MIN(ROW($U$7:$U$44))+1,""),""),ROW()-ROW(A$47)+1))),","),"")</f>
        <v/>
      </c>
      <c r="V62" s="0" t="str">
        <f aca="false" t="array" ref="V62:V62">IFERROR(CONCATENATE(TEXT(INDEX($U$7:$U$44,SMALL(IF($X$7:$X$44&lt;&gt;"",IF($U$7:$U$44&lt;&gt;"",ROW($U$7:$U$44)-MIN(ROW($U$7:$U$44))+1,""),""),ROW()-ROW(A$47)+1)),"##0"),","),"")</f>
        <v/>
      </c>
      <c r="W62" s="0" t="str">
        <f aca="false" t="array" ref="W62:W62">IFERROR(CONCATENATE((INDEX($A$7:$A$44,SMALL(IF($X$7:$X$44&lt;&gt;"",IF($U$7:$U$44&lt;&gt;"",ROW($U$7:$U$44)-MIN(ROW($U$7:$U$44))+1,""),""),ROW()-ROW(A$47)+1))),),"")</f>
        <v/>
      </c>
      <c r="Z62" s="0" t="str">
        <f aca="false" t="array" ref="Z62:Z62">IFERROR(CONCATENATE((INDEX($AC$7:$AC$44,SMALL(IF($AC$7:$AC$44&lt;&gt;"",IF($Z$7:$Z$44&lt;&gt;"",ROW($Z$7:$Z$44)-MIN(ROW($Z$7:$Z$44))+1,""),""),ROW()-ROW(A$47)+1)))," "),"")</f>
        <v/>
      </c>
      <c r="AA62" s="0" t="str">
        <f aca="false" t="array" ref="AA62:AA62">IFERROR(CONCATENATE(TEXT(INDEX($Z$7:$Z$44,SMALL(IF($AC$7:$AC$44&lt;&gt;"",IF($Z$7:$Z$44&lt;&gt;"",ROW($Z$7:$Z$44)-MIN(ROW($Z$7:$Z$44))+1,""),""),ROW()-ROW(A$47)+1)),"##0")," "),"")</f>
        <v/>
      </c>
      <c r="AB62" s="0" t="str">
        <f aca="false" t="array" ref="AB62:AB62">IFERROR(CONCATENATE((INDEX($A$7:$A$44,SMALL(IF($AC$7:$AC$44&lt;&gt;"",IF($Z$7:$Z$44&lt;&gt;"",ROW($Z$7:$Z$44)-MIN(ROW($Z$7:$Z$44))+1,""),""),ROW()-ROW(A$47)+1))),),"")</f>
        <v/>
      </c>
      <c r="AE62" s="0" t="str">
        <f aca="false" t="array" ref="AE62:AE62">IFERROR(CONCATENATE((INDEX($AH$7:$AH$44,SMALL(IF($AH$7:$AH$44&lt;&gt;"",IF($AE$7:$AE$44&lt;&gt;"",ROW($AE$7:$AE$44)-MIN(ROW($AE$7:$AE$44))+1,""),""),ROW()-ROW(A$47)+1)))," "),"")</f>
        <v/>
      </c>
      <c r="AF62" s="0" t="str">
        <f aca="false" t="array" ref="AF62:AF62">IFERROR(CONCATENATE(TEXT(INDEX($AE$7:$AE$44,SMALL(IF($AH$7:$AH$44&lt;&gt;"",IF($AE$7:$AE$44&lt;&gt;"",ROW($AE$7:$AE$44)-MIN(ROW($AE$7:$AE$44))+1,""),""),ROW()-ROW(A$47)+1)),"##0")," "),"")</f>
        <v/>
      </c>
      <c r="AG62" s="0" t="str">
        <f aca="false" t="array" ref="AG62:AG62">IFERROR(CONCATENATE((INDEX($A$7:$A$44,SMALL(IF($AH$7:$AH$44&lt;&gt;"",IF($AE$7:$AE$44&lt;&gt;"",ROW($AE$7:$AE$44)-MIN(ROW($AE$7:$AE$44))+1,""),""),ROW()-ROW(A$47)+1))),),"")</f>
        <v/>
      </c>
    </row>
    <row r="63" customFormat="false" ht="15" hidden="false" customHeight="false" outlineLevel="0" collapsed="false">
      <c r="K63" s="0" t="str">
        <f aca="false" t="array" ref="K63:K63">IFERROR(CONCATENATE(TEXT(INDEX($K$7:$K$44,SMALL(IF($N$7:$N$44&lt;&gt;"",IF($K$7:$K$44&lt;&gt;"",ROW($K$7:$K$44)-MIN(ROW($K$7:$K$44))+1,""),""),ROW()-ROW(A$47)+1)),"##0"),","),"")</f>
        <v/>
      </c>
      <c r="L63" s="0" t="str">
        <f aca="false" t="array" ref="L63:L63">IFERROR(CONCATENATE((INDEX($N$7:$N$44,SMALL(IF($N$7:$N$44&lt;&gt;"",IF($K$7:$K$44&lt;&gt;"",ROW($K$7:$K$44)-MIN(ROW($K$7:$K$44))+1,""),""),ROW()-ROW(A$47)+1))),","),"")</f>
        <v/>
      </c>
      <c r="M63" s="0" t="str">
        <f aca="false" t="array" ref="M63:M63">IFERROR(CONCATENATE((INDEX($A$7:$A$44,SMALL(IF($N$7:$N$44&lt;&gt;"",IF($K$7:$K$44&lt;&gt;"",ROW($K$7:$K$44)-MIN(ROW($K$7:$K$44))+1,""),""),ROW()-ROW(A$47)+1))),),"")</f>
        <v/>
      </c>
      <c r="P63" s="0" t="str">
        <f aca="false" t="array" ref="P63:P63">IFERROR(CONCATENATE((INDEX($S$7:$S$44,SMALL(IF($S$7:$S$44&lt;&gt;"",IF($P$7:$P$44&lt;&gt;"",ROW($P$7:$P$44)-MIN(ROW($P$7:$P$44))+1,""),""),ROW()-ROW(A$47)+1)))," "),"")</f>
        <v/>
      </c>
      <c r="Q63" s="0" t="str">
        <f aca="false" t="array" ref="Q63:Q63">IFERROR(CONCATENATE(TEXT(INDEX($P$7:$P$44,SMALL(IF($S$7:$S$44&lt;&gt;"",IF($P$7:$P$44&lt;&gt;"",ROW($P$7:$P$44)-MIN(ROW($P$7:$P$44))+1,""),""),ROW()-ROW(A$47)+1)),"##0")," "),"")</f>
        <v/>
      </c>
      <c r="R63" s="0" t="str">
        <f aca="false" t="array" ref="R63:R63">IFERROR(CONCATENATE((INDEX($A$7:$A$44,SMALL(IF($S$7:$S$44&lt;&gt;"",IF($P$7:$P$44&lt;&gt;"",ROW($P$7:$P$44)-MIN(ROW($P$7:$P$44))+1,""),""),ROW()-ROW(A$47)+1))),),"")</f>
        <v/>
      </c>
      <c r="U63" s="0" t="str">
        <f aca="false" t="array" ref="U63:U63">IFERROR(CONCATENATE((INDEX($X$7:$X$44,SMALL(IF($X$7:$X$44&lt;&gt;"",IF($U$7:$U$44&lt;&gt;"",ROW($U$7:$U$44)-MIN(ROW($U$7:$U$44))+1,""),""),ROW()-ROW(A$47)+1))),","),"")</f>
        <v/>
      </c>
      <c r="V63" s="0" t="str">
        <f aca="false" t="array" ref="V63:V63">IFERROR(CONCATENATE(TEXT(INDEX($U$7:$U$44,SMALL(IF($X$7:$X$44&lt;&gt;"",IF($U$7:$U$44&lt;&gt;"",ROW($U$7:$U$44)-MIN(ROW($U$7:$U$44))+1,""),""),ROW()-ROW(A$47)+1)),"##0"),","),"")</f>
        <v/>
      </c>
      <c r="W63" s="0" t="str">
        <f aca="false" t="array" ref="W63:W63">IFERROR(CONCATENATE((INDEX($A$7:$A$44,SMALL(IF($X$7:$X$44&lt;&gt;"",IF($U$7:$U$44&lt;&gt;"",ROW($U$7:$U$44)-MIN(ROW($U$7:$U$44))+1,""),""),ROW()-ROW(A$47)+1))),),"")</f>
        <v/>
      </c>
      <c r="Z63" s="0" t="str">
        <f aca="false" t="array" ref="Z63:Z63">IFERROR(CONCATENATE((INDEX($AC$7:$AC$44,SMALL(IF($AC$7:$AC$44&lt;&gt;"",IF($Z$7:$Z$44&lt;&gt;"",ROW($Z$7:$Z$44)-MIN(ROW($Z$7:$Z$44))+1,""),""),ROW()-ROW(A$47)+1)))," "),"")</f>
        <v/>
      </c>
      <c r="AA63" s="0" t="str">
        <f aca="false" t="array" ref="AA63:AA63">IFERROR(CONCATENATE(TEXT(INDEX($Z$7:$Z$44,SMALL(IF($AC$7:$AC$44&lt;&gt;"",IF($Z$7:$Z$44&lt;&gt;"",ROW($Z$7:$Z$44)-MIN(ROW($Z$7:$Z$44))+1,""),""),ROW()-ROW(A$47)+1)),"##0")," "),"")</f>
        <v/>
      </c>
      <c r="AB63" s="0" t="str">
        <f aca="false" t="array" ref="AB63:AB63">IFERROR(CONCATENATE((INDEX($A$7:$A$44,SMALL(IF($AC$7:$AC$44&lt;&gt;"",IF($Z$7:$Z$44&lt;&gt;"",ROW($Z$7:$Z$44)-MIN(ROW($Z$7:$Z$44))+1,""),""),ROW()-ROW(A$47)+1))),),"")</f>
        <v/>
      </c>
      <c r="AE63" s="0" t="str">
        <f aca="false" t="array" ref="AE63:AE63">IFERROR(CONCATENATE((INDEX($AH$7:$AH$44,SMALL(IF($AH$7:$AH$44&lt;&gt;"",IF($AE$7:$AE$44&lt;&gt;"",ROW($AE$7:$AE$44)-MIN(ROW($AE$7:$AE$44))+1,""),""),ROW()-ROW(A$47)+1)))," "),"")</f>
        <v/>
      </c>
      <c r="AF63" s="0" t="str">
        <f aca="false" t="array" ref="AF63:AF63">IFERROR(CONCATENATE(TEXT(INDEX($AE$7:$AE$44,SMALL(IF($AH$7:$AH$44&lt;&gt;"",IF($AE$7:$AE$44&lt;&gt;"",ROW($AE$7:$AE$44)-MIN(ROW($AE$7:$AE$44))+1,""),""),ROW()-ROW(A$47)+1)),"##0")," "),"")</f>
        <v/>
      </c>
      <c r="AG63" s="0" t="str">
        <f aca="false" t="array" ref="AG63:AG63">IFERROR(CONCATENATE((INDEX($A$7:$A$44,SMALL(IF($AH$7:$AH$44&lt;&gt;"",IF($AE$7:$AE$44&lt;&gt;"",ROW($AE$7:$AE$44)-MIN(ROW($AE$7:$AE$44))+1,""),""),ROW()-ROW(A$47)+1))),),"")</f>
        <v/>
      </c>
    </row>
    <row r="64" customFormat="false" ht="15" hidden="false" customHeight="false" outlineLevel="0" collapsed="false">
      <c r="K64" s="0" t="str">
        <f aca="false" t="array" ref="K64:K64">IFERROR(CONCATENATE(TEXT(INDEX($K$7:$K$44,SMALL(IF($N$7:$N$44&lt;&gt;"",IF($K$7:$K$44&lt;&gt;"",ROW($K$7:$K$44)-MIN(ROW($K$7:$K$44))+1,""),""),ROW()-ROW(A$47)+1)),"##0"),","),"")</f>
        <v/>
      </c>
      <c r="L64" s="0" t="str">
        <f aca="false" t="array" ref="L64:L64">IFERROR(CONCATENATE((INDEX($N$7:$N$44,SMALL(IF($N$7:$N$44&lt;&gt;"",IF($K$7:$K$44&lt;&gt;"",ROW($K$7:$K$44)-MIN(ROW($K$7:$K$44))+1,""),""),ROW()-ROW(A$47)+1))),","),"")</f>
        <v/>
      </c>
      <c r="M64" s="0" t="str">
        <f aca="false" t="array" ref="M64:M64">IFERROR(CONCATENATE((INDEX($A$7:$A$44,SMALL(IF($N$7:$N$44&lt;&gt;"",IF($K$7:$K$44&lt;&gt;"",ROW($K$7:$K$44)-MIN(ROW($K$7:$K$44))+1,""),""),ROW()-ROW(A$47)+1))),),"")</f>
        <v/>
      </c>
      <c r="P64" s="0" t="str">
        <f aca="false" t="array" ref="P64:P64">IFERROR(CONCATENATE((INDEX($S$7:$S$44,SMALL(IF($S$7:$S$44&lt;&gt;"",IF($P$7:$P$44&lt;&gt;"",ROW($P$7:$P$44)-MIN(ROW($P$7:$P$44))+1,""),""),ROW()-ROW(A$47)+1)))," "),"")</f>
        <v/>
      </c>
      <c r="Q64" s="0" t="str">
        <f aca="false" t="array" ref="Q64:Q64">IFERROR(CONCATENATE(TEXT(INDEX($P$7:$P$44,SMALL(IF($S$7:$S$44&lt;&gt;"",IF($P$7:$P$44&lt;&gt;"",ROW($P$7:$P$44)-MIN(ROW($P$7:$P$44))+1,""),""),ROW()-ROW(A$47)+1)),"##0")," "),"")</f>
        <v/>
      </c>
      <c r="R64" s="0" t="str">
        <f aca="false" t="array" ref="R64:R64">IFERROR(CONCATENATE((INDEX($A$7:$A$44,SMALL(IF($S$7:$S$44&lt;&gt;"",IF($P$7:$P$44&lt;&gt;"",ROW($P$7:$P$44)-MIN(ROW($P$7:$P$44))+1,""),""),ROW()-ROW(A$47)+1))),),"")</f>
        <v/>
      </c>
      <c r="U64" s="0" t="str">
        <f aca="false" t="array" ref="U64:U64">IFERROR(CONCATENATE((INDEX($X$7:$X$44,SMALL(IF($X$7:$X$44&lt;&gt;"",IF($U$7:$U$44&lt;&gt;"",ROW($U$7:$U$44)-MIN(ROW($U$7:$U$44))+1,""),""),ROW()-ROW(A$47)+1))),","),"")</f>
        <v/>
      </c>
      <c r="V64" s="0" t="str">
        <f aca="false" t="array" ref="V64:V64">IFERROR(CONCATENATE(TEXT(INDEX($U$7:$U$44,SMALL(IF($X$7:$X$44&lt;&gt;"",IF($U$7:$U$44&lt;&gt;"",ROW($U$7:$U$44)-MIN(ROW($U$7:$U$44))+1,""),""),ROW()-ROW(A$47)+1)),"##0"),","),"")</f>
        <v/>
      </c>
      <c r="W64" s="0" t="str">
        <f aca="false" t="array" ref="W64:W64">IFERROR(CONCATENATE((INDEX($A$7:$A$44,SMALL(IF($X$7:$X$44&lt;&gt;"",IF($U$7:$U$44&lt;&gt;"",ROW($U$7:$U$44)-MIN(ROW($U$7:$U$44))+1,""),""),ROW()-ROW(A$47)+1))),),"")</f>
        <v/>
      </c>
      <c r="Z64" s="0" t="str">
        <f aca="false" t="array" ref="Z64:Z64">IFERROR(CONCATENATE((INDEX($AC$7:$AC$44,SMALL(IF($AC$7:$AC$44&lt;&gt;"",IF($Z$7:$Z$44&lt;&gt;"",ROW($Z$7:$Z$44)-MIN(ROW($Z$7:$Z$44))+1,""),""),ROW()-ROW(A$47)+1)))," "),"")</f>
        <v/>
      </c>
      <c r="AA64" s="0" t="str">
        <f aca="false" t="array" ref="AA64:AA64">IFERROR(CONCATENATE(TEXT(INDEX($Z$7:$Z$44,SMALL(IF($AC$7:$AC$44&lt;&gt;"",IF($Z$7:$Z$44&lt;&gt;"",ROW($Z$7:$Z$44)-MIN(ROW($Z$7:$Z$44))+1,""),""),ROW()-ROW(A$47)+1)),"##0")," "),"")</f>
        <v/>
      </c>
      <c r="AB64" s="0" t="str">
        <f aca="false" t="array" ref="AB64:AB64">IFERROR(CONCATENATE((INDEX($A$7:$A$44,SMALL(IF($AC$7:$AC$44&lt;&gt;"",IF($Z$7:$Z$44&lt;&gt;"",ROW($Z$7:$Z$44)-MIN(ROW($Z$7:$Z$44))+1,""),""),ROW()-ROW(A$47)+1))),),"")</f>
        <v/>
      </c>
      <c r="AE64" s="0" t="str">
        <f aca="false" t="array" ref="AE64:AE64">IFERROR(CONCATENATE((INDEX($AH$7:$AH$44,SMALL(IF($AH$7:$AH$44&lt;&gt;"",IF($AE$7:$AE$44&lt;&gt;"",ROW($AE$7:$AE$44)-MIN(ROW($AE$7:$AE$44))+1,""),""),ROW()-ROW(A$47)+1)))," "),"")</f>
        <v/>
      </c>
      <c r="AF64" s="0" t="str">
        <f aca="false" t="array" ref="AF64:AF64">IFERROR(CONCATENATE(TEXT(INDEX($AE$7:$AE$44,SMALL(IF($AH$7:$AH$44&lt;&gt;"",IF($AE$7:$AE$44&lt;&gt;"",ROW($AE$7:$AE$44)-MIN(ROW($AE$7:$AE$44))+1,""),""),ROW()-ROW(A$47)+1)),"##0")," "),"")</f>
        <v/>
      </c>
      <c r="AG64" s="0" t="str">
        <f aca="false" t="array" ref="AG64:AG64">IFERROR(CONCATENATE((INDEX($A$7:$A$44,SMALL(IF($AH$7:$AH$44&lt;&gt;"",IF($AE$7:$AE$44&lt;&gt;"",ROW($AE$7:$AE$44)-MIN(ROW($AE$7:$AE$44))+1,""),""),ROW()-ROW(A$47)+1))),),"")</f>
        <v/>
      </c>
    </row>
    <row r="65" customFormat="false" ht="15" hidden="false" customHeight="false" outlineLevel="0" collapsed="false">
      <c r="K65" s="0" t="str">
        <f aca="false" t="array" ref="K65:K65">IFERROR(CONCATENATE(TEXT(INDEX($K$7:$K$44,SMALL(IF($N$7:$N$44&lt;&gt;"",IF($K$7:$K$44&lt;&gt;"",ROW($K$7:$K$44)-MIN(ROW($K$7:$K$44))+1,""),""),ROW()-ROW(A$47)+1)),"##0"),","),"")</f>
        <v/>
      </c>
      <c r="L65" s="0" t="str">
        <f aca="false" t="array" ref="L65:L65">IFERROR(CONCATENATE((INDEX($N$7:$N$44,SMALL(IF($N$7:$N$44&lt;&gt;"",IF($K$7:$K$44&lt;&gt;"",ROW($K$7:$K$44)-MIN(ROW($K$7:$K$44))+1,""),""),ROW()-ROW(A$47)+1))),","),"")</f>
        <v/>
      </c>
      <c r="M65" s="0" t="str">
        <f aca="false" t="array" ref="M65:M65">IFERROR(CONCATENATE((INDEX($A$7:$A$44,SMALL(IF($N$7:$N$44&lt;&gt;"",IF($K$7:$K$44&lt;&gt;"",ROW($K$7:$K$44)-MIN(ROW($K$7:$K$44))+1,""),""),ROW()-ROW(A$47)+1))),),"")</f>
        <v/>
      </c>
      <c r="P65" s="0" t="str">
        <f aca="false" t="array" ref="P65:P65">IFERROR(CONCATENATE((INDEX($S$7:$S$44,SMALL(IF($S$7:$S$44&lt;&gt;"",IF($P$7:$P$44&lt;&gt;"",ROW($P$7:$P$44)-MIN(ROW($P$7:$P$44))+1,""),""),ROW()-ROW(A$47)+1)))," "),"")</f>
        <v/>
      </c>
      <c r="Q65" s="0" t="str">
        <f aca="false" t="array" ref="Q65:Q65">IFERROR(CONCATENATE(TEXT(INDEX($P$7:$P$44,SMALL(IF($S$7:$S$44&lt;&gt;"",IF($P$7:$P$44&lt;&gt;"",ROW($P$7:$P$44)-MIN(ROW($P$7:$P$44))+1,""),""),ROW()-ROW(A$47)+1)),"##0")," "),"")</f>
        <v/>
      </c>
      <c r="R65" s="0" t="str">
        <f aca="false" t="array" ref="R65:R65">IFERROR(CONCATENATE((INDEX($A$7:$A$44,SMALL(IF($S$7:$S$44&lt;&gt;"",IF($P$7:$P$44&lt;&gt;"",ROW($P$7:$P$44)-MIN(ROW($P$7:$P$44))+1,""),""),ROW()-ROW(A$47)+1))),),"")</f>
        <v/>
      </c>
      <c r="U65" s="0" t="str">
        <f aca="false" t="array" ref="U65:U65">IFERROR(CONCATENATE((INDEX($X$7:$X$44,SMALL(IF($X$7:$X$44&lt;&gt;"",IF($U$7:$U$44&lt;&gt;"",ROW($U$7:$U$44)-MIN(ROW($U$7:$U$44))+1,""),""),ROW()-ROW(A$47)+1))),","),"")</f>
        <v/>
      </c>
      <c r="V65" s="0" t="str">
        <f aca="false" t="array" ref="V65:V65">IFERROR(CONCATENATE(TEXT(INDEX($U$7:$U$44,SMALL(IF($X$7:$X$44&lt;&gt;"",IF($U$7:$U$44&lt;&gt;"",ROW($U$7:$U$44)-MIN(ROW($U$7:$U$44))+1,""),""),ROW()-ROW(A$47)+1)),"##0"),","),"")</f>
        <v/>
      </c>
      <c r="W65" s="0" t="str">
        <f aca="false" t="array" ref="W65:W65">IFERROR(CONCATENATE((INDEX($A$7:$A$44,SMALL(IF($X$7:$X$44&lt;&gt;"",IF($U$7:$U$44&lt;&gt;"",ROW($U$7:$U$44)-MIN(ROW($U$7:$U$44))+1,""),""),ROW()-ROW(A$47)+1))),),"")</f>
        <v/>
      </c>
      <c r="Z65" s="0" t="str">
        <f aca="false" t="array" ref="Z65:Z65">IFERROR(CONCATENATE((INDEX($AC$7:$AC$44,SMALL(IF($AC$7:$AC$44&lt;&gt;"",IF($Z$7:$Z$44&lt;&gt;"",ROW($Z$7:$Z$44)-MIN(ROW($Z$7:$Z$44))+1,""),""),ROW()-ROW(A$47)+1)))," "),"")</f>
        <v/>
      </c>
      <c r="AA65" s="0" t="str">
        <f aca="false" t="array" ref="AA65:AA65">IFERROR(CONCATENATE(TEXT(INDEX($Z$7:$Z$44,SMALL(IF($AC$7:$AC$44&lt;&gt;"",IF($Z$7:$Z$44&lt;&gt;"",ROW($Z$7:$Z$44)-MIN(ROW($Z$7:$Z$44))+1,""),""),ROW()-ROW(A$47)+1)),"##0")," "),"")</f>
        <v/>
      </c>
      <c r="AB65" s="0" t="str">
        <f aca="false" t="array" ref="AB65:AB65">IFERROR(CONCATENATE((INDEX($A$7:$A$44,SMALL(IF($AC$7:$AC$44&lt;&gt;"",IF($Z$7:$Z$44&lt;&gt;"",ROW($Z$7:$Z$44)-MIN(ROW($Z$7:$Z$44))+1,""),""),ROW()-ROW(A$47)+1))),),"")</f>
        <v/>
      </c>
      <c r="AE65" s="0" t="str">
        <f aca="false" t="array" ref="AE65:AE65">IFERROR(CONCATENATE((INDEX($AH$7:$AH$44,SMALL(IF($AH$7:$AH$44&lt;&gt;"",IF($AE$7:$AE$44&lt;&gt;"",ROW($AE$7:$AE$44)-MIN(ROW($AE$7:$AE$44))+1,""),""),ROW()-ROW(A$47)+1)))," "),"")</f>
        <v/>
      </c>
      <c r="AF65" s="0" t="str">
        <f aca="false" t="array" ref="AF65:AF65">IFERROR(CONCATENATE(TEXT(INDEX($AE$7:$AE$44,SMALL(IF($AH$7:$AH$44&lt;&gt;"",IF($AE$7:$AE$44&lt;&gt;"",ROW($AE$7:$AE$44)-MIN(ROW($AE$7:$AE$44))+1,""),""),ROW()-ROW(A$47)+1)),"##0")," "),"")</f>
        <v/>
      </c>
      <c r="AG65" s="0" t="str">
        <f aca="false" t="array" ref="AG65:AG65">IFERROR(CONCATENATE((INDEX($A$7:$A$44,SMALL(IF($AH$7:$AH$44&lt;&gt;"",IF($AE$7:$AE$44&lt;&gt;"",ROW($AE$7:$AE$44)-MIN(ROW($AE$7:$AE$44))+1,""),""),ROW()-ROW(A$47)+1))),),"")</f>
        <v/>
      </c>
    </row>
    <row r="66" customFormat="false" ht="15" hidden="false" customHeight="false" outlineLevel="0" collapsed="false">
      <c r="K66" s="0" t="str">
        <f aca="false" t="array" ref="K66:K66">IFERROR(CONCATENATE(TEXT(INDEX($K$7:$K$44,SMALL(IF($N$7:$N$44&lt;&gt;"",IF($K$7:$K$44&lt;&gt;"",ROW($K$7:$K$44)-MIN(ROW($K$7:$K$44))+1,""),""),ROW()-ROW(A$47)+1)),"##0"),","),"")</f>
        <v/>
      </c>
      <c r="L66" s="0" t="str">
        <f aca="false" t="array" ref="L66:L66">IFERROR(CONCATENATE((INDEX($N$7:$N$44,SMALL(IF($N$7:$N$44&lt;&gt;"",IF($K$7:$K$44&lt;&gt;"",ROW($K$7:$K$44)-MIN(ROW($K$7:$K$44))+1,""),""),ROW()-ROW(A$47)+1))),","),"")</f>
        <v/>
      </c>
      <c r="M66" s="0" t="str">
        <f aca="false" t="array" ref="M66:M66">IFERROR(CONCATENATE((INDEX($A$7:$A$44,SMALL(IF($N$7:$N$44&lt;&gt;"",IF($K$7:$K$44&lt;&gt;"",ROW($K$7:$K$44)-MIN(ROW($K$7:$K$44))+1,""),""),ROW()-ROW(A$47)+1))),),"")</f>
        <v/>
      </c>
      <c r="P66" s="0" t="str">
        <f aca="false" t="array" ref="P66:P66">IFERROR(CONCATENATE((INDEX($S$7:$S$44,SMALL(IF($S$7:$S$44&lt;&gt;"",IF($P$7:$P$44&lt;&gt;"",ROW($P$7:$P$44)-MIN(ROW($P$7:$P$44))+1,""),""),ROW()-ROW(A$47)+1)))," "),"")</f>
        <v/>
      </c>
      <c r="Q66" s="0" t="str">
        <f aca="false" t="array" ref="Q66:Q66">IFERROR(CONCATENATE(TEXT(INDEX($P$7:$P$44,SMALL(IF($S$7:$S$44&lt;&gt;"",IF($P$7:$P$44&lt;&gt;"",ROW($P$7:$P$44)-MIN(ROW($P$7:$P$44))+1,""),""),ROW()-ROW(A$47)+1)),"##0")," "),"")</f>
        <v/>
      </c>
      <c r="R66" s="0" t="str">
        <f aca="false" t="array" ref="R66:R66">IFERROR(CONCATENATE((INDEX($A$7:$A$44,SMALL(IF($S$7:$S$44&lt;&gt;"",IF($P$7:$P$44&lt;&gt;"",ROW($P$7:$P$44)-MIN(ROW($P$7:$P$44))+1,""),""),ROW()-ROW(A$47)+1))),),"")</f>
        <v/>
      </c>
      <c r="U66" s="0" t="str">
        <f aca="false" t="array" ref="U66:U66">IFERROR(CONCATENATE((INDEX($X$7:$X$44,SMALL(IF($X$7:$X$44&lt;&gt;"",IF($U$7:$U$44&lt;&gt;"",ROW($U$7:$U$44)-MIN(ROW($U$7:$U$44))+1,""),""),ROW()-ROW(A$47)+1))),","),"")</f>
        <v/>
      </c>
      <c r="V66" s="0" t="str">
        <f aca="false" t="array" ref="V66:V66">IFERROR(CONCATENATE(TEXT(INDEX($U$7:$U$44,SMALL(IF($X$7:$X$44&lt;&gt;"",IF($U$7:$U$44&lt;&gt;"",ROW($U$7:$U$44)-MIN(ROW($U$7:$U$44))+1,""),""),ROW()-ROW(A$47)+1)),"##0"),","),"")</f>
        <v/>
      </c>
      <c r="W66" s="0" t="str">
        <f aca="false" t="array" ref="W66:W66">IFERROR(CONCATENATE((INDEX($A$7:$A$44,SMALL(IF($X$7:$X$44&lt;&gt;"",IF($U$7:$U$44&lt;&gt;"",ROW($U$7:$U$44)-MIN(ROW($U$7:$U$44))+1,""),""),ROW()-ROW(A$47)+1))),),"")</f>
        <v/>
      </c>
      <c r="Z66" s="0" t="str">
        <f aca="false" t="array" ref="Z66:Z66">IFERROR(CONCATENATE((INDEX($AC$7:$AC$44,SMALL(IF($AC$7:$AC$44&lt;&gt;"",IF($Z$7:$Z$44&lt;&gt;"",ROW($Z$7:$Z$44)-MIN(ROW($Z$7:$Z$44))+1,""),""),ROW()-ROW(A$47)+1)))," "),"")</f>
        <v/>
      </c>
      <c r="AA66" s="0" t="str">
        <f aca="false" t="array" ref="AA66:AA66">IFERROR(CONCATENATE(TEXT(INDEX($Z$7:$Z$44,SMALL(IF($AC$7:$AC$44&lt;&gt;"",IF($Z$7:$Z$44&lt;&gt;"",ROW($Z$7:$Z$44)-MIN(ROW($Z$7:$Z$44))+1,""),""),ROW()-ROW(A$47)+1)),"##0")," "),"")</f>
        <v/>
      </c>
      <c r="AB66" s="0" t="str">
        <f aca="false" t="array" ref="AB66:AB66">IFERROR(CONCATENATE((INDEX($A$7:$A$44,SMALL(IF($AC$7:$AC$44&lt;&gt;"",IF($Z$7:$Z$44&lt;&gt;"",ROW($Z$7:$Z$44)-MIN(ROW($Z$7:$Z$44))+1,""),""),ROW()-ROW(A$47)+1))),),"")</f>
        <v/>
      </c>
      <c r="AE66" s="0" t="str">
        <f aca="false" t="array" ref="AE66:AE66">IFERROR(CONCATENATE((INDEX($AH$7:$AH$44,SMALL(IF($AH$7:$AH$44&lt;&gt;"",IF($AE$7:$AE$44&lt;&gt;"",ROW($AE$7:$AE$44)-MIN(ROW($AE$7:$AE$44))+1,""),""),ROW()-ROW(A$47)+1)))," "),"")</f>
        <v/>
      </c>
      <c r="AF66" s="0" t="str">
        <f aca="false" t="array" ref="AF66:AF66">IFERROR(CONCATENATE(TEXT(INDEX($AE$7:$AE$44,SMALL(IF($AH$7:$AH$44&lt;&gt;"",IF($AE$7:$AE$44&lt;&gt;"",ROW($AE$7:$AE$44)-MIN(ROW($AE$7:$AE$44))+1,""),""),ROW()-ROW(A$47)+1)),"##0")," "),"")</f>
        <v/>
      </c>
      <c r="AG66" s="0" t="str">
        <f aca="false" t="array" ref="AG66:AG66">IFERROR(CONCATENATE((INDEX($A$7:$A$44,SMALL(IF($AH$7:$AH$44&lt;&gt;"",IF($AE$7:$AE$44&lt;&gt;"",ROW($AE$7:$AE$44)-MIN(ROW($AE$7:$AE$44))+1,""),""),ROW()-ROW(A$47)+1))),),"")</f>
        <v/>
      </c>
    </row>
    <row r="67" customFormat="false" ht="15" hidden="false" customHeight="false" outlineLevel="0" collapsed="false">
      <c r="K67" s="0" t="str">
        <f aca="false" t="array" ref="K67:K67">IFERROR(CONCATENATE(TEXT(INDEX($K$7:$K$44,SMALL(IF($N$7:$N$44&lt;&gt;"",IF($K$7:$K$44&lt;&gt;"",ROW($K$7:$K$44)-MIN(ROW($K$7:$K$44))+1,""),""),ROW()-ROW(A$47)+1)),"##0"),","),"")</f>
        <v/>
      </c>
      <c r="L67" s="0" t="str">
        <f aca="false" t="array" ref="L67:L67">IFERROR(CONCATENATE((INDEX($N$7:$N$44,SMALL(IF($N$7:$N$44&lt;&gt;"",IF($K$7:$K$44&lt;&gt;"",ROW($K$7:$K$44)-MIN(ROW($K$7:$K$44))+1,""),""),ROW()-ROW(A$47)+1))),","),"")</f>
        <v/>
      </c>
      <c r="M67" s="0" t="str">
        <f aca="false" t="array" ref="M67:M67">IFERROR(CONCATENATE((INDEX($A$7:$A$44,SMALL(IF($N$7:$N$44&lt;&gt;"",IF($K$7:$K$44&lt;&gt;"",ROW($K$7:$K$44)-MIN(ROW($K$7:$K$44))+1,""),""),ROW()-ROW(A$47)+1))),),"")</f>
        <v/>
      </c>
      <c r="P67" s="0" t="str">
        <f aca="false" t="array" ref="P67:P67">IFERROR(CONCATENATE((INDEX($S$7:$S$44,SMALL(IF($S$7:$S$44&lt;&gt;"",IF($P$7:$P$44&lt;&gt;"",ROW($P$7:$P$44)-MIN(ROW($P$7:$P$44))+1,""),""),ROW()-ROW(A$47)+1)))," "),"")</f>
        <v/>
      </c>
      <c r="Q67" s="0" t="str">
        <f aca="false" t="array" ref="Q67:Q67">IFERROR(CONCATENATE(TEXT(INDEX($P$7:$P$44,SMALL(IF($S$7:$S$44&lt;&gt;"",IF($P$7:$P$44&lt;&gt;"",ROW($P$7:$P$44)-MIN(ROW($P$7:$P$44))+1,""),""),ROW()-ROW(A$47)+1)),"##0")," "),"")</f>
        <v/>
      </c>
      <c r="R67" s="0" t="str">
        <f aca="false" t="array" ref="R67:R67">IFERROR(CONCATENATE((INDEX($A$7:$A$44,SMALL(IF($S$7:$S$44&lt;&gt;"",IF($P$7:$P$44&lt;&gt;"",ROW($P$7:$P$44)-MIN(ROW($P$7:$P$44))+1,""),""),ROW()-ROW(A$47)+1))),),"")</f>
        <v/>
      </c>
      <c r="U67" s="0" t="str">
        <f aca="false" t="array" ref="U67:U67">IFERROR(CONCATENATE((INDEX($X$7:$X$44,SMALL(IF($X$7:$X$44&lt;&gt;"",IF($U$7:$U$44&lt;&gt;"",ROW($U$7:$U$44)-MIN(ROW($U$7:$U$44))+1,""),""),ROW()-ROW(A$47)+1))),","),"")</f>
        <v/>
      </c>
      <c r="V67" s="0" t="str">
        <f aca="false" t="array" ref="V67:V67">IFERROR(CONCATENATE(TEXT(INDEX($U$7:$U$44,SMALL(IF($X$7:$X$44&lt;&gt;"",IF($U$7:$U$44&lt;&gt;"",ROW($U$7:$U$44)-MIN(ROW($U$7:$U$44))+1,""),""),ROW()-ROW(A$47)+1)),"##0"),","),"")</f>
        <v/>
      </c>
      <c r="W67" s="0" t="str">
        <f aca="false" t="array" ref="W67:W67">IFERROR(CONCATENATE((INDEX($A$7:$A$44,SMALL(IF($X$7:$X$44&lt;&gt;"",IF($U$7:$U$44&lt;&gt;"",ROW($U$7:$U$44)-MIN(ROW($U$7:$U$44))+1,""),""),ROW()-ROW(A$47)+1))),),"")</f>
        <v/>
      </c>
      <c r="Z67" s="0" t="str">
        <f aca="false" t="array" ref="Z67:Z67">IFERROR(CONCATENATE((INDEX($AC$7:$AC$44,SMALL(IF($AC$7:$AC$44&lt;&gt;"",IF($Z$7:$Z$44&lt;&gt;"",ROW($Z$7:$Z$44)-MIN(ROW($Z$7:$Z$44))+1,""),""),ROW()-ROW(A$47)+1)))," "),"")</f>
        <v/>
      </c>
      <c r="AA67" s="0" t="str">
        <f aca="false" t="array" ref="AA67:AA67">IFERROR(CONCATENATE(TEXT(INDEX($Z$7:$Z$44,SMALL(IF($AC$7:$AC$44&lt;&gt;"",IF($Z$7:$Z$44&lt;&gt;"",ROW($Z$7:$Z$44)-MIN(ROW($Z$7:$Z$44))+1,""),""),ROW()-ROW(A$47)+1)),"##0")," "),"")</f>
        <v/>
      </c>
      <c r="AB67" s="0" t="str">
        <f aca="false" t="array" ref="AB67:AB67">IFERROR(CONCATENATE((INDEX($A$7:$A$44,SMALL(IF($AC$7:$AC$44&lt;&gt;"",IF($Z$7:$Z$44&lt;&gt;"",ROW($Z$7:$Z$44)-MIN(ROW($Z$7:$Z$44))+1,""),""),ROW()-ROW(A$47)+1))),),"")</f>
        <v/>
      </c>
      <c r="AE67" s="0" t="str">
        <f aca="false" t="array" ref="AE67:AE67">IFERROR(CONCATENATE((INDEX($AH$7:$AH$44,SMALL(IF($AH$7:$AH$44&lt;&gt;"",IF($AE$7:$AE$44&lt;&gt;"",ROW($AE$7:$AE$44)-MIN(ROW($AE$7:$AE$44))+1,""),""),ROW()-ROW(A$47)+1)))," "),"")</f>
        <v/>
      </c>
      <c r="AF67" s="0" t="str">
        <f aca="false" t="array" ref="AF67:AF67">IFERROR(CONCATENATE(TEXT(INDEX($AE$7:$AE$44,SMALL(IF($AH$7:$AH$44&lt;&gt;"",IF($AE$7:$AE$44&lt;&gt;"",ROW($AE$7:$AE$44)-MIN(ROW($AE$7:$AE$44))+1,""),""),ROW()-ROW(A$47)+1)),"##0")," "),"")</f>
        <v/>
      </c>
      <c r="AG67" s="0" t="str">
        <f aca="false" t="array" ref="AG67:AG67">IFERROR(CONCATENATE((INDEX($A$7:$A$44,SMALL(IF($AH$7:$AH$44&lt;&gt;"",IF($AE$7:$AE$44&lt;&gt;"",ROW($AE$7:$AE$44)-MIN(ROW($AE$7:$AE$44))+1,""),""),ROW()-ROW(A$47)+1))),),"")</f>
        <v/>
      </c>
    </row>
    <row r="68" customFormat="false" ht="15" hidden="false" customHeight="false" outlineLevel="0" collapsed="false">
      <c r="K68" s="0" t="str">
        <f aca="false" t="array" ref="K68:K68">IFERROR(CONCATENATE(TEXT(INDEX($K$7:$K$44,SMALL(IF($N$7:$N$44&lt;&gt;"",IF($K$7:$K$44&lt;&gt;"",ROW($K$7:$K$44)-MIN(ROW($K$7:$K$44))+1,""),""),ROW()-ROW(A$47)+1)),"##0"),","),"")</f>
        <v/>
      </c>
      <c r="L68" s="0" t="str">
        <f aca="false" t="array" ref="L68:L68">IFERROR(CONCATENATE((INDEX($N$7:$N$44,SMALL(IF($N$7:$N$44&lt;&gt;"",IF($K$7:$K$44&lt;&gt;"",ROW($K$7:$K$44)-MIN(ROW($K$7:$K$44))+1,""),""),ROW()-ROW(A$47)+1))),","),"")</f>
        <v/>
      </c>
      <c r="M68" s="0" t="str">
        <f aca="false" t="array" ref="M68:M68">IFERROR(CONCATENATE((INDEX($A$7:$A$44,SMALL(IF($N$7:$N$44&lt;&gt;"",IF($K$7:$K$44&lt;&gt;"",ROW($K$7:$K$44)-MIN(ROW($K$7:$K$44))+1,""),""),ROW()-ROW(A$47)+1))),),"")</f>
        <v/>
      </c>
      <c r="P68" s="0" t="str">
        <f aca="false" t="array" ref="P68:P68">IFERROR(CONCATENATE((INDEX($S$7:$S$44,SMALL(IF($S$7:$S$44&lt;&gt;"",IF($P$7:$P$44&lt;&gt;"",ROW($P$7:$P$44)-MIN(ROW($P$7:$P$44))+1,""),""),ROW()-ROW(A$47)+1)))," "),"")</f>
        <v/>
      </c>
      <c r="Q68" s="0" t="str">
        <f aca="false" t="array" ref="Q68:Q68">IFERROR(CONCATENATE(TEXT(INDEX($P$7:$P$44,SMALL(IF($S$7:$S$44&lt;&gt;"",IF($P$7:$P$44&lt;&gt;"",ROW($P$7:$P$44)-MIN(ROW($P$7:$P$44))+1,""),""),ROW()-ROW(A$47)+1)),"##0")," "),"")</f>
        <v/>
      </c>
      <c r="R68" s="0" t="str">
        <f aca="false" t="array" ref="R68:R68">IFERROR(CONCATENATE((INDEX($A$7:$A$44,SMALL(IF($S$7:$S$44&lt;&gt;"",IF($P$7:$P$44&lt;&gt;"",ROW($P$7:$P$44)-MIN(ROW($P$7:$P$44))+1,""),""),ROW()-ROW(A$47)+1))),),"")</f>
        <v/>
      </c>
      <c r="U68" s="0" t="str">
        <f aca="false" t="array" ref="U68:U68">IFERROR(CONCATENATE((INDEX($X$7:$X$44,SMALL(IF($X$7:$X$44&lt;&gt;"",IF($U$7:$U$44&lt;&gt;"",ROW($U$7:$U$44)-MIN(ROW($U$7:$U$44))+1,""),""),ROW()-ROW(A$47)+1))),","),"")</f>
        <v/>
      </c>
      <c r="V68" s="0" t="str">
        <f aca="false" t="array" ref="V68:V68">IFERROR(CONCATENATE(TEXT(INDEX($U$7:$U$44,SMALL(IF($X$7:$X$44&lt;&gt;"",IF($U$7:$U$44&lt;&gt;"",ROW($U$7:$U$44)-MIN(ROW($U$7:$U$44))+1,""),""),ROW()-ROW(A$47)+1)),"##0"),","),"")</f>
        <v/>
      </c>
      <c r="W68" s="0" t="str">
        <f aca="false" t="array" ref="W68:W68">IFERROR(CONCATENATE((INDEX($A$7:$A$44,SMALL(IF($X$7:$X$44&lt;&gt;"",IF($U$7:$U$44&lt;&gt;"",ROW($U$7:$U$44)-MIN(ROW($U$7:$U$44))+1,""),""),ROW()-ROW(A$47)+1))),),"")</f>
        <v/>
      </c>
      <c r="Z68" s="0" t="str">
        <f aca="false" t="array" ref="Z68:Z68">IFERROR(CONCATENATE((INDEX($AC$7:$AC$44,SMALL(IF($AC$7:$AC$44&lt;&gt;"",IF($Z$7:$Z$44&lt;&gt;"",ROW($Z$7:$Z$44)-MIN(ROW($Z$7:$Z$44))+1,""),""),ROW()-ROW(A$47)+1)))," "),"")</f>
        <v/>
      </c>
      <c r="AA68" s="0" t="str">
        <f aca="false" t="array" ref="AA68:AA68">IFERROR(CONCATENATE(TEXT(INDEX($Z$7:$Z$44,SMALL(IF($AC$7:$AC$44&lt;&gt;"",IF($Z$7:$Z$44&lt;&gt;"",ROW($Z$7:$Z$44)-MIN(ROW($Z$7:$Z$44))+1,""),""),ROW()-ROW(A$47)+1)),"##0")," "),"")</f>
        <v/>
      </c>
      <c r="AB68" s="0" t="str">
        <f aca="false" t="array" ref="AB68:AB68">IFERROR(CONCATENATE((INDEX($A$7:$A$44,SMALL(IF($AC$7:$AC$44&lt;&gt;"",IF($Z$7:$Z$44&lt;&gt;"",ROW($Z$7:$Z$44)-MIN(ROW($Z$7:$Z$44))+1,""),""),ROW()-ROW(A$47)+1))),),"")</f>
        <v/>
      </c>
      <c r="AE68" s="0" t="str">
        <f aca="false" t="array" ref="AE68:AE68">IFERROR(CONCATENATE((INDEX($AH$7:$AH$44,SMALL(IF($AH$7:$AH$44&lt;&gt;"",IF($AE$7:$AE$44&lt;&gt;"",ROW($AE$7:$AE$44)-MIN(ROW($AE$7:$AE$44))+1,""),""),ROW()-ROW(A$47)+1)))," "),"")</f>
        <v/>
      </c>
      <c r="AF68" s="0" t="str">
        <f aca="false" t="array" ref="AF68:AF68">IFERROR(CONCATENATE(TEXT(INDEX($AE$7:$AE$44,SMALL(IF($AH$7:$AH$44&lt;&gt;"",IF($AE$7:$AE$44&lt;&gt;"",ROW($AE$7:$AE$44)-MIN(ROW($AE$7:$AE$44))+1,""),""),ROW()-ROW(A$47)+1)),"##0")," "),"")</f>
        <v/>
      </c>
      <c r="AG68" s="0" t="str">
        <f aca="false" t="array" ref="AG68:AG68">IFERROR(CONCATENATE((INDEX($A$7:$A$44,SMALL(IF($AH$7:$AH$44&lt;&gt;"",IF($AE$7:$AE$44&lt;&gt;"",ROW($AE$7:$AE$44)-MIN(ROW($AE$7:$AE$44))+1,""),""),ROW()-ROW(A$47)+1))),),"")</f>
        <v/>
      </c>
    </row>
    <row r="69" customFormat="false" ht="15" hidden="false" customHeight="false" outlineLevel="0" collapsed="false">
      <c r="K69" s="0" t="str">
        <f aca="false" t="array" ref="K69:K69">IFERROR(CONCATENATE(TEXT(INDEX($K$7:$K$44,SMALL(IF($N$7:$N$44&lt;&gt;"",IF($K$7:$K$44&lt;&gt;"",ROW($K$7:$K$44)-MIN(ROW($K$7:$K$44))+1,""),""),ROW()-ROW(A$47)+1)),"##0"),","),"")</f>
        <v/>
      </c>
      <c r="L69" s="0" t="str">
        <f aca="false" t="array" ref="L69:L69">IFERROR(CONCATENATE((INDEX($N$7:$N$44,SMALL(IF($N$7:$N$44&lt;&gt;"",IF($K$7:$K$44&lt;&gt;"",ROW($K$7:$K$44)-MIN(ROW($K$7:$K$44))+1,""),""),ROW()-ROW(A$47)+1))),","),"")</f>
        <v/>
      </c>
      <c r="M69" s="0" t="str">
        <f aca="false" t="array" ref="M69:M69">IFERROR(CONCATENATE((INDEX($A$7:$A$44,SMALL(IF($N$7:$N$44&lt;&gt;"",IF($K$7:$K$44&lt;&gt;"",ROW($K$7:$K$44)-MIN(ROW($K$7:$K$44))+1,""),""),ROW()-ROW(A$47)+1))),),"")</f>
        <v/>
      </c>
      <c r="P69" s="0" t="str">
        <f aca="false" t="array" ref="P69:P69">IFERROR(CONCATENATE((INDEX($S$7:$S$44,SMALL(IF($S$7:$S$44&lt;&gt;"",IF($P$7:$P$44&lt;&gt;"",ROW($P$7:$P$44)-MIN(ROW($P$7:$P$44))+1,""),""),ROW()-ROW(A$47)+1)))," "),"")</f>
        <v/>
      </c>
      <c r="Q69" s="0" t="str">
        <f aca="false" t="array" ref="Q69:Q69">IFERROR(CONCATENATE(TEXT(INDEX($P$7:$P$44,SMALL(IF($S$7:$S$44&lt;&gt;"",IF($P$7:$P$44&lt;&gt;"",ROW($P$7:$P$44)-MIN(ROW($P$7:$P$44))+1,""),""),ROW()-ROW(A$47)+1)),"##0")," "),"")</f>
        <v/>
      </c>
      <c r="R69" s="0" t="str">
        <f aca="false" t="array" ref="R69:R69">IFERROR(CONCATENATE((INDEX($A$7:$A$44,SMALL(IF($S$7:$S$44&lt;&gt;"",IF($P$7:$P$44&lt;&gt;"",ROW($P$7:$P$44)-MIN(ROW($P$7:$P$44))+1,""),""),ROW()-ROW(A$47)+1))),),"")</f>
        <v/>
      </c>
      <c r="U69" s="0" t="str">
        <f aca="false" t="array" ref="U69:U69">IFERROR(CONCATENATE((INDEX($X$7:$X$44,SMALL(IF($X$7:$X$44&lt;&gt;"",IF($U$7:$U$44&lt;&gt;"",ROW($U$7:$U$44)-MIN(ROW($U$7:$U$44))+1,""),""),ROW()-ROW(A$47)+1))),","),"")</f>
        <v/>
      </c>
      <c r="V69" s="0" t="str">
        <f aca="false" t="array" ref="V69:V69">IFERROR(CONCATENATE(TEXT(INDEX($U$7:$U$44,SMALL(IF($X$7:$X$44&lt;&gt;"",IF($U$7:$U$44&lt;&gt;"",ROW($U$7:$U$44)-MIN(ROW($U$7:$U$44))+1,""),""),ROW()-ROW(A$47)+1)),"##0"),","),"")</f>
        <v/>
      </c>
      <c r="W69" s="0" t="str">
        <f aca="false" t="array" ref="W69:W69">IFERROR(CONCATENATE((INDEX($A$7:$A$44,SMALL(IF($X$7:$X$44&lt;&gt;"",IF($U$7:$U$44&lt;&gt;"",ROW($U$7:$U$44)-MIN(ROW($U$7:$U$44))+1,""),""),ROW()-ROW(A$47)+1))),),"")</f>
        <v/>
      </c>
      <c r="Z69" s="0" t="str">
        <f aca="false" t="array" ref="Z69:Z69">IFERROR(CONCATENATE((INDEX($AC$7:$AC$44,SMALL(IF($AC$7:$AC$44&lt;&gt;"",IF($Z$7:$Z$44&lt;&gt;"",ROW($Z$7:$Z$44)-MIN(ROW($Z$7:$Z$44))+1,""),""),ROW()-ROW(A$47)+1)))," "),"")</f>
        <v/>
      </c>
      <c r="AA69" s="0" t="str">
        <f aca="false" t="array" ref="AA69:AA69">IFERROR(CONCATENATE(TEXT(INDEX($Z$7:$Z$44,SMALL(IF($AC$7:$AC$44&lt;&gt;"",IF($Z$7:$Z$44&lt;&gt;"",ROW($Z$7:$Z$44)-MIN(ROW($Z$7:$Z$44))+1,""),""),ROW()-ROW(A$47)+1)),"##0")," "),"")</f>
        <v/>
      </c>
      <c r="AB69" s="0" t="str">
        <f aca="false" t="array" ref="AB69:AB69">IFERROR(CONCATENATE((INDEX($A$7:$A$44,SMALL(IF($AC$7:$AC$44&lt;&gt;"",IF($Z$7:$Z$44&lt;&gt;"",ROW($Z$7:$Z$44)-MIN(ROW($Z$7:$Z$44))+1,""),""),ROW()-ROW(A$47)+1))),),"")</f>
        <v/>
      </c>
      <c r="AE69" s="0" t="str">
        <f aca="false" t="array" ref="AE69:AE69">IFERROR(CONCATENATE((INDEX($AH$7:$AH$44,SMALL(IF($AH$7:$AH$44&lt;&gt;"",IF($AE$7:$AE$44&lt;&gt;"",ROW($AE$7:$AE$44)-MIN(ROW($AE$7:$AE$44))+1,""),""),ROW()-ROW(A$47)+1)))," "),"")</f>
        <v/>
      </c>
      <c r="AF69" s="0" t="str">
        <f aca="false" t="array" ref="AF69:AF69">IFERROR(CONCATENATE(TEXT(INDEX($AE$7:$AE$44,SMALL(IF($AH$7:$AH$44&lt;&gt;"",IF($AE$7:$AE$44&lt;&gt;"",ROW($AE$7:$AE$44)-MIN(ROW($AE$7:$AE$44))+1,""),""),ROW()-ROW(A$47)+1)),"##0")," "),"")</f>
        <v/>
      </c>
      <c r="AG69" s="0" t="str">
        <f aca="false" t="array" ref="AG69:AG69">IFERROR(CONCATENATE((INDEX($A$7:$A$44,SMALL(IF($AH$7:$AH$44&lt;&gt;"",IF($AE$7:$AE$44&lt;&gt;"",ROW($AE$7:$AE$44)-MIN(ROW($AE$7:$AE$44))+1,""),""),ROW()-ROW(A$47)+1))),),"")</f>
        <v/>
      </c>
    </row>
    <row r="70" customFormat="false" ht="15" hidden="false" customHeight="false" outlineLevel="0" collapsed="false">
      <c r="K70" s="0" t="str">
        <f aca="false" t="array" ref="K70:K70">IFERROR(CONCATENATE(TEXT(INDEX($K$7:$K$44,SMALL(IF($N$7:$N$44&lt;&gt;"",IF($K$7:$K$44&lt;&gt;"",ROW($K$7:$K$44)-MIN(ROW($K$7:$K$44))+1,""),""),ROW()-ROW(A$47)+1)),"##0"),","),"")</f>
        <v/>
      </c>
      <c r="L70" s="0" t="str">
        <f aca="false" t="array" ref="L70:L70">IFERROR(CONCATENATE((INDEX($N$7:$N$44,SMALL(IF($N$7:$N$44&lt;&gt;"",IF($K$7:$K$44&lt;&gt;"",ROW($K$7:$K$44)-MIN(ROW($K$7:$K$44))+1,""),""),ROW()-ROW(A$47)+1))),","),"")</f>
        <v/>
      </c>
      <c r="M70" s="0" t="str">
        <f aca="false" t="array" ref="M70:M70">IFERROR(CONCATENATE((INDEX($A$7:$A$44,SMALL(IF($N$7:$N$44&lt;&gt;"",IF($K$7:$K$44&lt;&gt;"",ROW($K$7:$K$44)-MIN(ROW($K$7:$K$44))+1,""),""),ROW()-ROW(A$47)+1))),),"")</f>
        <v/>
      </c>
      <c r="P70" s="0" t="str">
        <f aca="false" t="array" ref="P70:P70">IFERROR(CONCATENATE((INDEX($S$7:$S$44,SMALL(IF($S$7:$S$44&lt;&gt;"",IF($P$7:$P$44&lt;&gt;"",ROW($P$7:$P$44)-MIN(ROW($P$7:$P$44))+1,""),""),ROW()-ROW(A$47)+1)))," "),"")</f>
        <v/>
      </c>
      <c r="Q70" s="0" t="str">
        <f aca="false" t="array" ref="Q70:Q70">IFERROR(CONCATENATE(TEXT(INDEX($P$7:$P$44,SMALL(IF($S$7:$S$44&lt;&gt;"",IF($P$7:$P$44&lt;&gt;"",ROW($P$7:$P$44)-MIN(ROW($P$7:$P$44))+1,""),""),ROW()-ROW(A$47)+1)),"##0")," "),"")</f>
        <v/>
      </c>
      <c r="R70" s="0" t="str">
        <f aca="false" t="array" ref="R70:R70">IFERROR(CONCATENATE((INDEX($A$7:$A$44,SMALL(IF($S$7:$S$44&lt;&gt;"",IF($P$7:$P$44&lt;&gt;"",ROW($P$7:$P$44)-MIN(ROW($P$7:$P$44))+1,""),""),ROW()-ROW(A$47)+1))),),"")</f>
        <v/>
      </c>
      <c r="U70" s="0" t="str">
        <f aca="false" t="array" ref="U70:U70">IFERROR(CONCATENATE((INDEX($X$7:$X$44,SMALL(IF($X$7:$X$44&lt;&gt;"",IF($U$7:$U$44&lt;&gt;"",ROW($U$7:$U$44)-MIN(ROW($U$7:$U$44))+1,""),""),ROW()-ROW(A$47)+1))),","),"")</f>
        <v/>
      </c>
      <c r="V70" s="0" t="str">
        <f aca="false" t="array" ref="V70:V70">IFERROR(CONCATENATE(TEXT(INDEX($U$7:$U$44,SMALL(IF($X$7:$X$44&lt;&gt;"",IF($U$7:$U$44&lt;&gt;"",ROW($U$7:$U$44)-MIN(ROW($U$7:$U$44))+1,""),""),ROW()-ROW(A$47)+1)),"##0"),","),"")</f>
        <v/>
      </c>
      <c r="W70" s="0" t="str">
        <f aca="false" t="array" ref="W70:W70">IFERROR(CONCATENATE((INDEX($A$7:$A$44,SMALL(IF($X$7:$X$44&lt;&gt;"",IF($U$7:$U$44&lt;&gt;"",ROW($U$7:$U$44)-MIN(ROW($U$7:$U$44))+1,""),""),ROW()-ROW(A$47)+1))),),"")</f>
        <v/>
      </c>
      <c r="Z70" s="0" t="str">
        <f aca="false" t="array" ref="Z70:Z70">IFERROR(CONCATENATE((INDEX($AC$7:$AC$44,SMALL(IF($AC$7:$AC$44&lt;&gt;"",IF($Z$7:$Z$44&lt;&gt;"",ROW($Z$7:$Z$44)-MIN(ROW($Z$7:$Z$44))+1,""),""),ROW()-ROW(A$47)+1)))," "),"")</f>
        <v/>
      </c>
      <c r="AA70" s="0" t="str">
        <f aca="false" t="array" ref="AA70:AA70">IFERROR(CONCATENATE(TEXT(INDEX($Z$7:$Z$44,SMALL(IF($AC$7:$AC$44&lt;&gt;"",IF($Z$7:$Z$44&lt;&gt;"",ROW($Z$7:$Z$44)-MIN(ROW($Z$7:$Z$44))+1,""),""),ROW()-ROW(A$47)+1)),"##0")," "),"")</f>
        <v/>
      </c>
      <c r="AB70" s="0" t="str">
        <f aca="false" t="array" ref="AB70:AB70">IFERROR(CONCATENATE((INDEX($A$7:$A$44,SMALL(IF($AC$7:$AC$44&lt;&gt;"",IF($Z$7:$Z$44&lt;&gt;"",ROW($Z$7:$Z$44)-MIN(ROW($Z$7:$Z$44))+1,""),""),ROW()-ROW(A$47)+1))),),"")</f>
        <v/>
      </c>
      <c r="AE70" s="0" t="str">
        <f aca="false" t="array" ref="AE70:AE70">IFERROR(CONCATENATE((INDEX($AH$7:$AH$44,SMALL(IF($AH$7:$AH$44&lt;&gt;"",IF($AE$7:$AE$44&lt;&gt;"",ROW($AE$7:$AE$44)-MIN(ROW($AE$7:$AE$44))+1,""),""),ROW()-ROW(A$47)+1)))," "),"")</f>
        <v/>
      </c>
      <c r="AF70" s="0" t="str">
        <f aca="false" t="array" ref="AF70:AF70">IFERROR(CONCATENATE(TEXT(INDEX($AE$7:$AE$44,SMALL(IF($AH$7:$AH$44&lt;&gt;"",IF($AE$7:$AE$44&lt;&gt;"",ROW($AE$7:$AE$44)-MIN(ROW($AE$7:$AE$44))+1,""),""),ROW()-ROW(A$47)+1)),"##0")," "),"")</f>
        <v/>
      </c>
      <c r="AG70" s="0" t="str">
        <f aca="false" t="array" ref="AG70:AG70">IFERROR(CONCATENATE((INDEX($A$7:$A$44,SMALL(IF($AH$7:$AH$44&lt;&gt;"",IF($AE$7:$AE$44&lt;&gt;"",ROW($AE$7:$AE$44)-MIN(ROW($AE$7:$AE$44))+1,""),""),ROW()-ROW(A$47)+1))),),"")</f>
        <v/>
      </c>
    </row>
    <row r="71" customFormat="false" ht="15" hidden="false" customHeight="false" outlineLevel="0" collapsed="false">
      <c r="K71" s="0" t="str">
        <f aca="false" t="array" ref="K71:K71">IFERROR(CONCATENATE(TEXT(INDEX($K$7:$K$44,SMALL(IF($N$7:$N$44&lt;&gt;"",IF($K$7:$K$44&lt;&gt;"",ROW($K$7:$K$44)-MIN(ROW($K$7:$K$44))+1,""),""),ROW()-ROW(A$47)+1)),"##0"),","),"")</f>
        <v/>
      </c>
      <c r="L71" s="0" t="str">
        <f aca="false" t="array" ref="L71:L71">IFERROR(CONCATENATE((INDEX($N$7:$N$44,SMALL(IF($N$7:$N$44&lt;&gt;"",IF($K$7:$K$44&lt;&gt;"",ROW($K$7:$K$44)-MIN(ROW($K$7:$K$44))+1,""),""),ROW()-ROW(A$47)+1))),","),"")</f>
        <v/>
      </c>
      <c r="M71" s="0" t="str">
        <f aca="false" t="array" ref="M71:M71">IFERROR(CONCATENATE((INDEX($A$7:$A$44,SMALL(IF($N$7:$N$44&lt;&gt;"",IF($K$7:$K$44&lt;&gt;"",ROW($K$7:$K$44)-MIN(ROW($K$7:$K$44))+1,""),""),ROW()-ROW(A$47)+1))),),"")</f>
        <v/>
      </c>
      <c r="P71" s="0" t="str">
        <f aca="false" t="array" ref="P71:P71">IFERROR(CONCATENATE((INDEX($S$7:$S$44,SMALL(IF($S$7:$S$44&lt;&gt;"",IF($P$7:$P$44&lt;&gt;"",ROW($P$7:$P$44)-MIN(ROW($P$7:$P$44))+1,""),""),ROW()-ROW(A$47)+1)))," "),"")</f>
        <v/>
      </c>
      <c r="Q71" s="0" t="str">
        <f aca="false" t="array" ref="Q71:Q71">IFERROR(CONCATENATE(TEXT(INDEX($P$7:$P$44,SMALL(IF($S$7:$S$44&lt;&gt;"",IF($P$7:$P$44&lt;&gt;"",ROW($P$7:$P$44)-MIN(ROW($P$7:$P$44))+1,""),""),ROW()-ROW(A$47)+1)),"##0")," "),"")</f>
        <v/>
      </c>
      <c r="R71" s="0" t="str">
        <f aca="false" t="array" ref="R71:R71">IFERROR(CONCATENATE((INDEX($A$7:$A$44,SMALL(IF($S$7:$S$44&lt;&gt;"",IF($P$7:$P$44&lt;&gt;"",ROW($P$7:$P$44)-MIN(ROW($P$7:$P$44))+1,""),""),ROW()-ROW(A$47)+1))),),"")</f>
        <v/>
      </c>
      <c r="U71" s="0" t="str">
        <f aca="false" t="array" ref="U71:U71">IFERROR(CONCATENATE((INDEX($X$7:$X$44,SMALL(IF($X$7:$X$44&lt;&gt;"",IF($U$7:$U$44&lt;&gt;"",ROW($U$7:$U$44)-MIN(ROW($U$7:$U$44))+1,""),""),ROW()-ROW(A$47)+1))),","),"")</f>
        <v/>
      </c>
      <c r="V71" s="0" t="str">
        <f aca="false" t="array" ref="V71:V71">IFERROR(CONCATENATE(TEXT(INDEX($U$7:$U$44,SMALL(IF($X$7:$X$44&lt;&gt;"",IF($U$7:$U$44&lt;&gt;"",ROW($U$7:$U$44)-MIN(ROW($U$7:$U$44))+1,""),""),ROW()-ROW(A$47)+1)),"##0"),","),"")</f>
        <v/>
      </c>
      <c r="W71" s="0" t="str">
        <f aca="false" t="array" ref="W71:W71">IFERROR(CONCATENATE((INDEX($A$7:$A$44,SMALL(IF($X$7:$X$44&lt;&gt;"",IF($U$7:$U$44&lt;&gt;"",ROW($U$7:$U$44)-MIN(ROW($U$7:$U$44))+1,""),""),ROW()-ROW(A$47)+1))),),"")</f>
        <v/>
      </c>
      <c r="Z71" s="0" t="str">
        <f aca="false" t="array" ref="Z71:Z71">IFERROR(CONCATENATE((INDEX($AC$7:$AC$44,SMALL(IF($AC$7:$AC$44&lt;&gt;"",IF($Z$7:$Z$44&lt;&gt;"",ROW($Z$7:$Z$44)-MIN(ROW($Z$7:$Z$44))+1,""),""),ROW()-ROW(A$47)+1)))," "),"")</f>
        <v/>
      </c>
      <c r="AA71" s="0" t="str">
        <f aca="false" t="array" ref="AA71:AA71">IFERROR(CONCATENATE(TEXT(INDEX($Z$7:$Z$44,SMALL(IF($AC$7:$AC$44&lt;&gt;"",IF($Z$7:$Z$44&lt;&gt;"",ROW($Z$7:$Z$44)-MIN(ROW($Z$7:$Z$44))+1,""),""),ROW()-ROW(A$47)+1)),"##0")," "),"")</f>
        <v/>
      </c>
      <c r="AB71" s="0" t="str">
        <f aca="false" t="array" ref="AB71:AB71">IFERROR(CONCATENATE((INDEX($A$7:$A$44,SMALL(IF($AC$7:$AC$44&lt;&gt;"",IF($Z$7:$Z$44&lt;&gt;"",ROW($Z$7:$Z$44)-MIN(ROW($Z$7:$Z$44))+1,""),""),ROW()-ROW(A$47)+1))),),"")</f>
        <v/>
      </c>
      <c r="AE71" s="0" t="str">
        <f aca="false" t="array" ref="AE71:AE71">IFERROR(CONCATENATE((INDEX($AH$7:$AH$44,SMALL(IF($AH$7:$AH$44&lt;&gt;"",IF($AE$7:$AE$44&lt;&gt;"",ROW($AE$7:$AE$44)-MIN(ROW($AE$7:$AE$44))+1,""),""),ROW()-ROW(A$47)+1)))," "),"")</f>
        <v/>
      </c>
      <c r="AF71" s="0" t="str">
        <f aca="false" t="array" ref="AF71:AF71">IFERROR(CONCATENATE(TEXT(INDEX($AE$7:$AE$44,SMALL(IF($AH$7:$AH$44&lt;&gt;"",IF($AE$7:$AE$44&lt;&gt;"",ROW($AE$7:$AE$44)-MIN(ROW($AE$7:$AE$44))+1,""),""),ROW()-ROW(A$47)+1)),"##0")," "),"")</f>
        <v/>
      </c>
      <c r="AG71" s="0" t="str">
        <f aca="false" t="array" ref="AG71:AG71">IFERROR(CONCATENATE((INDEX($A$7:$A$44,SMALL(IF($AH$7:$AH$44&lt;&gt;"",IF($AE$7:$AE$44&lt;&gt;"",ROW($AE$7:$AE$44)-MIN(ROW($AE$7:$AE$44))+1,""),""),ROW()-ROW(A$47)+1))),),"")</f>
        <v/>
      </c>
    </row>
    <row r="72" customFormat="false" ht="15" hidden="false" customHeight="false" outlineLevel="0" collapsed="false">
      <c r="K72" s="0" t="str">
        <f aca="false" t="array" ref="K72:K72">IFERROR(CONCATENATE(TEXT(INDEX($K$7:$K$44,SMALL(IF($N$7:$N$44&lt;&gt;"",IF($K$7:$K$44&lt;&gt;"",ROW($K$7:$K$44)-MIN(ROW($K$7:$K$44))+1,""),""),ROW()-ROW(A$47)+1)),"##0"),","),"")</f>
        <v/>
      </c>
      <c r="L72" s="0" t="str">
        <f aca="false" t="array" ref="L72:L72">IFERROR(CONCATENATE((INDEX($N$7:$N$44,SMALL(IF($N$7:$N$44&lt;&gt;"",IF($K$7:$K$44&lt;&gt;"",ROW($K$7:$K$44)-MIN(ROW($K$7:$K$44))+1,""),""),ROW()-ROW(A$47)+1))),","),"")</f>
        <v/>
      </c>
      <c r="M72" s="0" t="str">
        <f aca="false" t="array" ref="M72:M72">IFERROR(CONCATENATE((INDEX($A$7:$A$44,SMALL(IF($N$7:$N$44&lt;&gt;"",IF($K$7:$K$44&lt;&gt;"",ROW($K$7:$K$44)-MIN(ROW($K$7:$K$44))+1,""),""),ROW()-ROW(A$47)+1))),),"")</f>
        <v/>
      </c>
      <c r="P72" s="0" t="str">
        <f aca="false" t="array" ref="P72:P72">IFERROR(CONCATENATE((INDEX($S$7:$S$44,SMALL(IF($S$7:$S$44&lt;&gt;"",IF($P$7:$P$44&lt;&gt;"",ROW($P$7:$P$44)-MIN(ROW($P$7:$P$44))+1,""),""),ROW()-ROW(A$47)+1)))," "),"")</f>
        <v/>
      </c>
      <c r="Q72" s="0" t="str">
        <f aca="false" t="array" ref="Q72:Q72">IFERROR(CONCATENATE(TEXT(INDEX($P$7:$P$44,SMALL(IF($S$7:$S$44&lt;&gt;"",IF($P$7:$P$44&lt;&gt;"",ROW($P$7:$P$44)-MIN(ROW($P$7:$P$44))+1,""),""),ROW()-ROW(A$47)+1)),"##0")," "),"")</f>
        <v/>
      </c>
      <c r="R72" s="0" t="str">
        <f aca="false" t="array" ref="R72:R72">IFERROR(CONCATENATE((INDEX($A$7:$A$44,SMALL(IF($S$7:$S$44&lt;&gt;"",IF($P$7:$P$44&lt;&gt;"",ROW($P$7:$P$44)-MIN(ROW($P$7:$P$44))+1,""),""),ROW()-ROW(A$47)+1))),),"")</f>
        <v/>
      </c>
      <c r="U72" s="0" t="str">
        <f aca="false" t="array" ref="U72:U72">IFERROR(CONCATENATE((INDEX($X$7:$X$44,SMALL(IF($X$7:$X$44&lt;&gt;"",IF($U$7:$U$44&lt;&gt;"",ROW($U$7:$U$44)-MIN(ROW($U$7:$U$44))+1,""),""),ROW()-ROW(A$47)+1))),","),"")</f>
        <v/>
      </c>
      <c r="V72" s="0" t="str">
        <f aca="false" t="array" ref="V72:V72">IFERROR(CONCATENATE(TEXT(INDEX($U$7:$U$44,SMALL(IF($X$7:$X$44&lt;&gt;"",IF($U$7:$U$44&lt;&gt;"",ROW($U$7:$U$44)-MIN(ROW($U$7:$U$44))+1,""),""),ROW()-ROW(A$47)+1)),"##0"),","),"")</f>
        <v/>
      </c>
      <c r="W72" s="0" t="str">
        <f aca="false" t="array" ref="W72:W72">IFERROR(CONCATENATE((INDEX($A$7:$A$44,SMALL(IF($X$7:$X$44&lt;&gt;"",IF($U$7:$U$44&lt;&gt;"",ROW($U$7:$U$44)-MIN(ROW($U$7:$U$44))+1,""),""),ROW()-ROW(A$47)+1))),),"")</f>
        <v/>
      </c>
      <c r="Z72" s="0" t="str">
        <f aca="false" t="array" ref="Z72:Z72">IFERROR(CONCATENATE((INDEX($AC$7:$AC$44,SMALL(IF($AC$7:$AC$44&lt;&gt;"",IF($Z$7:$Z$44&lt;&gt;"",ROW($Z$7:$Z$44)-MIN(ROW($Z$7:$Z$44))+1,""),""),ROW()-ROW(A$47)+1)))," "),"")</f>
        <v/>
      </c>
      <c r="AA72" s="0" t="str">
        <f aca="false" t="array" ref="AA72:AA72">IFERROR(CONCATENATE(TEXT(INDEX($Z$7:$Z$44,SMALL(IF($AC$7:$AC$44&lt;&gt;"",IF($Z$7:$Z$44&lt;&gt;"",ROW($Z$7:$Z$44)-MIN(ROW($Z$7:$Z$44))+1,""),""),ROW()-ROW(A$47)+1)),"##0")," "),"")</f>
        <v/>
      </c>
      <c r="AB72" s="0" t="str">
        <f aca="false" t="array" ref="AB72:AB72">IFERROR(CONCATENATE((INDEX($A$7:$A$44,SMALL(IF($AC$7:$AC$44&lt;&gt;"",IF($Z$7:$Z$44&lt;&gt;"",ROW($Z$7:$Z$44)-MIN(ROW($Z$7:$Z$44))+1,""),""),ROW()-ROW(A$47)+1))),),"")</f>
        <v/>
      </c>
      <c r="AE72" s="0" t="str">
        <f aca="false" t="array" ref="AE72:AE72">IFERROR(CONCATENATE((INDEX($AH$7:$AH$44,SMALL(IF($AH$7:$AH$44&lt;&gt;"",IF($AE$7:$AE$44&lt;&gt;"",ROW($AE$7:$AE$44)-MIN(ROW($AE$7:$AE$44))+1,""),""),ROW()-ROW(A$47)+1)))," "),"")</f>
        <v/>
      </c>
      <c r="AF72" s="0" t="str">
        <f aca="false" t="array" ref="AF72:AF72">IFERROR(CONCATENATE(TEXT(INDEX($AE$7:$AE$44,SMALL(IF($AH$7:$AH$44&lt;&gt;"",IF($AE$7:$AE$44&lt;&gt;"",ROW($AE$7:$AE$44)-MIN(ROW($AE$7:$AE$44))+1,""),""),ROW()-ROW(A$47)+1)),"##0")," "),"")</f>
        <v/>
      </c>
      <c r="AG72" s="0" t="str">
        <f aca="false" t="array" ref="AG72:AG72">IFERROR(CONCATENATE((INDEX($A$7:$A$44,SMALL(IF($AH$7:$AH$44&lt;&gt;"",IF($AE$7:$AE$44&lt;&gt;"",ROW($AE$7:$AE$44)-MIN(ROW($AE$7:$AE$44))+1,""),""),ROW()-ROW(A$47)+1))),),"")</f>
        <v/>
      </c>
    </row>
    <row r="73" customFormat="false" ht="15" hidden="false" customHeight="false" outlineLevel="0" collapsed="false">
      <c r="K73" s="0" t="str">
        <f aca="false" t="array" ref="K73:K73">IFERROR(CONCATENATE(TEXT(INDEX($K$7:$K$44,SMALL(IF($N$7:$N$44&lt;&gt;"",IF($K$7:$K$44&lt;&gt;"",ROW($K$7:$K$44)-MIN(ROW($K$7:$K$44))+1,""),""),ROW()-ROW(A$47)+1)),"##0"),","),"")</f>
        <v/>
      </c>
      <c r="L73" s="0" t="str">
        <f aca="false" t="array" ref="L73:L73">IFERROR(CONCATENATE((INDEX($N$7:$N$44,SMALL(IF($N$7:$N$44&lt;&gt;"",IF($K$7:$K$44&lt;&gt;"",ROW($K$7:$K$44)-MIN(ROW($K$7:$K$44))+1,""),""),ROW()-ROW(A$47)+1))),","),"")</f>
        <v/>
      </c>
      <c r="M73" s="0" t="str">
        <f aca="false" t="array" ref="M73:M73">IFERROR(CONCATENATE((INDEX($A$7:$A$44,SMALL(IF($N$7:$N$44&lt;&gt;"",IF($K$7:$K$44&lt;&gt;"",ROW($K$7:$K$44)-MIN(ROW($K$7:$K$44))+1,""),""),ROW()-ROW(A$47)+1))),),"")</f>
        <v/>
      </c>
      <c r="P73" s="0" t="str">
        <f aca="false" t="array" ref="P73:P73">IFERROR(CONCATENATE((INDEX($S$7:$S$44,SMALL(IF($S$7:$S$44&lt;&gt;"",IF($P$7:$P$44&lt;&gt;"",ROW($P$7:$P$44)-MIN(ROW($P$7:$P$44))+1,""),""),ROW()-ROW(A$47)+1)))," "),"")</f>
        <v/>
      </c>
      <c r="Q73" s="0" t="str">
        <f aca="false" t="array" ref="Q73:Q73">IFERROR(CONCATENATE(TEXT(INDEX($P$7:$P$44,SMALL(IF($S$7:$S$44&lt;&gt;"",IF($P$7:$P$44&lt;&gt;"",ROW($P$7:$P$44)-MIN(ROW($P$7:$P$44))+1,""),""),ROW()-ROW(A$47)+1)),"##0")," "),"")</f>
        <v/>
      </c>
      <c r="R73" s="0" t="str">
        <f aca="false" t="array" ref="R73:R73">IFERROR(CONCATENATE((INDEX($A$7:$A$44,SMALL(IF($S$7:$S$44&lt;&gt;"",IF($P$7:$P$44&lt;&gt;"",ROW($P$7:$P$44)-MIN(ROW($P$7:$P$44))+1,""),""),ROW()-ROW(A$47)+1))),),"")</f>
        <v/>
      </c>
      <c r="U73" s="0" t="str">
        <f aca="false" t="array" ref="U73:U73">IFERROR(CONCATENATE((INDEX($X$7:$X$44,SMALL(IF($X$7:$X$44&lt;&gt;"",IF($U$7:$U$44&lt;&gt;"",ROW($U$7:$U$44)-MIN(ROW($U$7:$U$44))+1,""),""),ROW()-ROW(A$47)+1))),","),"")</f>
        <v/>
      </c>
      <c r="V73" s="0" t="str">
        <f aca="false" t="array" ref="V73:V73">IFERROR(CONCATENATE(TEXT(INDEX($U$7:$U$44,SMALL(IF($X$7:$X$44&lt;&gt;"",IF($U$7:$U$44&lt;&gt;"",ROW($U$7:$U$44)-MIN(ROW($U$7:$U$44))+1,""),""),ROW()-ROW(A$47)+1)),"##0"),","),"")</f>
        <v/>
      </c>
      <c r="W73" s="0" t="str">
        <f aca="false" t="array" ref="W73:W73">IFERROR(CONCATENATE((INDEX($A$7:$A$44,SMALL(IF($X$7:$X$44&lt;&gt;"",IF($U$7:$U$44&lt;&gt;"",ROW($U$7:$U$44)-MIN(ROW($U$7:$U$44))+1,""),""),ROW()-ROW(A$47)+1))),),"")</f>
        <v/>
      </c>
      <c r="Z73" s="0" t="str">
        <f aca="false" t="array" ref="Z73:Z73">IFERROR(CONCATENATE((INDEX($AC$7:$AC$44,SMALL(IF($AC$7:$AC$44&lt;&gt;"",IF($Z$7:$Z$44&lt;&gt;"",ROW($Z$7:$Z$44)-MIN(ROW($Z$7:$Z$44))+1,""),""),ROW()-ROW(A$47)+1)))," "),"")</f>
        <v/>
      </c>
      <c r="AA73" s="0" t="str">
        <f aca="false" t="array" ref="AA73:AA73">IFERROR(CONCATENATE(TEXT(INDEX($Z$7:$Z$44,SMALL(IF($AC$7:$AC$44&lt;&gt;"",IF($Z$7:$Z$44&lt;&gt;"",ROW($Z$7:$Z$44)-MIN(ROW($Z$7:$Z$44))+1,""),""),ROW()-ROW(A$47)+1)),"##0")," "),"")</f>
        <v/>
      </c>
      <c r="AB73" s="0" t="str">
        <f aca="false" t="array" ref="AB73:AB73">IFERROR(CONCATENATE((INDEX($A$7:$A$44,SMALL(IF($AC$7:$AC$44&lt;&gt;"",IF($Z$7:$Z$44&lt;&gt;"",ROW($Z$7:$Z$44)-MIN(ROW($Z$7:$Z$44))+1,""),""),ROW()-ROW(A$47)+1))),),"")</f>
        <v/>
      </c>
      <c r="AE73" s="0" t="str">
        <f aca="false" t="array" ref="AE73:AE73">IFERROR(CONCATENATE((INDEX($AH$7:$AH$44,SMALL(IF($AH$7:$AH$44&lt;&gt;"",IF($AE$7:$AE$44&lt;&gt;"",ROW($AE$7:$AE$44)-MIN(ROW($AE$7:$AE$44))+1,""),""),ROW()-ROW(A$47)+1)))," "),"")</f>
        <v/>
      </c>
      <c r="AF73" s="0" t="str">
        <f aca="false" t="array" ref="AF73:AF73">IFERROR(CONCATENATE(TEXT(INDEX($AE$7:$AE$44,SMALL(IF($AH$7:$AH$44&lt;&gt;"",IF($AE$7:$AE$44&lt;&gt;"",ROW($AE$7:$AE$44)-MIN(ROW($AE$7:$AE$44))+1,""),""),ROW()-ROW(A$47)+1)),"##0")," "),"")</f>
        <v/>
      </c>
      <c r="AG73" s="0" t="str">
        <f aca="false" t="array" ref="AG73:AG73">IFERROR(CONCATENATE((INDEX($A$7:$A$44,SMALL(IF($AH$7:$AH$44&lt;&gt;"",IF($AE$7:$AE$44&lt;&gt;"",ROW($AE$7:$AE$44)-MIN(ROW($AE$7:$AE$44))+1,""),""),ROW()-ROW(A$47)+1))),),"")</f>
        <v/>
      </c>
    </row>
    <row r="74" customFormat="false" ht="15" hidden="false" customHeight="false" outlineLevel="0" collapsed="false">
      <c r="K74" s="0" t="str">
        <f aca="false" t="array" ref="K74:K74">IFERROR(CONCATENATE(TEXT(INDEX($K$7:$K$44,SMALL(IF($N$7:$N$44&lt;&gt;"",IF($K$7:$K$44&lt;&gt;"",ROW($K$7:$K$44)-MIN(ROW($K$7:$K$44))+1,""),""),ROW()-ROW(A$47)+1)),"##0"),","),"")</f>
        <v/>
      </c>
      <c r="L74" s="0" t="str">
        <f aca="false" t="array" ref="L74:L74">IFERROR(CONCATENATE((INDEX($N$7:$N$44,SMALL(IF($N$7:$N$44&lt;&gt;"",IF($K$7:$K$44&lt;&gt;"",ROW($K$7:$K$44)-MIN(ROW($K$7:$K$44))+1,""),""),ROW()-ROW(A$47)+1))),","),"")</f>
        <v/>
      </c>
      <c r="M74" s="0" t="str">
        <f aca="false" t="array" ref="M74:M74">IFERROR(CONCATENATE((INDEX($A$7:$A$44,SMALL(IF($N$7:$N$44&lt;&gt;"",IF($K$7:$K$44&lt;&gt;"",ROW($K$7:$K$44)-MIN(ROW($K$7:$K$44))+1,""),""),ROW()-ROW(A$47)+1))),),"")</f>
        <v/>
      </c>
      <c r="P74" s="0" t="str">
        <f aca="false" t="array" ref="P74:P74">IFERROR(CONCATENATE((INDEX($S$7:$S$44,SMALL(IF($S$7:$S$44&lt;&gt;"",IF($P$7:$P$44&lt;&gt;"",ROW($P$7:$P$44)-MIN(ROW($P$7:$P$44))+1,""),""),ROW()-ROW(A$47)+1)))," "),"")</f>
        <v/>
      </c>
      <c r="Q74" s="0" t="str">
        <f aca="false" t="array" ref="Q74:Q74">IFERROR(CONCATENATE(TEXT(INDEX($P$7:$P$44,SMALL(IF($S$7:$S$44&lt;&gt;"",IF($P$7:$P$44&lt;&gt;"",ROW($P$7:$P$44)-MIN(ROW($P$7:$P$44))+1,""),""),ROW()-ROW(A$47)+1)),"##0")," "),"")</f>
        <v/>
      </c>
      <c r="R74" s="0" t="str">
        <f aca="false" t="array" ref="R74:R74">IFERROR(CONCATENATE((INDEX($A$7:$A$44,SMALL(IF($S$7:$S$44&lt;&gt;"",IF($P$7:$P$44&lt;&gt;"",ROW($P$7:$P$44)-MIN(ROW($P$7:$P$44))+1,""),""),ROW()-ROW(A$47)+1))),),"")</f>
        <v/>
      </c>
      <c r="U74" s="0" t="str">
        <f aca="false" t="array" ref="U74:U74">IFERROR(CONCATENATE((INDEX($X$7:$X$44,SMALL(IF($X$7:$X$44&lt;&gt;"",IF($U$7:$U$44&lt;&gt;"",ROW($U$7:$U$44)-MIN(ROW($U$7:$U$44))+1,""),""),ROW()-ROW(A$47)+1))),","),"")</f>
        <v/>
      </c>
      <c r="V74" s="0" t="str">
        <f aca="false" t="array" ref="V74:V74">IFERROR(CONCATENATE(TEXT(INDEX($U$7:$U$44,SMALL(IF($X$7:$X$44&lt;&gt;"",IF($U$7:$U$44&lt;&gt;"",ROW($U$7:$U$44)-MIN(ROW($U$7:$U$44))+1,""),""),ROW()-ROW(A$47)+1)),"##0"),","),"")</f>
        <v/>
      </c>
      <c r="W74" s="0" t="str">
        <f aca="false" t="array" ref="W74:W74">IFERROR(CONCATENATE((INDEX($A$7:$A$44,SMALL(IF($X$7:$X$44&lt;&gt;"",IF($U$7:$U$44&lt;&gt;"",ROW($U$7:$U$44)-MIN(ROW($U$7:$U$44))+1,""),""),ROW()-ROW(A$47)+1))),),"")</f>
        <v/>
      </c>
      <c r="Z74" s="0" t="str">
        <f aca="false" t="array" ref="Z74:Z74">IFERROR(CONCATENATE((INDEX($AC$7:$AC$44,SMALL(IF($AC$7:$AC$44&lt;&gt;"",IF($Z$7:$Z$44&lt;&gt;"",ROW($Z$7:$Z$44)-MIN(ROW($Z$7:$Z$44))+1,""),""),ROW()-ROW(A$47)+1)))," "),"")</f>
        <v/>
      </c>
      <c r="AA74" s="0" t="str">
        <f aca="false" t="array" ref="AA74:AA74">IFERROR(CONCATENATE(TEXT(INDEX($Z$7:$Z$44,SMALL(IF($AC$7:$AC$44&lt;&gt;"",IF($Z$7:$Z$44&lt;&gt;"",ROW($Z$7:$Z$44)-MIN(ROW($Z$7:$Z$44))+1,""),""),ROW()-ROW(A$47)+1)),"##0")," "),"")</f>
        <v/>
      </c>
      <c r="AB74" s="0" t="str">
        <f aca="false" t="array" ref="AB74:AB74">IFERROR(CONCATENATE((INDEX($A$7:$A$44,SMALL(IF($AC$7:$AC$44&lt;&gt;"",IF($Z$7:$Z$44&lt;&gt;"",ROW($Z$7:$Z$44)-MIN(ROW($Z$7:$Z$44))+1,""),""),ROW()-ROW(A$47)+1))),),"")</f>
        <v/>
      </c>
      <c r="AE74" s="0" t="str">
        <f aca="false" t="array" ref="AE74:AE74">IFERROR(CONCATENATE((INDEX($AH$7:$AH$44,SMALL(IF($AH$7:$AH$44&lt;&gt;"",IF($AE$7:$AE$44&lt;&gt;"",ROW($AE$7:$AE$44)-MIN(ROW($AE$7:$AE$44))+1,""),""),ROW()-ROW(A$47)+1)))," "),"")</f>
        <v/>
      </c>
      <c r="AF74" s="0" t="str">
        <f aca="false" t="array" ref="AF74:AF74">IFERROR(CONCATENATE(TEXT(INDEX($AE$7:$AE$44,SMALL(IF($AH$7:$AH$44&lt;&gt;"",IF($AE$7:$AE$44&lt;&gt;"",ROW($AE$7:$AE$44)-MIN(ROW($AE$7:$AE$44))+1,""),""),ROW()-ROW(A$47)+1)),"##0")," "),"")</f>
        <v/>
      </c>
      <c r="AG74" s="0" t="str">
        <f aca="false" t="array" ref="AG74:AG74">IFERROR(CONCATENATE((INDEX($A$7:$A$44,SMALL(IF($AH$7:$AH$44&lt;&gt;"",IF($AE$7:$AE$44&lt;&gt;"",ROW($AE$7:$AE$44)-MIN(ROW($AE$7:$AE$44))+1,""),""),ROW()-ROW(A$47)+1))),),"")</f>
        <v/>
      </c>
    </row>
    <row r="75" customFormat="false" ht="15" hidden="false" customHeight="false" outlineLevel="0" collapsed="false">
      <c r="K75" s="0" t="str">
        <f aca="false" t="array" ref="K75:K75">IFERROR(CONCATENATE(TEXT(INDEX($K$7:$K$44,SMALL(IF($N$7:$N$44&lt;&gt;"",IF($K$7:$K$44&lt;&gt;"",ROW($K$7:$K$44)-MIN(ROW($K$7:$K$44))+1,""),""),ROW()-ROW(A$47)+1)),"##0"),","),"")</f>
        <v/>
      </c>
      <c r="L75" s="0" t="str">
        <f aca="false" t="array" ref="L75:L75">IFERROR(CONCATENATE((INDEX($N$7:$N$44,SMALL(IF($N$7:$N$44&lt;&gt;"",IF($K$7:$K$44&lt;&gt;"",ROW($K$7:$K$44)-MIN(ROW($K$7:$K$44))+1,""),""),ROW()-ROW(A$47)+1))),","),"")</f>
        <v/>
      </c>
      <c r="M75" s="0" t="str">
        <f aca="false" t="array" ref="M75:M75">IFERROR(CONCATENATE((INDEX($A$7:$A$44,SMALL(IF($N$7:$N$44&lt;&gt;"",IF($K$7:$K$44&lt;&gt;"",ROW($K$7:$K$44)-MIN(ROW($K$7:$K$44))+1,""),""),ROW()-ROW(A$47)+1))),),"")</f>
        <v/>
      </c>
      <c r="P75" s="0" t="str">
        <f aca="false" t="array" ref="P75:P75">IFERROR(CONCATENATE((INDEX($S$7:$S$44,SMALL(IF($S$7:$S$44&lt;&gt;"",IF($P$7:$P$44&lt;&gt;"",ROW($P$7:$P$44)-MIN(ROW($P$7:$P$44))+1,""),""),ROW()-ROW(A$47)+1)))," "),"")</f>
        <v/>
      </c>
      <c r="Q75" s="0" t="str">
        <f aca="false" t="array" ref="Q75:Q75">IFERROR(CONCATENATE(TEXT(INDEX($P$7:$P$44,SMALL(IF($S$7:$S$44&lt;&gt;"",IF($P$7:$P$44&lt;&gt;"",ROW($P$7:$P$44)-MIN(ROW($P$7:$P$44))+1,""),""),ROW()-ROW(A$47)+1)),"##0")," "),"")</f>
        <v/>
      </c>
      <c r="R75" s="0" t="str">
        <f aca="false" t="array" ref="R75:R75">IFERROR(CONCATENATE((INDEX($A$7:$A$44,SMALL(IF($S$7:$S$44&lt;&gt;"",IF($P$7:$P$44&lt;&gt;"",ROW($P$7:$P$44)-MIN(ROW($P$7:$P$44))+1,""),""),ROW()-ROW(A$47)+1))),),"")</f>
        <v/>
      </c>
      <c r="U75" s="0" t="str">
        <f aca="false" t="array" ref="U75:U75">IFERROR(CONCATENATE((INDEX($X$7:$X$44,SMALL(IF($X$7:$X$44&lt;&gt;"",IF($U$7:$U$44&lt;&gt;"",ROW($U$7:$U$44)-MIN(ROW($U$7:$U$44))+1,""),""),ROW()-ROW(A$47)+1))),","),"")</f>
        <v/>
      </c>
      <c r="V75" s="0" t="str">
        <f aca="false" t="array" ref="V75:V75">IFERROR(CONCATENATE(TEXT(INDEX($U$7:$U$44,SMALL(IF($X$7:$X$44&lt;&gt;"",IF($U$7:$U$44&lt;&gt;"",ROW($U$7:$U$44)-MIN(ROW($U$7:$U$44))+1,""),""),ROW()-ROW(A$47)+1)),"##0"),","),"")</f>
        <v/>
      </c>
      <c r="W75" s="0" t="str">
        <f aca="false" t="array" ref="W75:W75">IFERROR(CONCATENATE((INDEX($A$7:$A$44,SMALL(IF($X$7:$X$44&lt;&gt;"",IF($U$7:$U$44&lt;&gt;"",ROW($U$7:$U$44)-MIN(ROW($U$7:$U$44))+1,""),""),ROW()-ROW(A$47)+1))),),"")</f>
        <v/>
      </c>
      <c r="Z75" s="0" t="str">
        <f aca="false" t="array" ref="Z75:Z75">IFERROR(CONCATENATE((INDEX($AC$7:$AC$44,SMALL(IF($AC$7:$AC$44&lt;&gt;"",IF($Z$7:$Z$44&lt;&gt;"",ROW($Z$7:$Z$44)-MIN(ROW($Z$7:$Z$44))+1,""),""),ROW()-ROW(A$47)+1)))," "),"")</f>
        <v/>
      </c>
      <c r="AA75" s="0" t="str">
        <f aca="false" t="array" ref="AA75:AA75">IFERROR(CONCATENATE(TEXT(INDEX($Z$7:$Z$44,SMALL(IF($AC$7:$AC$44&lt;&gt;"",IF($Z$7:$Z$44&lt;&gt;"",ROW($Z$7:$Z$44)-MIN(ROW($Z$7:$Z$44))+1,""),""),ROW()-ROW(A$47)+1)),"##0")," "),"")</f>
        <v/>
      </c>
      <c r="AB75" s="0" t="str">
        <f aca="false" t="array" ref="AB75:AB75">IFERROR(CONCATENATE((INDEX($A$7:$A$44,SMALL(IF($AC$7:$AC$44&lt;&gt;"",IF($Z$7:$Z$44&lt;&gt;"",ROW($Z$7:$Z$44)-MIN(ROW($Z$7:$Z$44))+1,""),""),ROW()-ROW(A$47)+1))),),"")</f>
        <v/>
      </c>
      <c r="AE75" s="0" t="str">
        <f aca="false" t="array" ref="AE75:AE75">IFERROR(CONCATENATE((INDEX($AH$7:$AH$44,SMALL(IF($AH$7:$AH$44&lt;&gt;"",IF($AE$7:$AE$44&lt;&gt;"",ROW($AE$7:$AE$44)-MIN(ROW($AE$7:$AE$44))+1,""),""),ROW()-ROW(A$47)+1)))," "),"")</f>
        <v/>
      </c>
      <c r="AF75" s="0" t="str">
        <f aca="false" t="array" ref="AF75:AF75">IFERROR(CONCATENATE(TEXT(INDEX($AE$7:$AE$44,SMALL(IF($AH$7:$AH$44&lt;&gt;"",IF($AE$7:$AE$44&lt;&gt;"",ROW($AE$7:$AE$44)-MIN(ROW($AE$7:$AE$44))+1,""),""),ROW()-ROW(A$47)+1)),"##0")," "),"")</f>
        <v/>
      </c>
      <c r="AG75" s="0" t="str">
        <f aca="false" t="array" ref="AG75:AG75">IFERROR(CONCATENATE((INDEX($A$7:$A$44,SMALL(IF($AH$7:$AH$44&lt;&gt;"",IF($AE$7:$AE$44&lt;&gt;"",ROW($AE$7:$AE$44)-MIN(ROW($AE$7:$AE$44))+1,""),""),ROW()-ROW(A$47)+1))),),"")</f>
        <v/>
      </c>
    </row>
    <row r="76" customFormat="false" ht="15" hidden="false" customHeight="false" outlineLevel="0" collapsed="false">
      <c r="K76" s="0" t="str">
        <f aca="false" t="array" ref="K76:K76">IFERROR(CONCATENATE(TEXT(INDEX($K$7:$K$44,SMALL(IF($N$7:$N$44&lt;&gt;"",IF($K$7:$K$44&lt;&gt;"",ROW($K$7:$K$44)-MIN(ROW($K$7:$K$44))+1,""),""),ROW()-ROW(A$47)+1)),"##0"),","),"")</f>
        <v/>
      </c>
      <c r="L76" s="0" t="str">
        <f aca="false" t="array" ref="L76:L76">IFERROR(CONCATENATE((INDEX($N$7:$N$44,SMALL(IF($N$7:$N$44&lt;&gt;"",IF($K$7:$K$44&lt;&gt;"",ROW($K$7:$K$44)-MIN(ROW($K$7:$K$44))+1,""),""),ROW()-ROW(A$47)+1))),","),"")</f>
        <v/>
      </c>
      <c r="M76" s="0" t="str">
        <f aca="false" t="array" ref="M76:M76">IFERROR(CONCATENATE((INDEX($A$7:$A$44,SMALL(IF($N$7:$N$44&lt;&gt;"",IF($K$7:$K$44&lt;&gt;"",ROW($K$7:$K$44)-MIN(ROW($K$7:$K$44))+1,""),""),ROW()-ROW(A$47)+1))),),"")</f>
        <v/>
      </c>
      <c r="P76" s="0" t="str">
        <f aca="false" t="array" ref="P76:P76">IFERROR(CONCATENATE((INDEX($S$7:$S$44,SMALL(IF($S$7:$S$44&lt;&gt;"",IF($P$7:$P$44&lt;&gt;"",ROW($P$7:$P$44)-MIN(ROW($P$7:$P$44))+1,""),""),ROW()-ROW(A$47)+1)))," "),"")</f>
        <v/>
      </c>
      <c r="Q76" s="0" t="str">
        <f aca="false" t="array" ref="Q76:Q76">IFERROR(CONCATENATE(TEXT(INDEX($P$7:$P$44,SMALL(IF($S$7:$S$44&lt;&gt;"",IF($P$7:$P$44&lt;&gt;"",ROW($P$7:$P$44)-MIN(ROW($P$7:$P$44))+1,""),""),ROW()-ROW(A$47)+1)),"##0")," "),"")</f>
        <v/>
      </c>
      <c r="R76" s="0" t="str">
        <f aca="false" t="array" ref="R76:R76">IFERROR(CONCATENATE((INDEX($A$7:$A$44,SMALL(IF($S$7:$S$44&lt;&gt;"",IF($P$7:$P$44&lt;&gt;"",ROW($P$7:$P$44)-MIN(ROW($P$7:$P$44))+1,""),""),ROW()-ROW(A$47)+1))),),"")</f>
        <v/>
      </c>
      <c r="U76" s="0" t="str">
        <f aca="false" t="array" ref="U76:U76">IFERROR(CONCATENATE((INDEX($X$7:$X$44,SMALL(IF($X$7:$X$44&lt;&gt;"",IF($U$7:$U$44&lt;&gt;"",ROW($U$7:$U$44)-MIN(ROW($U$7:$U$44))+1,""),""),ROW()-ROW(A$47)+1))),","),"")</f>
        <v/>
      </c>
      <c r="V76" s="0" t="str">
        <f aca="false" t="array" ref="V76:V76">IFERROR(CONCATENATE(TEXT(INDEX($U$7:$U$44,SMALL(IF($X$7:$X$44&lt;&gt;"",IF($U$7:$U$44&lt;&gt;"",ROW($U$7:$U$44)-MIN(ROW($U$7:$U$44))+1,""),""),ROW()-ROW(A$47)+1)),"##0"),","),"")</f>
        <v/>
      </c>
      <c r="W76" s="0" t="str">
        <f aca="false" t="array" ref="W76:W76">IFERROR(CONCATENATE((INDEX($A$7:$A$44,SMALL(IF($X$7:$X$44&lt;&gt;"",IF($U$7:$U$44&lt;&gt;"",ROW($U$7:$U$44)-MIN(ROW($U$7:$U$44))+1,""),""),ROW()-ROW(A$47)+1))),),"")</f>
        <v/>
      </c>
      <c r="Z76" s="0" t="str">
        <f aca="false" t="array" ref="Z76:Z76">IFERROR(CONCATENATE((INDEX($AC$7:$AC$44,SMALL(IF($AC$7:$AC$44&lt;&gt;"",IF($Z$7:$Z$44&lt;&gt;"",ROW($Z$7:$Z$44)-MIN(ROW($Z$7:$Z$44))+1,""),""),ROW()-ROW(A$47)+1)))," "),"")</f>
        <v/>
      </c>
      <c r="AA76" s="0" t="str">
        <f aca="false" t="array" ref="AA76:AA76">IFERROR(CONCATENATE(TEXT(INDEX($Z$7:$Z$44,SMALL(IF($AC$7:$AC$44&lt;&gt;"",IF($Z$7:$Z$44&lt;&gt;"",ROW($Z$7:$Z$44)-MIN(ROW($Z$7:$Z$44))+1,""),""),ROW()-ROW(A$47)+1)),"##0")," "),"")</f>
        <v/>
      </c>
      <c r="AB76" s="0" t="str">
        <f aca="false" t="array" ref="AB76:AB76">IFERROR(CONCATENATE((INDEX($A$7:$A$44,SMALL(IF($AC$7:$AC$44&lt;&gt;"",IF($Z$7:$Z$44&lt;&gt;"",ROW($Z$7:$Z$44)-MIN(ROW($Z$7:$Z$44))+1,""),""),ROW()-ROW(A$47)+1))),),"")</f>
        <v/>
      </c>
      <c r="AE76" s="0" t="str">
        <f aca="false" t="array" ref="AE76:AE76">IFERROR(CONCATENATE((INDEX($AH$7:$AH$44,SMALL(IF($AH$7:$AH$44&lt;&gt;"",IF($AE$7:$AE$44&lt;&gt;"",ROW($AE$7:$AE$44)-MIN(ROW($AE$7:$AE$44))+1,""),""),ROW()-ROW(A$47)+1)))," "),"")</f>
        <v/>
      </c>
      <c r="AF76" s="0" t="str">
        <f aca="false" t="array" ref="AF76:AF76">IFERROR(CONCATENATE(TEXT(INDEX($AE$7:$AE$44,SMALL(IF($AH$7:$AH$44&lt;&gt;"",IF($AE$7:$AE$44&lt;&gt;"",ROW($AE$7:$AE$44)-MIN(ROW($AE$7:$AE$44))+1,""),""),ROW()-ROW(A$47)+1)),"##0")," "),"")</f>
        <v/>
      </c>
      <c r="AG76" s="0" t="str">
        <f aca="false" t="array" ref="AG76:AG76">IFERROR(CONCATENATE((INDEX($A$7:$A$44,SMALL(IF($AH$7:$AH$44&lt;&gt;"",IF($AE$7:$AE$44&lt;&gt;"",ROW($AE$7:$AE$44)-MIN(ROW($AE$7:$AE$44))+1,""),""),ROW()-ROW(A$47)+1))),),"")</f>
        <v/>
      </c>
    </row>
    <row r="77" customFormat="false" ht="15" hidden="false" customHeight="false" outlineLevel="0" collapsed="false">
      <c r="K77" s="0" t="str">
        <f aca="false" t="array" ref="K77:K77">IFERROR(CONCATENATE(TEXT(INDEX($K$7:$K$44,SMALL(IF($N$7:$N$44&lt;&gt;"",IF($K$7:$K$44&lt;&gt;"",ROW($K$7:$K$44)-MIN(ROW($K$7:$K$44))+1,""),""),ROW()-ROW(A$47)+1)),"##0"),","),"")</f>
        <v/>
      </c>
      <c r="L77" s="0" t="str">
        <f aca="false" t="array" ref="L77:L77">IFERROR(CONCATENATE((INDEX($N$7:$N$44,SMALL(IF($N$7:$N$44&lt;&gt;"",IF($K$7:$K$44&lt;&gt;"",ROW($K$7:$K$44)-MIN(ROW($K$7:$K$44))+1,""),""),ROW()-ROW(A$47)+1))),","),"")</f>
        <v/>
      </c>
      <c r="M77" s="0" t="str">
        <f aca="false" t="array" ref="M77:M77">IFERROR(CONCATENATE((INDEX($A$7:$A$44,SMALL(IF($N$7:$N$44&lt;&gt;"",IF($K$7:$K$44&lt;&gt;"",ROW($K$7:$K$44)-MIN(ROW($K$7:$K$44))+1,""),""),ROW()-ROW(A$47)+1))),),"")</f>
        <v/>
      </c>
      <c r="P77" s="0" t="str">
        <f aca="false" t="array" ref="P77:P77">IFERROR(CONCATENATE((INDEX($S$7:$S$44,SMALL(IF($S$7:$S$44&lt;&gt;"",IF($P$7:$P$44&lt;&gt;"",ROW($P$7:$P$44)-MIN(ROW($P$7:$P$44))+1,""),""),ROW()-ROW(A$47)+1)))," "),"")</f>
        <v/>
      </c>
      <c r="Q77" s="0" t="str">
        <f aca="false" t="array" ref="Q77:Q77">IFERROR(CONCATENATE(TEXT(INDEX($P$7:$P$44,SMALL(IF($S$7:$S$44&lt;&gt;"",IF($P$7:$P$44&lt;&gt;"",ROW($P$7:$P$44)-MIN(ROW($P$7:$P$44))+1,""),""),ROW()-ROW(A$47)+1)),"##0")," "),"")</f>
        <v/>
      </c>
      <c r="R77" s="0" t="str">
        <f aca="false" t="array" ref="R77:R77">IFERROR(CONCATENATE((INDEX($A$7:$A$44,SMALL(IF($S$7:$S$44&lt;&gt;"",IF($P$7:$P$44&lt;&gt;"",ROW($P$7:$P$44)-MIN(ROW($P$7:$P$44))+1,""),""),ROW()-ROW(A$47)+1))),),"")</f>
        <v/>
      </c>
      <c r="U77" s="0" t="str">
        <f aca="false" t="array" ref="U77:U77">IFERROR(CONCATENATE((INDEX($X$7:$X$44,SMALL(IF($X$7:$X$44&lt;&gt;"",IF($U$7:$U$44&lt;&gt;"",ROW($U$7:$U$44)-MIN(ROW($U$7:$U$44))+1,""),""),ROW()-ROW(A$47)+1))),","),"")</f>
        <v/>
      </c>
      <c r="V77" s="0" t="str">
        <f aca="false" t="array" ref="V77:V77">IFERROR(CONCATENATE(TEXT(INDEX($U$7:$U$44,SMALL(IF($X$7:$X$44&lt;&gt;"",IF($U$7:$U$44&lt;&gt;"",ROW($U$7:$U$44)-MIN(ROW($U$7:$U$44))+1,""),""),ROW()-ROW(A$47)+1)),"##0"),","),"")</f>
        <v/>
      </c>
      <c r="W77" s="0" t="str">
        <f aca="false" t="array" ref="W77:W77">IFERROR(CONCATENATE((INDEX($A$7:$A$44,SMALL(IF($X$7:$X$44&lt;&gt;"",IF($U$7:$U$44&lt;&gt;"",ROW($U$7:$U$44)-MIN(ROW($U$7:$U$44))+1,""),""),ROW()-ROW(A$47)+1))),),"")</f>
        <v/>
      </c>
      <c r="Z77" s="0" t="str">
        <f aca="false" t="array" ref="Z77:Z77">IFERROR(CONCATENATE((INDEX($AC$7:$AC$44,SMALL(IF($AC$7:$AC$44&lt;&gt;"",IF($Z$7:$Z$44&lt;&gt;"",ROW($Z$7:$Z$44)-MIN(ROW($Z$7:$Z$44))+1,""),""),ROW()-ROW(A$47)+1)))," "),"")</f>
        <v/>
      </c>
      <c r="AA77" s="0" t="str">
        <f aca="false" t="array" ref="AA77:AA77">IFERROR(CONCATENATE(TEXT(INDEX($Z$7:$Z$44,SMALL(IF($AC$7:$AC$44&lt;&gt;"",IF($Z$7:$Z$44&lt;&gt;"",ROW($Z$7:$Z$44)-MIN(ROW($Z$7:$Z$44))+1,""),""),ROW()-ROW(A$47)+1)),"##0")," "),"")</f>
        <v/>
      </c>
      <c r="AB77" s="0" t="str">
        <f aca="false" t="array" ref="AB77:AB77">IFERROR(CONCATENATE((INDEX($A$7:$A$44,SMALL(IF($AC$7:$AC$44&lt;&gt;"",IF($Z$7:$Z$44&lt;&gt;"",ROW($Z$7:$Z$44)-MIN(ROW($Z$7:$Z$44))+1,""),""),ROW()-ROW(A$47)+1))),),"")</f>
        <v/>
      </c>
      <c r="AE77" s="0" t="str">
        <f aca="false" t="array" ref="AE77:AE77">IFERROR(CONCATENATE((INDEX($AH$7:$AH$44,SMALL(IF($AH$7:$AH$44&lt;&gt;"",IF($AE$7:$AE$44&lt;&gt;"",ROW($AE$7:$AE$44)-MIN(ROW($AE$7:$AE$44))+1,""),""),ROW()-ROW(A$47)+1)))," "),"")</f>
        <v/>
      </c>
      <c r="AF77" s="0" t="str">
        <f aca="false" t="array" ref="AF77:AF77">IFERROR(CONCATENATE(TEXT(INDEX($AE$7:$AE$44,SMALL(IF($AH$7:$AH$44&lt;&gt;"",IF($AE$7:$AE$44&lt;&gt;"",ROW($AE$7:$AE$44)-MIN(ROW($AE$7:$AE$44))+1,""),""),ROW()-ROW(A$47)+1)),"##0")," "),"")</f>
        <v/>
      </c>
      <c r="AG77" s="0" t="str">
        <f aca="false" t="array" ref="AG77:AG77">IFERROR(CONCATENATE((INDEX($A$7:$A$44,SMALL(IF($AH$7:$AH$44&lt;&gt;"",IF($AE$7:$AE$44&lt;&gt;"",ROW($AE$7:$AE$44)-MIN(ROW($AE$7:$AE$44))+1,""),""),ROW()-ROW(A$47)+1))),),"")</f>
        <v/>
      </c>
    </row>
    <row r="78" customFormat="false" ht="15" hidden="false" customHeight="false" outlineLevel="0" collapsed="false">
      <c r="K78" s="0" t="str">
        <f aca="false" t="array" ref="K78:K78">IFERROR(CONCATENATE(TEXT(INDEX($K$7:$K$44,SMALL(IF($N$7:$N$44&lt;&gt;"",IF($K$7:$K$44&lt;&gt;"",ROW($K$7:$K$44)-MIN(ROW($K$7:$K$44))+1,""),""),ROW()-ROW(A$47)+1)),"##0"),","),"")</f>
        <v/>
      </c>
      <c r="L78" s="0" t="str">
        <f aca="false" t="array" ref="L78:L78">IFERROR(CONCATENATE((INDEX($N$7:$N$44,SMALL(IF($N$7:$N$44&lt;&gt;"",IF($K$7:$K$44&lt;&gt;"",ROW($K$7:$K$44)-MIN(ROW($K$7:$K$44))+1,""),""),ROW()-ROW(A$47)+1))),","),"")</f>
        <v/>
      </c>
      <c r="M78" s="0" t="str">
        <f aca="false" t="array" ref="M78:M78">IFERROR(CONCATENATE((INDEX($A$7:$A$44,SMALL(IF($N$7:$N$44&lt;&gt;"",IF($K$7:$K$44&lt;&gt;"",ROW($K$7:$K$44)-MIN(ROW($K$7:$K$44))+1,""),""),ROW()-ROW(A$47)+1))),),"")</f>
        <v/>
      </c>
      <c r="P78" s="0" t="str">
        <f aca="false" t="array" ref="P78:P78">IFERROR(CONCATENATE((INDEX($S$7:$S$44,SMALL(IF($S$7:$S$44&lt;&gt;"",IF($P$7:$P$44&lt;&gt;"",ROW($P$7:$P$44)-MIN(ROW($P$7:$P$44))+1,""),""),ROW()-ROW(A$47)+1)))," "),"")</f>
        <v/>
      </c>
      <c r="Q78" s="0" t="str">
        <f aca="false" t="array" ref="Q78:Q78">IFERROR(CONCATENATE(TEXT(INDEX($P$7:$P$44,SMALL(IF($S$7:$S$44&lt;&gt;"",IF($P$7:$P$44&lt;&gt;"",ROW($P$7:$P$44)-MIN(ROW($P$7:$P$44))+1,""),""),ROW()-ROW(A$47)+1)),"##0")," "),"")</f>
        <v/>
      </c>
      <c r="R78" s="0" t="str">
        <f aca="false" t="array" ref="R78:R78">IFERROR(CONCATENATE((INDEX($A$7:$A$44,SMALL(IF($S$7:$S$44&lt;&gt;"",IF($P$7:$P$44&lt;&gt;"",ROW($P$7:$P$44)-MIN(ROW($P$7:$P$44))+1,""),""),ROW()-ROW(A$47)+1))),),"")</f>
        <v/>
      </c>
      <c r="U78" s="0" t="str">
        <f aca="false" t="array" ref="U78:U78">IFERROR(CONCATENATE((INDEX($X$7:$X$44,SMALL(IF($X$7:$X$44&lt;&gt;"",IF($U$7:$U$44&lt;&gt;"",ROW($U$7:$U$44)-MIN(ROW($U$7:$U$44))+1,""),""),ROW()-ROW(A$47)+1))),","),"")</f>
        <v/>
      </c>
      <c r="V78" s="0" t="str">
        <f aca="false" t="array" ref="V78:V78">IFERROR(CONCATENATE(TEXT(INDEX($U$7:$U$44,SMALL(IF($X$7:$X$44&lt;&gt;"",IF($U$7:$U$44&lt;&gt;"",ROW($U$7:$U$44)-MIN(ROW($U$7:$U$44))+1,""),""),ROW()-ROW(A$47)+1)),"##0"),","),"")</f>
        <v/>
      </c>
      <c r="W78" s="0" t="str">
        <f aca="false" t="array" ref="W78:W78">IFERROR(CONCATENATE((INDEX($A$7:$A$44,SMALL(IF($X$7:$X$44&lt;&gt;"",IF($U$7:$U$44&lt;&gt;"",ROW($U$7:$U$44)-MIN(ROW($U$7:$U$44))+1,""),""),ROW()-ROW(A$47)+1))),),"")</f>
        <v/>
      </c>
      <c r="Z78" s="0" t="str">
        <f aca="false" t="array" ref="Z78:Z78">IFERROR(CONCATENATE((INDEX($AC$7:$AC$44,SMALL(IF($AC$7:$AC$44&lt;&gt;"",IF($Z$7:$Z$44&lt;&gt;"",ROW($Z$7:$Z$44)-MIN(ROW($Z$7:$Z$44))+1,""),""),ROW()-ROW(A$47)+1)))," "),"")</f>
        <v/>
      </c>
      <c r="AA78" s="0" t="str">
        <f aca="false" t="array" ref="AA78:AA78">IFERROR(CONCATENATE(TEXT(INDEX($Z$7:$Z$44,SMALL(IF($AC$7:$AC$44&lt;&gt;"",IF($Z$7:$Z$44&lt;&gt;"",ROW($Z$7:$Z$44)-MIN(ROW($Z$7:$Z$44))+1,""),""),ROW()-ROW(A$47)+1)),"##0")," "),"")</f>
        <v/>
      </c>
      <c r="AB78" s="0" t="str">
        <f aca="false" t="array" ref="AB78:AB78">IFERROR(CONCATENATE((INDEX($A$7:$A$44,SMALL(IF($AC$7:$AC$44&lt;&gt;"",IF($Z$7:$Z$44&lt;&gt;"",ROW($Z$7:$Z$44)-MIN(ROW($Z$7:$Z$44))+1,""),""),ROW()-ROW(A$47)+1))),),"")</f>
        <v/>
      </c>
      <c r="AE78" s="0" t="str">
        <f aca="false" t="array" ref="AE78:AE78">IFERROR(CONCATENATE((INDEX($AH$7:$AH$44,SMALL(IF($AH$7:$AH$44&lt;&gt;"",IF($AE$7:$AE$44&lt;&gt;"",ROW($AE$7:$AE$44)-MIN(ROW($AE$7:$AE$44))+1,""),""),ROW()-ROW(A$47)+1)))," "),"")</f>
        <v/>
      </c>
      <c r="AF78" s="0" t="str">
        <f aca="false" t="array" ref="AF78:AF78">IFERROR(CONCATENATE(TEXT(INDEX($AE$7:$AE$44,SMALL(IF($AH$7:$AH$44&lt;&gt;"",IF($AE$7:$AE$44&lt;&gt;"",ROW($AE$7:$AE$44)-MIN(ROW($AE$7:$AE$44))+1,""),""),ROW()-ROW(A$47)+1)),"##0")," "),"")</f>
        <v/>
      </c>
      <c r="AG78" s="0" t="str">
        <f aca="false" t="array" ref="AG78:AG78">IFERROR(CONCATENATE((INDEX($A$7:$A$44,SMALL(IF($AH$7:$AH$44&lt;&gt;"",IF($AE$7:$AE$44&lt;&gt;"",ROW($AE$7:$AE$44)-MIN(ROW($AE$7:$AE$44))+1,""),""),ROW()-ROW(A$47)+1))),),"")</f>
        <v/>
      </c>
    </row>
    <row r="79" customFormat="false" ht="15" hidden="false" customHeight="false" outlineLevel="0" collapsed="false">
      <c r="K79" s="0" t="str">
        <f aca="false" t="array" ref="K79:K79">IFERROR(CONCATENATE(TEXT(INDEX($K$7:$K$44,SMALL(IF($N$7:$N$44&lt;&gt;"",IF($K$7:$K$44&lt;&gt;"",ROW($K$7:$K$44)-MIN(ROW($K$7:$K$44))+1,""),""),ROW()-ROW(A$47)+1)),"##0"),","),"")</f>
        <v/>
      </c>
      <c r="L79" s="0" t="str">
        <f aca="false" t="array" ref="L79:L79">IFERROR(CONCATENATE((INDEX($N$7:$N$44,SMALL(IF($N$7:$N$44&lt;&gt;"",IF($K$7:$K$44&lt;&gt;"",ROW($K$7:$K$44)-MIN(ROW($K$7:$K$44))+1,""),""),ROW()-ROW(A$47)+1))),","),"")</f>
        <v/>
      </c>
      <c r="M79" s="0" t="str">
        <f aca="false" t="array" ref="M79:M79">IFERROR(CONCATENATE((INDEX($A$7:$A$44,SMALL(IF($N$7:$N$44&lt;&gt;"",IF($K$7:$K$44&lt;&gt;"",ROW($K$7:$K$44)-MIN(ROW($K$7:$K$44))+1,""),""),ROW()-ROW(A$47)+1))),),"")</f>
        <v/>
      </c>
      <c r="P79" s="0" t="str">
        <f aca="false" t="array" ref="P79:P79">IFERROR(CONCATENATE((INDEX($S$7:$S$44,SMALL(IF($S$7:$S$44&lt;&gt;"",IF($P$7:$P$44&lt;&gt;"",ROW($P$7:$P$44)-MIN(ROW($P$7:$P$44))+1,""),""),ROW()-ROW(A$47)+1)))," "),"")</f>
        <v/>
      </c>
      <c r="Q79" s="0" t="str">
        <f aca="false" t="array" ref="Q79:Q79">IFERROR(CONCATENATE(TEXT(INDEX($P$7:$P$44,SMALL(IF($S$7:$S$44&lt;&gt;"",IF($P$7:$P$44&lt;&gt;"",ROW($P$7:$P$44)-MIN(ROW($P$7:$P$44))+1,""),""),ROW()-ROW(A$47)+1)),"##0")," "),"")</f>
        <v/>
      </c>
      <c r="R79" s="0" t="str">
        <f aca="false" t="array" ref="R79:R79">IFERROR(CONCATENATE((INDEX($A$7:$A$44,SMALL(IF($S$7:$S$44&lt;&gt;"",IF($P$7:$P$44&lt;&gt;"",ROW($P$7:$P$44)-MIN(ROW($P$7:$P$44))+1,""),""),ROW()-ROW(A$47)+1))),),"")</f>
        <v/>
      </c>
      <c r="U79" s="0" t="str">
        <f aca="false" t="array" ref="U79:U79">IFERROR(CONCATENATE((INDEX($X$7:$X$44,SMALL(IF($X$7:$X$44&lt;&gt;"",IF($U$7:$U$44&lt;&gt;"",ROW($U$7:$U$44)-MIN(ROW($U$7:$U$44))+1,""),""),ROW()-ROW(A$47)+1))),","),"")</f>
        <v/>
      </c>
      <c r="V79" s="0" t="str">
        <f aca="false" t="array" ref="V79:V79">IFERROR(CONCATENATE(TEXT(INDEX($U$7:$U$44,SMALL(IF($X$7:$X$44&lt;&gt;"",IF($U$7:$U$44&lt;&gt;"",ROW($U$7:$U$44)-MIN(ROW($U$7:$U$44))+1,""),""),ROW()-ROW(A$47)+1)),"##0"),","),"")</f>
        <v/>
      </c>
      <c r="W79" s="0" t="str">
        <f aca="false" t="array" ref="W79:W79">IFERROR(CONCATENATE((INDEX($A$7:$A$44,SMALL(IF($X$7:$X$44&lt;&gt;"",IF($U$7:$U$44&lt;&gt;"",ROW($U$7:$U$44)-MIN(ROW($U$7:$U$44))+1,""),""),ROW()-ROW(A$47)+1))),),"")</f>
        <v/>
      </c>
      <c r="Z79" s="0" t="str">
        <f aca="false" t="array" ref="Z79:Z79">IFERROR(CONCATENATE((INDEX($AC$7:$AC$44,SMALL(IF($AC$7:$AC$44&lt;&gt;"",IF($Z$7:$Z$44&lt;&gt;"",ROW($Z$7:$Z$44)-MIN(ROW($Z$7:$Z$44))+1,""),""),ROW()-ROW(A$47)+1)))," "),"")</f>
        <v/>
      </c>
      <c r="AA79" s="0" t="str">
        <f aca="false" t="array" ref="AA79:AA79">IFERROR(CONCATENATE(TEXT(INDEX($Z$7:$Z$44,SMALL(IF($AC$7:$AC$44&lt;&gt;"",IF($Z$7:$Z$44&lt;&gt;"",ROW($Z$7:$Z$44)-MIN(ROW($Z$7:$Z$44))+1,""),""),ROW()-ROW(A$47)+1)),"##0")," "),"")</f>
        <v/>
      </c>
      <c r="AB79" s="0" t="str">
        <f aca="false" t="array" ref="AB79:AB79">IFERROR(CONCATENATE((INDEX($A$7:$A$44,SMALL(IF($AC$7:$AC$44&lt;&gt;"",IF($Z$7:$Z$44&lt;&gt;"",ROW($Z$7:$Z$44)-MIN(ROW($Z$7:$Z$44))+1,""),""),ROW()-ROW(A$47)+1))),),"")</f>
        <v/>
      </c>
      <c r="AE79" s="0" t="str">
        <f aca="false" t="array" ref="AE79:AE79">IFERROR(CONCATENATE((INDEX($AH$7:$AH$44,SMALL(IF($AH$7:$AH$44&lt;&gt;"",IF($AE$7:$AE$44&lt;&gt;"",ROW($AE$7:$AE$44)-MIN(ROW($AE$7:$AE$44))+1,""),""),ROW()-ROW(A$47)+1)))," "),"")</f>
        <v/>
      </c>
      <c r="AF79" s="0" t="str">
        <f aca="false" t="array" ref="AF79:AF79">IFERROR(CONCATENATE(TEXT(INDEX($AE$7:$AE$44,SMALL(IF($AH$7:$AH$44&lt;&gt;"",IF($AE$7:$AE$44&lt;&gt;"",ROW($AE$7:$AE$44)-MIN(ROW($AE$7:$AE$44))+1,""),""),ROW()-ROW(A$47)+1)),"##0")," "),"")</f>
        <v/>
      </c>
      <c r="AG79" s="0" t="str">
        <f aca="false" t="array" ref="AG79:AG79">IFERROR(CONCATENATE((INDEX($A$7:$A$44,SMALL(IF($AH$7:$AH$44&lt;&gt;"",IF($AE$7:$AE$44&lt;&gt;"",ROW($AE$7:$AE$44)-MIN(ROW($AE$7:$AE$44))+1,""),""),ROW()-ROW(A$47)+1))),),"")</f>
        <v/>
      </c>
    </row>
    <row r="80" customFormat="false" ht="15" hidden="false" customHeight="false" outlineLevel="0" collapsed="false">
      <c r="K80" s="0" t="str">
        <f aca="false" t="array" ref="K80:K80">IFERROR(CONCATENATE(TEXT(INDEX($K$7:$K$44,SMALL(IF($N$7:$N$44&lt;&gt;"",IF($K$7:$K$44&lt;&gt;"",ROW($K$7:$K$44)-MIN(ROW($K$7:$K$44))+1,""),""),ROW()-ROW(A$47)+1)),"##0"),","),"")</f>
        <v/>
      </c>
      <c r="L80" s="0" t="str">
        <f aca="false" t="array" ref="L80:L80">IFERROR(CONCATENATE((INDEX($N$7:$N$44,SMALL(IF($N$7:$N$44&lt;&gt;"",IF($K$7:$K$44&lt;&gt;"",ROW($K$7:$K$44)-MIN(ROW($K$7:$K$44))+1,""),""),ROW()-ROW(A$47)+1))),","),"")</f>
        <v/>
      </c>
      <c r="M80" s="0" t="str">
        <f aca="false" t="array" ref="M80:M80">IFERROR(CONCATENATE((INDEX($A$7:$A$44,SMALL(IF($N$7:$N$44&lt;&gt;"",IF($K$7:$K$44&lt;&gt;"",ROW($K$7:$K$44)-MIN(ROW($K$7:$K$44))+1,""),""),ROW()-ROW(A$47)+1))),),"")</f>
        <v/>
      </c>
      <c r="P80" s="0" t="str">
        <f aca="false" t="array" ref="P80:P80">IFERROR(CONCATENATE((INDEX($S$7:$S$44,SMALL(IF($S$7:$S$44&lt;&gt;"",IF($P$7:$P$44&lt;&gt;"",ROW($P$7:$P$44)-MIN(ROW($P$7:$P$44))+1,""),""),ROW()-ROW(A$47)+1)))," "),"")</f>
        <v/>
      </c>
      <c r="Q80" s="0" t="str">
        <f aca="false" t="array" ref="Q80:Q80">IFERROR(CONCATENATE(TEXT(INDEX($P$7:$P$44,SMALL(IF($S$7:$S$44&lt;&gt;"",IF($P$7:$P$44&lt;&gt;"",ROW($P$7:$P$44)-MIN(ROW($P$7:$P$44))+1,""),""),ROW()-ROW(A$47)+1)),"##0")," "),"")</f>
        <v/>
      </c>
      <c r="R80" s="0" t="str">
        <f aca="false" t="array" ref="R80:R80">IFERROR(CONCATENATE((INDEX($A$7:$A$44,SMALL(IF($S$7:$S$44&lt;&gt;"",IF($P$7:$P$44&lt;&gt;"",ROW($P$7:$P$44)-MIN(ROW($P$7:$P$44))+1,""),""),ROW()-ROW(A$47)+1))),),"")</f>
        <v/>
      </c>
      <c r="U80" s="0" t="str">
        <f aca="false" t="array" ref="U80:U80">IFERROR(CONCATENATE((INDEX($X$7:$X$44,SMALL(IF($X$7:$X$44&lt;&gt;"",IF($U$7:$U$44&lt;&gt;"",ROW($U$7:$U$44)-MIN(ROW($U$7:$U$44))+1,""),""),ROW()-ROW(A$47)+1))),","),"")</f>
        <v/>
      </c>
      <c r="V80" s="0" t="str">
        <f aca="false" t="array" ref="V80:V80">IFERROR(CONCATENATE(TEXT(INDEX($U$7:$U$44,SMALL(IF($X$7:$X$44&lt;&gt;"",IF($U$7:$U$44&lt;&gt;"",ROW($U$7:$U$44)-MIN(ROW($U$7:$U$44))+1,""),""),ROW()-ROW(A$47)+1)),"##0"),","),"")</f>
        <v/>
      </c>
      <c r="W80" s="0" t="str">
        <f aca="false" t="array" ref="W80:W80">IFERROR(CONCATENATE((INDEX($A$7:$A$44,SMALL(IF($X$7:$X$44&lt;&gt;"",IF($U$7:$U$44&lt;&gt;"",ROW($U$7:$U$44)-MIN(ROW($U$7:$U$44))+1,""),""),ROW()-ROW(A$47)+1))),),"")</f>
        <v/>
      </c>
      <c r="Z80" s="0" t="str">
        <f aca="false" t="array" ref="Z80:Z80">IFERROR(CONCATENATE((INDEX($AC$7:$AC$44,SMALL(IF($AC$7:$AC$44&lt;&gt;"",IF($Z$7:$Z$44&lt;&gt;"",ROW($Z$7:$Z$44)-MIN(ROW($Z$7:$Z$44))+1,""),""),ROW()-ROW(A$47)+1)))," "),"")</f>
        <v/>
      </c>
      <c r="AA80" s="0" t="str">
        <f aca="false" t="array" ref="AA80:AA80">IFERROR(CONCATENATE(TEXT(INDEX($Z$7:$Z$44,SMALL(IF($AC$7:$AC$44&lt;&gt;"",IF($Z$7:$Z$44&lt;&gt;"",ROW($Z$7:$Z$44)-MIN(ROW($Z$7:$Z$44))+1,""),""),ROW()-ROW(A$47)+1)),"##0")," "),"")</f>
        <v/>
      </c>
      <c r="AB80" s="0" t="str">
        <f aca="false" t="array" ref="AB80:AB80">IFERROR(CONCATENATE((INDEX($A$7:$A$44,SMALL(IF($AC$7:$AC$44&lt;&gt;"",IF($Z$7:$Z$44&lt;&gt;"",ROW($Z$7:$Z$44)-MIN(ROW($Z$7:$Z$44))+1,""),""),ROW()-ROW(A$47)+1))),),"")</f>
        <v/>
      </c>
      <c r="AE80" s="0" t="str">
        <f aca="false" t="array" ref="AE80:AE80">IFERROR(CONCATENATE((INDEX($AH$7:$AH$44,SMALL(IF($AH$7:$AH$44&lt;&gt;"",IF($AE$7:$AE$44&lt;&gt;"",ROW($AE$7:$AE$44)-MIN(ROW($AE$7:$AE$44))+1,""),""),ROW()-ROW(A$47)+1)))," "),"")</f>
        <v/>
      </c>
      <c r="AF80" s="0" t="str">
        <f aca="false" t="array" ref="AF80:AF80">IFERROR(CONCATENATE(TEXT(INDEX($AE$7:$AE$44,SMALL(IF($AH$7:$AH$44&lt;&gt;"",IF($AE$7:$AE$44&lt;&gt;"",ROW($AE$7:$AE$44)-MIN(ROW($AE$7:$AE$44))+1,""),""),ROW()-ROW(A$47)+1)),"##0")," "),"")</f>
        <v/>
      </c>
      <c r="AG80" s="0" t="str">
        <f aca="false" t="array" ref="AG80:AG80">IFERROR(CONCATENATE((INDEX($A$7:$A$44,SMALL(IF($AH$7:$AH$44&lt;&gt;"",IF($AE$7:$AE$44&lt;&gt;"",ROW($AE$7:$AE$44)-MIN(ROW($AE$7:$AE$44))+1,""),""),ROW()-ROW(A$47)+1))),),"")</f>
        <v/>
      </c>
    </row>
    <row r="81" customFormat="false" ht="15" hidden="false" customHeight="false" outlineLevel="0" collapsed="false">
      <c r="K81" s="0" t="str">
        <f aca="false" t="array" ref="K81:K81">IFERROR(CONCATENATE(TEXT(INDEX($K$7:$K$44,SMALL(IF($N$7:$N$44&lt;&gt;"",IF($K$7:$K$44&lt;&gt;"",ROW($K$7:$K$44)-MIN(ROW($K$7:$K$44))+1,""),""),ROW()-ROW(A$47)+1)),"##0"),","),"")</f>
        <v/>
      </c>
      <c r="L81" s="0" t="str">
        <f aca="false" t="array" ref="L81:L81">IFERROR(CONCATENATE((INDEX($N$7:$N$44,SMALL(IF($N$7:$N$44&lt;&gt;"",IF($K$7:$K$44&lt;&gt;"",ROW($K$7:$K$44)-MIN(ROW($K$7:$K$44))+1,""),""),ROW()-ROW(A$47)+1))),","),"")</f>
        <v/>
      </c>
      <c r="M81" s="0" t="str">
        <f aca="false" t="array" ref="M81:M81">IFERROR(CONCATENATE((INDEX($A$7:$A$44,SMALL(IF($N$7:$N$44&lt;&gt;"",IF($K$7:$K$44&lt;&gt;"",ROW($K$7:$K$44)-MIN(ROW($K$7:$K$44))+1,""),""),ROW()-ROW(A$47)+1))),),"")</f>
        <v/>
      </c>
      <c r="P81" s="0" t="str">
        <f aca="false" t="array" ref="P81:P81">IFERROR(CONCATENATE((INDEX($S$7:$S$44,SMALL(IF($S$7:$S$44&lt;&gt;"",IF($P$7:$P$44&lt;&gt;"",ROW($P$7:$P$44)-MIN(ROW($P$7:$P$44))+1,""),""),ROW()-ROW(A$47)+1)))," "),"")</f>
        <v/>
      </c>
      <c r="Q81" s="0" t="str">
        <f aca="false" t="array" ref="Q81:Q81">IFERROR(CONCATENATE(TEXT(INDEX($P$7:$P$44,SMALL(IF($S$7:$S$44&lt;&gt;"",IF($P$7:$P$44&lt;&gt;"",ROW($P$7:$P$44)-MIN(ROW($P$7:$P$44))+1,""),""),ROW()-ROW(A$47)+1)),"##0")," "),"")</f>
        <v/>
      </c>
      <c r="R81" s="0" t="str">
        <f aca="false" t="array" ref="R81:R81">IFERROR(CONCATENATE((INDEX($A$7:$A$44,SMALL(IF($S$7:$S$44&lt;&gt;"",IF($P$7:$P$44&lt;&gt;"",ROW($P$7:$P$44)-MIN(ROW($P$7:$P$44))+1,""),""),ROW()-ROW(A$47)+1))),),"")</f>
        <v/>
      </c>
      <c r="U81" s="0" t="str">
        <f aca="false" t="array" ref="U81:U81">IFERROR(CONCATENATE((INDEX($X$7:$X$44,SMALL(IF($X$7:$X$44&lt;&gt;"",IF($U$7:$U$44&lt;&gt;"",ROW($U$7:$U$44)-MIN(ROW($U$7:$U$44))+1,""),""),ROW()-ROW(A$47)+1))),","),"")</f>
        <v/>
      </c>
      <c r="V81" s="0" t="str">
        <f aca="false" t="array" ref="V81:V81">IFERROR(CONCATENATE(TEXT(INDEX($U$7:$U$44,SMALL(IF($X$7:$X$44&lt;&gt;"",IF($U$7:$U$44&lt;&gt;"",ROW($U$7:$U$44)-MIN(ROW($U$7:$U$44))+1,""),""),ROW()-ROW(A$47)+1)),"##0"),","),"")</f>
        <v/>
      </c>
      <c r="W81" s="0" t="str">
        <f aca="false" t="array" ref="W81:W81">IFERROR(CONCATENATE((INDEX($A$7:$A$44,SMALL(IF($X$7:$X$44&lt;&gt;"",IF($U$7:$U$44&lt;&gt;"",ROW($U$7:$U$44)-MIN(ROW($U$7:$U$44))+1,""),""),ROW()-ROW(A$47)+1))),),"")</f>
        <v/>
      </c>
      <c r="Z81" s="0" t="str">
        <f aca="false" t="array" ref="Z81:Z81">IFERROR(CONCATENATE((INDEX($AC$7:$AC$44,SMALL(IF($AC$7:$AC$44&lt;&gt;"",IF($Z$7:$Z$44&lt;&gt;"",ROW($Z$7:$Z$44)-MIN(ROW($Z$7:$Z$44))+1,""),""),ROW()-ROW(A$47)+1)))," "),"")</f>
        <v/>
      </c>
      <c r="AA81" s="0" t="str">
        <f aca="false" t="array" ref="AA81:AA81">IFERROR(CONCATENATE(TEXT(INDEX($Z$7:$Z$44,SMALL(IF($AC$7:$AC$44&lt;&gt;"",IF($Z$7:$Z$44&lt;&gt;"",ROW($Z$7:$Z$44)-MIN(ROW($Z$7:$Z$44))+1,""),""),ROW()-ROW(A$47)+1)),"##0")," "),"")</f>
        <v/>
      </c>
      <c r="AB81" s="0" t="str">
        <f aca="false" t="array" ref="AB81:AB81">IFERROR(CONCATENATE((INDEX($A$7:$A$44,SMALL(IF($AC$7:$AC$44&lt;&gt;"",IF($Z$7:$Z$44&lt;&gt;"",ROW($Z$7:$Z$44)-MIN(ROW($Z$7:$Z$44))+1,""),""),ROW()-ROW(A$47)+1))),),"")</f>
        <v/>
      </c>
      <c r="AE81" s="0" t="str">
        <f aca="false" t="array" ref="AE81:AE81">IFERROR(CONCATENATE((INDEX($AH$7:$AH$44,SMALL(IF($AH$7:$AH$44&lt;&gt;"",IF($AE$7:$AE$44&lt;&gt;"",ROW($AE$7:$AE$44)-MIN(ROW($AE$7:$AE$44))+1,""),""),ROW()-ROW(A$47)+1)))," "),"")</f>
        <v/>
      </c>
      <c r="AF81" s="0" t="str">
        <f aca="false" t="array" ref="AF81:AF81">IFERROR(CONCATENATE(TEXT(INDEX($AE$7:$AE$44,SMALL(IF($AH$7:$AH$44&lt;&gt;"",IF($AE$7:$AE$44&lt;&gt;"",ROW($AE$7:$AE$44)-MIN(ROW($AE$7:$AE$44))+1,""),""),ROW()-ROW(A$47)+1)),"##0")," "),"")</f>
        <v/>
      </c>
      <c r="AG81" s="0" t="str">
        <f aca="false" t="array" ref="AG81:AG81">IFERROR(CONCATENATE((INDEX($A$7:$A$44,SMALL(IF($AH$7:$AH$44&lt;&gt;"",IF($AE$7:$AE$44&lt;&gt;"",ROW($AE$7:$AE$44)-MIN(ROW($AE$7:$AE$44))+1,""),""),ROW()-ROW(A$47)+1))),),"")</f>
        <v/>
      </c>
    </row>
    <row r="82" customFormat="false" ht="15" hidden="false" customHeight="false" outlineLevel="0" collapsed="false">
      <c r="K82" s="0" t="str">
        <f aca="false" t="array" ref="K82:K82">IFERROR(CONCATENATE(TEXT(INDEX($K$7:$K$44,SMALL(IF($N$7:$N$44&lt;&gt;"",IF($K$7:$K$44&lt;&gt;"",ROW($K$7:$K$44)-MIN(ROW($K$7:$K$44))+1,""),""),ROW()-ROW(A$47)+1)),"##0"),","),"")</f>
        <v/>
      </c>
      <c r="L82" s="0" t="str">
        <f aca="false" t="array" ref="L82:L82">IFERROR(CONCATENATE((INDEX($N$7:$N$44,SMALL(IF($N$7:$N$44&lt;&gt;"",IF($K$7:$K$44&lt;&gt;"",ROW($K$7:$K$44)-MIN(ROW($K$7:$K$44))+1,""),""),ROW()-ROW(A$47)+1))),","),"")</f>
        <v/>
      </c>
      <c r="M82" s="0" t="str">
        <f aca="false" t="array" ref="M82:M82">IFERROR(CONCATENATE((INDEX($A$7:$A$44,SMALL(IF($N$7:$N$44&lt;&gt;"",IF($K$7:$K$44&lt;&gt;"",ROW($K$7:$K$44)-MIN(ROW($K$7:$K$44))+1,""),""),ROW()-ROW(A$47)+1))),),"")</f>
        <v/>
      </c>
      <c r="P82" s="0" t="str">
        <f aca="false" t="array" ref="P82:P82">IFERROR(CONCATENATE((INDEX($S$7:$S$44,SMALL(IF($S$7:$S$44&lt;&gt;"",IF($P$7:$P$44&lt;&gt;"",ROW($P$7:$P$44)-MIN(ROW($P$7:$P$44))+1,""),""),ROW()-ROW(A$47)+1)))," "),"")</f>
        <v/>
      </c>
      <c r="Q82" s="0" t="str">
        <f aca="false" t="array" ref="Q82:Q82">IFERROR(CONCATENATE(TEXT(INDEX($P$7:$P$44,SMALL(IF($S$7:$S$44&lt;&gt;"",IF($P$7:$P$44&lt;&gt;"",ROW($P$7:$P$44)-MIN(ROW($P$7:$P$44))+1,""),""),ROW()-ROW(A$47)+1)),"##0")," "),"")</f>
        <v/>
      </c>
      <c r="R82" s="0" t="str">
        <f aca="false" t="array" ref="R82:R82">IFERROR(CONCATENATE((INDEX($A$7:$A$44,SMALL(IF($S$7:$S$44&lt;&gt;"",IF($P$7:$P$44&lt;&gt;"",ROW($P$7:$P$44)-MIN(ROW($P$7:$P$44))+1,""),""),ROW()-ROW(A$47)+1))),),"")</f>
        <v/>
      </c>
      <c r="U82" s="0" t="str">
        <f aca="false" t="array" ref="U82:U82">IFERROR(CONCATENATE((INDEX($X$7:$X$44,SMALL(IF($X$7:$X$44&lt;&gt;"",IF($U$7:$U$44&lt;&gt;"",ROW($U$7:$U$44)-MIN(ROW($U$7:$U$44))+1,""),""),ROW()-ROW(A$47)+1))),","),"")</f>
        <v/>
      </c>
      <c r="V82" s="0" t="str">
        <f aca="false" t="array" ref="V82:V82">IFERROR(CONCATENATE(TEXT(INDEX($U$7:$U$44,SMALL(IF($X$7:$X$44&lt;&gt;"",IF($U$7:$U$44&lt;&gt;"",ROW($U$7:$U$44)-MIN(ROW($U$7:$U$44))+1,""),""),ROW()-ROW(A$47)+1)),"##0"),","),"")</f>
        <v/>
      </c>
      <c r="W82" s="0" t="str">
        <f aca="false" t="array" ref="W82:W82">IFERROR(CONCATENATE((INDEX($A$7:$A$44,SMALL(IF($X$7:$X$44&lt;&gt;"",IF($U$7:$U$44&lt;&gt;"",ROW($U$7:$U$44)-MIN(ROW($U$7:$U$44))+1,""),""),ROW()-ROW(A$47)+1))),),"")</f>
        <v/>
      </c>
      <c r="Z82" s="0" t="str">
        <f aca="false" t="array" ref="Z82:Z82">IFERROR(CONCATENATE((INDEX($AC$7:$AC$44,SMALL(IF($AC$7:$AC$44&lt;&gt;"",IF($Z$7:$Z$44&lt;&gt;"",ROW($Z$7:$Z$44)-MIN(ROW($Z$7:$Z$44))+1,""),""),ROW()-ROW(A$47)+1)))," "),"")</f>
        <v/>
      </c>
      <c r="AA82" s="0" t="str">
        <f aca="false" t="array" ref="AA82:AA82">IFERROR(CONCATENATE(TEXT(INDEX($Z$7:$Z$44,SMALL(IF($AC$7:$AC$44&lt;&gt;"",IF($Z$7:$Z$44&lt;&gt;"",ROW($Z$7:$Z$44)-MIN(ROW($Z$7:$Z$44))+1,""),""),ROW()-ROW(A$47)+1)),"##0")," "),"")</f>
        <v/>
      </c>
      <c r="AB82" s="0" t="str">
        <f aca="false" t="array" ref="AB82:AB82">IFERROR(CONCATENATE((INDEX($A$7:$A$44,SMALL(IF($AC$7:$AC$44&lt;&gt;"",IF($Z$7:$Z$44&lt;&gt;"",ROW($Z$7:$Z$44)-MIN(ROW($Z$7:$Z$44))+1,""),""),ROW()-ROW(A$47)+1))),),"")</f>
        <v/>
      </c>
      <c r="AE82" s="0" t="str">
        <f aca="false" t="array" ref="AE82:AE82">IFERROR(CONCATENATE((INDEX($AH$7:$AH$44,SMALL(IF($AH$7:$AH$44&lt;&gt;"",IF($AE$7:$AE$44&lt;&gt;"",ROW($AE$7:$AE$44)-MIN(ROW($AE$7:$AE$44))+1,""),""),ROW()-ROW(A$47)+1)))," "),"")</f>
        <v/>
      </c>
      <c r="AF82" s="0" t="str">
        <f aca="false" t="array" ref="AF82:AF82">IFERROR(CONCATENATE(TEXT(INDEX($AE$7:$AE$44,SMALL(IF($AH$7:$AH$44&lt;&gt;"",IF($AE$7:$AE$44&lt;&gt;"",ROW($AE$7:$AE$44)-MIN(ROW($AE$7:$AE$44))+1,""),""),ROW()-ROW(A$47)+1)),"##0")," "),"")</f>
        <v/>
      </c>
      <c r="AG82" s="0" t="str">
        <f aca="false" t="array" ref="AG82:AG82">IFERROR(CONCATENATE((INDEX($A$7:$A$44,SMALL(IF($AH$7:$AH$44&lt;&gt;"",IF($AE$7:$AE$44&lt;&gt;"",ROW($AE$7:$AE$44)-MIN(ROW($AE$7:$AE$44))+1,""),""),ROW()-ROW(A$47)+1))),),"")</f>
        <v/>
      </c>
    </row>
    <row r="83" customFormat="false" ht="15" hidden="false" customHeight="false" outlineLevel="0" collapsed="false">
      <c r="K83" s="0" t="str">
        <f aca="false" t="array" ref="K83:K83">IFERROR(CONCATENATE(TEXT(INDEX($K$7:$K$44,SMALL(IF($N$7:$N$44&lt;&gt;"",IF($K$7:$K$44&lt;&gt;"",ROW($K$7:$K$44)-MIN(ROW($K$7:$K$44))+1,""),""),ROW()-ROW(A$47)+1)),"##0"),","),"")</f>
        <v/>
      </c>
      <c r="L83" s="0" t="str">
        <f aca="false" t="array" ref="L83:L83">IFERROR(CONCATENATE((INDEX($N$7:$N$44,SMALL(IF($N$7:$N$44&lt;&gt;"",IF($K$7:$K$44&lt;&gt;"",ROW($K$7:$K$44)-MIN(ROW($K$7:$K$44))+1,""),""),ROW()-ROW(A$47)+1))),","),"")</f>
        <v/>
      </c>
      <c r="M83" s="0" t="str">
        <f aca="false" t="array" ref="M83:M83">IFERROR(CONCATENATE((INDEX($A$7:$A$44,SMALL(IF($N$7:$N$44&lt;&gt;"",IF($K$7:$K$44&lt;&gt;"",ROW($K$7:$K$44)-MIN(ROW($K$7:$K$44))+1,""),""),ROW()-ROW(A$47)+1))),),"")</f>
        <v/>
      </c>
      <c r="P83" s="0" t="str">
        <f aca="false" t="array" ref="P83:P83">IFERROR(CONCATENATE((INDEX($S$7:$S$44,SMALL(IF($S$7:$S$44&lt;&gt;"",IF($P$7:$P$44&lt;&gt;"",ROW($P$7:$P$44)-MIN(ROW($P$7:$P$44))+1,""),""),ROW()-ROW(A$47)+1)))," "),"")</f>
        <v/>
      </c>
      <c r="Q83" s="0" t="str">
        <f aca="false" t="array" ref="Q83:Q83">IFERROR(CONCATENATE(TEXT(INDEX($P$7:$P$44,SMALL(IF($S$7:$S$44&lt;&gt;"",IF($P$7:$P$44&lt;&gt;"",ROW($P$7:$P$44)-MIN(ROW($P$7:$P$44))+1,""),""),ROW()-ROW(A$47)+1)),"##0")," "),"")</f>
        <v/>
      </c>
      <c r="R83" s="0" t="str">
        <f aca="false" t="array" ref="R83:R83">IFERROR(CONCATENATE((INDEX($A$7:$A$44,SMALL(IF($S$7:$S$44&lt;&gt;"",IF($P$7:$P$44&lt;&gt;"",ROW($P$7:$P$44)-MIN(ROW($P$7:$P$44))+1,""),""),ROW()-ROW(A$47)+1))),),"")</f>
        <v/>
      </c>
      <c r="U83" s="0" t="str">
        <f aca="false" t="array" ref="U83:U83">IFERROR(CONCATENATE((INDEX($X$7:$X$44,SMALL(IF($X$7:$X$44&lt;&gt;"",IF($U$7:$U$44&lt;&gt;"",ROW($U$7:$U$44)-MIN(ROW($U$7:$U$44))+1,""),""),ROW()-ROW(A$47)+1))),","),"")</f>
        <v/>
      </c>
      <c r="V83" s="0" t="str">
        <f aca="false" t="array" ref="V83:V83">IFERROR(CONCATENATE(TEXT(INDEX($U$7:$U$44,SMALL(IF($X$7:$X$44&lt;&gt;"",IF($U$7:$U$44&lt;&gt;"",ROW($U$7:$U$44)-MIN(ROW($U$7:$U$44))+1,""),""),ROW()-ROW(A$47)+1)),"##0"),","),"")</f>
        <v/>
      </c>
      <c r="W83" s="0" t="str">
        <f aca="false" t="array" ref="W83:W83">IFERROR(CONCATENATE((INDEX($A$7:$A$44,SMALL(IF($X$7:$X$44&lt;&gt;"",IF($U$7:$U$44&lt;&gt;"",ROW($U$7:$U$44)-MIN(ROW($U$7:$U$44))+1,""),""),ROW()-ROW(A$47)+1))),),"")</f>
        <v/>
      </c>
      <c r="Z83" s="0" t="str">
        <f aca="false" t="array" ref="Z83:Z83">IFERROR(CONCATENATE((INDEX($AC$7:$AC$44,SMALL(IF($AC$7:$AC$44&lt;&gt;"",IF($Z$7:$Z$44&lt;&gt;"",ROW($Z$7:$Z$44)-MIN(ROW($Z$7:$Z$44))+1,""),""),ROW()-ROW(A$47)+1)))," "),"")</f>
        <v/>
      </c>
      <c r="AA83" s="0" t="str">
        <f aca="false" t="array" ref="AA83:AA83">IFERROR(CONCATENATE(TEXT(INDEX($Z$7:$Z$44,SMALL(IF($AC$7:$AC$44&lt;&gt;"",IF($Z$7:$Z$44&lt;&gt;"",ROW($Z$7:$Z$44)-MIN(ROW($Z$7:$Z$44))+1,""),""),ROW()-ROW(A$47)+1)),"##0")," "),"")</f>
        <v/>
      </c>
      <c r="AB83" s="0" t="str">
        <f aca="false" t="array" ref="AB83:AB83">IFERROR(CONCATENATE((INDEX($A$7:$A$44,SMALL(IF($AC$7:$AC$44&lt;&gt;"",IF($Z$7:$Z$44&lt;&gt;"",ROW($Z$7:$Z$44)-MIN(ROW($Z$7:$Z$44))+1,""),""),ROW()-ROW(A$47)+1))),),"")</f>
        <v/>
      </c>
      <c r="AE83" s="0" t="str">
        <f aca="false" t="array" ref="AE83:AE83">IFERROR(CONCATENATE((INDEX($AH$7:$AH$44,SMALL(IF($AH$7:$AH$44&lt;&gt;"",IF($AE$7:$AE$44&lt;&gt;"",ROW($AE$7:$AE$44)-MIN(ROW($AE$7:$AE$44))+1,""),""),ROW()-ROW(A$47)+1)))," "),"")</f>
        <v/>
      </c>
      <c r="AF83" s="0" t="str">
        <f aca="false" t="array" ref="AF83:AF83">IFERROR(CONCATENATE(TEXT(INDEX($AE$7:$AE$44,SMALL(IF($AH$7:$AH$44&lt;&gt;"",IF($AE$7:$AE$44&lt;&gt;"",ROW($AE$7:$AE$44)-MIN(ROW($AE$7:$AE$44))+1,""),""),ROW()-ROW(A$47)+1)),"##0")," "),"")</f>
        <v/>
      </c>
      <c r="AG83" s="0" t="str">
        <f aca="false" t="array" ref="AG83:AG83">IFERROR(CONCATENATE((INDEX($A$7:$A$44,SMALL(IF($AH$7:$AH$44&lt;&gt;"",IF($AE$7:$AE$44&lt;&gt;"",ROW($AE$7:$AE$44)-MIN(ROW($AE$7:$AE$44))+1,""),""),ROW()-ROW(A$47)+1))),),"")</f>
        <v/>
      </c>
    </row>
    <row r="84" customFormat="false" ht="15" hidden="false" customHeight="false" outlineLevel="0" collapsed="false">
      <c r="K84" s="0" t="str">
        <f aca="false" t="array" ref="K84:K84">IFERROR(CONCATENATE(TEXT(INDEX($K$7:$K$44,SMALL(IF($N$7:$N$44&lt;&gt;"",IF($K$7:$K$44&lt;&gt;"",ROW($K$7:$K$44)-MIN(ROW($K$7:$K$44))+1,""),""),ROW()-ROW(A$47)+1)),"##0"),","),"")</f>
        <v/>
      </c>
      <c r="L84" s="0" t="str">
        <f aca="false" t="array" ref="L84:L84">IFERROR(CONCATENATE((INDEX($N$7:$N$44,SMALL(IF($N$7:$N$44&lt;&gt;"",IF($K$7:$K$44&lt;&gt;"",ROW($K$7:$K$44)-MIN(ROW($K$7:$K$44))+1,""),""),ROW()-ROW(A$47)+1))),","),"")</f>
        <v/>
      </c>
      <c r="M84" s="0" t="str">
        <f aca="false" t="array" ref="M84:M84">IFERROR(CONCATENATE((INDEX($A$7:$A$44,SMALL(IF($N$7:$N$44&lt;&gt;"",IF($K$7:$K$44&lt;&gt;"",ROW($K$7:$K$44)-MIN(ROW($K$7:$K$44))+1,""),""),ROW()-ROW(A$47)+1))),),"")</f>
        <v/>
      </c>
      <c r="P84" s="0" t="str">
        <f aca="false" t="array" ref="P84:P84">IFERROR(CONCATENATE((INDEX($S$7:$S$44,SMALL(IF($S$7:$S$44&lt;&gt;"",IF($P$7:$P$44&lt;&gt;"",ROW($P$7:$P$44)-MIN(ROW($P$7:$P$44))+1,""),""),ROW()-ROW(A$47)+1)))," "),"")</f>
        <v/>
      </c>
      <c r="Q84" s="0" t="str">
        <f aca="false" t="array" ref="Q84:Q84">IFERROR(CONCATENATE(TEXT(INDEX($P$7:$P$44,SMALL(IF($S$7:$S$44&lt;&gt;"",IF($P$7:$P$44&lt;&gt;"",ROW($P$7:$P$44)-MIN(ROW($P$7:$P$44))+1,""),""),ROW()-ROW(A$47)+1)),"##0")," "),"")</f>
        <v/>
      </c>
      <c r="R84" s="0" t="str">
        <f aca="false" t="array" ref="R84:R84">IFERROR(CONCATENATE((INDEX($A$7:$A$44,SMALL(IF($S$7:$S$44&lt;&gt;"",IF($P$7:$P$44&lt;&gt;"",ROW($P$7:$P$44)-MIN(ROW($P$7:$P$44))+1,""),""),ROW()-ROW(A$47)+1))),),"")</f>
        <v/>
      </c>
      <c r="U84" s="0" t="str">
        <f aca="false" t="array" ref="U84:U84">IFERROR(CONCATENATE((INDEX($X$7:$X$44,SMALL(IF($X$7:$X$44&lt;&gt;"",IF($U$7:$U$44&lt;&gt;"",ROW($U$7:$U$44)-MIN(ROW($U$7:$U$44))+1,""),""),ROW()-ROW(A$47)+1))),","),"")</f>
        <v/>
      </c>
      <c r="V84" s="0" t="str">
        <f aca="false" t="array" ref="V84:V84">IFERROR(CONCATENATE(TEXT(INDEX($U$7:$U$44,SMALL(IF($X$7:$X$44&lt;&gt;"",IF($U$7:$U$44&lt;&gt;"",ROW($U$7:$U$44)-MIN(ROW($U$7:$U$44))+1,""),""),ROW()-ROW(A$47)+1)),"##0"),","),"")</f>
        <v/>
      </c>
      <c r="W84" s="0" t="str">
        <f aca="false" t="array" ref="W84:W84">IFERROR(CONCATENATE((INDEX($A$7:$A$44,SMALL(IF($X$7:$X$44&lt;&gt;"",IF($U$7:$U$44&lt;&gt;"",ROW($U$7:$U$44)-MIN(ROW($U$7:$U$44))+1,""),""),ROW()-ROW(A$47)+1))),),"")</f>
        <v/>
      </c>
      <c r="Z84" s="0" t="str">
        <f aca="false" t="array" ref="Z84:Z84">IFERROR(CONCATENATE((INDEX($AC$7:$AC$44,SMALL(IF($AC$7:$AC$44&lt;&gt;"",IF($Z$7:$Z$44&lt;&gt;"",ROW($Z$7:$Z$44)-MIN(ROW($Z$7:$Z$44))+1,""),""),ROW()-ROW(A$47)+1)))," "),"")</f>
        <v/>
      </c>
      <c r="AA84" s="0" t="str">
        <f aca="false" t="array" ref="AA84:AA84">IFERROR(CONCATENATE(TEXT(INDEX($Z$7:$Z$44,SMALL(IF($AC$7:$AC$44&lt;&gt;"",IF($Z$7:$Z$44&lt;&gt;"",ROW($Z$7:$Z$44)-MIN(ROW($Z$7:$Z$44))+1,""),""),ROW()-ROW(A$47)+1)),"##0")," "),"")</f>
        <v/>
      </c>
      <c r="AB84" s="0" t="str">
        <f aca="false" t="array" ref="AB84:AB84">IFERROR(CONCATENATE((INDEX($A$7:$A$44,SMALL(IF($AC$7:$AC$44&lt;&gt;"",IF($Z$7:$Z$44&lt;&gt;"",ROW($Z$7:$Z$44)-MIN(ROW($Z$7:$Z$44))+1,""),""),ROW()-ROW(A$47)+1))),),"")</f>
        <v/>
      </c>
      <c r="AE84" s="0" t="str">
        <f aca="false" t="array" ref="AE84:AE84">IFERROR(CONCATENATE((INDEX($AH$7:$AH$44,SMALL(IF($AH$7:$AH$44&lt;&gt;"",IF($AE$7:$AE$44&lt;&gt;"",ROW($AE$7:$AE$44)-MIN(ROW($AE$7:$AE$44))+1,""),""),ROW()-ROW(A$47)+1)))," "),"")</f>
        <v/>
      </c>
      <c r="AF84" s="0" t="str">
        <f aca="false" t="array" ref="AF84:AF84">IFERROR(CONCATENATE(TEXT(INDEX($AE$7:$AE$44,SMALL(IF($AH$7:$AH$44&lt;&gt;"",IF($AE$7:$AE$44&lt;&gt;"",ROW($AE$7:$AE$44)-MIN(ROW($AE$7:$AE$44))+1,""),""),ROW()-ROW(A$47)+1)),"##0")," "),"")</f>
        <v/>
      </c>
      <c r="AG84" s="0" t="str">
        <f aca="false" t="array" ref="AG84:AG84">IFERROR(CONCATENATE((INDEX($A$7:$A$44,SMALL(IF($AH$7:$AH$44&lt;&gt;"",IF($AE$7:$AE$44&lt;&gt;"",ROW($AE$7:$AE$44)-MIN(ROW($AE$7:$AE$44))+1,""),""),ROW()-ROW(A$47)+1))),),"")</f>
        <v/>
      </c>
    </row>
  </sheetData>
  <mergeCells count="6">
    <mergeCell ref="A5:I5"/>
    <mergeCell ref="J5:N5"/>
    <mergeCell ref="O5:S5"/>
    <mergeCell ref="T5:X5"/>
    <mergeCell ref="Y5:AC5"/>
    <mergeCell ref="AD5:AH5"/>
  </mergeCells>
  <conditionalFormatting sqref="AA10">
    <cfRule type="cellIs" priority="2" operator="lessThanOrEqual" aboveAverage="0" equalAverage="0" bottom="0" percent="0" rank="0" text="" dxfId="0">
      <formula>H10</formula>
    </cfRule>
  </conditionalFormatting>
  <conditionalFormatting sqref="AA12">
    <cfRule type="cellIs" priority="3" operator="lessThanOrEqual" aboveAverage="0" equalAverage="0" bottom="0" percent="0" rank="0" text="" dxfId="0">
      <formula>H12</formula>
    </cfRule>
  </conditionalFormatting>
  <conditionalFormatting sqref="AA36">
    <cfRule type="cellIs" priority="4" operator="lessThanOrEqual" aboveAverage="0" equalAverage="0" bottom="0" percent="0" rank="0" text="" dxfId="0">
      <formula>H36</formula>
    </cfRule>
  </conditionalFormatting>
  <conditionalFormatting sqref="AA37">
    <cfRule type="cellIs" priority="5" operator="lessThanOrEqual" aboveAverage="0" equalAverage="0" bottom="0" percent="0" rank="0" text="" dxfId="0">
      <formula>H37</formula>
    </cfRule>
  </conditionalFormatting>
  <conditionalFormatting sqref="AA43">
    <cfRule type="cellIs" priority="6" operator="lessThanOrEqual" aboveAverage="0" equalAverage="0" bottom="0" percent="0" rank="0" text="" dxfId="0">
      <formula>H43</formula>
    </cfRule>
  </conditionalFormatting>
  <conditionalFormatting sqref="AA44">
    <cfRule type="cellIs" priority="7" operator="lessThanOrEqual" aboveAverage="0" equalAverage="0" bottom="0" percent="0" rank="0" text="" dxfId="0">
      <formula>H44</formula>
    </cfRule>
  </conditionalFormatting>
  <conditionalFormatting sqref="AA7">
    <cfRule type="cellIs" priority="8" operator="lessThanOrEqual" aboveAverage="0" equalAverage="0" bottom="0" percent="0" rank="0" text="" dxfId="0">
      <formula>H7</formula>
    </cfRule>
  </conditionalFormatting>
  <conditionalFormatting sqref="AA8">
    <cfRule type="cellIs" priority="9" operator="lessThanOrEqual" aboveAverage="0" equalAverage="0" bottom="0" percent="0" rank="0" text="" dxfId="0">
      <formula>H8</formula>
    </cfRule>
  </conditionalFormatting>
  <conditionalFormatting sqref="AB10">
    <cfRule type="cellIs" priority="10" operator="lessThanOrEqual" aboveAverage="0" equalAverage="0" bottom="0" percent="0" rank="0" text="" dxfId="0">
      <formula>I10</formula>
    </cfRule>
  </conditionalFormatting>
  <conditionalFormatting sqref="AB12">
    <cfRule type="cellIs" priority="11" operator="lessThanOrEqual" aboveAverage="0" equalAverage="0" bottom="0" percent="0" rank="0" text="" dxfId="0">
      <formula>I12</formula>
    </cfRule>
  </conditionalFormatting>
  <conditionalFormatting sqref="AB36">
    <cfRule type="cellIs" priority="12" operator="lessThanOrEqual" aboveAverage="0" equalAverage="0" bottom="0" percent="0" rank="0" text="" dxfId="0">
      <formula>I36</formula>
    </cfRule>
  </conditionalFormatting>
  <conditionalFormatting sqref="AB37">
    <cfRule type="cellIs" priority="13" operator="lessThanOrEqual" aboveAverage="0" equalAverage="0" bottom="0" percent="0" rank="0" text="" dxfId="0">
      <formula>I37</formula>
    </cfRule>
  </conditionalFormatting>
  <conditionalFormatting sqref="AB43">
    <cfRule type="cellIs" priority="14" operator="lessThanOrEqual" aboveAverage="0" equalAverage="0" bottom="0" percent="0" rank="0" text="" dxfId="0">
      <formula>I43</formula>
    </cfRule>
  </conditionalFormatting>
  <conditionalFormatting sqref="AB44">
    <cfRule type="cellIs" priority="15" operator="lessThanOrEqual" aboveAverage="0" equalAverage="0" bottom="0" percent="0" rank="0" text="" dxfId="0">
      <formula>I44</formula>
    </cfRule>
  </conditionalFormatting>
  <conditionalFormatting sqref="AB7">
    <cfRule type="cellIs" priority="16" operator="lessThanOrEqual" aboveAverage="0" equalAverage="0" bottom="0" percent="0" rank="0" text="" dxfId="0">
      <formula>I7</formula>
    </cfRule>
  </conditionalFormatting>
  <conditionalFormatting sqref="AB8">
    <cfRule type="cellIs" priority="17" operator="lessThanOrEqual" aboveAverage="0" equalAverage="0" bottom="0" percent="0" rank="0" text="" dxfId="0">
      <formula>I8</formula>
    </cfRule>
  </conditionalFormatting>
  <conditionalFormatting sqref="AD12">
    <cfRule type="cellIs" priority="18" operator="equal" aboveAverage="0" equalAverage="0" bottom="0" percent="0" rank="0" text="" dxfId="1">
      <formula>0</formula>
    </cfRule>
    <cfRule type="cellIs" priority="19" operator="lessThan" aboveAverage="0" equalAverage="0" bottom="0" percent="0" rank="0" text="" dxfId="2">
      <formula>G12</formula>
    </cfRule>
  </conditionalFormatting>
  <conditionalFormatting sqref="AD21">
    <cfRule type="cellIs" priority="20" operator="equal" aboveAverage="0" equalAverage="0" bottom="0" percent="0" rank="0" text="" dxfId="1">
      <formula>0</formula>
    </cfRule>
    <cfRule type="cellIs" priority="21" operator="lessThan" aboveAverage="0" equalAverage="0" bottom="0" percent="0" rank="0" text="" dxfId="2">
      <formula>G21</formula>
    </cfRule>
  </conditionalFormatting>
  <conditionalFormatting sqref="AD22">
    <cfRule type="cellIs" priority="22" operator="equal" aboveAverage="0" equalAverage="0" bottom="0" percent="0" rank="0" text="" dxfId="1">
      <formula>0</formula>
    </cfRule>
    <cfRule type="cellIs" priority="23" operator="lessThan" aboveAverage="0" equalAverage="0" bottom="0" percent="0" rank="0" text="" dxfId="2">
      <formula>G22</formula>
    </cfRule>
  </conditionalFormatting>
  <conditionalFormatting sqref="AD30">
    <cfRule type="cellIs" priority="24" operator="equal" aboveAverage="0" equalAverage="0" bottom="0" percent="0" rank="0" text="" dxfId="1">
      <formula>0</formula>
    </cfRule>
    <cfRule type="cellIs" priority="25" operator="lessThan" aboveAverage="0" equalAverage="0" bottom="0" percent="0" rank="0" text="" dxfId="2">
      <formula>G30</formula>
    </cfRule>
  </conditionalFormatting>
  <conditionalFormatting sqref="AD31">
    <cfRule type="cellIs" priority="26" operator="equal" aboveAverage="0" equalAverage="0" bottom="0" percent="0" rank="0" text="" dxfId="1">
      <formula>0</formula>
    </cfRule>
    <cfRule type="cellIs" priority="27" operator="lessThan" aboveAverage="0" equalAverage="0" bottom="0" percent="0" rank="0" text="" dxfId="2">
      <formula>G31</formula>
    </cfRule>
  </conditionalFormatting>
  <conditionalFormatting sqref="AD33">
    <cfRule type="cellIs" priority="28" operator="equal" aboveAverage="0" equalAverage="0" bottom="0" percent="0" rank="0" text="" dxfId="1">
      <formula>0</formula>
    </cfRule>
    <cfRule type="cellIs" priority="29" operator="lessThan" aboveAverage="0" equalAverage="0" bottom="0" percent="0" rank="0" text="" dxfId="2">
      <formula>G33</formula>
    </cfRule>
  </conditionalFormatting>
  <conditionalFormatting sqref="AD36">
    <cfRule type="cellIs" priority="30" operator="equal" aboveAverage="0" equalAverage="0" bottom="0" percent="0" rank="0" text="" dxfId="1">
      <formula>0</formula>
    </cfRule>
    <cfRule type="cellIs" priority="31" operator="lessThan" aboveAverage="0" equalAverage="0" bottom="0" percent="0" rank="0" text="" dxfId="2">
      <formula>G36</formula>
    </cfRule>
  </conditionalFormatting>
  <conditionalFormatting sqref="AD7">
    <cfRule type="cellIs" priority="32" operator="equal" aboveAverage="0" equalAverage="0" bottom="0" percent="0" rank="0" text="" dxfId="1">
      <formula>0</formula>
    </cfRule>
    <cfRule type="cellIs" priority="33" operator="lessThan" aboveAverage="0" equalAverage="0" bottom="0" percent="0" rank="0" text="" dxfId="2">
      <formula>G7</formula>
    </cfRule>
  </conditionalFormatting>
  <conditionalFormatting sqref="AD8">
    <cfRule type="cellIs" priority="34" operator="equal" aboveAverage="0" equalAverage="0" bottom="0" percent="0" rank="0" text="" dxfId="1">
      <formula>0</formula>
    </cfRule>
    <cfRule type="cellIs" priority="35" operator="lessThan" aboveAverage="0" equalAverage="0" bottom="0" percent="0" rank="0" text="" dxfId="2">
      <formula>G8</formula>
    </cfRule>
  </conditionalFormatting>
  <conditionalFormatting sqref="AD9">
    <cfRule type="cellIs" priority="36" operator="equal" aboveAverage="0" equalAverage="0" bottom="0" percent="0" rank="0" text="" dxfId="1">
      <formula>0</formula>
    </cfRule>
    <cfRule type="cellIs" priority="37" operator="lessThan" aboveAverage="0" equalAverage="0" bottom="0" percent="0" rank="0" text="" dxfId="2">
      <formula>G9</formula>
    </cfRule>
  </conditionalFormatting>
  <conditionalFormatting sqref="AE12">
    <cfRule type="cellIs" priority="38" operator="greaterThan" aboveAverage="0" equalAverage="0" bottom="0" percent="0" rank="0" text="" dxfId="1">
      <formula>AD12</formula>
    </cfRule>
  </conditionalFormatting>
  <conditionalFormatting sqref="AE21">
    <cfRule type="cellIs" priority="39" operator="greaterThan" aboveAverage="0" equalAverage="0" bottom="0" percent="0" rank="0" text="" dxfId="1">
      <formula>AD21</formula>
    </cfRule>
  </conditionalFormatting>
  <conditionalFormatting sqref="AE22">
    <cfRule type="cellIs" priority="40" operator="greaterThan" aboveAverage="0" equalAverage="0" bottom="0" percent="0" rank="0" text="" dxfId="1">
      <formula>AD22</formula>
    </cfRule>
  </conditionalFormatting>
  <conditionalFormatting sqref="AE30">
    <cfRule type="cellIs" priority="41" operator="greaterThan" aboveAverage="0" equalAverage="0" bottom="0" percent="0" rank="0" text="" dxfId="1">
      <formula>AD30</formula>
    </cfRule>
  </conditionalFormatting>
  <conditionalFormatting sqref="AE31">
    <cfRule type="cellIs" priority="42" operator="greaterThan" aboveAverage="0" equalAverage="0" bottom="0" percent="0" rank="0" text="" dxfId="1">
      <formula>AD31</formula>
    </cfRule>
  </conditionalFormatting>
  <conditionalFormatting sqref="AE33">
    <cfRule type="cellIs" priority="43" operator="greaterThan" aboveAverage="0" equalAverage="0" bottom="0" percent="0" rank="0" text="" dxfId="1">
      <formula>AD33</formula>
    </cfRule>
  </conditionalFormatting>
  <conditionalFormatting sqref="AE36">
    <cfRule type="cellIs" priority="44" operator="greaterThan" aboveAverage="0" equalAverage="0" bottom="0" percent="0" rank="0" text="" dxfId="1">
      <formula>AD36</formula>
    </cfRule>
  </conditionalFormatting>
  <conditionalFormatting sqref="AE7">
    <cfRule type="cellIs" priority="45" operator="greaterThan" aboveAverage="0" equalAverage="0" bottom="0" percent="0" rank="0" text="" dxfId="1">
      <formula>AD7</formula>
    </cfRule>
  </conditionalFormatting>
  <conditionalFormatting sqref="AE8">
    <cfRule type="cellIs" priority="46" operator="greaterThan" aboveAverage="0" equalAverage="0" bottom="0" percent="0" rank="0" text="" dxfId="1">
      <formula>AD8</formula>
    </cfRule>
  </conditionalFormatting>
  <conditionalFormatting sqref="AE9">
    <cfRule type="cellIs" priority="47" operator="greaterThan" aboveAverage="0" equalAverage="0" bottom="0" percent="0" rank="0" text="" dxfId="1">
      <formula>AD9</formula>
    </cfRule>
  </conditionalFormatting>
  <conditionalFormatting sqref="AF12">
    <cfRule type="cellIs" priority="48" operator="lessThanOrEqual" aboveAverage="0" equalAverage="0" bottom="0" percent="0" rank="0" text="" dxfId="0">
      <formula>H12</formula>
    </cfRule>
  </conditionalFormatting>
  <conditionalFormatting sqref="AF21">
    <cfRule type="cellIs" priority="49" operator="lessThanOrEqual" aboveAverage="0" equalAverage="0" bottom="0" percent="0" rank="0" text="" dxfId="0">
      <formula>H21</formula>
    </cfRule>
  </conditionalFormatting>
  <conditionalFormatting sqref="AF22">
    <cfRule type="cellIs" priority="50" operator="lessThanOrEqual" aboveAverage="0" equalAverage="0" bottom="0" percent="0" rank="0" text="" dxfId="0">
      <formula>H22</formula>
    </cfRule>
  </conditionalFormatting>
  <conditionalFormatting sqref="AF30">
    <cfRule type="cellIs" priority="51" operator="lessThanOrEqual" aboveAverage="0" equalAverage="0" bottom="0" percent="0" rank="0" text="" dxfId="0">
      <formula>H30</formula>
    </cfRule>
  </conditionalFormatting>
  <conditionalFormatting sqref="AF31">
    <cfRule type="cellIs" priority="52" operator="lessThanOrEqual" aboveAverage="0" equalAverage="0" bottom="0" percent="0" rank="0" text="" dxfId="0">
      <formula>H31</formula>
    </cfRule>
  </conditionalFormatting>
  <conditionalFormatting sqref="AF33">
    <cfRule type="cellIs" priority="53" operator="lessThanOrEqual" aboveAverage="0" equalAverage="0" bottom="0" percent="0" rank="0" text="" dxfId="0">
      <formula>H33</formula>
    </cfRule>
  </conditionalFormatting>
  <conditionalFormatting sqref="AF36">
    <cfRule type="cellIs" priority="54" operator="lessThanOrEqual" aboveAverage="0" equalAverage="0" bottom="0" percent="0" rank="0" text="" dxfId="0">
      <formula>H36</formula>
    </cfRule>
  </conditionalFormatting>
  <conditionalFormatting sqref="AF7">
    <cfRule type="cellIs" priority="55" operator="lessThanOrEqual" aboveAverage="0" equalAverage="0" bottom="0" percent="0" rank="0" text="" dxfId="0">
      <formula>H7</formula>
    </cfRule>
  </conditionalFormatting>
  <conditionalFormatting sqref="AF8">
    <cfRule type="cellIs" priority="56" operator="lessThanOrEqual" aboveAverage="0" equalAverage="0" bottom="0" percent="0" rank="0" text="" dxfId="0">
      <formula>H8</formula>
    </cfRule>
  </conditionalFormatting>
  <conditionalFormatting sqref="AF9">
    <cfRule type="cellIs" priority="57" operator="lessThanOrEqual" aboveAverage="0" equalAverage="0" bottom="0" percent="0" rank="0" text="" dxfId="0">
      <formula>H9</formula>
    </cfRule>
  </conditionalFormatting>
  <conditionalFormatting sqref="AG12">
    <cfRule type="cellIs" priority="58" operator="lessThanOrEqual" aboveAverage="0" equalAverage="0" bottom="0" percent="0" rank="0" text="" dxfId="0">
      <formula>I12</formula>
    </cfRule>
  </conditionalFormatting>
  <conditionalFormatting sqref="AG21">
    <cfRule type="cellIs" priority="59" operator="lessThanOrEqual" aboveAverage="0" equalAverage="0" bottom="0" percent="0" rank="0" text="" dxfId="0">
      <formula>I21</formula>
    </cfRule>
  </conditionalFormatting>
  <conditionalFormatting sqref="AG22">
    <cfRule type="cellIs" priority="60" operator="lessThanOrEqual" aboveAverage="0" equalAverage="0" bottom="0" percent="0" rank="0" text="" dxfId="0">
      <formula>I22</formula>
    </cfRule>
  </conditionalFormatting>
  <conditionalFormatting sqref="AG30">
    <cfRule type="cellIs" priority="61" operator="lessThanOrEqual" aboveAverage="0" equalAverage="0" bottom="0" percent="0" rank="0" text="" dxfId="0">
      <formula>I30</formula>
    </cfRule>
  </conditionalFormatting>
  <conditionalFormatting sqref="AG31">
    <cfRule type="cellIs" priority="62" operator="lessThanOrEqual" aboveAverage="0" equalAverage="0" bottom="0" percent="0" rank="0" text="" dxfId="0">
      <formula>I31</formula>
    </cfRule>
  </conditionalFormatting>
  <conditionalFormatting sqref="AG33">
    <cfRule type="cellIs" priority="63" operator="lessThanOrEqual" aboveAverage="0" equalAverage="0" bottom="0" percent="0" rank="0" text="" dxfId="0">
      <formula>I33</formula>
    </cfRule>
  </conditionalFormatting>
  <conditionalFormatting sqref="AG36">
    <cfRule type="cellIs" priority="64" operator="lessThanOrEqual" aboveAverage="0" equalAverage="0" bottom="0" percent="0" rank="0" text="" dxfId="0">
      <formula>I36</formula>
    </cfRule>
  </conditionalFormatting>
  <conditionalFormatting sqref="AG7">
    <cfRule type="cellIs" priority="65" operator="lessThanOrEqual" aboveAverage="0" equalAverage="0" bottom="0" percent="0" rank="0" text="" dxfId="0">
      <formula>I7</formula>
    </cfRule>
  </conditionalFormatting>
  <conditionalFormatting sqref="AG8">
    <cfRule type="cellIs" priority="66" operator="lessThanOrEqual" aboveAverage="0" equalAverage="0" bottom="0" percent="0" rank="0" text="" dxfId="0">
      <formula>I8</formula>
    </cfRule>
  </conditionalFormatting>
  <conditionalFormatting sqref="AG9">
    <cfRule type="cellIs" priority="67" operator="lessThanOrEqual" aboveAverage="0" equalAverage="0" bottom="0" percent="0" rank="0" text="" dxfId="0">
      <formula>I9</formula>
    </cfRule>
  </conditionalFormatting>
  <conditionalFormatting sqref="G10">
    <cfRule type="expression" priority="6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1">
    <cfRule type="expression" priority="7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2">
    <cfRule type="expression" priority="7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3">
    <cfRule type="expression" priority="7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4">
    <cfRule type="expression" priority="8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5">
    <cfRule type="expression" priority="8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6">
    <cfRule type="expression" priority="8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7">
    <cfRule type="expression" priority="8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8">
    <cfRule type="expression" priority="9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9">
    <cfRule type="expression" priority="9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0">
    <cfRule type="expression" priority="9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1">
    <cfRule type="expression" priority="10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2">
    <cfRule type="expression" priority="10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3">
    <cfRule type="expression" priority="10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4">
    <cfRule type="expression" priority="11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5">
    <cfRule type="expression" priority="11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6">
    <cfRule type="expression" priority="11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7">
    <cfRule type="expression" priority="11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8">
    <cfRule type="expression" priority="12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9">
    <cfRule type="expression" priority="12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0">
    <cfRule type="expression" priority="12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1">
    <cfRule type="expression" priority="13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2">
    <cfRule type="expression" priority="13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3">
    <cfRule type="expression" priority="13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4">
    <cfRule type="expression" priority="14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5">
    <cfRule type="expression" priority="14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6">
    <cfRule type="expression" priority="14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7">
    <cfRule type="expression" priority="14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8">
    <cfRule type="expression" priority="15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9">
    <cfRule type="expression" priority="15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0">
    <cfRule type="expression" priority="15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1">
    <cfRule type="expression" priority="16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2">
    <cfRule type="expression" priority="16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3">
    <cfRule type="expression" priority="16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4">
    <cfRule type="expression" priority="17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7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7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7">
    <cfRule type="expression" priority="17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7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7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8">
    <cfRule type="expression" priority="17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7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7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9">
    <cfRule type="expression" priority="17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8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8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J10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G10</formula>
    </cfRule>
  </conditionalFormatting>
  <conditionalFormatting sqref="J11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G11</formula>
    </cfRule>
  </conditionalFormatting>
  <conditionalFormatting sqref="J12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G12</formula>
    </cfRule>
  </conditionalFormatting>
  <conditionalFormatting sqref="J13">
    <cfRule type="cellIs" priority="188" operator="equal" aboveAverage="0" equalAverage="0" bottom="0" percent="0" rank="0" text="" dxfId="1">
      <formula>0</formula>
    </cfRule>
    <cfRule type="cellIs" priority="189" operator="lessThan" aboveAverage="0" equalAverage="0" bottom="0" percent="0" rank="0" text="" dxfId="2">
      <formula>G13</formula>
    </cfRule>
  </conditionalFormatting>
  <conditionalFormatting sqref="J14">
    <cfRule type="cellIs" priority="190" operator="equal" aboveAverage="0" equalAverage="0" bottom="0" percent="0" rank="0" text="" dxfId="1">
      <formula>0</formula>
    </cfRule>
    <cfRule type="cellIs" priority="191" operator="lessThan" aboveAverage="0" equalAverage="0" bottom="0" percent="0" rank="0" text="" dxfId="2">
      <formula>G14</formula>
    </cfRule>
  </conditionalFormatting>
  <conditionalFormatting sqref="J15">
    <cfRule type="cellIs" priority="192" operator="equal" aboveAverage="0" equalAverage="0" bottom="0" percent="0" rank="0" text="" dxfId="1">
      <formula>0</formula>
    </cfRule>
    <cfRule type="cellIs" priority="193" operator="lessThan" aboveAverage="0" equalAverage="0" bottom="0" percent="0" rank="0" text="" dxfId="2">
      <formula>G15</formula>
    </cfRule>
  </conditionalFormatting>
  <conditionalFormatting sqref="J16">
    <cfRule type="cellIs" priority="194" operator="equal" aboveAverage="0" equalAverage="0" bottom="0" percent="0" rank="0" text="" dxfId="1">
      <formula>0</formula>
    </cfRule>
    <cfRule type="cellIs" priority="195" operator="lessThan" aboveAverage="0" equalAverage="0" bottom="0" percent="0" rank="0" text="" dxfId="2">
      <formula>G16</formula>
    </cfRule>
  </conditionalFormatting>
  <conditionalFormatting sqref="J17">
    <cfRule type="cellIs" priority="196" operator="equal" aboveAverage="0" equalAverage="0" bottom="0" percent="0" rank="0" text="" dxfId="1">
      <formula>0</formula>
    </cfRule>
    <cfRule type="cellIs" priority="197" operator="lessThan" aboveAverage="0" equalAverage="0" bottom="0" percent="0" rank="0" text="" dxfId="2">
      <formula>G17</formula>
    </cfRule>
  </conditionalFormatting>
  <conditionalFormatting sqref="J18">
    <cfRule type="cellIs" priority="198" operator="equal" aboveAverage="0" equalAverage="0" bottom="0" percent="0" rank="0" text="" dxfId="1">
      <formula>0</formula>
    </cfRule>
    <cfRule type="cellIs" priority="199" operator="lessThan" aboveAverage="0" equalAverage="0" bottom="0" percent="0" rank="0" text="" dxfId="2">
      <formula>G18</formula>
    </cfRule>
  </conditionalFormatting>
  <conditionalFormatting sqref="J19">
    <cfRule type="cellIs" priority="200" operator="equal" aboveAverage="0" equalAverage="0" bottom="0" percent="0" rank="0" text="" dxfId="1">
      <formula>0</formula>
    </cfRule>
    <cfRule type="cellIs" priority="201" operator="lessThan" aboveAverage="0" equalAverage="0" bottom="0" percent="0" rank="0" text="" dxfId="2">
      <formula>G19</formula>
    </cfRule>
  </conditionalFormatting>
  <conditionalFormatting sqref="J20">
    <cfRule type="cellIs" priority="202" operator="equal" aboveAverage="0" equalAverage="0" bottom="0" percent="0" rank="0" text="" dxfId="1">
      <formula>0</formula>
    </cfRule>
    <cfRule type="cellIs" priority="203" operator="lessThan" aboveAverage="0" equalAverage="0" bottom="0" percent="0" rank="0" text="" dxfId="2">
      <formula>G20</formula>
    </cfRule>
  </conditionalFormatting>
  <conditionalFormatting sqref="J21">
    <cfRule type="cellIs" priority="204" operator="equal" aboveAverage="0" equalAverage="0" bottom="0" percent="0" rank="0" text="" dxfId="1">
      <formula>0</formula>
    </cfRule>
    <cfRule type="cellIs" priority="205" operator="lessThan" aboveAverage="0" equalAverage="0" bottom="0" percent="0" rank="0" text="" dxfId="2">
      <formula>G21</formula>
    </cfRule>
  </conditionalFormatting>
  <conditionalFormatting sqref="J22">
    <cfRule type="cellIs" priority="206" operator="equal" aboveAverage="0" equalAverage="0" bottom="0" percent="0" rank="0" text="" dxfId="1">
      <formula>0</formula>
    </cfRule>
    <cfRule type="cellIs" priority="207" operator="lessThan" aboveAverage="0" equalAverage="0" bottom="0" percent="0" rank="0" text="" dxfId="2">
      <formula>G22</formula>
    </cfRule>
  </conditionalFormatting>
  <conditionalFormatting sqref="J23">
    <cfRule type="cellIs" priority="208" operator="equal" aboveAverage="0" equalAverage="0" bottom="0" percent="0" rank="0" text="" dxfId="1">
      <formula>0</formula>
    </cfRule>
    <cfRule type="cellIs" priority="209" operator="lessThan" aboveAverage="0" equalAverage="0" bottom="0" percent="0" rank="0" text="" dxfId="2">
      <formula>G23</formula>
    </cfRule>
  </conditionalFormatting>
  <conditionalFormatting sqref="J24">
    <cfRule type="cellIs" priority="210" operator="equal" aboveAverage="0" equalAverage="0" bottom="0" percent="0" rank="0" text="" dxfId="1">
      <formula>0</formula>
    </cfRule>
    <cfRule type="cellIs" priority="211" operator="lessThan" aboveAverage="0" equalAverage="0" bottom="0" percent="0" rank="0" text="" dxfId="2">
      <formula>G24</formula>
    </cfRule>
  </conditionalFormatting>
  <conditionalFormatting sqref="J25">
    <cfRule type="cellIs" priority="212" operator="equal" aboveAverage="0" equalAverage="0" bottom="0" percent="0" rank="0" text="" dxfId="1">
      <formula>0</formula>
    </cfRule>
    <cfRule type="cellIs" priority="213" operator="lessThan" aboveAverage="0" equalAverage="0" bottom="0" percent="0" rank="0" text="" dxfId="2">
      <formula>G25</formula>
    </cfRule>
  </conditionalFormatting>
  <conditionalFormatting sqref="J26">
    <cfRule type="cellIs" priority="214" operator="equal" aboveAverage="0" equalAverage="0" bottom="0" percent="0" rank="0" text="" dxfId="1">
      <formula>0</formula>
    </cfRule>
    <cfRule type="cellIs" priority="215" operator="lessThan" aboveAverage="0" equalAverage="0" bottom="0" percent="0" rank="0" text="" dxfId="2">
      <formula>G26</formula>
    </cfRule>
  </conditionalFormatting>
  <conditionalFormatting sqref="J27">
    <cfRule type="cellIs" priority="216" operator="equal" aboveAverage="0" equalAverage="0" bottom="0" percent="0" rank="0" text="" dxfId="1">
      <formula>0</formula>
    </cfRule>
    <cfRule type="cellIs" priority="217" operator="lessThan" aboveAverage="0" equalAverage="0" bottom="0" percent="0" rank="0" text="" dxfId="2">
      <formula>G27</formula>
    </cfRule>
  </conditionalFormatting>
  <conditionalFormatting sqref="J28">
    <cfRule type="cellIs" priority="218" operator="equal" aboveAverage="0" equalAverage="0" bottom="0" percent="0" rank="0" text="" dxfId="1">
      <formula>0</formula>
    </cfRule>
    <cfRule type="cellIs" priority="219" operator="lessThan" aboveAverage="0" equalAverage="0" bottom="0" percent="0" rank="0" text="" dxfId="2">
      <formula>G28</formula>
    </cfRule>
  </conditionalFormatting>
  <conditionalFormatting sqref="J29">
    <cfRule type="cellIs" priority="220" operator="equal" aboveAverage="0" equalAverage="0" bottom="0" percent="0" rank="0" text="" dxfId="1">
      <formula>0</formula>
    </cfRule>
    <cfRule type="cellIs" priority="221" operator="lessThan" aboveAverage="0" equalAverage="0" bottom="0" percent="0" rank="0" text="" dxfId="2">
      <formula>G29</formula>
    </cfRule>
  </conditionalFormatting>
  <conditionalFormatting sqref="J30">
    <cfRule type="cellIs" priority="222" operator="equal" aboveAverage="0" equalAverage="0" bottom="0" percent="0" rank="0" text="" dxfId="1">
      <formula>0</formula>
    </cfRule>
    <cfRule type="cellIs" priority="223" operator="lessThan" aboveAverage="0" equalAverage="0" bottom="0" percent="0" rank="0" text="" dxfId="2">
      <formula>G30</formula>
    </cfRule>
  </conditionalFormatting>
  <conditionalFormatting sqref="J31">
    <cfRule type="cellIs" priority="224" operator="equal" aboveAverage="0" equalAverage="0" bottom="0" percent="0" rank="0" text="" dxfId="1">
      <formula>0</formula>
    </cfRule>
    <cfRule type="cellIs" priority="225" operator="lessThan" aboveAverage="0" equalAverage="0" bottom="0" percent="0" rank="0" text="" dxfId="2">
      <formula>G31</formula>
    </cfRule>
  </conditionalFormatting>
  <conditionalFormatting sqref="J32">
    <cfRule type="cellIs" priority="226" operator="equal" aboveAverage="0" equalAverage="0" bottom="0" percent="0" rank="0" text="" dxfId="1">
      <formula>0</formula>
    </cfRule>
    <cfRule type="cellIs" priority="227" operator="lessThan" aboveAverage="0" equalAverage="0" bottom="0" percent="0" rank="0" text="" dxfId="2">
      <formula>G32</formula>
    </cfRule>
  </conditionalFormatting>
  <conditionalFormatting sqref="J33">
    <cfRule type="cellIs" priority="228" operator="equal" aboveAverage="0" equalAverage="0" bottom="0" percent="0" rank="0" text="" dxfId="1">
      <formula>0</formula>
    </cfRule>
    <cfRule type="cellIs" priority="229" operator="lessThan" aboveAverage="0" equalAverage="0" bottom="0" percent="0" rank="0" text="" dxfId="2">
      <formula>G33</formula>
    </cfRule>
  </conditionalFormatting>
  <conditionalFormatting sqref="J34">
    <cfRule type="cellIs" priority="230" operator="equal" aboveAverage="0" equalAverage="0" bottom="0" percent="0" rank="0" text="" dxfId="1">
      <formula>0</formula>
    </cfRule>
    <cfRule type="cellIs" priority="231" operator="lessThan" aboveAverage="0" equalAverage="0" bottom="0" percent="0" rank="0" text="" dxfId="2">
      <formula>G34</formula>
    </cfRule>
  </conditionalFormatting>
  <conditionalFormatting sqref="J35">
    <cfRule type="cellIs" priority="232" operator="equal" aboveAverage="0" equalAverage="0" bottom="0" percent="0" rank="0" text="" dxfId="1">
      <formula>0</formula>
    </cfRule>
    <cfRule type="cellIs" priority="233" operator="lessThan" aboveAverage="0" equalAverage="0" bottom="0" percent="0" rank="0" text="" dxfId="2">
      <formula>G35</formula>
    </cfRule>
  </conditionalFormatting>
  <conditionalFormatting sqref="J36">
    <cfRule type="cellIs" priority="234" operator="equal" aboveAverage="0" equalAverage="0" bottom="0" percent="0" rank="0" text="" dxfId="1">
      <formula>0</formula>
    </cfRule>
    <cfRule type="cellIs" priority="235" operator="lessThan" aboveAverage="0" equalAverage="0" bottom="0" percent="0" rank="0" text="" dxfId="2">
      <formula>G36</formula>
    </cfRule>
  </conditionalFormatting>
  <conditionalFormatting sqref="J37">
    <cfRule type="cellIs" priority="236" operator="equal" aboveAverage="0" equalAverage="0" bottom="0" percent="0" rank="0" text="" dxfId="1">
      <formula>0</formula>
    </cfRule>
    <cfRule type="cellIs" priority="237" operator="lessThan" aboveAverage="0" equalAverage="0" bottom="0" percent="0" rank="0" text="" dxfId="2">
      <formula>G37</formula>
    </cfRule>
  </conditionalFormatting>
  <conditionalFormatting sqref="J38">
    <cfRule type="cellIs" priority="238" operator="equal" aboveAverage="0" equalAverage="0" bottom="0" percent="0" rank="0" text="" dxfId="1">
      <formula>0</formula>
    </cfRule>
    <cfRule type="cellIs" priority="239" operator="lessThan" aboveAverage="0" equalAverage="0" bottom="0" percent="0" rank="0" text="" dxfId="2">
      <formula>G38</formula>
    </cfRule>
  </conditionalFormatting>
  <conditionalFormatting sqref="J39">
    <cfRule type="cellIs" priority="240" operator="equal" aboveAverage="0" equalAverage="0" bottom="0" percent="0" rank="0" text="" dxfId="1">
      <formula>0</formula>
    </cfRule>
    <cfRule type="cellIs" priority="241" operator="lessThan" aboveAverage="0" equalAverage="0" bottom="0" percent="0" rank="0" text="" dxfId="2">
      <formula>G39</formula>
    </cfRule>
  </conditionalFormatting>
  <conditionalFormatting sqref="J40">
    <cfRule type="cellIs" priority="242" operator="equal" aboveAverage="0" equalAverage="0" bottom="0" percent="0" rank="0" text="" dxfId="1">
      <formula>0</formula>
    </cfRule>
    <cfRule type="cellIs" priority="243" operator="lessThan" aboveAverage="0" equalAverage="0" bottom="0" percent="0" rank="0" text="" dxfId="2">
      <formula>G40</formula>
    </cfRule>
  </conditionalFormatting>
  <conditionalFormatting sqref="J41">
    <cfRule type="cellIs" priority="244" operator="equal" aboveAverage="0" equalAverage="0" bottom="0" percent="0" rank="0" text="" dxfId="1">
      <formula>0</formula>
    </cfRule>
    <cfRule type="cellIs" priority="245" operator="lessThan" aboveAverage="0" equalAverage="0" bottom="0" percent="0" rank="0" text="" dxfId="2">
      <formula>G41</formula>
    </cfRule>
  </conditionalFormatting>
  <conditionalFormatting sqref="J42">
    <cfRule type="cellIs" priority="246" operator="equal" aboveAverage="0" equalAverage="0" bottom="0" percent="0" rank="0" text="" dxfId="1">
      <formula>0</formula>
    </cfRule>
    <cfRule type="cellIs" priority="247" operator="lessThan" aboveAverage="0" equalAverage="0" bottom="0" percent="0" rank="0" text="" dxfId="2">
      <formula>G42</formula>
    </cfRule>
  </conditionalFormatting>
  <conditionalFormatting sqref="J43">
    <cfRule type="cellIs" priority="248" operator="equal" aboveAverage="0" equalAverage="0" bottom="0" percent="0" rank="0" text="" dxfId="1">
      <formula>0</formula>
    </cfRule>
    <cfRule type="cellIs" priority="249" operator="lessThan" aboveAverage="0" equalAverage="0" bottom="0" percent="0" rank="0" text="" dxfId="2">
      <formula>G43</formula>
    </cfRule>
  </conditionalFormatting>
  <conditionalFormatting sqref="J44">
    <cfRule type="cellIs" priority="250" operator="equal" aboveAverage="0" equalAverage="0" bottom="0" percent="0" rank="0" text="" dxfId="1">
      <formula>0</formula>
    </cfRule>
    <cfRule type="cellIs" priority="251" operator="lessThan" aboveAverage="0" equalAverage="0" bottom="0" percent="0" rank="0" text="" dxfId="2">
      <formula>G44</formula>
    </cfRule>
  </conditionalFormatting>
  <conditionalFormatting sqref="J7">
    <cfRule type="cellIs" priority="252" operator="equal" aboveAverage="0" equalAverage="0" bottom="0" percent="0" rank="0" text="" dxfId="1">
      <formula>0</formula>
    </cfRule>
    <cfRule type="cellIs" priority="253" operator="lessThan" aboveAverage="0" equalAverage="0" bottom="0" percent="0" rank="0" text="" dxfId="2">
      <formula>G7</formula>
    </cfRule>
  </conditionalFormatting>
  <conditionalFormatting sqref="J8">
    <cfRule type="cellIs" priority="254" operator="equal" aboveAverage="0" equalAverage="0" bottom="0" percent="0" rank="0" text="" dxfId="1">
      <formula>0</formula>
    </cfRule>
    <cfRule type="cellIs" priority="255" operator="lessThan" aboveAverage="0" equalAverage="0" bottom="0" percent="0" rank="0" text="" dxfId="2">
      <formula>G8</formula>
    </cfRule>
  </conditionalFormatting>
  <conditionalFormatting sqref="J9">
    <cfRule type="cellIs" priority="256" operator="equal" aboveAverage="0" equalAverage="0" bottom="0" percent="0" rank="0" text="" dxfId="1">
      <formula>0</formula>
    </cfRule>
    <cfRule type="cellIs" priority="257" operator="lessThan" aboveAverage="0" equalAverage="0" bottom="0" percent="0" rank="0" text="" dxfId="2">
      <formula>G9</formula>
    </cfRule>
  </conditionalFormatting>
  <conditionalFormatting sqref="K10">
    <cfRule type="cellIs" priority="258" operator="greaterThan" aboveAverage="0" equalAverage="0" bottom="0" percent="0" rank="0" text="" dxfId="1">
      <formula>J10</formula>
    </cfRule>
  </conditionalFormatting>
  <conditionalFormatting sqref="K11">
    <cfRule type="cellIs" priority="259" operator="greaterThan" aboveAverage="0" equalAverage="0" bottom="0" percent="0" rank="0" text="" dxfId="1">
      <formula>J11</formula>
    </cfRule>
  </conditionalFormatting>
  <conditionalFormatting sqref="K12">
    <cfRule type="cellIs" priority="260" operator="greaterThan" aboveAverage="0" equalAverage="0" bottom="0" percent="0" rank="0" text="" dxfId="1">
      <formula>J12</formula>
    </cfRule>
  </conditionalFormatting>
  <conditionalFormatting sqref="K13">
    <cfRule type="cellIs" priority="261" operator="greaterThan" aboveAverage="0" equalAverage="0" bottom="0" percent="0" rank="0" text="" dxfId="1">
      <formula>J13</formula>
    </cfRule>
  </conditionalFormatting>
  <conditionalFormatting sqref="K14">
    <cfRule type="cellIs" priority="262" operator="greaterThan" aboveAverage="0" equalAverage="0" bottom="0" percent="0" rank="0" text="" dxfId="1">
      <formula>J14</formula>
    </cfRule>
  </conditionalFormatting>
  <conditionalFormatting sqref="K15">
    <cfRule type="cellIs" priority="263" operator="greaterThan" aboveAverage="0" equalAverage="0" bottom="0" percent="0" rank="0" text="" dxfId="1">
      <formula>J15</formula>
    </cfRule>
  </conditionalFormatting>
  <conditionalFormatting sqref="K16">
    <cfRule type="cellIs" priority="264" operator="greaterThan" aboveAverage="0" equalAverage="0" bottom="0" percent="0" rank="0" text="" dxfId="1">
      <formula>J16</formula>
    </cfRule>
  </conditionalFormatting>
  <conditionalFormatting sqref="K17">
    <cfRule type="cellIs" priority="265" operator="greaterThan" aboveAverage="0" equalAverage="0" bottom="0" percent="0" rank="0" text="" dxfId="1">
      <formula>J17</formula>
    </cfRule>
  </conditionalFormatting>
  <conditionalFormatting sqref="K18">
    <cfRule type="cellIs" priority="266" operator="greaterThan" aboveAverage="0" equalAverage="0" bottom="0" percent="0" rank="0" text="" dxfId="1">
      <formula>J18</formula>
    </cfRule>
  </conditionalFormatting>
  <conditionalFormatting sqref="K19">
    <cfRule type="cellIs" priority="267" operator="greaterThan" aboveAverage="0" equalAverage="0" bottom="0" percent="0" rank="0" text="" dxfId="1">
      <formula>J19</formula>
    </cfRule>
  </conditionalFormatting>
  <conditionalFormatting sqref="K20">
    <cfRule type="cellIs" priority="268" operator="greaterThan" aboveAverage="0" equalAverage="0" bottom="0" percent="0" rank="0" text="" dxfId="1">
      <formula>J20</formula>
    </cfRule>
  </conditionalFormatting>
  <conditionalFormatting sqref="K21">
    <cfRule type="cellIs" priority="269" operator="greaterThan" aboveAverage="0" equalAverage="0" bottom="0" percent="0" rank="0" text="" dxfId="1">
      <formula>J21</formula>
    </cfRule>
  </conditionalFormatting>
  <conditionalFormatting sqref="K22">
    <cfRule type="cellIs" priority="270" operator="greaterThan" aboveAverage="0" equalAverage="0" bottom="0" percent="0" rank="0" text="" dxfId="1">
      <formula>J22</formula>
    </cfRule>
  </conditionalFormatting>
  <conditionalFormatting sqref="K23">
    <cfRule type="cellIs" priority="271" operator="greaterThan" aboveAverage="0" equalAverage="0" bottom="0" percent="0" rank="0" text="" dxfId="1">
      <formula>J23</formula>
    </cfRule>
  </conditionalFormatting>
  <conditionalFormatting sqref="K24">
    <cfRule type="cellIs" priority="272" operator="greaterThan" aboveAverage="0" equalAverage="0" bottom="0" percent="0" rank="0" text="" dxfId="1">
      <formula>J24</formula>
    </cfRule>
  </conditionalFormatting>
  <conditionalFormatting sqref="K25">
    <cfRule type="cellIs" priority="273" operator="greaterThan" aboveAverage="0" equalAverage="0" bottom="0" percent="0" rank="0" text="" dxfId="1">
      <formula>J25</formula>
    </cfRule>
  </conditionalFormatting>
  <conditionalFormatting sqref="K26">
    <cfRule type="cellIs" priority="274" operator="greaterThan" aboveAverage="0" equalAverage="0" bottom="0" percent="0" rank="0" text="" dxfId="1">
      <formula>J26</formula>
    </cfRule>
  </conditionalFormatting>
  <conditionalFormatting sqref="K27">
    <cfRule type="cellIs" priority="275" operator="greaterThan" aboveAverage="0" equalAverage="0" bottom="0" percent="0" rank="0" text="" dxfId="1">
      <formula>J27</formula>
    </cfRule>
  </conditionalFormatting>
  <conditionalFormatting sqref="K28">
    <cfRule type="cellIs" priority="276" operator="greaterThan" aboveAverage="0" equalAverage="0" bottom="0" percent="0" rank="0" text="" dxfId="1">
      <formula>J28</formula>
    </cfRule>
  </conditionalFormatting>
  <conditionalFormatting sqref="K29">
    <cfRule type="cellIs" priority="277" operator="greaterThan" aboveAverage="0" equalAverage="0" bottom="0" percent="0" rank="0" text="" dxfId="1">
      <formula>J29</formula>
    </cfRule>
  </conditionalFormatting>
  <conditionalFormatting sqref="K30">
    <cfRule type="cellIs" priority="278" operator="greaterThan" aboveAverage="0" equalAverage="0" bottom="0" percent="0" rank="0" text="" dxfId="1">
      <formula>J30</formula>
    </cfRule>
  </conditionalFormatting>
  <conditionalFormatting sqref="K31">
    <cfRule type="cellIs" priority="279" operator="greaterThan" aboveAverage="0" equalAverage="0" bottom="0" percent="0" rank="0" text="" dxfId="1">
      <formula>J31</formula>
    </cfRule>
  </conditionalFormatting>
  <conditionalFormatting sqref="K32">
    <cfRule type="cellIs" priority="280" operator="greaterThan" aboveAverage="0" equalAverage="0" bottom="0" percent="0" rank="0" text="" dxfId="1">
      <formula>J32</formula>
    </cfRule>
  </conditionalFormatting>
  <conditionalFormatting sqref="K33">
    <cfRule type="cellIs" priority="281" operator="greaterThan" aboveAverage="0" equalAverage="0" bottom="0" percent="0" rank="0" text="" dxfId="1">
      <formula>J33</formula>
    </cfRule>
  </conditionalFormatting>
  <conditionalFormatting sqref="K34">
    <cfRule type="cellIs" priority="282" operator="greaterThan" aboveAverage="0" equalAverage="0" bottom="0" percent="0" rank="0" text="" dxfId="1">
      <formula>J34</formula>
    </cfRule>
  </conditionalFormatting>
  <conditionalFormatting sqref="K35">
    <cfRule type="cellIs" priority="283" operator="greaterThan" aboveAverage="0" equalAverage="0" bottom="0" percent="0" rank="0" text="" dxfId="1">
      <formula>J35</formula>
    </cfRule>
  </conditionalFormatting>
  <conditionalFormatting sqref="K36">
    <cfRule type="cellIs" priority="284" operator="greaterThan" aboveAverage="0" equalAverage="0" bottom="0" percent="0" rank="0" text="" dxfId="1">
      <formula>J36</formula>
    </cfRule>
  </conditionalFormatting>
  <conditionalFormatting sqref="K37">
    <cfRule type="cellIs" priority="285" operator="greaterThan" aboveAverage="0" equalAverage="0" bottom="0" percent="0" rank="0" text="" dxfId="1">
      <formula>J37</formula>
    </cfRule>
  </conditionalFormatting>
  <conditionalFormatting sqref="K38">
    <cfRule type="cellIs" priority="286" operator="greaterThan" aboveAverage="0" equalAverage="0" bottom="0" percent="0" rank="0" text="" dxfId="1">
      <formula>J38</formula>
    </cfRule>
  </conditionalFormatting>
  <conditionalFormatting sqref="K39">
    <cfRule type="cellIs" priority="287" operator="greaterThan" aboveAverage="0" equalAverage="0" bottom="0" percent="0" rank="0" text="" dxfId="1">
      <formula>J39</formula>
    </cfRule>
  </conditionalFormatting>
  <conditionalFormatting sqref="K40">
    <cfRule type="cellIs" priority="288" operator="greaterThan" aboveAverage="0" equalAverage="0" bottom="0" percent="0" rank="0" text="" dxfId="1">
      <formula>J40</formula>
    </cfRule>
  </conditionalFormatting>
  <conditionalFormatting sqref="K41">
    <cfRule type="cellIs" priority="289" operator="greaterThan" aboveAverage="0" equalAverage="0" bottom="0" percent="0" rank="0" text="" dxfId="1">
      <formula>J41</formula>
    </cfRule>
  </conditionalFormatting>
  <conditionalFormatting sqref="K42">
    <cfRule type="cellIs" priority="290" operator="greaterThan" aboveAverage="0" equalAverage="0" bottom="0" percent="0" rank="0" text="" dxfId="1">
      <formula>J42</formula>
    </cfRule>
  </conditionalFormatting>
  <conditionalFormatting sqref="K43">
    <cfRule type="cellIs" priority="291" operator="greaterThan" aboveAverage="0" equalAverage="0" bottom="0" percent="0" rank="0" text="" dxfId="1">
      <formula>J43</formula>
    </cfRule>
  </conditionalFormatting>
  <conditionalFormatting sqref="K44">
    <cfRule type="cellIs" priority="292" operator="greaterThan" aboveAverage="0" equalAverage="0" bottom="0" percent="0" rank="0" text="" dxfId="1">
      <formula>J44</formula>
    </cfRule>
  </conditionalFormatting>
  <conditionalFormatting sqref="K7">
    <cfRule type="cellIs" priority="293" operator="greaterThan" aboveAverage="0" equalAverage="0" bottom="0" percent="0" rank="0" text="" dxfId="1">
      <formula>J7</formula>
    </cfRule>
  </conditionalFormatting>
  <conditionalFormatting sqref="K8">
    <cfRule type="cellIs" priority="294" operator="greaterThan" aboveAverage="0" equalAverage="0" bottom="0" percent="0" rank="0" text="" dxfId="1">
      <formula>J8</formula>
    </cfRule>
  </conditionalFormatting>
  <conditionalFormatting sqref="K9">
    <cfRule type="cellIs" priority="295" operator="greaterThan" aboveAverage="0" equalAverage="0" bottom="0" percent="0" rank="0" text="" dxfId="1">
      <formula>J9</formula>
    </cfRule>
  </conditionalFormatting>
  <conditionalFormatting sqref="L10">
    <cfRule type="cellIs" priority="296" operator="lessThanOrEqual" aboveAverage="0" equalAverage="0" bottom="0" percent="0" rank="0" text="" dxfId="0">
      <formula>H10</formula>
    </cfRule>
  </conditionalFormatting>
  <conditionalFormatting sqref="L11">
    <cfRule type="cellIs" priority="297" operator="lessThanOrEqual" aboveAverage="0" equalAverage="0" bottom="0" percent="0" rank="0" text="" dxfId="0">
      <formula>H11</formula>
    </cfRule>
  </conditionalFormatting>
  <conditionalFormatting sqref="L12">
    <cfRule type="cellIs" priority="298" operator="lessThanOrEqual" aboveAverage="0" equalAverage="0" bottom="0" percent="0" rank="0" text="" dxfId="0">
      <formula>H12</formula>
    </cfRule>
  </conditionalFormatting>
  <conditionalFormatting sqref="L13">
    <cfRule type="cellIs" priority="299" operator="lessThanOrEqual" aboveAverage="0" equalAverage="0" bottom="0" percent="0" rank="0" text="" dxfId="0">
      <formula>H13</formula>
    </cfRule>
  </conditionalFormatting>
  <conditionalFormatting sqref="L14">
    <cfRule type="cellIs" priority="300" operator="lessThanOrEqual" aboveAverage="0" equalAverage="0" bottom="0" percent="0" rank="0" text="" dxfId="0">
      <formula>H14</formula>
    </cfRule>
  </conditionalFormatting>
  <conditionalFormatting sqref="L15">
    <cfRule type="cellIs" priority="301" operator="lessThanOrEqual" aboveAverage="0" equalAverage="0" bottom="0" percent="0" rank="0" text="" dxfId="0">
      <formula>H15</formula>
    </cfRule>
  </conditionalFormatting>
  <conditionalFormatting sqref="L16">
    <cfRule type="cellIs" priority="302" operator="lessThanOrEqual" aboveAverage="0" equalAverage="0" bottom="0" percent="0" rank="0" text="" dxfId="0">
      <formula>H16</formula>
    </cfRule>
  </conditionalFormatting>
  <conditionalFormatting sqref="L17">
    <cfRule type="cellIs" priority="303" operator="lessThanOrEqual" aboveAverage="0" equalAverage="0" bottom="0" percent="0" rank="0" text="" dxfId="0">
      <formula>H17</formula>
    </cfRule>
  </conditionalFormatting>
  <conditionalFormatting sqref="L18">
    <cfRule type="cellIs" priority="304" operator="lessThanOrEqual" aboveAverage="0" equalAverage="0" bottom="0" percent="0" rank="0" text="" dxfId="0">
      <formula>H18</formula>
    </cfRule>
  </conditionalFormatting>
  <conditionalFormatting sqref="L19">
    <cfRule type="cellIs" priority="305" operator="lessThanOrEqual" aboveAverage="0" equalAverage="0" bottom="0" percent="0" rank="0" text="" dxfId="0">
      <formula>H19</formula>
    </cfRule>
  </conditionalFormatting>
  <conditionalFormatting sqref="L20">
    <cfRule type="cellIs" priority="306" operator="lessThanOrEqual" aboveAverage="0" equalAverage="0" bottom="0" percent="0" rank="0" text="" dxfId="0">
      <formula>H20</formula>
    </cfRule>
  </conditionalFormatting>
  <conditionalFormatting sqref="L21">
    <cfRule type="cellIs" priority="307" operator="lessThanOrEqual" aboveAverage="0" equalAverage="0" bottom="0" percent="0" rank="0" text="" dxfId="0">
      <formula>H21</formula>
    </cfRule>
  </conditionalFormatting>
  <conditionalFormatting sqref="L22">
    <cfRule type="cellIs" priority="308" operator="lessThanOrEqual" aboveAverage="0" equalAverage="0" bottom="0" percent="0" rank="0" text="" dxfId="0">
      <formula>H22</formula>
    </cfRule>
  </conditionalFormatting>
  <conditionalFormatting sqref="L23">
    <cfRule type="cellIs" priority="309" operator="lessThanOrEqual" aboveAverage="0" equalAverage="0" bottom="0" percent="0" rank="0" text="" dxfId="0">
      <formula>H23</formula>
    </cfRule>
  </conditionalFormatting>
  <conditionalFormatting sqref="L24">
    <cfRule type="cellIs" priority="310" operator="lessThanOrEqual" aboveAverage="0" equalAverage="0" bottom="0" percent="0" rank="0" text="" dxfId="0">
      <formula>H24</formula>
    </cfRule>
  </conditionalFormatting>
  <conditionalFormatting sqref="L25">
    <cfRule type="cellIs" priority="311" operator="lessThanOrEqual" aboveAverage="0" equalAverage="0" bottom="0" percent="0" rank="0" text="" dxfId="0">
      <formula>H25</formula>
    </cfRule>
  </conditionalFormatting>
  <conditionalFormatting sqref="L26">
    <cfRule type="cellIs" priority="312" operator="lessThanOrEqual" aboveAverage="0" equalAverage="0" bottom="0" percent="0" rank="0" text="" dxfId="0">
      <formula>H26</formula>
    </cfRule>
  </conditionalFormatting>
  <conditionalFormatting sqref="L27">
    <cfRule type="cellIs" priority="313" operator="lessThanOrEqual" aboveAverage="0" equalAverage="0" bottom="0" percent="0" rank="0" text="" dxfId="0">
      <formula>H27</formula>
    </cfRule>
  </conditionalFormatting>
  <conditionalFormatting sqref="L28">
    <cfRule type="cellIs" priority="314" operator="lessThanOrEqual" aboveAverage="0" equalAverage="0" bottom="0" percent="0" rank="0" text="" dxfId="0">
      <formula>H28</formula>
    </cfRule>
  </conditionalFormatting>
  <conditionalFormatting sqref="L29">
    <cfRule type="cellIs" priority="315" operator="lessThanOrEqual" aboveAverage="0" equalAverage="0" bottom="0" percent="0" rank="0" text="" dxfId="0">
      <formula>H29</formula>
    </cfRule>
  </conditionalFormatting>
  <conditionalFormatting sqref="L30">
    <cfRule type="cellIs" priority="316" operator="lessThanOrEqual" aboveAverage="0" equalAverage="0" bottom="0" percent="0" rank="0" text="" dxfId="0">
      <formula>H30</formula>
    </cfRule>
  </conditionalFormatting>
  <conditionalFormatting sqref="L31">
    <cfRule type="cellIs" priority="317" operator="lessThanOrEqual" aboveAverage="0" equalAverage="0" bottom="0" percent="0" rank="0" text="" dxfId="0">
      <formula>H31</formula>
    </cfRule>
  </conditionalFormatting>
  <conditionalFormatting sqref="L32">
    <cfRule type="cellIs" priority="318" operator="lessThanOrEqual" aboveAverage="0" equalAverage="0" bottom="0" percent="0" rank="0" text="" dxfId="0">
      <formula>H32</formula>
    </cfRule>
  </conditionalFormatting>
  <conditionalFormatting sqref="L33">
    <cfRule type="cellIs" priority="319" operator="lessThanOrEqual" aboveAverage="0" equalAverage="0" bottom="0" percent="0" rank="0" text="" dxfId="0">
      <formula>H33</formula>
    </cfRule>
  </conditionalFormatting>
  <conditionalFormatting sqref="L34">
    <cfRule type="cellIs" priority="320" operator="lessThanOrEqual" aboveAverage="0" equalAverage="0" bottom="0" percent="0" rank="0" text="" dxfId="0">
      <formula>H34</formula>
    </cfRule>
  </conditionalFormatting>
  <conditionalFormatting sqref="L35">
    <cfRule type="cellIs" priority="321" operator="lessThanOrEqual" aboveAverage="0" equalAverage="0" bottom="0" percent="0" rank="0" text="" dxfId="0">
      <formula>H35</formula>
    </cfRule>
  </conditionalFormatting>
  <conditionalFormatting sqref="L36">
    <cfRule type="cellIs" priority="322" operator="lessThanOrEqual" aboveAverage="0" equalAverage="0" bottom="0" percent="0" rank="0" text="" dxfId="0">
      <formula>H36</formula>
    </cfRule>
  </conditionalFormatting>
  <conditionalFormatting sqref="L37">
    <cfRule type="cellIs" priority="323" operator="lessThanOrEqual" aboveAverage="0" equalAverage="0" bottom="0" percent="0" rank="0" text="" dxfId="0">
      <formula>H37</formula>
    </cfRule>
  </conditionalFormatting>
  <conditionalFormatting sqref="L38">
    <cfRule type="cellIs" priority="324" operator="lessThanOrEqual" aboveAverage="0" equalAverage="0" bottom="0" percent="0" rank="0" text="" dxfId="0">
      <formula>H38</formula>
    </cfRule>
  </conditionalFormatting>
  <conditionalFormatting sqref="L39">
    <cfRule type="cellIs" priority="325" operator="lessThanOrEqual" aboveAverage="0" equalAverage="0" bottom="0" percent="0" rank="0" text="" dxfId="0">
      <formula>H39</formula>
    </cfRule>
  </conditionalFormatting>
  <conditionalFormatting sqref="L40">
    <cfRule type="cellIs" priority="326" operator="lessThanOrEqual" aboveAverage="0" equalAverage="0" bottom="0" percent="0" rank="0" text="" dxfId="0">
      <formula>H40</formula>
    </cfRule>
  </conditionalFormatting>
  <conditionalFormatting sqref="L41">
    <cfRule type="cellIs" priority="327" operator="lessThanOrEqual" aboveAverage="0" equalAverage="0" bottom="0" percent="0" rank="0" text="" dxfId="0">
      <formula>H41</formula>
    </cfRule>
  </conditionalFormatting>
  <conditionalFormatting sqref="L42">
    <cfRule type="cellIs" priority="328" operator="lessThanOrEqual" aboveAverage="0" equalAverage="0" bottom="0" percent="0" rank="0" text="" dxfId="0">
      <formula>H42</formula>
    </cfRule>
  </conditionalFormatting>
  <conditionalFormatting sqref="L43">
    <cfRule type="cellIs" priority="329" operator="lessThanOrEqual" aboveAverage="0" equalAverage="0" bottom="0" percent="0" rank="0" text="" dxfId="0">
      <formula>H43</formula>
    </cfRule>
  </conditionalFormatting>
  <conditionalFormatting sqref="L44">
    <cfRule type="cellIs" priority="330" operator="lessThanOrEqual" aboveAverage="0" equalAverage="0" bottom="0" percent="0" rank="0" text="" dxfId="0">
      <formula>H44</formula>
    </cfRule>
  </conditionalFormatting>
  <conditionalFormatting sqref="L7">
    <cfRule type="cellIs" priority="331" operator="lessThanOrEqual" aboveAverage="0" equalAverage="0" bottom="0" percent="0" rank="0" text="" dxfId="0">
      <formula>H7</formula>
    </cfRule>
  </conditionalFormatting>
  <conditionalFormatting sqref="L8">
    <cfRule type="cellIs" priority="332" operator="lessThanOrEqual" aboveAverage="0" equalAverage="0" bottom="0" percent="0" rank="0" text="" dxfId="0">
      <formula>H8</formula>
    </cfRule>
  </conditionalFormatting>
  <conditionalFormatting sqref="L9">
    <cfRule type="cellIs" priority="333" operator="lessThanOrEqual" aboveAverage="0" equalAverage="0" bottom="0" percent="0" rank="0" text="" dxfId="0">
      <formula>H9</formula>
    </cfRule>
  </conditionalFormatting>
  <conditionalFormatting sqref="M10">
    <cfRule type="cellIs" priority="334" operator="lessThanOrEqual" aboveAverage="0" equalAverage="0" bottom="0" percent="0" rank="0" text="" dxfId="0">
      <formula>I10</formula>
    </cfRule>
  </conditionalFormatting>
  <conditionalFormatting sqref="M11">
    <cfRule type="cellIs" priority="335" operator="lessThanOrEqual" aboveAverage="0" equalAverage="0" bottom="0" percent="0" rank="0" text="" dxfId="0">
      <formula>I11</formula>
    </cfRule>
  </conditionalFormatting>
  <conditionalFormatting sqref="M12">
    <cfRule type="cellIs" priority="336" operator="lessThanOrEqual" aboveAverage="0" equalAverage="0" bottom="0" percent="0" rank="0" text="" dxfId="0">
      <formula>I12</formula>
    </cfRule>
  </conditionalFormatting>
  <conditionalFormatting sqref="M13">
    <cfRule type="cellIs" priority="337" operator="lessThanOrEqual" aboveAverage="0" equalAverage="0" bottom="0" percent="0" rank="0" text="" dxfId="0">
      <formula>I13</formula>
    </cfRule>
  </conditionalFormatting>
  <conditionalFormatting sqref="M14">
    <cfRule type="cellIs" priority="338" operator="lessThanOrEqual" aboveAverage="0" equalAverage="0" bottom="0" percent="0" rank="0" text="" dxfId="0">
      <formula>I14</formula>
    </cfRule>
  </conditionalFormatting>
  <conditionalFormatting sqref="M15">
    <cfRule type="cellIs" priority="339" operator="lessThanOrEqual" aboveAverage="0" equalAverage="0" bottom="0" percent="0" rank="0" text="" dxfId="0">
      <formula>I15</formula>
    </cfRule>
  </conditionalFormatting>
  <conditionalFormatting sqref="M16">
    <cfRule type="cellIs" priority="340" operator="lessThanOrEqual" aboveAverage="0" equalAverage="0" bottom="0" percent="0" rank="0" text="" dxfId="0">
      <formula>I16</formula>
    </cfRule>
  </conditionalFormatting>
  <conditionalFormatting sqref="M17">
    <cfRule type="cellIs" priority="341" operator="lessThanOrEqual" aboveAverage="0" equalAverage="0" bottom="0" percent="0" rank="0" text="" dxfId="0">
      <formula>I17</formula>
    </cfRule>
  </conditionalFormatting>
  <conditionalFormatting sqref="M18">
    <cfRule type="cellIs" priority="342" operator="lessThanOrEqual" aboveAverage="0" equalAverage="0" bottom="0" percent="0" rank="0" text="" dxfId="0">
      <formula>I18</formula>
    </cfRule>
  </conditionalFormatting>
  <conditionalFormatting sqref="M19">
    <cfRule type="cellIs" priority="343" operator="lessThanOrEqual" aboveAverage="0" equalAverage="0" bottom="0" percent="0" rank="0" text="" dxfId="0">
      <formula>I19</formula>
    </cfRule>
  </conditionalFormatting>
  <conditionalFormatting sqref="M20">
    <cfRule type="cellIs" priority="344" operator="lessThanOrEqual" aboveAverage="0" equalAverage="0" bottom="0" percent="0" rank="0" text="" dxfId="0">
      <formula>I20</formula>
    </cfRule>
  </conditionalFormatting>
  <conditionalFormatting sqref="M21">
    <cfRule type="cellIs" priority="345" operator="lessThanOrEqual" aboveAverage="0" equalAverage="0" bottom="0" percent="0" rank="0" text="" dxfId="0">
      <formula>I21</formula>
    </cfRule>
  </conditionalFormatting>
  <conditionalFormatting sqref="M22">
    <cfRule type="cellIs" priority="346" operator="lessThanOrEqual" aboveAverage="0" equalAverage="0" bottom="0" percent="0" rank="0" text="" dxfId="0">
      <formula>I22</formula>
    </cfRule>
  </conditionalFormatting>
  <conditionalFormatting sqref="M23">
    <cfRule type="cellIs" priority="347" operator="lessThanOrEqual" aboveAverage="0" equalAverage="0" bottom="0" percent="0" rank="0" text="" dxfId="0">
      <formula>I23</formula>
    </cfRule>
  </conditionalFormatting>
  <conditionalFormatting sqref="M24">
    <cfRule type="cellIs" priority="348" operator="lessThanOrEqual" aboveAverage="0" equalAverage="0" bottom="0" percent="0" rank="0" text="" dxfId="0">
      <formula>I24</formula>
    </cfRule>
  </conditionalFormatting>
  <conditionalFormatting sqref="M25">
    <cfRule type="cellIs" priority="349" operator="lessThanOrEqual" aboveAverage="0" equalAverage="0" bottom="0" percent="0" rank="0" text="" dxfId="0">
      <formula>I25</formula>
    </cfRule>
  </conditionalFormatting>
  <conditionalFormatting sqref="M26">
    <cfRule type="cellIs" priority="350" operator="lessThanOrEqual" aboveAverage="0" equalAverage="0" bottom="0" percent="0" rank="0" text="" dxfId="0">
      <formula>I26</formula>
    </cfRule>
  </conditionalFormatting>
  <conditionalFormatting sqref="M27">
    <cfRule type="cellIs" priority="351" operator="lessThanOrEqual" aboveAverage="0" equalAverage="0" bottom="0" percent="0" rank="0" text="" dxfId="0">
      <formula>I27</formula>
    </cfRule>
  </conditionalFormatting>
  <conditionalFormatting sqref="M28">
    <cfRule type="cellIs" priority="352" operator="lessThanOrEqual" aboveAverage="0" equalAverage="0" bottom="0" percent="0" rank="0" text="" dxfId="0">
      <formula>I28</formula>
    </cfRule>
  </conditionalFormatting>
  <conditionalFormatting sqref="M29">
    <cfRule type="cellIs" priority="353" operator="lessThanOrEqual" aboveAverage="0" equalAverage="0" bottom="0" percent="0" rank="0" text="" dxfId="0">
      <formula>I29</formula>
    </cfRule>
  </conditionalFormatting>
  <conditionalFormatting sqref="M30">
    <cfRule type="cellIs" priority="354" operator="lessThanOrEqual" aboveAverage="0" equalAverage="0" bottom="0" percent="0" rank="0" text="" dxfId="0">
      <formula>I30</formula>
    </cfRule>
  </conditionalFormatting>
  <conditionalFormatting sqref="M31">
    <cfRule type="cellIs" priority="355" operator="lessThanOrEqual" aboveAverage="0" equalAverage="0" bottom="0" percent="0" rank="0" text="" dxfId="0">
      <formula>I31</formula>
    </cfRule>
  </conditionalFormatting>
  <conditionalFormatting sqref="M32">
    <cfRule type="cellIs" priority="356" operator="lessThanOrEqual" aboveAverage="0" equalAverage="0" bottom="0" percent="0" rank="0" text="" dxfId="0">
      <formula>I32</formula>
    </cfRule>
  </conditionalFormatting>
  <conditionalFormatting sqref="M33">
    <cfRule type="cellIs" priority="357" operator="lessThanOrEqual" aboveAverage="0" equalAverage="0" bottom="0" percent="0" rank="0" text="" dxfId="0">
      <formula>I33</formula>
    </cfRule>
  </conditionalFormatting>
  <conditionalFormatting sqref="M34">
    <cfRule type="cellIs" priority="358" operator="lessThanOrEqual" aboveAverage="0" equalAverage="0" bottom="0" percent="0" rank="0" text="" dxfId="0">
      <formula>I34</formula>
    </cfRule>
  </conditionalFormatting>
  <conditionalFormatting sqref="M35">
    <cfRule type="cellIs" priority="359" operator="lessThanOrEqual" aboveAverage="0" equalAverage="0" bottom="0" percent="0" rank="0" text="" dxfId="0">
      <formula>I35</formula>
    </cfRule>
  </conditionalFormatting>
  <conditionalFormatting sqref="M36">
    <cfRule type="cellIs" priority="360" operator="lessThanOrEqual" aboveAverage="0" equalAverage="0" bottom="0" percent="0" rank="0" text="" dxfId="0">
      <formula>I36</formula>
    </cfRule>
  </conditionalFormatting>
  <conditionalFormatting sqref="M37">
    <cfRule type="cellIs" priority="361" operator="lessThanOrEqual" aboveAverage="0" equalAverage="0" bottom="0" percent="0" rank="0" text="" dxfId="0">
      <formula>I37</formula>
    </cfRule>
  </conditionalFormatting>
  <conditionalFormatting sqref="M38">
    <cfRule type="cellIs" priority="362" operator="lessThanOrEqual" aboveAverage="0" equalAverage="0" bottom="0" percent="0" rank="0" text="" dxfId="0">
      <formula>I38</formula>
    </cfRule>
  </conditionalFormatting>
  <conditionalFormatting sqref="M39">
    <cfRule type="cellIs" priority="363" operator="lessThanOrEqual" aboveAverage="0" equalAverage="0" bottom="0" percent="0" rank="0" text="" dxfId="0">
      <formula>I39</formula>
    </cfRule>
  </conditionalFormatting>
  <conditionalFormatting sqref="M40">
    <cfRule type="cellIs" priority="364" operator="lessThanOrEqual" aboveAverage="0" equalAverage="0" bottom="0" percent="0" rank="0" text="" dxfId="0">
      <formula>I40</formula>
    </cfRule>
  </conditionalFormatting>
  <conditionalFormatting sqref="M41">
    <cfRule type="cellIs" priority="365" operator="lessThanOrEqual" aboveAverage="0" equalAverage="0" bottom="0" percent="0" rank="0" text="" dxfId="0">
      <formula>I41</formula>
    </cfRule>
  </conditionalFormatting>
  <conditionalFormatting sqref="M42">
    <cfRule type="cellIs" priority="366" operator="lessThanOrEqual" aboveAverage="0" equalAverage="0" bottom="0" percent="0" rank="0" text="" dxfId="0">
      <formula>I42</formula>
    </cfRule>
  </conditionalFormatting>
  <conditionalFormatting sqref="M43">
    <cfRule type="cellIs" priority="367" operator="lessThanOrEqual" aboveAverage="0" equalAverage="0" bottom="0" percent="0" rank="0" text="" dxfId="0">
      <formula>I43</formula>
    </cfRule>
  </conditionalFormatting>
  <conditionalFormatting sqref="M44">
    <cfRule type="cellIs" priority="368" operator="lessThanOrEqual" aboveAverage="0" equalAverage="0" bottom="0" percent="0" rank="0" text="" dxfId="0">
      <formula>I44</formula>
    </cfRule>
  </conditionalFormatting>
  <conditionalFormatting sqref="M7">
    <cfRule type="cellIs" priority="369" operator="lessThanOrEqual" aboveAverage="0" equalAverage="0" bottom="0" percent="0" rank="0" text="" dxfId="0">
      <formula>I7</formula>
    </cfRule>
  </conditionalFormatting>
  <conditionalFormatting sqref="M8">
    <cfRule type="cellIs" priority="370" operator="lessThanOrEqual" aboveAverage="0" equalAverage="0" bottom="0" percent="0" rank="0" text="" dxfId="0">
      <formula>I8</formula>
    </cfRule>
  </conditionalFormatting>
  <conditionalFormatting sqref="M9">
    <cfRule type="cellIs" priority="371" operator="lessThanOrEqual" aboveAverage="0" equalAverage="0" bottom="0" percent="0" rank="0" text="" dxfId="0">
      <formula>I9</formula>
    </cfRule>
  </conditionalFormatting>
  <conditionalFormatting sqref="O10">
    <cfRule type="cellIs" priority="372" operator="equal" aboveAverage="0" equalAverage="0" bottom="0" percent="0" rank="0" text="" dxfId="1">
      <formula>0</formula>
    </cfRule>
    <cfRule type="cellIs" priority="373" operator="lessThan" aboveAverage="0" equalAverage="0" bottom="0" percent="0" rank="0" text="" dxfId="2">
      <formula>G10</formula>
    </cfRule>
  </conditionalFormatting>
  <conditionalFormatting sqref="O12">
    <cfRule type="cellIs" priority="374" operator="equal" aboveAverage="0" equalAverage="0" bottom="0" percent="0" rank="0" text="" dxfId="1">
      <formula>0</formula>
    </cfRule>
    <cfRule type="cellIs" priority="375" operator="lessThan" aboveAverage="0" equalAverage="0" bottom="0" percent="0" rank="0" text="" dxfId="2">
      <formula>G12</formula>
    </cfRule>
  </conditionalFormatting>
  <conditionalFormatting sqref="O14">
    <cfRule type="cellIs" priority="376" operator="equal" aboveAverage="0" equalAverage="0" bottom="0" percent="0" rank="0" text="" dxfId="1">
      <formula>0</formula>
    </cfRule>
    <cfRule type="cellIs" priority="377" operator="lessThan" aboveAverage="0" equalAverage="0" bottom="0" percent="0" rank="0" text="" dxfId="2">
      <formula>G14</formula>
    </cfRule>
  </conditionalFormatting>
  <conditionalFormatting sqref="O15">
    <cfRule type="cellIs" priority="378" operator="equal" aboveAverage="0" equalAverage="0" bottom="0" percent="0" rank="0" text="" dxfId="1">
      <formula>0</formula>
    </cfRule>
    <cfRule type="cellIs" priority="379" operator="lessThan" aboveAverage="0" equalAverage="0" bottom="0" percent="0" rank="0" text="" dxfId="2">
      <formula>G15</formula>
    </cfRule>
  </conditionalFormatting>
  <conditionalFormatting sqref="O16">
    <cfRule type="cellIs" priority="380" operator="equal" aboveAverage="0" equalAverage="0" bottom="0" percent="0" rank="0" text="" dxfId="1">
      <formula>0</formula>
    </cfRule>
    <cfRule type="cellIs" priority="381" operator="lessThan" aboveAverage="0" equalAverage="0" bottom="0" percent="0" rank="0" text="" dxfId="2">
      <formula>G16</formula>
    </cfRule>
  </conditionalFormatting>
  <conditionalFormatting sqref="O18">
    <cfRule type="cellIs" priority="382" operator="equal" aboveAverage="0" equalAverage="0" bottom="0" percent="0" rank="0" text="" dxfId="1">
      <formula>0</formula>
    </cfRule>
    <cfRule type="cellIs" priority="383" operator="lessThan" aboveAverage="0" equalAverage="0" bottom="0" percent="0" rank="0" text="" dxfId="2">
      <formula>G18</formula>
    </cfRule>
  </conditionalFormatting>
  <conditionalFormatting sqref="O19">
    <cfRule type="cellIs" priority="384" operator="equal" aboveAverage="0" equalAverage="0" bottom="0" percent="0" rank="0" text="" dxfId="1">
      <formula>0</formula>
    </cfRule>
    <cfRule type="cellIs" priority="385" operator="lessThan" aboveAverage="0" equalAverage="0" bottom="0" percent="0" rank="0" text="" dxfId="2">
      <formula>G19</formula>
    </cfRule>
  </conditionalFormatting>
  <conditionalFormatting sqref="O21">
    <cfRule type="cellIs" priority="386" operator="equal" aboveAverage="0" equalAverage="0" bottom="0" percent="0" rank="0" text="" dxfId="1">
      <formula>0</formula>
    </cfRule>
    <cfRule type="cellIs" priority="387" operator="lessThan" aboveAverage="0" equalAverage="0" bottom="0" percent="0" rank="0" text="" dxfId="2">
      <formula>G21</formula>
    </cfRule>
  </conditionalFormatting>
  <conditionalFormatting sqref="O22">
    <cfRule type="cellIs" priority="388" operator="equal" aboveAverage="0" equalAverage="0" bottom="0" percent="0" rank="0" text="" dxfId="1">
      <formula>0</formula>
    </cfRule>
    <cfRule type="cellIs" priority="389" operator="lessThan" aboveAverage="0" equalAverage="0" bottom="0" percent="0" rank="0" text="" dxfId="2">
      <formula>G22</formula>
    </cfRule>
  </conditionalFormatting>
  <conditionalFormatting sqref="O24">
    <cfRule type="cellIs" priority="390" operator="equal" aboveAverage="0" equalAverage="0" bottom="0" percent="0" rank="0" text="" dxfId="1">
      <formula>0</formula>
    </cfRule>
    <cfRule type="cellIs" priority="391" operator="lessThan" aboveAverage="0" equalAverage="0" bottom="0" percent="0" rank="0" text="" dxfId="2">
      <formula>G24</formula>
    </cfRule>
  </conditionalFormatting>
  <conditionalFormatting sqref="O25">
    <cfRule type="cellIs" priority="392" operator="equal" aboveAverage="0" equalAverage="0" bottom="0" percent="0" rank="0" text="" dxfId="1">
      <formula>0</formula>
    </cfRule>
    <cfRule type="cellIs" priority="393" operator="lessThan" aboveAverage="0" equalAverage="0" bottom="0" percent="0" rank="0" text="" dxfId="2">
      <formula>G25</formula>
    </cfRule>
  </conditionalFormatting>
  <conditionalFormatting sqref="O28">
    <cfRule type="cellIs" priority="394" operator="equal" aboveAverage="0" equalAverage="0" bottom="0" percent="0" rank="0" text="" dxfId="1">
      <formula>0</formula>
    </cfRule>
    <cfRule type="cellIs" priority="395" operator="lessThan" aboveAverage="0" equalAverage="0" bottom="0" percent="0" rank="0" text="" dxfId="2">
      <formula>G28</formula>
    </cfRule>
  </conditionalFormatting>
  <conditionalFormatting sqref="O29">
    <cfRule type="cellIs" priority="396" operator="equal" aboveAverage="0" equalAverage="0" bottom="0" percent="0" rank="0" text="" dxfId="1">
      <formula>0</formula>
    </cfRule>
    <cfRule type="cellIs" priority="397" operator="lessThan" aboveAverage="0" equalAverage="0" bottom="0" percent="0" rank="0" text="" dxfId="2">
      <formula>G29</formula>
    </cfRule>
  </conditionalFormatting>
  <conditionalFormatting sqref="O30">
    <cfRule type="cellIs" priority="398" operator="equal" aboveAverage="0" equalAverage="0" bottom="0" percent="0" rank="0" text="" dxfId="1">
      <formula>0</formula>
    </cfRule>
    <cfRule type="cellIs" priority="399" operator="lessThan" aboveAverage="0" equalAverage="0" bottom="0" percent="0" rank="0" text="" dxfId="2">
      <formula>G30</formula>
    </cfRule>
  </conditionalFormatting>
  <conditionalFormatting sqref="O31">
    <cfRule type="cellIs" priority="400" operator="equal" aboveAverage="0" equalAverage="0" bottom="0" percent="0" rank="0" text="" dxfId="1">
      <formula>0</formula>
    </cfRule>
    <cfRule type="cellIs" priority="401" operator="lessThan" aboveAverage="0" equalAverage="0" bottom="0" percent="0" rank="0" text="" dxfId="2">
      <formula>G31</formula>
    </cfRule>
  </conditionalFormatting>
  <conditionalFormatting sqref="O32">
    <cfRule type="cellIs" priority="402" operator="equal" aboveAverage="0" equalAverage="0" bottom="0" percent="0" rank="0" text="" dxfId="1">
      <formula>0</formula>
    </cfRule>
    <cfRule type="cellIs" priority="403" operator="lessThan" aboveAverage="0" equalAverage="0" bottom="0" percent="0" rank="0" text="" dxfId="2">
      <formula>G32</formula>
    </cfRule>
  </conditionalFormatting>
  <conditionalFormatting sqref="O33">
    <cfRule type="cellIs" priority="404" operator="equal" aboveAverage="0" equalAverage="0" bottom="0" percent="0" rank="0" text="" dxfId="1">
      <formula>0</formula>
    </cfRule>
    <cfRule type="cellIs" priority="405" operator="lessThan" aboveAverage="0" equalAverage="0" bottom="0" percent="0" rank="0" text="" dxfId="2">
      <formula>G33</formula>
    </cfRule>
  </conditionalFormatting>
  <conditionalFormatting sqref="O34">
    <cfRule type="cellIs" priority="406" operator="equal" aboveAverage="0" equalAverage="0" bottom="0" percent="0" rank="0" text="" dxfId="1">
      <formula>0</formula>
    </cfRule>
    <cfRule type="cellIs" priority="407" operator="lessThan" aboveAverage="0" equalAverage="0" bottom="0" percent="0" rank="0" text="" dxfId="2">
      <formula>G34</formula>
    </cfRule>
  </conditionalFormatting>
  <conditionalFormatting sqref="O35">
    <cfRule type="cellIs" priority="408" operator="equal" aboveAverage="0" equalAverage="0" bottom="0" percent="0" rank="0" text="" dxfId="1">
      <formula>0</formula>
    </cfRule>
    <cfRule type="cellIs" priority="409" operator="lessThan" aboveAverage="0" equalAverage="0" bottom="0" percent="0" rank="0" text="" dxfId="2">
      <formula>G35</formula>
    </cfRule>
  </conditionalFormatting>
  <conditionalFormatting sqref="O36">
    <cfRule type="cellIs" priority="410" operator="equal" aboveAverage="0" equalAverage="0" bottom="0" percent="0" rank="0" text="" dxfId="1">
      <formula>0</formula>
    </cfRule>
    <cfRule type="cellIs" priority="411" operator="lessThan" aboveAverage="0" equalAverage="0" bottom="0" percent="0" rank="0" text="" dxfId="2">
      <formula>G36</formula>
    </cfRule>
  </conditionalFormatting>
  <conditionalFormatting sqref="O37">
    <cfRule type="cellIs" priority="412" operator="equal" aboveAverage="0" equalAverage="0" bottom="0" percent="0" rank="0" text="" dxfId="1">
      <formula>0</formula>
    </cfRule>
    <cfRule type="cellIs" priority="413" operator="lessThan" aboveAverage="0" equalAverage="0" bottom="0" percent="0" rank="0" text="" dxfId="2">
      <formula>G37</formula>
    </cfRule>
  </conditionalFormatting>
  <conditionalFormatting sqref="O38">
    <cfRule type="cellIs" priority="414" operator="equal" aboveAverage="0" equalAverage="0" bottom="0" percent="0" rank="0" text="" dxfId="1">
      <formula>0</formula>
    </cfRule>
    <cfRule type="cellIs" priority="415" operator="lessThan" aboveAverage="0" equalAverage="0" bottom="0" percent="0" rank="0" text="" dxfId="2">
      <formula>G38</formula>
    </cfRule>
  </conditionalFormatting>
  <conditionalFormatting sqref="O39">
    <cfRule type="cellIs" priority="416" operator="equal" aboveAverage="0" equalAverage="0" bottom="0" percent="0" rank="0" text="" dxfId="1">
      <formula>0</formula>
    </cfRule>
    <cfRule type="cellIs" priority="417" operator="lessThan" aboveAverage="0" equalAverage="0" bottom="0" percent="0" rank="0" text="" dxfId="2">
      <formula>G39</formula>
    </cfRule>
  </conditionalFormatting>
  <conditionalFormatting sqref="O41">
    <cfRule type="cellIs" priority="418" operator="equal" aboveAverage="0" equalAverage="0" bottom="0" percent="0" rank="0" text="" dxfId="1">
      <formula>0</formula>
    </cfRule>
    <cfRule type="cellIs" priority="419" operator="lessThan" aboveAverage="0" equalAverage="0" bottom="0" percent="0" rank="0" text="" dxfId="2">
      <formula>G41</formula>
    </cfRule>
  </conditionalFormatting>
  <conditionalFormatting sqref="O42">
    <cfRule type="cellIs" priority="420" operator="equal" aboveAverage="0" equalAverage="0" bottom="0" percent="0" rank="0" text="" dxfId="1">
      <formula>0</formula>
    </cfRule>
    <cfRule type="cellIs" priority="421" operator="lessThan" aboveAverage="0" equalAverage="0" bottom="0" percent="0" rank="0" text="" dxfId="2">
      <formula>G42</formula>
    </cfRule>
  </conditionalFormatting>
  <conditionalFormatting sqref="O43">
    <cfRule type="cellIs" priority="422" operator="equal" aboveAverage="0" equalAverage="0" bottom="0" percent="0" rank="0" text="" dxfId="1">
      <formula>0</formula>
    </cfRule>
    <cfRule type="cellIs" priority="423" operator="lessThan" aboveAverage="0" equalAverage="0" bottom="0" percent="0" rank="0" text="" dxfId="2">
      <formula>G43</formula>
    </cfRule>
  </conditionalFormatting>
  <conditionalFormatting sqref="O44">
    <cfRule type="cellIs" priority="424" operator="equal" aboveAverage="0" equalAverage="0" bottom="0" percent="0" rank="0" text="" dxfId="1">
      <formula>0</formula>
    </cfRule>
    <cfRule type="cellIs" priority="425" operator="lessThan" aboveAverage="0" equalAverage="0" bottom="0" percent="0" rank="0" text="" dxfId="2">
      <formula>G44</formula>
    </cfRule>
  </conditionalFormatting>
  <conditionalFormatting sqref="O7">
    <cfRule type="cellIs" priority="426" operator="equal" aboveAverage="0" equalAverage="0" bottom="0" percent="0" rank="0" text="" dxfId="1">
      <formula>0</formula>
    </cfRule>
    <cfRule type="cellIs" priority="427" operator="lessThan" aboveAverage="0" equalAverage="0" bottom="0" percent="0" rank="0" text="" dxfId="2">
      <formula>G7</formula>
    </cfRule>
  </conditionalFormatting>
  <conditionalFormatting sqref="O8">
    <cfRule type="cellIs" priority="428" operator="equal" aboveAverage="0" equalAverage="0" bottom="0" percent="0" rank="0" text="" dxfId="1">
      <formula>0</formula>
    </cfRule>
    <cfRule type="cellIs" priority="429" operator="lessThan" aboveAverage="0" equalAverage="0" bottom="0" percent="0" rank="0" text="" dxfId="2">
      <formula>G8</formula>
    </cfRule>
  </conditionalFormatting>
  <conditionalFormatting sqref="O9">
    <cfRule type="cellIs" priority="430" operator="equal" aboveAverage="0" equalAverage="0" bottom="0" percent="0" rank="0" text="" dxfId="1">
      <formula>0</formula>
    </cfRule>
    <cfRule type="cellIs" priority="431" operator="lessThan" aboveAverage="0" equalAverage="0" bottom="0" percent="0" rank="0" text="" dxfId="2">
      <formula>G9</formula>
    </cfRule>
  </conditionalFormatting>
  <conditionalFormatting sqref="P10">
    <cfRule type="cellIs" priority="432" operator="greaterThan" aboveAverage="0" equalAverage="0" bottom="0" percent="0" rank="0" text="" dxfId="1">
      <formula>O10</formula>
    </cfRule>
  </conditionalFormatting>
  <conditionalFormatting sqref="P12">
    <cfRule type="cellIs" priority="433" operator="greaterThan" aboveAverage="0" equalAverage="0" bottom="0" percent="0" rank="0" text="" dxfId="1">
      <formula>O12</formula>
    </cfRule>
  </conditionalFormatting>
  <conditionalFormatting sqref="P14">
    <cfRule type="cellIs" priority="434" operator="greaterThan" aboveAverage="0" equalAverage="0" bottom="0" percent="0" rank="0" text="" dxfId="1">
      <formula>O14</formula>
    </cfRule>
  </conditionalFormatting>
  <conditionalFormatting sqref="P15">
    <cfRule type="cellIs" priority="435" operator="greaterThan" aboveAverage="0" equalAverage="0" bottom="0" percent="0" rank="0" text="" dxfId="1">
      <formula>O15</formula>
    </cfRule>
  </conditionalFormatting>
  <conditionalFormatting sqref="P16">
    <cfRule type="cellIs" priority="436" operator="greaterThan" aboveAverage="0" equalAverage="0" bottom="0" percent="0" rank="0" text="" dxfId="1">
      <formula>O16</formula>
    </cfRule>
  </conditionalFormatting>
  <conditionalFormatting sqref="P18">
    <cfRule type="cellIs" priority="437" operator="greaterThan" aboveAverage="0" equalAverage="0" bottom="0" percent="0" rank="0" text="" dxfId="1">
      <formula>O18</formula>
    </cfRule>
  </conditionalFormatting>
  <conditionalFormatting sqref="P19">
    <cfRule type="cellIs" priority="438" operator="greaterThan" aboveAverage="0" equalAverage="0" bottom="0" percent="0" rank="0" text="" dxfId="1">
      <formula>O19</formula>
    </cfRule>
  </conditionalFormatting>
  <conditionalFormatting sqref="P21">
    <cfRule type="cellIs" priority="439" operator="greaterThan" aboveAverage="0" equalAverage="0" bottom="0" percent="0" rank="0" text="" dxfId="1">
      <formula>O21</formula>
    </cfRule>
  </conditionalFormatting>
  <conditionalFormatting sqref="P22">
    <cfRule type="cellIs" priority="440" operator="greaterThan" aboveAverage="0" equalAverage="0" bottom="0" percent="0" rank="0" text="" dxfId="1">
      <formula>O22</formula>
    </cfRule>
  </conditionalFormatting>
  <conditionalFormatting sqref="P24">
    <cfRule type="cellIs" priority="441" operator="greaterThan" aboveAverage="0" equalAverage="0" bottom="0" percent="0" rank="0" text="" dxfId="1">
      <formula>O24</formula>
    </cfRule>
  </conditionalFormatting>
  <conditionalFormatting sqref="P25">
    <cfRule type="cellIs" priority="442" operator="greaterThan" aboveAverage="0" equalAverage="0" bottom="0" percent="0" rank="0" text="" dxfId="1">
      <formula>O25</formula>
    </cfRule>
  </conditionalFormatting>
  <conditionalFormatting sqref="P28">
    <cfRule type="cellIs" priority="443" operator="greaterThan" aboveAverage="0" equalAverage="0" bottom="0" percent="0" rank="0" text="" dxfId="1">
      <formula>O28</formula>
    </cfRule>
  </conditionalFormatting>
  <conditionalFormatting sqref="P29">
    <cfRule type="cellIs" priority="444" operator="greaterThan" aboveAverage="0" equalAverage="0" bottom="0" percent="0" rank="0" text="" dxfId="1">
      <formula>O29</formula>
    </cfRule>
  </conditionalFormatting>
  <conditionalFormatting sqref="P30">
    <cfRule type="cellIs" priority="445" operator="greaterThan" aboveAverage="0" equalAverage="0" bottom="0" percent="0" rank="0" text="" dxfId="1">
      <formula>O30</formula>
    </cfRule>
  </conditionalFormatting>
  <conditionalFormatting sqref="P31">
    <cfRule type="cellIs" priority="446" operator="greaterThan" aboveAverage="0" equalAverage="0" bottom="0" percent="0" rank="0" text="" dxfId="1">
      <formula>O31</formula>
    </cfRule>
  </conditionalFormatting>
  <conditionalFormatting sqref="P32">
    <cfRule type="cellIs" priority="447" operator="greaterThan" aboveAverage="0" equalAverage="0" bottom="0" percent="0" rank="0" text="" dxfId="1">
      <formula>O32</formula>
    </cfRule>
  </conditionalFormatting>
  <conditionalFormatting sqref="P33">
    <cfRule type="cellIs" priority="448" operator="greaterThan" aboveAverage="0" equalAverage="0" bottom="0" percent="0" rank="0" text="" dxfId="1">
      <formula>O33</formula>
    </cfRule>
  </conditionalFormatting>
  <conditionalFormatting sqref="P34">
    <cfRule type="cellIs" priority="449" operator="greaterThan" aboveAverage="0" equalAverage="0" bottom="0" percent="0" rank="0" text="" dxfId="1">
      <formula>O34</formula>
    </cfRule>
  </conditionalFormatting>
  <conditionalFormatting sqref="P35">
    <cfRule type="cellIs" priority="450" operator="greaterThan" aboveAverage="0" equalAverage="0" bottom="0" percent="0" rank="0" text="" dxfId="1">
      <formula>O35</formula>
    </cfRule>
  </conditionalFormatting>
  <conditionalFormatting sqref="P36">
    <cfRule type="cellIs" priority="451" operator="greaterThan" aboveAverage="0" equalAverage="0" bottom="0" percent="0" rank="0" text="" dxfId="1">
      <formula>O36</formula>
    </cfRule>
  </conditionalFormatting>
  <conditionalFormatting sqref="P37">
    <cfRule type="cellIs" priority="452" operator="greaterThan" aboveAverage="0" equalAverage="0" bottom="0" percent="0" rank="0" text="" dxfId="1">
      <formula>O37</formula>
    </cfRule>
  </conditionalFormatting>
  <conditionalFormatting sqref="P38">
    <cfRule type="cellIs" priority="453" operator="greaterThan" aboveAverage="0" equalAverage="0" bottom="0" percent="0" rank="0" text="" dxfId="1">
      <formula>O38</formula>
    </cfRule>
  </conditionalFormatting>
  <conditionalFormatting sqref="P39">
    <cfRule type="cellIs" priority="454" operator="greaterThan" aboveAverage="0" equalAverage="0" bottom="0" percent="0" rank="0" text="" dxfId="1">
      <formula>O39</formula>
    </cfRule>
  </conditionalFormatting>
  <conditionalFormatting sqref="P41">
    <cfRule type="cellIs" priority="455" operator="greaterThan" aboveAverage="0" equalAverage="0" bottom="0" percent="0" rank="0" text="" dxfId="1">
      <formula>O41</formula>
    </cfRule>
  </conditionalFormatting>
  <conditionalFormatting sqref="P42">
    <cfRule type="cellIs" priority="456" operator="greaterThan" aboveAverage="0" equalAverage="0" bottom="0" percent="0" rank="0" text="" dxfId="1">
      <formula>O42</formula>
    </cfRule>
  </conditionalFormatting>
  <conditionalFormatting sqref="P43">
    <cfRule type="cellIs" priority="457" operator="greaterThan" aboveAverage="0" equalAverage="0" bottom="0" percent="0" rank="0" text="" dxfId="1">
      <formula>O43</formula>
    </cfRule>
  </conditionalFormatting>
  <conditionalFormatting sqref="P44">
    <cfRule type="cellIs" priority="458" operator="greaterThan" aboveAverage="0" equalAverage="0" bottom="0" percent="0" rank="0" text="" dxfId="1">
      <formula>O44</formula>
    </cfRule>
  </conditionalFormatting>
  <conditionalFormatting sqref="P7">
    <cfRule type="cellIs" priority="459" operator="greaterThan" aboveAverage="0" equalAverage="0" bottom="0" percent="0" rank="0" text="" dxfId="1">
      <formula>O7</formula>
    </cfRule>
  </conditionalFormatting>
  <conditionalFormatting sqref="P8">
    <cfRule type="cellIs" priority="460" operator="greaterThan" aboveAverage="0" equalAverage="0" bottom="0" percent="0" rank="0" text="" dxfId="1">
      <formula>O8</formula>
    </cfRule>
  </conditionalFormatting>
  <conditionalFormatting sqref="P9">
    <cfRule type="cellIs" priority="461" operator="greaterThan" aboveAverage="0" equalAverage="0" bottom="0" percent="0" rank="0" text="" dxfId="1">
      <formula>O9</formula>
    </cfRule>
  </conditionalFormatting>
  <conditionalFormatting sqref="Q10">
    <cfRule type="cellIs" priority="462" operator="lessThanOrEqual" aboveAverage="0" equalAverage="0" bottom="0" percent="0" rank="0" text="" dxfId="0">
      <formula>H10</formula>
    </cfRule>
  </conditionalFormatting>
  <conditionalFormatting sqref="Q12">
    <cfRule type="cellIs" priority="463" operator="lessThanOrEqual" aboveAverage="0" equalAverage="0" bottom="0" percent="0" rank="0" text="" dxfId="0">
      <formula>H12</formula>
    </cfRule>
  </conditionalFormatting>
  <conditionalFormatting sqref="Q14">
    <cfRule type="cellIs" priority="464" operator="lessThanOrEqual" aboveAverage="0" equalAverage="0" bottom="0" percent="0" rank="0" text="" dxfId="0">
      <formula>H14</formula>
    </cfRule>
  </conditionalFormatting>
  <conditionalFormatting sqref="Q15">
    <cfRule type="cellIs" priority="465" operator="lessThanOrEqual" aboveAverage="0" equalAverage="0" bottom="0" percent="0" rank="0" text="" dxfId="0">
      <formula>H15</formula>
    </cfRule>
  </conditionalFormatting>
  <conditionalFormatting sqref="Q16">
    <cfRule type="cellIs" priority="466" operator="lessThanOrEqual" aboveAverage="0" equalAverage="0" bottom="0" percent="0" rank="0" text="" dxfId="0">
      <formula>H16</formula>
    </cfRule>
  </conditionalFormatting>
  <conditionalFormatting sqref="Q18">
    <cfRule type="cellIs" priority="467" operator="lessThanOrEqual" aboveAverage="0" equalAverage="0" bottom="0" percent="0" rank="0" text="" dxfId="0">
      <formula>H18</formula>
    </cfRule>
  </conditionalFormatting>
  <conditionalFormatting sqref="Q19">
    <cfRule type="cellIs" priority="468" operator="lessThanOrEqual" aboveAverage="0" equalAverage="0" bottom="0" percent="0" rank="0" text="" dxfId="0">
      <formula>H19</formula>
    </cfRule>
  </conditionalFormatting>
  <conditionalFormatting sqref="Q21">
    <cfRule type="cellIs" priority="469" operator="lessThanOrEqual" aboveAverage="0" equalAverage="0" bottom="0" percent="0" rank="0" text="" dxfId="0">
      <formula>H21</formula>
    </cfRule>
  </conditionalFormatting>
  <conditionalFormatting sqref="Q22">
    <cfRule type="cellIs" priority="470" operator="lessThanOrEqual" aboveAverage="0" equalAverage="0" bottom="0" percent="0" rank="0" text="" dxfId="0">
      <formula>H22</formula>
    </cfRule>
  </conditionalFormatting>
  <conditionalFormatting sqref="Q24">
    <cfRule type="cellIs" priority="471" operator="lessThanOrEqual" aboveAverage="0" equalAverage="0" bottom="0" percent="0" rank="0" text="" dxfId="0">
      <formula>H24</formula>
    </cfRule>
  </conditionalFormatting>
  <conditionalFormatting sqref="Q25">
    <cfRule type="cellIs" priority="472" operator="lessThanOrEqual" aboveAverage="0" equalAverage="0" bottom="0" percent="0" rank="0" text="" dxfId="0">
      <formula>H25</formula>
    </cfRule>
  </conditionalFormatting>
  <conditionalFormatting sqref="Q28">
    <cfRule type="cellIs" priority="473" operator="lessThanOrEqual" aboveAverage="0" equalAverage="0" bottom="0" percent="0" rank="0" text="" dxfId="0">
      <formula>H28</formula>
    </cfRule>
  </conditionalFormatting>
  <conditionalFormatting sqref="Q29">
    <cfRule type="cellIs" priority="474" operator="lessThanOrEqual" aboveAverage="0" equalAverage="0" bottom="0" percent="0" rank="0" text="" dxfId="0">
      <formula>H29</formula>
    </cfRule>
  </conditionalFormatting>
  <conditionalFormatting sqref="Q30">
    <cfRule type="cellIs" priority="475" operator="lessThanOrEqual" aboveAverage="0" equalAverage="0" bottom="0" percent="0" rank="0" text="" dxfId="0">
      <formula>H30</formula>
    </cfRule>
  </conditionalFormatting>
  <conditionalFormatting sqref="Q31">
    <cfRule type="cellIs" priority="476" operator="lessThanOrEqual" aboveAverage="0" equalAverage="0" bottom="0" percent="0" rank="0" text="" dxfId="0">
      <formula>H31</formula>
    </cfRule>
  </conditionalFormatting>
  <conditionalFormatting sqref="Q32">
    <cfRule type="cellIs" priority="477" operator="lessThanOrEqual" aboveAverage="0" equalAverage="0" bottom="0" percent="0" rank="0" text="" dxfId="0">
      <formula>H32</formula>
    </cfRule>
  </conditionalFormatting>
  <conditionalFormatting sqref="Q33">
    <cfRule type="cellIs" priority="478" operator="lessThanOrEqual" aboveAverage="0" equalAverage="0" bottom="0" percent="0" rank="0" text="" dxfId="0">
      <formula>H33</formula>
    </cfRule>
  </conditionalFormatting>
  <conditionalFormatting sqref="Q34">
    <cfRule type="cellIs" priority="479" operator="lessThanOrEqual" aboveAverage="0" equalAverage="0" bottom="0" percent="0" rank="0" text="" dxfId="0">
      <formula>H34</formula>
    </cfRule>
  </conditionalFormatting>
  <conditionalFormatting sqref="Q35">
    <cfRule type="cellIs" priority="480" operator="lessThanOrEqual" aboveAverage="0" equalAverage="0" bottom="0" percent="0" rank="0" text="" dxfId="0">
      <formula>H35</formula>
    </cfRule>
  </conditionalFormatting>
  <conditionalFormatting sqref="Q36">
    <cfRule type="cellIs" priority="481" operator="lessThanOrEqual" aboveAverage="0" equalAverage="0" bottom="0" percent="0" rank="0" text="" dxfId="0">
      <formula>H36</formula>
    </cfRule>
  </conditionalFormatting>
  <conditionalFormatting sqref="Q37">
    <cfRule type="cellIs" priority="482" operator="lessThanOrEqual" aboveAverage="0" equalAverage="0" bottom="0" percent="0" rank="0" text="" dxfId="0">
      <formula>H37</formula>
    </cfRule>
  </conditionalFormatting>
  <conditionalFormatting sqref="Q38">
    <cfRule type="cellIs" priority="483" operator="lessThanOrEqual" aboveAverage="0" equalAverage="0" bottom="0" percent="0" rank="0" text="" dxfId="0">
      <formula>H38</formula>
    </cfRule>
  </conditionalFormatting>
  <conditionalFormatting sqref="Q39">
    <cfRule type="cellIs" priority="484" operator="lessThanOrEqual" aboveAverage="0" equalAverage="0" bottom="0" percent="0" rank="0" text="" dxfId="0">
      <formula>H39</formula>
    </cfRule>
  </conditionalFormatting>
  <conditionalFormatting sqref="Q41">
    <cfRule type="cellIs" priority="485" operator="lessThanOrEqual" aboveAverage="0" equalAverage="0" bottom="0" percent="0" rank="0" text="" dxfId="0">
      <formula>H41</formula>
    </cfRule>
  </conditionalFormatting>
  <conditionalFormatting sqref="Q42">
    <cfRule type="cellIs" priority="486" operator="lessThanOrEqual" aboveAverage="0" equalAverage="0" bottom="0" percent="0" rank="0" text="" dxfId="0">
      <formula>H42</formula>
    </cfRule>
  </conditionalFormatting>
  <conditionalFormatting sqref="Q43">
    <cfRule type="cellIs" priority="487" operator="lessThanOrEqual" aboveAverage="0" equalAverage="0" bottom="0" percent="0" rank="0" text="" dxfId="0">
      <formula>H43</formula>
    </cfRule>
  </conditionalFormatting>
  <conditionalFormatting sqref="Q44">
    <cfRule type="cellIs" priority="488" operator="lessThanOrEqual" aboveAverage="0" equalAverage="0" bottom="0" percent="0" rank="0" text="" dxfId="0">
      <formula>H44</formula>
    </cfRule>
  </conditionalFormatting>
  <conditionalFormatting sqref="Q7">
    <cfRule type="cellIs" priority="489" operator="lessThanOrEqual" aboveAverage="0" equalAverage="0" bottom="0" percent="0" rank="0" text="" dxfId="0">
      <formula>H7</formula>
    </cfRule>
  </conditionalFormatting>
  <conditionalFormatting sqref="Q8">
    <cfRule type="cellIs" priority="490" operator="lessThanOrEqual" aboveAverage="0" equalAverage="0" bottom="0" percent="0" rank="0" text="" dxfId="0">
      <formula>H8</formula>
    </cfRule>
  </conditionalFormatting>
  <conditionalFormatting sqref="Q9">
    <cfRule type="cellIs" priority="491" operator="lessThanOrEqual" aboveAverage="0" equalAverage="0" bottom="0" percent="0" rank="0" text="" dxfId="0">
      <formula>H9</formula>
    </cfRule>
  </conditionalFormatting>
  <conditionalFormatting sqref="R10">
    <cfRule type="cellIs" priority="492" operator="lessThanOrEqual" aboveAverage="0" equalAverage="0" bottom="0" percent="0" rank="0" text="" dxfId="0">
      <formula>I10</formula>
    </cfRule>
  </conditionalFormatting>
  <conditionalFormatting sqref="R12">
    <cfRule type="cellIs" priority="493" operator="lessThanOrEqual" aboveAverage="0" equalAverage="0" bottom="0" percent="0" rank="0" text="" dxfId="0">
      <formula>I12</formula>
    </cfRule>
  </conditionalFormatting>
  <conditionalFormatting sqref="R14">
    <cfRule type="cellIs" priority="494" operator="lessThanOrEqual" aboveAverage="0" equalAverage="0" bottom="0" percent="0" rank="0" text="" dxfId="0">
      <formula>I14</formula>
    </cfRule>
  </conditionalFormatting>
  <conditionalFormatting sqref="R15">
    <cfRule type="cellIs" priority="495" operator="lessThanOrEqual" aboveAverage="0" equalAverage="0" bottom="0" percent="0" rank="0" text="" dxfId="0">
      <formula>I15</formula>
    </cfRule>
  </conditionalFormatting>
  <conditionalFormatting sqref="R16">
    <cfRule type="cellIs" priority="496" operator="lessThanOrEqual" aboveAverage="0" equalAverage="0" bottom="0" percent="0" rank="0" text="" dxfId="0">
      <formula>I16</formula>
    </cfRule>
  </conditionalFormatting>
  <conditionalFormatting sqref="R18">
    <cfRule type="cellIs" priority="497" operator="lessThanOrEqual" aboveAverage="0" equalAverage="0" bottom="0" percent="0" rank="0" text="" dxfId="0">
      <formula>I18</formula>
    </cfRule>
  </conditionalFormatting>
  <conditionalFormatting sqref="R19">
    <cfRule type="cellIs" priority="498" operator="lessThanOrEqual" aboveAverage="0" equalAverage="0" bottom="0" percent="0" rank="0" text="" dxfId="0">
      <formula>I19</formula>
    </cfRule>
  </conditionalFormatting>
  <conditionalFormatting sqref="R21">
    <cfRule type="cellIs" priority="499" operator="lessThanOrEqual" aboveAverage="0" equalAverage="0" bottom="0" percent="0" rank="0" text="" dxfId="0">
      <formula>I21</formula>
    </cfRule>
  </conditionalFormatting>
  <conditionalFormatting sqref="R22">
    <cfRule type="cellIs" priority="500" operator="lessThanOrEqual" aboveAverage="0" equalAverage="0" bottom="0" percent="0" rank="0" text="" dxfId="0">
      <formula>I22</formula>
    </cfRule>
  </conditionalFormatting>
  <conditionalFormatting sqref="R24">
    <cfRule type="cellIs" priority="501" operator="lessThanOrEqual" aboveAverage="0" equalAverage="0" bottom="0" percent="0" rank="0" text="" dxfId="0">
      <formula>I24</formula>
    </cfRule>
  </conditionalFormatting>
  <conditionalFormatting sqref="R25">
    <cfRule type="cellIs" priority="502" operator="lessThanOrEqual" aboveAverage="0" equalAverage="0" bottom="0" percent="0" rank="0" text="" dxfId="0">
      <formula>I25</formula>
    </cfRule>
  </conditionalFormatting>
  <conditionalFormatting sqref="R28">
    <cfRule type="cellIs" priority="503" operator="lessThanOrEqual" aboveAverage="0" equalAverage="0" bottom="0" percent="0" rank="0" text="" dxfId="0">
      <formula>I28</formula>
    </cfRule>
  </conditionalFormatting>
  <conditionalFormatting sqref="R29">
    <cfRule type="cellIs" priority="504" operator="lessThanOrEqual" aboveAverage="0" equalAverage="0" bottom="0" percent="0" rank="0" text="" dxfId="0">
      <formula>I29</formula>
    </cfRule>
  </conditionalFormatting>
  <conditionalFormatting sqref="R30">
    <cfRule type="cellIs" priority="505" operator="lessThanOrEqual" aboveAverage="0" equalAverage="0" bottom="0" percent="0" rank="0" text="" dxfId="0">
      <formula>I30</formula>
    </cfRule>
  </conditionalFormatting>
  <conditionalFormatting sqref="R31">
    <cfRule type="cellIs" priority="506" operator="lessThanOrEqual" aboveAverage="0" equalAverage="0" bottom="0" percent="0" rank="0" text="" dxfId="0">
      <formula>I31</formula>
    </cfRule>
  </conditionalFormatting>
  <conditionalFormatting sqref="R32">
    <cfRule type="cellIs" priority="507" operator="lessThanOrEqual" aboveAverage="0" equalAverage="0" bottom="0" percent="0" rank="0" text="" dxfId="0">
      <formula>I32</formula>
    </cfRule>
  </conditionalFormatting>
  <conditionalFormatting sqref="R33">
    <cfRule type="cellIs" priority="508" operator="lessThanOrEqual" aboveAverage="0" equalAverage="0" bottom="0" percent="0" rank="0" text="" dxfId="0">
      <formula>I33</formula>
    </cfRule>
  </conditionalFormatting>
  <conditionalFormatting sqref="R34">
    <cfRule type="cellIs" priority="509" operator="lessThanOrEqual" aboveAverage="0" equalAverage="0" bottom="0" percent="0" rank="0" text="" dxfId="0">
      <formula>I34</formula>
    </cfRule>
  </conditionalFormatting>
  <conditionalFormatting sqref="R35">
    <cfRule type="cellIs" priority="510" operator="lessThanOrEqual" aboveAverage="0" equalAverage="0" bottom="0" percent="0" rank="0" text="" dxfId="0">
      <formula>I35</formula>
    </cfRule>
  </conditionalFormatting>
  <conditionalFormatting sqref="R36">
    <cfRule type="cellIs" priority="511" operator="lessThanOrEqual" aboveAverage="0" equalAverage="0" bottom="0" percent="0" rank="0" text="" dxfId="0">
      <formula>I36</formula>
    </cfRule>
  </conditionalFormatting>
  <conditionalFormatting sqref="R37">
    <cfRule type="cellIs" priority="512" operator="lessThanOrEqual" aboveAverage="0" equalAverage="0" bottom="0" percent="0" rank="0" text="" dxfId="0">
      <formula>I37</formula>
    </cfRule>
  </conditionalFormatting>
  <conditionalFormatting sqref="R38">
    <cfRule type="cellIs" priority="513" operator="lessThanOrEqual" aboveAverage="0" equalAverage="0" bottom="0" percent="0" rank="0" text="" dxfId="0">
      <formula>I38</formula>
    </cfRule>
  </conditionalFormatting>
  <conditionalFormatting sqref="R39">
    <cfRule type="cellIs" priority="514" operator="lessThanOrEqual" aboveAverage="0" equalAverage="0" bottom="0" percent="0" rank="0" text="" dxfId="0">
      <formula>I39</formula>
    </cfRule>
  </conditionalFormatting>
  <conditionalFormatting sqref="R41">
    <cfRule type="cellIs" priority="515" operator="lessThanOrEqual" aboveAverage="0" equalAverage="0" bottom="0" percent="0" rank="0" text="" dxfId="0">
      <formula>I41</formula>
    </cfRule>
  </conditionalFormatting>
  <conditionalFormatting sqref="R42">
    <cfRule type="cellIs" priority="516" operator="lessThanOrEqual" aboveAverage="0" equalAverage="0" bottom="0" percent="0" rank="0" text="" dxfId="0">
      <formula>I42</formula>
    </cfRule>
  </conditionalFormatting>
  <conditionalFormatting sqref="R43">
    <cfRule type="cellIs" priority="517" operator="lessThanOrEqual" aboveAverage="0" equalAverage="0" bottom="0" percent="0" rank="0" text="" dxfId="0">
      <formula>I43</formula>
    </cfRule>
  </conditionalFormatting>
  <conditionalFormatting sqref="R44">
    <cfRule type="cellIs" priority="518" operator="lessThanOrEqual" aboveAverage="0" equalAverage="0" bottom="0" percent="0" rank="0" text="" dxfId="0">
      <formula>I44</formula>
    </cfRule>
  </conditionalFormatting>
  <conditionalFormatting sqref="R7">
    <cfRule type="cellIs" priority="519" operator="lessThanOrEqual" aboveAverage="0" equalAverage="0" bottom="0" percent="0" rank="0" text="" dxfId="0">
      <formula>I7</formula>
    </cfRule>
  </conditionalFormatting>
  <conditionalFormatting sqref="R8">
    <cfRule type="cellIs" priority="520" operator="lessThanOrEqual" aboveAverage="0" equalAverage="0" bottom="0" percent="0" rank="0" text="" dxfId="0">
      <formula>I8</formula>
    </cfRule>
  </conditionalFormatting>
  <conditionalFormatting sqref="R9">
    <cfRule type="cellIs" priority="521" operator="lessThanOrEqual" aboveAverage="0" equalAverage="0" bottom="0" percent="0" rank="0" text="" dxfId="0">
      <formula>I9</formula>
    </cfRule>
  </conditionalFormatting>
  <conditionalFormatting sqref="T10">
    <cfRule type="cellIs" priority="522" operator="equal" aboveAverage="0" equalAverage="0" bottom="0" percent="0" rank="0" text="" dxfId="1">
      <formula>0</formula>
    </cfRule>
    <cfRule type="cellIs" priority="523" operator="lessThan" aboveAverage="0" equalAverage="0" bottom="0" percent="0" rank="0" text="" dxfId="2">
      <formula>G10</formula>
    </cfRule>
  </conditionalFormatting>
  <conditionalFormatting sqref="T12">
    <cfRule type="cellIs" priority="524" operator="equal" aboveAverage="0" equalAverage="0" bottom="0" percent="0" rank="0" text="" dxfId="1">
      <formula>0</formula>
    </cfRule>
    <cfRule type="cellIs" priority="525" operator="lessThan" aboveAverage="0" equalAverage="0" bottom="0" percent="0" rank="0" text="" dxfId="2">
      <formula>G12</formula>
    </cfRule>
  </conditionalFormatting>
  <conditionalFormatting sqref="T16">
    <cfRule type="cellIs" priority="526" operator="equal" aboveAverage="0" equalAverage="0" bottom="0" percent="0" rank="0" text="" dxfId="1">
      <formula>0</formula>
    </cfRule>
    <cfRule type="cellIs" priority="527" operator="lessThan" aboveAverage="0" equalAverage="0" bottom="0" percent="0" rank="0" text="" dxfId="2">
      <formula>G16</formula>
    </cfRule>
  </conditionalFormatting>
  <conditionalFormatting sqref="T19">
    <cfRule type="cellIs" priority="528" operator="equal" aboveAverage="0" equalAverage="0" bottom="0" percent="0" rank="0" text="" dxfId="1">
      <formula>0</formula>
    </cfRule>
    <cfRule type="cellIs" priority="529" operator="lessThan" aboveAverage="0" equalAverage="0" bottom="0" percent="0" rank="0" text="" dxfId="2">
      <formula>G19</formula>
    </cfRule>
  </conditionalFormatting>
  <conditionalFormatting sqref="T21">
    <cfRule type="cellIs" priority="530" operator="equal" aboveAverage="0" equalAverage="0" bottom="0" percent="0" rank="0" text="" dxfId="1">
      <formula>0</formula>
    </cfRule>
    <cfRule type="cellIs" priority="531" operator="lessThan" aboveAverage="0" equalAverage="0" bottom="0" percent="0" rank="0" text="" dxfId="2">
      <formula>G21</formula>
    </cfRule>
  </conditionalFormatting>
  <conditionalFormatting sqref="T22">
    <cfRule type="cellIs" priority="532" operator="equal" aboveAverage="0" equalAverage="0" bottom="0" percent="0" rank="0" text="" dxfId="1">
      <formula>0</formula>
    </cfRule>
    <cfRule type="cellIs" priority="533" operator="lessThan" aboveAverage="0" equalAverage="0" bottom="0" percent="0" rank="0" text="" dxfId="2">
      <formula>G22</formula>
    </cfRule>
  </conditionalFormatting>
  <conditionalFormatting sqref="T24">
    <cfRule type="cellIs" priority="534" operator="equal" aboveAverage="0" equalAverage="0" bottom="0" percent="0" rank="0" text="" dxfId="1">
      <formula>0</formula>
    </cfRule>
    <cfRule type="cellIs" priority="535" operator="lessThan" aboveAverage="0" equalAverage="0" bottom="0" percent="0" rank="0" text="" dxfId="2">
      <formula>G24</formula>
    </cfRule>
  </conditionalFormatting>
  <conditionalFormatting sqref="T25">
    <cfRule type="cellIs" priority="536" operator="equal" aboveAverage="0" equalAverage="0" bottom="0" percent="0" rank="0" text="" dxfId="1">
      <formula>0</formula>
    </cfRule>
    <cfRule type="cellIs" priority="537" operator="lessThan" aboveAverage="0" equalAverage="0" bottom="0" percent="0" rank="0" text="" dxfId="2">
      <formula>G25</formula>
    </cfRule>
  </conditionalFormatting>
  <conditionalFormatting sqref="T28">
    <cfRule type="cellIs" priority="538" operator="equal" aboveAverage="0" equalAverage="0" bottom="0" percent="0" rank="0" text="" dxfId="1">
      <formula>0</formula>
    </cfRule>
    <cfRule type="cellIs" priority="539" operator="lessThan" aboveAverage="0" equalAverage="0" bottom="0" percent="0" rank="0" text="" dxfId="2">
      <formula>G28</formula>
    </cfRule>
  </conditionalFormatting>
  <conditionalFormatting sqref="T30">
    <cfRule type="cellIs" priority="540" operator="equal" aboveAverage="0" equalAverage="0" bottom="0" percent="0" rank="0" text="" dxfId="1">
      <formula>0</formula>
    </cfRule>
    <cfRule type="cellIs" priority="541" operator="lessThan" aboveAverage="0" equalAverage="0" bottom="0" percent="0" rank="0" text="" dxfId="2">
      <formula>G30</formula>
    </cfRule>
  </conditionalFormatting>
  <conditionalFormatting sqref="T31">
    <cfRule type="cellIs" priority="542" operator="equal" aboveAverage="0" equalAverage="0" bottom="0" percent="0" rank="0" text="" dxfId="1">
      <formula>0</formula>
    </cfRule>
    <cfRule type="cellIs" priority="543" operator="lessThan" aboveAverage="0" equalAverage="0" bottom="0" percent="0" rank="0" text="" dxfId="2">
      <formula>G31</formula>
    </cfRule>
  </conditionalFormatting>
  <conditionalFormatting sqref="T32">
    <cfRule type="cellIs" priority="544" operator="equal" aboveAverage="0" equalAverage="0" bottom="0" percent="0" rank="0" text="" dxfId="1">
      <formula>0</formula>
    </cfRule>
    <cfRule type="cellIs" priority="545" operator="lessThan" aboveAverage="0" equalAverage="0" bottom="0" percent="0" rank="0" text="" dxfId="2">
      <formula>G32</formula>
    </cfRule>
  </conditionalFormatting>
  <conditionalFormatting sqref="T33">
    <cfRule type="cellIs" priority="546" operator="equal" aboveAverage="0" equalAverage="0" bottom="0" percent="0" rank="0" text="" dxfId="1">
      <formula>0</formula>
    </cfRule>
    <cfRule type="cellIs" priority="547" operator="lessThan" aboveAverage="0" equalAverage="0" bottom="0" percent="0" rank="0" text="" dxfId="2">
      <formula>G33</formula>
    </cfRule>
  </conditionalFormatting>
  <conditionalFormatting sqref="T34">
    <cfRule type="cellIs" priority="548" operator="equal" aboveAverage="0" equalAverage="0" bottom="0" percent="0" rank="0" text="" dxfId="1">
      <formula>0</formula>
    </cfRule>
    <cfRule type="cellIs" priority="549" operator="lessThan" aboveAverage="0" equalAverage="0" bottom="0" percent="0" rank="0" text="" dxfId="2">
      <formula>G34</formula>
    </cfRule>
  </conditionalFormatting>
  <conditionalFormatting sqref="T35">
    <cfRule type="cellIs" priority="550" operator="equal" aboveAverage="0" equalAverage="0" bottom="0" percent="0" rank="0" text="" dxfId="1">
      <formula>0</formula>
    </cfRule>
    <cfRule type="cellIs" priority="551" operator="lessThan" aboveAverage="0" equalAverage="0" bottom="0" percent="0" rank="0" text="" dxfId="2">
      <formula>G35</formula>
    </cfRule>
  </conditionalFormatting>
  <conditionalFormatting sqref="T36">
    <cfRule type="cellIs" priority="552" operator="equal" aboveAverage="0" equalAverage="0" bottom="0" percent="0" rank="0" text="" dxfId="1">
      <formula>0</formula>
    </cfRule>
    <cfRule type="cellIs" priority="553" operator="lessThan" aboveAverage="0" equalAverage="0" bottom="0" percent="0" rank="0" text="" dxfId="2">
      <formula>G36</formula>
    </cfRule>
  </conditionalFormatting>
  <conditionalFormatting sqref="T37">
    <cfRule type="cellIs" priority="554" operator="equal" aboveAverage="0" equalAverage="0" bottom="0" percent="0" rank="0" text="" dxfId="1">
      <formula>0</formula>
    </cfRule>
    <cfRule type="cellIs" priority="555" operator="lessThan" aboveAverage="0" equalAverage="0" bottom="0" percent="0" rank="0" text="" dxfId="2">
      <formula>G37</formula>
    </cfRule>
  </conditionalFormatting>
  <conditionalFormatting sqref="T38">
    <cfRule type="cellIs" priority="556" operator="equal" aboveAverage="0" equalAverage="0" bottom="0" percent="0" rank="0" text="" dxfId="1">
      <formula>0</formula>
    </cfRule>
    <cfRule type="cellIs" priority="557" operator="lessThan" aboveAverage="0" equalAverage="0" bottom="0" percent="0" rank="0" text="" dxfId="2">
      <formula>G38</formula>
    </cfRule>
  </conditionalFormatting>
  <conditionalFormatting sqref="T39">
    <cfRule type="cellIs" priority="558" operator="equal" aboveAverage="0" equalAverage="0" bottom="0" percent="0" rank="0" text="" dxfId="1">
      <formula>0</formula>
    </cfRule>
    <cfRule type="cellIs" priority="559" operator="lessThan" aboveAverage="0" equalAverage="0" bottom="0" percent="0" rank="0" text="" dxfId="2">
      <formula>G39</formula>
    </cfRule>
  </conditionalFormatting>
  <conditionalFormatting sqref="T41">
    <cfRule type="cellIs" priority="560" operator="equal" aboveAverage="0" equalAverage="0" bottom="0" percent="0" rank="0" text="" dxfId="1">
      <formula>0</formula>
    </cfRule>
    <cfRule type="cellIs" priority="561" operator="lessThan" aboveAverage="0" equalAverage="0" bottom="0" percent="0" rank="0" text="" dxfId="2">
      <formula>G41</formula>
    </cfRule>
  </conditionalFormatting>
  <conditionalFormatting sqref="T42">
    <cfRule type="cellIs" priority="562" operator="equal" aboveAverage="0" equalAverage="0" bottom="0" percent="0" rank="0" text="" dxfId="1">
      <formula>0</formula>
    </cfRule>
    <cfRule type="cellIs" priority="563" operator="lessThan" aboveAverage="0" equalAverage="0" bottom="0" percent="0" rank="0" text="" dxfId="2">
      <formula>G42</formula>
    </cfRule>
  </conditionalFormatting>
  <conditionalFormatting sqref="T43">
    <cfRule type="cellIs" priority="564" operator="equal" aboveAverage="0" equalAverage="0" bottom="0" percent="0" rank="0" text="" dxfId="1">
      <formula>0</formula>
    </cfRule>
    <cfRule type="cellIs" priority="565" operator="lessThan" aboveAverage="0" equalAverage="0" bottom="0" percent="0" rank="0" text="" dxfId="2">
      <formula>G43</formula>
    </cfRule>
  </conditionalFormatting>
  <conditionalFormatting sqref="T44">
    <cfRule type="cellIs" priority="566" operator="equal" aboveAverage="0" equalAverage="0" bottom="0" percent="0" rank="0" text="" dxfId="1">
      <formula>0</formula>
    </cfRule>
    <cfRule type="cellIs" priority="567" operator="lessThan" aboveAverage="0" equalAverage="0" bottom="0" percent="0" rank="0" text="" dxfId="2">
      <formula>G44</formula>
    </cfRule>
  </conditionalFormatting>
  <conditionalFormatting sqref="T7">
    <cfRule type="cellIs" priority="568" operator="equal" aboveAverage="0" equalAverage="0" bottom="0" percent="0" rank="0" text="" dxfId="1">
      <formula>0</formula>
    </cfRule>
    <cfRule type="cellIs" priority="569" operator="lessThan" aboveAverage="0" equalAverage="0" bottom="0" percent="0" rank="0" text="" dxfId="2">
      <formula>G7</formula>
    </cfRule>
  </conditionalFormatting>
  <conditionalFormatting sqref="T8">
    <cfRule type="cellIs" priority="570" operator="equal" aboveAverage="0" equalAverage="0" bottom="0" percent="0" rank="0" text="" dxfId="1">
      <formula>0</formula>
    </cfRule>
    <cfRule type="cellIs" priority="571" operator="lessThan" aboveAverage="0" equalAverage="0" bottom="0" percent="0" rank="0" text="" dxfId="2">
      <formula>G8</formula>
    </cfRule>
  </conditionalFormatting>
  <conditionalFormatting sqref="T9">
    <cfRule type="cellIs" priority="572" operator="equal" aboveAverage="0" equalAverage="0" bottom="0" percent="0" rank="0" text="" dxfId="1">
      <formula>0</formula>
    </cfRule>
    <cfRule type="cellIs" priority="573" operator="lessThan" aboveAverage="0" equalAverage="0" bottom="0" percent="0" rank="0" text="" dxfId="2">
      <formula>G9</formula>
    </cfRule>
  </conditionalFormatting>
  <conditionalFormatting sqref="U10">
    <cfRule type="cellIs" priority="574" operator="greaterThan" aboveAverage="0" equalAverage="0" bottom="0" percent="0" rank="0" text="" dxfId="1">
      <formula>T10</formula>
    </cfRule>
  </conditionalFormatting>
  <conditionalFormatting sqref="U12">
    <cfRule type="cellIs" priority="575" operator="greaterThan" aboveAverage="0" equalAverage="0" bottom="0" percent="0" rank="0" text="" dxfId="1">
      <formula>T12</formula>
    </cfRule>
  </conditionalFormatting>
  <conditionalFormatting sqref="U16">
    <cfRule type="cellIs" priority="576" operator="greaterThan" aboveAverage="0" equalAverage="0" bottom="0" percent="0" rank="0" text="" dxfId="1">
      <formula>T16</formula>
    </cfRule>
  </conditionalFormatting>
  <conditionalFormatting sqref="U19">
    <cfRule type="cellIs" priority="577" operator="greaterThan" aboveAverage="0" equalAverage="0" bottom="0" percent="0" rank="0" text="" dxfId="1">
      <formula>T19</formula>
    </cfRule>
  </conditionalFormatting>
  <conditionalFormatting sqref="U21">
    <cfRule type="cellIs" priority="578" operator="greaterThan" aboveAverage="0" equalAverage="0" bottom="0" percent="0" rank="0" text="" dxfId="1">
      <formula>T21</formula>
    </cfRule>
  </conditionalFormatting>
  <conditionalFormatting sqref="U22">
    <cfRule type="cellIs" priority="579" operator="greaterThan" aboveAverage="0" equalAverage="0" bottom="0" percent="0" rank="0" text="" dxfId="1">
      <formula>T22</formula>
    </cfRule>
  </conditionalFormatting>
  <conditionalFormatting sqref="U24">
    <cfRule type="cellIs" priority="580" operator="greaterThan" aboveAverage="0" equalAverage="0" bottom="0" percent="0" rank="0" text="" dxfId="1">
      <formula>T24</formula>
    </cfRule>
  </conditionalFormatting>
  <conditionalFormatting sqref="U25">
    <cfRule type="cellIs" priority="581" operator="greaterThan" aboveAverage="0" equalAverage="0" bottom="0" percent="0" rank="0" text="" dxfId="1">
      <formula>T25</formula>
    </cfRule>
  </conditionalFormatting>
  <conditionalFormatting sqref="U28">
    <cfRule type="cellIs" priority="582" operator="greaterThan" aboveAverage="0" equalAverage="0" bottom="0" percent="0" rank="0" text="" dxfId="1">
      <formula>T28</formula>
    </cfRule>
  </conditionalFormatting>
  <conditionalFormatting sqref="U30">
    <cfRule type="cellIs" priority="583" operator="greaterThan" aboveAverage="0" equalAverage="0" bottom="0" percent="0" rank="0" text="" dxfId="1">
      <formula>T30</formula>
    </cfRule>
  </conditionalFormatting>
  <conditionalFormatting sqref="U31">
    <cfRule type="cellIs" priority="584" operator="greaterThan" aboveAverage="0" equalAverage="0" bottom="0" percent="0" rank="0" text="" dxfId="1">
      <formula>T31</formula>
    </cfRule>
  </conditionalFormatting>
  <conditionalFormatting sqref="U32">
    <cfRule type="cellIs" priority="585" operator="greaterThan" aboveAverage="0" equalAverage="0" bottom="0" percent="0" rank="0" text="" dxfId="1">
      <formula>T32</formula>
    </cfRule>
  </conditionalFormatting>
  <conditionalFormatting sqref="U33">
    <cfRule type="cellIs" priority="586" operator="greaterThan" aboveAverage="0" equalAverage="0" bottom="0" percent="0" rank="0" text="" dxfId="1">
      <formula>T33</formula>
    </cfRule>
  </conditionalFormatting>
  <conditionalFormatting sqref="U34">
    <cfRule type="cellIs" priority="587" operator="greaterThan" aboveAverage="0" equalAverage="0" bottom="0" percent="0" rank="0" text="" dxfId="1">
      <formula>T34</formula>
    </cfRule>
  </conditionalFormatting>
  <conditionalFormatting sqref="U35">
    <cfRule type="cellIs" priority="588" operator="greaterThan" aboveAverage="0" equalAverage="0" bottom="0" percent="0" rank="0" text="" dxfId="1">
      <formula>T35</formula>
    </cfRule>
  </conditionalFormatting>
  <conditionalFormatting sqref="U36">
    <cfRule type="cellIs" priority="589" operator="greaterThan" aboveAverage="0" equalAverage="0" bottom="0" percent="0" rank="0" text="" dxfId="1">
      <formula>T36</formula>
    </cfRule>
  </conditionalFormatting>
  <conditionalFormatting sqref="U37">
    <cfRule type="cellIs" priority="590" operator="greaterThan" aboveAverage="0" equalAverage="0" bottom="0" percent="0" rank="0" text="" dxfId="1">
      <formula>T37</formula>
    </cfRule>
  </conditionalFormatting>
  <conditionalFormatting sqref="U38">
    <cfRule type="cellIs" priority="591" operator="greaterThan" aboveAverage="0" equalAverage="0" bottom="0" percent="0" rank="0" text="" dxfId="1">
      <formula>T38</formula>
    </cfRule>
  </conditionalFormatting>
  <conditionalFormatting sqref="U39">
    <cfRule type="cellIs" priority="592" operator="greaterThan" aboveAverage="0" equalAverage="0" bottom="0" percent="0" rank="0" text="" dxfId="1">
      <formula>T39</formula>
    </cfRule>
  </conditionalFormatting>
  <conditionalFormatting sqref="U41">
    <cfRule type="cellIs" priority="593" operator="greaterThan" aboveAverage="0" equalAverage="0" bottom="0" percent="0" rank="0" text="" dxfId="1">
      <formula>T41</formula>
    </cfRule>
  </conditionalFormatting>
  <conditionalFormatting sqref="U42">
    <cfRule type="cellIs" priority="594" operator="greaterThan" aboveAverage="0" equalAverage="0" bottom="0" percent="0" rank="0" text="" dxfId="1">
      <formula>T42</formula>
    </cfRule>
  </conditionalFormatting>
  <conditionalFormatting sqref="U43">
    <cfRule type="cellIs" priority="595" operator="greaterThan" aboveAverage="0" equalAverage="0" bottom="0" percent="0" rank="0" text="" dxfId="1">
      <formula>T43</formula>
    </cfRule>
  </conditionalFormatting>
  <conditionalFormatting sqref="U44">
    <cfRule type="cellIs" priority="596" operator="greaterThan" aboveAverage="0" equalAverage="0" bottom="0" percent="0" rank="0" text="" dxfId="1">
      <formula>T44</formula>
    </cfRule>
  </conditionalFormatting>
  <conditionalFormatting sqref="U7">
    <cfRule type="cellIs" priority="597" operator="greaterThan" aboveAverage="0" equalAverage="0" bottom="0" percent="0" rank="0" text="" dxfId="1">
      <formula>T7</formula>
    </cfRule>
  </conditionalFormatting>
  <conditionalFormatting sqref="U8">
    <cfRule type="cellIs" priority="598" operator="greaterThan" aboveAverage="0" equalAverage="0" bottom="0" percent="0" rank="0" text="" dxfId="1">
      <formula>T8</formula>
    </cfRule>
  </conditionalFormatting>
  <conditionalFormatting sqref="U9">
    <cfRule type="cellIs" priority="599" operator="greaterThan" aboveAverage="0" equalAverage="0" bottom="0" percent="0" rank="0" text="" dxfId="1">
      <formula>T9</formula>
    </cfRule>
  </conditionalFormatting>
  <conditionalFormatting sqref="V10">
    <cfRule type="cellIs" priority="600" operator="lessThanOrEqual" aboveAverage="0" equalAverage="0" bottom="0" percent="0" rank="0" text="" dxfId="0">
      <formula>H10</formula>
    </cfRule>
  </conditionalFormatting>
  <conditionalFormatting sqref="V12">
    <cfRule type="cellIs" priority="601" operator="lessThanOrEqual" aboveAverage="0" equalAverage="0" bottom="0" percent="0" rank="0" text="" dxfId="0">
      <formula>H12</formula>
    </cfRule>
  </conditionalFormatting>
  <conditionalFormatting sqref="V16">
    <cfRule type="cellIs" priority="602" operator="lessThanOrEqual" aboveAverage="0" equalAverage="0" bottom="0" percent="0" rank="0" text="" dxfId="0">
      <formula>H16</formula>
    </cfRule>
  </conditionalFormatting>
  <conditionalFormatting sqref="V19">
    <cfRule type="cellIs" priority="603" operator="lessThanOrEqual" aboveAverage="0" equalAverage="0" bottom="0" percent="0" rank="0" text="" dxfId="0">
      <formula>H19</formula>
    </cfRule>
  </conditionalFormatting>
  <conditionalFormatting sqref="V21">
    <cfRule type="cellIs" priority="604" operator="lessThanOrEqual" aboveAverage="0" equalAverage="0" bottom="0" percent="0" rank="0" text="" dxfId="0">
      <formula>H21</formula>
    </cfRule>
  </conditionalFormatting>
  <conditionalFormatting sqref="V22">
    <cfRule type="cellIs" priority="605" operator="lessThanOrEqual" aboveAverage="0" equalAverage="0" bottom="0" percent="0" rank="0" text="" dxfId="0">
      <formula>H22</formula>
    </cfRule>
  </conditionalFormatting>
  <conditionalFormatting sqref="V24">
    <cfRule type="cellIs" priority="606" operator="lessThanOrEqual" aboveAverage="0" equalAverage="0" bottom="0" percent="0" rank="0" text="" dxfId="0">
      <formula>H24</formula>
    </cfRule>
  </conditionalFormatting>
  <conditionalFormatting sqref="V25">
    <cfRule type="cellIs" priority="607" operator="lessThanOrEqual" aboveAverage="0" equalAverage="0" bottom="0" percent="0" rank="0" text="" dxfId="0">
      <formula>H25</formula>
    </cfRule>
  </conditionalFormatting>
  <conditionalFormatting sqref="V28">
    <cfRule type="cellIs" priority="608" operator="lessThanOrEqual" aboveAverage="0" equalAverage="0" bottom="0" percent="0" rank="0" text="" dxfId="0">
      <formula>H28</formula>
    </cfRule>
  </conditionalFormatting>
  <conditionalFormatting sqref="V30">
    <cfRule type="cellIs" priority="609" operator="lessThanOrEqual" aboveAverage="0" equalAverage="0" bottom="0" percent="0" rank="0" text="" dxfId="0">
      <formula>H30</formula>
    </cfRule>
  </conditionalFormatting>
  <conditionalFormatting sqref="V31">
    <cfRule type="cellIs" priority="610" operator="lessThanOrEqual" aboveAverage="0" equalAverage="0" bottom="0" percent="0" rank="0" text="" dxfId="0">
      <formula>H31</formula>
    </cfRule>
  </conditionalFormatting>
  <conditionalFormatting sqref="V32">
    <cfRule type="cellIs" priority="611" operator="lessThanOrEqual" aboveAverage="0" equalAverage="0" bottom="0" percent="0" rank="0" text="" dxfId="0">
      <formula>H32</formula>
    </cfRule>
  </conditionalFormatting>
  <conditionalFormatting sqref="V33">
    <cfRule type="cellIs" priority="612" operator="lessThanOrEqual" aboveAverage="0" equalAverage="0" bottom="0" percent="0" rank="0" text="" dxfId="0">
      <formula>H33</formula>
    </cfRule>
  </conditionalFormatting>
  <conditionalFormatting sqref="V34">
    <cfRule type="cellIs" priority="613" operator="lessThanOrEqual" aboveAverage="0" equalAverage="0" bottom="0" percent="0" rank="0" text="" dxfId="0">
      <formula>H34</formula>
    </cfRule>
  </conditionalFormatting>
  <conditionalFormatting sqref="V35">
    <cfRule type="cellIs" priority="614" operator="lessThanOrEqual" aboveAverage="0" equalAverage="0" bottom="0" percent="0" rank="0" text="" dxfId="0">
      <formula>H35</formula>
    </cfRule>
  </conditionalFormatting>
  <conditionalFormatting sqref="V36">
    <cfRule type="cellIs" priority="615" operator="lessThanOrEqual" aboveAverage="0" equalAverage="0" bottom="0" percent="0" rank="0" text="" dxfId="0">
      <formula>H36</formula>
    </cfRule>
  </conditionalFormatting>
  <conditionalFormatting sqref="V37">
    <cfRule type="cellIs" priority="616" operator="lessThanOrEqual" aboveAverage="0" equalAverage="0" bottom="0" percent="0" rank="0" text="" dxfId="0">
      <formula>H37</formula>
    </cfRule>
  </conditionalFormatting>
  <conditionalFormatting sqref="V38">
    <cfRule type="cellIs" priority="617" operator="lessThanOrEqual" aboveAverage="0" equalAverage="0" bottom="0" percent="0" rank="0" text="" dxfId="0">
      <formula>H38</formula>
    </cfRule>
  </conditionalFormatting>
  <conditionalFormatting sqref="V39">
    <cfRule type="cellIs" priority="618" operator="lessThanOrEqual" aboveAverage="0" equalAverage="0" bottom="0" percent="0" rank="0" text="" dxfId="0">
      <formula>H39</formula>
    </cfRule>
  </conditionalFormatting>
  <conditionalFormatting sqref="V41">
    <cfRule type="cellIs" priority="619" operator="lessThanOrEqual" aboveAverage="0" equalAverage="0" bottom="0" percent="0" rank="0" text="" dxfId="0">
      <formula>H41</formula>
    </cfRule>
  </conditionalFormatting>
  <conditionalFormatting sqref="V42">
    <cfRule type="cellIs" priority="620" operator="lessThanOrEqual" aboveAverage="0" equalAverage="0" bottom="0" percent="0" rank="0" text="" dxfId="0">
      <formula>H42</formula>
    </cfRule>
  </conditionalFormatting>
  <conditionalFormatting sqref="V43">
    <cfRule type="cellIs" priority="621" operator="lessThanOrEqual" aboveAverage="0" equalAverage="0" bottom="0" percent="0" rank="0" text="" dxfId="0">
      <formula>H43</formula>
    </cfRule>
  </conditionalFormatting>
  <conditionalFormatting sqref="V44">
    <cfRule type="cellIs" priority="622" operator="lessThanOrEqual" aboveAverage="0" equalAverage="0" bottom="0" percent="0" rank="0" text="" dxfId="0">
      <formula>H44</formula>
    </cfRule>
  </conditionalFormatting>
  <conditionalFormatting sqref="V7">
    <cfRule type="cellIs" priority="623" operator="lessThanOrEqual" aboveAverage="0" equalAverage="0" bottom="0" percent="0" rank="0" text="" dxfId="0">
      <formula>H7</formula>
    </cfRule>
  </conditionalFormatting>
  <conditionalFormatting sqref="V8">
    <cfRule type="cellIs" priority="624" operator="lessThanOrEqual" aboveAverage="0" equalAverage="0" bottom="0" percent="0" rank="0" text="" dxfId="0">
      <formula>H8</formula>
    </cfRule>
  </conditionalFormatting>
  <conditionalFormatting sqref="V9">
    <cfRule type="cellIs" priority="625" operator="lessThanOrEqual" aboveAverage="0" equalAverage="0" bottom="0" percent="0" rank="0" text="" dxfId="0">
      <formula>H9</formula>
    </cfRule>
  </conditionalFormatting>
  <conditionalFormatting sqref="W10">
    <cfRule type="cellIs" priority="626" operator="lessThanOrEqual" aboveAverage="0" equalAverage="0" bottom="0" percent="0" rank="0" text="" dxfId="0">
      <formula>I10</formula>
    </cfRule>
  </conditionalFormatting>
  <conditionalFormatting sqref="W12">
    <cfRule type="cellIs" priority="627" operator="lessThanOrEqual" aboveAverage="0" equalAverage="0" bottom="0" percent="0" rank="0" text="" dxfId="0">
      <formula>I12</formula>
    </cfRule>
  </conditionalFormatting>
  <conditionalFormatting sqref="W16">
    <cfRule type="cellIs" priority="628" operator="lessThanOrEqual" aboveAverage="0" equalAverage="0" bottom="0" percent="0" rank="0" text="" dxfId="0">
      <formula>I16</formula>
    </cfRule>
  </conditionalFormatting>
  <conditionalFormatting sqref="W19">
    <cfRule type="cellIs" priority="629" operator="lessThanOrEqual" aboveAverage="0" equalAverage="0" bottom="0" percent="0" rank="0" text="" dxfId="0">
      <formula>I19</formula>
    </cfRule>
  </conditionalFormatting>
  <conditionalFormatting sqref="W21">
    <cfRule type="cellIs" priority="630" operator="lessThanOrEqual" aboveAverage="0" equalAverage="0" bottom="0" percent="0" rank="0" text="" dxfId="0">
      <formula>I21</formula>
    </cfRule>
  </conditionalFormatting>
  <conditionalFormatting sqref="W22">
    <cfRule type="cellIs" priority="631" operator="lessThanOrEqual" aboveAverage="0" equalAverage="0" bottom="0" percent="0" rank="0" text="" dxfId="0">
      <formula>I22</formula>
    </cfRule>
  </conditionalFormatting>
  <conditionalFormatting sqref="W24">
    <cfRule type="cellIs" priority="632" operator="lessThanOrEqual" aboveAverage="0" equalAverage="0" bottom="0" percent="0" rank="0" text="" dxfId="0">
      <formula>I24</formula>
    </cfRule>
  </conditionalFormatting>
  <conditionalFormatting sqref="W25">
    <cfRule type="cellIs" priority="633" operator="lessThanOrEqual" aboveAverage="0" equalAverage="0" bottom="0" percent="0" rank="0" text="" dxfId="0">
      <formula>I25</formula>
    </cfRule>
  </conditionalFormatting>
  <conditionalFormatting sqref="W28">
    <cfRule type="cellIs" priority="634" operator="lessThanOrEqual" aboveAverage="0" equalAverage="0" bottom="0" percent="0" rank="0" text="" dxfId="0">
      <formula>I28</formula>
    </cfRule>
  </conditionalFormatting>
  <conditionalFormatting sqref="W30">
    <cfRule type="cellIs" priority="635" operator="lessThanOrEqual" aboveAverage="0" equalAverage="0" bottom="0" percent="0" rank="0" text="" dxfId="0">
      <formula>I30</formula>
    </cfRule>
  </conditionalFormatting>
  <conditionalFormatting sqref="W31">
    <cfRule type="cellIs" priority="636" operator="lessThanOrEqual" aboveAverage="0" equalAverage="0" bottom="0" percent="0" rank="0" text="" dxfId="0">
      <formula>I31</formula>
    </cfRule>
  </conditionalFormatting>
  <conditionalFormatting sqref="W32">
    <cfRule type="cellIs" priority="637" operator="lessThanOrEqual" aboveAverage="0" equalAverage="0" bottom="0" percent="0" rank="0" text="" dxfId="0">
      <formula>I32</formula>
    </cfRule>
  </conditionalFormatting>
  <conditionalFormatting sqref="W33">
    <cfRule type="cellIs" priority="638" operator="lessThanOrEqual" aboveAverage="0" equalAverage="0" bottom="0" percent="0" rank="0" text="" dxfId="0">
      <formula>I33</formula>
    </cfRule>
  </conditionalFormatting>
  <conditionalFormatting sqref="W34">
    <cfRule type="cellIs" priority="639" operator="lessThanOrEqual" aboveAverage="0" equalAverage="0" bottom="0" percent="0" rank="0" text="" dxfId="0">
      <formula>I34</formula>
    </cfRule>
  </conditionalFormatting>
  <conditionalFormatting sqref="W35">
    <cfRule type="cellIs" priority="640" operator="lessThanOrEqual" aboveAverage="0" equalAverage="0" bottom="0" percent="0" rank="0" text="" dxfId="0">
      <formula>I35</formula>
    </cfRule>
  </conditionalFormatting>
  <conditionalFormatting sqref="W36">
    <cfRule type="cellIs" priority="641" operator="lessThanOrEqual" aboveAverage="0" equalAverage="0" bottom="0" percent="0" rank="0" text="" dxfId="0">
      <formula>I36</formula>
    </cfRule>
  </conditionalFormatting>
  <conditionalFormatting sqref="W37">
    <cfRule type="cellIs" priority="642" operator="lessThanOrEqual" aboveAverage="0" equalAverage="0" bottom="0" percent="0" rank="0" text="" dxfId="0">
      <formula>I37</formula>
    </cfRule>
  </conditionalFormatting>
  <conditionalFormatting sqref="W38">
    <cfRule type="cellIs" priority="643" operator="lessThanOrEqual" aboveAverage="0" equalAverage="0" bottom="0" percent="0" rank="0" text="" dxfId="0">
      <formula>I38</formula>
    </cfRule>
  </conditionalFormatting>
  <conditionalFormatting sqref="W39">
    <cfRule type="cellIs" priority="644" operator="lessThanOrEqual" aboveAverage="0" equalAverage="0" bottom="0" percent="0" rank="0" text="" dxfId="0">
      <formula>I39</formula>
    </cfRule>
  </conditionalFormatting>
  <conditionalFormatting sqref="W41">
    <cfRule type="cellIs" priority="645" operator="lessThanOrEqual" aboveAverage="0" equalAverage="0" bottom="0" percent="0" rank="0" text="" dxfId="0">
      <formula>I41</formula>
    </cfRule>
  </conditionalFormatting>
  <conditionalFormatting sqref="W42">
    <cfRule type="cellIs" priority="646" operator="lessThanOrEqual" aboveAverage="0" equalAverage="0" bottom="0" percent="0" rank="0" text="" dxfId="0">
      <formula>I42</formula>
    </cfRule>
  </conditionalFormatting>
  <conditionalFormatting sqref="W43">
    <cfRule type="cellIs" priority="647" operator="lessThanOrEqual" aboveAverage="0" equalAverage="0" bottom="0" percent="0" rank="0" text="" dxfId="0">
      <formula>I43</formula>
    </cfRule>
  </conditionalFormatting>
  <conditionalFormatting sqref="W44">
    <cfRule type="cellIs" priority="648" operator="lessThanOrEqual" aboveAverage="0" equalAverage="0" bottom="0" percent="0" rank="0" text="" dxfId="0">
      <formula>I44</formula>
    </cfRule>
  </conditionalFormatting>
  <conditionalFormatting sqref="W7">
    <cfRule type="cellIs" priority="649" operator="lessThanOrEqual" aboveAverage="0" equalAverage="0" bottom="0" percent="0" rank="0" text="" dxfId="0">
      <formula>I7</formula>
    </cfRule>
  </conditionalFormatting>
  <conditionalFormatting sqref="W8">
    <cfRule type="cellIs" priority="650" operator="lessThanOrEqual" aboveAverage="0" equalAverage="0" bottom="0" percent="0" rank="0" text="" dxfId="0">
      <formula>I8</formula>
    </cfRule>
  </conditionalFormatting>
  <conditionalFormatting sqref="W9">
    <cfRule type="cellIs" priority="651" operator="lessThanOrEqual" aboveAverage="0" equalAverage="0" bottom="0" percent="0" rank="0" text="" dxfId="0">
      <formula>I9</formula>
    </cfRule>
  </conditionalFormatting>
  <conditionalFormatting sqref="Y10">
    <cfRule type="cellIs" priority="652" operator="equal" aboveAverage="0" equalAverage="0" bottom="0" percent="0" rank="0" text="" dxfId="1">
      <formula>0</formula>
    </cfRule>
    <cfRule type="cellIs" priority="653" operator="lessThan" aboveAverage="0" equalAverage="0" bottom="0" percent="0" rank="0" text="" dxfId="2">
      <formula>G10</formula>
    </cfRule>
  </conditionalFormatting>
  <conditionalFormatting sqref="Y12">
    <cfRule type="cellIs" priority="654" operator="equal" aboveAverage="0" equalAverage="0" bottom="0" percent="0" rank="0" text="" dxfId="1">
      <formula>0</formula>
    </cfRule>
    <cfRule type="cellIs" priority="655" operator="lessThan" aboveAverage="0" equalAverage="0" bottom="0" percent="0" rank="0" text="" dxfId="2">
      <formula>G12</formula>
    </cfRule>
  </conditionalFormatting>
  <conditionalFormatting sqref="Y36">
    <cfRule type="cellIs" priority="656" operator="equal" aboveAverage="0" equalAverage="0" bottom="0" percent="0" rank="0" text="" dxfId="1">
      <formula>0</formula>
    </cfRule>
    <cfRule type="cellIs" priority="657" operator="lessThan" aboveAverage="0" equalAverage="0" bottom="0" percent="0" rank="0" text="" dxfId="2">
      <formula>G36</formula>
    </cfRule>
  </conditionalFormatting>
  <conditionalFormatting sqref="Y37">
    <cfRule type="cellIs" priority="658" operator="equal" aboveAverage="0" equalAverage="0" bottom="0" percent="0" rank="0" text="" dxfId="1">
      <formula>0</formula>
    </cfRule>
    <cfRule type="cellIs" priority="659" operator="lessThan" aboveAverage="0" equalAverage="0" bottom="0" percent="0" rank="0" text="" dxfId="2">
      <formula>G37</formula>
    </cfRule>
  </conditionalFormatting>
  <conditionalFormatting sqref="Y43">
    <cfRule type="cellIs" priority="660" operator="equal" aboveAverage="0" equalAverage="0" bottom="0" percent="0" rank="0" text="" dxfId="1">
      <formula>0</formula>
    </cfRule>
    <cfRule type="cellIs" priority="661" operator="lessThan" aboveAverage="0" equalAverage="0" bottom="0" percent="0" rank="0" text="" dxfId="2">
      <formula>G43</formula>
    </cfRule>
  </conditionalFormatting>
  <conditionalFormatting sqref="Y44">
    <cfRule type="cellIs" priority="662" operator="equal" aboveAverage="0" equalAverage="0" bottom="0" percent="0" rank="0" text="" dxfId="1">
      <formula>0</formula>
    </cfRule>
    <cfRule type="cellIs" priority="663" operator="lessThan" aboveAverage="0" equalAverage="0" bottom="0" percent="0" rank="0" text="" dxfId="2">
      <formula>G44</formula>
    </cfRule>
  </conditionalFormatting>
  <conditionalFormatting sqref="Y7">
    <cfRule type="cellIs" priority="664" operator="equal" aboveAverage="0" equalAverage="0" bottom="0" percent="0" rank="0" text="" dxfId="1">
      <formula>0</formula>
    </cfRule>
    <cfRule type="cellIs" priority="665" operator="lessThan" aboveAverage="0" equalAverage="0" bottom="0" percent="0" rank="0" text="" dxfId="2">
      <formula>G7</formula>
    </cfRule>
  </conditionalFormatting>
  <conditionalFormatting sqref="Y8">
    <cfRule type="cellIs" priority="666" operator="equal" aboveAverage="0" equalAverage="0" bottom="0" percent="0" rank="0" text="" dxfId="1">
      <formula>0</formula>
    </cfRule>
    <cfRule type="cellIs" priority="667" operator="lessThan" aboveAverage="0" equalAverage="0" bottom="0" percent="0" rank="0" text="" dxfId="2">
      <formula>G8</formula>
    </cfRule>
  </conditionalFormatting>
  <conditionalFormatting sqref="Z10">
    <cfRule type="cellIs" priority="668" operator="greaterThan" aboveAverage="0" equalAverage="0" bottom="0" percent="0" rank="0" text="" dxfId="1">
      <formula>Y10</formula>
    </cfRule>
  </conditionalFormatting>
  <conditionalFormatting sqref="Z12">
    <cfRule type="cellIs" priority="669" operator="greaterThan" aboveAverage="0" equalAverage="0" bottom="0" percent="0" rank="0" text="" dxfId="1">
      <formula>Y12</formula>
    </cfRule>
  </conditionalFormatting>
  <conditionalFormatting sqref="Z36">
    <cfRule type="cellIs" priority="670" operator="greaterThan" aboveAverage="0" equalAverage="0" bottom="0" percent="0" rank="0" text="" dxfId="1">
      <formula>Y36</formula>
    </cfRule>
  </conditionalFormatting>
  <conditionalFormatting sqref="Z37">
    <cfRule type="cellIs" priority="671" operator="greaterThan" aboveAverage="0" equalAverage="0" bottom="0" percent="0" rank="0" text="" dxfId="1">
      <formula>Y37</formula>
    </cfRule>
  </conditionalFormatting>
  <conditionalFormatting sqref="Z43">
    <cfRule type="cellIs" priority="672" operator="greaterThan" aboveAverage="0" equalAverage="0" bottom="0" percent="0" rank="0" text="" dxfId="1">
      <formula>Y43</formula>
    </cfRule>
  </conditionalFormatting>
  <conditionalFormatting sqref="Z44">
    <cfRule type="cellIs" priority="673" operator="greaterThan" aboveAverage="0" equalAverage="0" bottom="0" percent="0" rank="0" text="" dxfId="1">
      <formula>Y44</formula>
    </cfRule>
  </conditionalFormatting>
  <conditionalFormatting sqref="Z7">
    <cfRule type="cellIs" priority="674" operator="greaterThan" aboveAverage="0" equalAverage="0" bottom="0" percent="0" rank="0" text="" dxfId="1">
      <formula>Y7</formula>
    </cfRule>
  </conditionalFormatting>
  <conditionalFormatting sqref="Z8">
    <cfRule type="cellIs" priority="675" operator="greaterThan" aboveAverage="0" equalAverage="0" bottom="0" percent="0" rank="0" text="" dxfId="1">
      <formula>Y8</formula>
    </cfRule>
  </conditionalFormatting>
  <hyperlinks>
    <hyperlink ref="N7" r:id="rId2" display="399-1281-1-ND"/>
    <hyperlink ref="S7" r:id="rId3" display="80-C0603C104K3R"/>
    <hyperlink ref="X7" r:id="rId4" display="64K2837"/>
    <hyperlink ref="AC7" r:id="rId5" display="147-538"/>
    <hyperlink ref="AH7" r:id="rId6" display="C0603C104K3RAC"/>
    <hyperlink ref="N8" r:id="rId7" display="399-7847-1-ND"/>
    <hyperlink ref="S8" r:id="rId8" display="80-C0603C105K4R"/>
    <hyperlink ref="X8" r:id="rId9" display="93K5997"/>
    <hyperlink ref="AC8" r:id="rId10" display="801-5221"/>
    <hyperlink ref="AH8" r:id="rId11" display="C0603C105K4RAC"/>
    <hyperlink ref="N9" r:id="rId12" display="399-1088-1-ND"/>
    <hyperlink ref="S9" r:id="rId13" display="80-C0603C472J5R"/>
    <hyperlink ref="X9" r:id="rId14" display="52K5445"/>
    <hyperlink ref="AC9" r:id="rId15" display="869-1777"/>
    <hyperlink ref="AH9" r:id="rId16" display="C0603C472J5RAC"/>
    <hyperlink ref="N10" r:id="rId17" display="P18997CT-ND"/>
    <hyperlink ref="S10" r:id="rId18" display="667-EEF-CX1D560R"/>
    <hyperlink ref="X10" r:id="rId19" display="80Y2642"/>
    <hyperlink ref="AC10" r:id="rId20" display="866-3779"/>
    <hyperlink ref="N11" r:id="rId21" display="1276-6641-1-ND"/>
    <hyperlink ref="N12" r:id="rId22" display="399-7847-1-ND"/>
    <hyperlink ref="S12" r:id="rId23" display="80-C0603C105K4R"/>
    <hyperlink ref="X12" r:id="rId24" display="93K5997"/>
    <hyperlink ref="AC12" r:id="rId25" display="801-5221"/>
    <hyperlink ref="AH12" r:id="rId26" display="C0603C105K4RAC"/>
    <hyperlink ref="N13" r:id="rId27" display="754-2113-1-ND"/>
    <hyperlink ref="S13" r:id="rId28" display="Not Assigned"/>
    <hyperlink ref="N14" r:id="rId29" display="BAT46WQ-7-FDICT-ND"/>
    <hyperlink ref="S14" r:id="rId30" display="621-BAT46WQ-7-F"/>
    <hyperlink ref="X14" r:id="rId31" display="45W6117"/>
    <hyperlink ref="N15" r:id="rId32" display="507-1767-1-ND"/>
    <hyperlink ref="S15" r:id="rId33" display="530-0ZCG0110AF2C"/>
    <hyperlink ref="N16" r:id="rId34" display="501-1316-ND"/>
    <hyperlink ref="S16" r:id="rId35" display="565-6883"/>
    <hyperlink ref="X16" r:id="rId36" display="02J8383"/>
    <hyperlink ref="AC16" r:id="rId37" display="864-3992"/>
    <hyperlink ref="N17" r:id="rId38" display="ED10527-ND"/>
    <hyperlink ref="N18" r:id="rId39" display="1727-4642-ND"/>
    <hyperlink ref="S18" r:id="rId40" display="771-PHP23NQ11T127"/>
    <hyperlink ref="N19" r:id="rId41" display="1727-1865-1-ND"/>
    <hyperlink ref="S19" r:id="rId42" display="771-2N7002P235"/>
    <hyperlink ref="X19" r:id="rId43" display="54T9625"/>
    <hyperlink ref="N20" r:id="rId44" display="RNCF1206TKY1K00CT-ND"/>
    <hyperlink ref="N21" r:id="rId45" display="311-100HRCT-ND"/>
    <hyperlink ref="S21" r:id="rId46" display="603-RC0603FR-07100RL"/>
    <hyperlink ref="X21" r:id="rId47" display="68R0052"/>
    <hyperlink ref="AH21" r:id="rId48" display="RC0603FR-07100R"/>
    <hyperlink ref="N22" r:id="rId49" display="311-100KHRCT-ND"/>
    <hyperlink ref="S22" r:id="rId50" display="603-RC0603FR-07100KL"/>
    <hyperlink ref="X22" r:id="rId51" display="68R0051"/>
    <hyperlink ref="AH22" r:id="rId52" display="RC0603FR-07100K"/>
    <hyperlink ref="N23" r:id="rId53" display="1276-6161-1-ND"/>
    <hyperlink ref="N24" r:id="rId54" display="311-33.0HRCT-ND"/>
    <hyperlink ref="S24" r:id="rId55" display="603-RC0603FR-0733RL"/>
    <hyperlink ref="X24" r:id="rId56" display="68R0085"/>
    <hyperlink ref="N25" r:id="rId57" display="311-51.1KHRCT-ND"/>
    <hyperlink ref="S25" r:id="rId58" display="603-RC0603FR-0751K1L"/>
    <hyperlink ref="X25" r:id="rId59" display="66R2455"/>
    <hyperlink ref="N26" r:id="rId60" display="RNCF0805TKT20K0CT-ND"/>
    <hyperlink ref="N27" r:id="rId61" display="764-1556-1-ND"/>
    <hyperlink ref="N28" r:id="rId62" display="CSS2H-3920K-2L00FCT-ND"/>
    <hyperlink ref="S28" r:id="rId63" display="652-CSS2H3920K2L00F"/>
    <hyperlink ref="X28" r:id="rId64" display="13AC5070"/>
    <hyperlink ref="AC28" r:id="rId65" display="134-8152"/>
    <hyperlink ref="N29" r:id="rId66" display="P18848CT-ND"/>
    <hyperlink ref="S29" r:id="rId67" display="667-ERA-8ARW4122V"/>
    <hyperlink ref="N30" r:id="rId68" display="311-10.0KHRCT-ND"/>
    <hyperlink ref="S30" r:id="rId69" display="603-RC0603FR-0710KL"/>
    <hyperlink ref="X30" r:id="rId70" display="68R0049"/>
    <hyperlink ref="AH30" r:id="rId71" display="RC0603FR-0710K"/>
    <hyperlink ref="N31" r:id="rId72" display="311-33.0HRCT-ND"/>
    <hyperlink ref="S31" r:id="rId73" display="603-RC0603JR-0733RL"/>
    <hyperlink ref="X31" r:id="rId74" display="68R0182"/>
    <hyperlink ref="AH31" r:id="rId75" display="RC0603JR-0733R"/>
    <hyperlink ref="N32" r:id="rId76" display="311-60.4KHRCT-ND"/>
    <hyperlink ref="S32" r:id="rId77" display="603-RC0603FR-0760K4L"/>
    <hyperlink ref="X32" r:id="rId78" display="66R2511"/>
    <hyperlink ref="AC32" r:id="rId79" display="504-8136"/>
    <hyperlink ref="N33" r:id="rId80" display="478-2498-1-ND"/>
    <hyperlink ref="S33" r:id="rId81" display="581-VC060303A100DP"/>
    <hyperlink ref="X33" r:id="rId82" display="36K3718"/>
    <hyperlink ref="AC33" r:id="rId83" display="887-0728"/>
    <hyperlink ref="AH33" r:id="rId84" display="VC060303A100"/>
    <hyperlink ref="N34" r:id="rId85" display="296-40435-1-ND"/>
    <hyperlink ref="S34" r:id="rId86" display="595-OPA180IDBVR"/>
    <hyperlink ref="X34" r:id="rId87" display="75X0087"/>
    <hyperlink ref="N35" r:id="rId88" display="497-14396-1-ND"/>
    <hyperlink ref="S35" r:id="rId89" display="511-M74HC595YRM13TR"/>
    <hyperlink ref="X35" r:id="rId90" display="18AC7477"/>
    <hyperlink ref="N36" r:id="rId91" display="NCP1117DT50GOS-ND"/>
    <hyperlink ref="S36" r:id="rId92" display="863-NCP1117DT50G"/>
    <hyperlink ref="X36" r:id="rId93" display="26K4839"/>
    <hyperlink ref="AC36" r:id="rId94" display="516-5871"/>
    <hyperlink ref="AH36" r:id="rId95" display="NCP1117DT50G"/>
    <hyperlink ref="N37" r:id="rId96" display="1016-1848-1-ND"/>
    <hyperlink ref="S37" r:id="rId97" display="701-SPX1117M3-L-33TR"/>
    <hyperlink ref="X37" r:id="rId98" display="23R9322"/>
    <hyperlink ref="AC37" r:id="rId99" display="686-5840"/>
    <hyperlink ref="N38" r:id="rId100" display="296-45348-1-ND"/>
    <hyperlink ref="S38" r:id="rId101" display="595-OPA388IDR"/>
    <hyperlink ref="X38" r:id="rId102" display="16AC3410"/>
    <hyperlink ref="N39" r:id="rId103" display="296-44344-1-ND"/>
    <hyperlink ref="S39" r:id="rId104" display="595-ADS127L01IPBSR"/>
    <hyperlink ref="X39" r:id="rId105" display="91Y4152"/>
    <hyperlink ref="N40" r:id="rId106" display="1664-1272-1-ND"/>
    <hyperlink ref="N41" r:id="rId107" display="568-12422-1-ND"/>
    <hyperlink ref="S41" r:id="rId108" display="771-NX3L4357GM115"/>
    <hyperlink ref="X41" r:id="rId109" display="44Y6001"/>
    <hyperlink ref="N42" r:id="rId110" display="MCP4921T-E/MSCT-ND"/>
    <hyperlink ref="S42" r:id="rId111" display="579-MCP4921T-E/MS"/>
    <hyperlink ref="X42" r:id="rId112" display="08J8745"/>
    <hyperlink ref="N43" r:id="rId113" display="296-21385-1-ND"/>
    <hyperlink ref="S43" r:id="rId114" display="595-DAC8560IADGKT"/>
    <hyperlink ref="X43" r:id="rId115" display="96W2823"/>
    <hyperlink ref="AC43" r:id="rId116" display="813-6429"/>
    <hyperlink ref="N44" r:id="rId117" display="MAX6126AASA25+-ND"/>
    <hyperlink ref="S44" r:id="rId118" display="700-MAX6126AASA25"/>
    <hyperlink ref="X44" r:id="rId119" display="81Y9532"/>
    <hyperlink ref="AC44" r:id="rId120" display="732-80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2017-12-01T07:54:19Z</dcterms:created>
  <dc:creator/>
  <dc:description/>
  <dc:language>en-GB</dc:language>
  <cp:lastModifiedBy/>
  <dcterms:modified xsi:type="dcterms:W3CDTF">2017-12-01T10:07:17Z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